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va23006619\Documents\Henkilökohtaiset\Kaatokerho\Tilastot\"/>
    </mc:Choice>
  </mc:AlternateContent>
  <xr:revisionPtr revIDLastSave="0" documentId="13_ncr:1_{EE80EF4C-F9D4-4AF3-A9B6-30040BA0DEDE}" xr6:coauthVersionLast="47" xr6:coauthVersionMax="47" xr10:uidLastSave="{00000000-0000-0000-0000-000000000000}"/>
  <bookViews>
    <workbookView xWindow="28680" yWindow="-120" windowWidth="29040" windowHeight="15840" activeTab="7" xr2:uid="{00000000-000D-0000-FFFF-FFFF00000000}"/>
  </bookViews>
  <sheets>
    <sheet name="Sarjataulukko" sheetId="2" r:id="rId1"/>
    <sheet name="Kisakalenteri" sheetId="4" r:id="rId2"/>
    <sheet name="Sarjaranking" sheetId="5" r:id="rId3"/>
    <sheet name="Kisaranking" sheetId="6" r:id="rId4"/>
    <sheet name="KultainenGP" sheetId="7" r:id="rId5"/>
    <sheet name="KupKunk" sheetId="8" r:id="rId6"/>
    <sheet name="Tulokset" sheetId="3" r:id="rId7"/>
    <sheet name="Data" sheetId="1" r:id="rId8"/>
    <sheet name="VO_Algo" sheetId="9" r:id="rId9"/>
  </sheets>
  <definedNames>
    <definedName name="_xlnm._FilterDatabase" localSheetId="7" hidden="1">Data!$A$1:$CI$314</definedName>
    <definedName name="_xlnm._FilterDatabase" localSheetId="2" hidden="1">Sarjaranking!$K$2:$S$627</definedName>
    <definedName name="kausi_id_nro">Data!$CZ$1</definedName>
    <definedName name="keilatut">Data!$CP$16</definedName>
    <definedName name="kilpailukalenteri">Data!$CR$3:$CU$15</definedName>
    <definedName name="otsikko">Data!$CY$2</definedName>
    <definedName name="_xlnm.Print_Area" localSheetId="7">Data!$CP$44:$DE$75</definedName>
    <definedName name="_xlnm.Print_Area" localSheetId="3">Kisaranking!$A$1:$I$54</definedName>
    <definedName name="_xlnm.Print_Area" localSheetId="5">KupKunk!$A$1:$G$56</definedName>
    <definedName name="_xlnm.Print_Area" localSheetId="2">Sarjaranking!$A$1:$I$54</definedName>
    <definedName name="_xlnm.Print_Area" localSheetId="0">Sarjataulukko!$A$1:$V$52</definedName>
    <definedName name="_xlnm.Print_Area" localSheetId="6">Tulokset!$E$3:$M$383</definedName>
    <definedName name="_xlnm.Print_Area" localSheetId="8">VO_Algo!$Q$1:$Z$2</definedName>
    <definedName name="sijoituspisteet">Data!$CP$18:$DM$41</definedName>
    <definedName name="tulossiirtymä">Data!$I$1</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6" i="2" l="1"/>
  <c r="AM4" i="2"/>
  <c r="CG313" i="1" l="1"/>
  <c r="CG312" i="1"/>
  <c r="CG311" i="1"/>
  <c r="CG310" i="1"/>
  <c r="CG309" i="1"/>
  <c r="CG308" i="1"/>
  <c r="CG307" i="1"/>
  <c r="CG306" i="1"/>
  <c r="CG305" i="1"/>
  <c r="CG304" i="1"/>
  <c r="CG303" i="1"/>
  <c r="CG302" i="1"/>
  <c r="CG301" i="1"/>
  <c r="CG300" i="1"/>
  <c r="CG299" i="1"/>
  <c r="CG298" i="1"/>
  <c r="CG297" i="1"/>
  <c r="CG296" i="1"/>
  <c r="CG295" i="1"/>
  <c r="CG294" i="1"/>
  <c r="CG293" i="1"/>
  <c r="CG292" i="1"/>
  <c r="CG291" i="1"/>
  <c r="CG290" i="1"/>
  <c r="CG289" i="1"/>
  <c r="CG288" i="1"/>
  <c r="CG287" i="1"/>
  <c r="CG286" i="1"/>
  <c r="CG285" i="1"/>
  <c r="CG284" i="1"/>
  <c r="CG283" i="1"/>
  <c r="CG282" i="1"/>
  <c r="CG281" i="1"/>
  <c r="CG280" i="1"/>
  <c r="CG279" i="1"/>
  <c r="CG278" i="1"/>
  <c r="CG277" i="1"/>
  <c r="CG276" i="1"/>
  <c r="CG275" i="1"/>
  <c r="CG274" i="1"/>
  <c r="CG273" i="1"/>
  <c r="CG272" i="1"/>
  <c r="CG271" i="1"/>
  <c r="CG270" i="1"/>
  <c r="CG269" i="1"/>
  <c r="CG268" i="1"/>
  <c r="CG267" i="1"/>
  <c r="CG266" i="1"/>
  <c r="CG265" i="1"/>
  <c r="CG264" i="1"/>
  <c r="CG263" i="1"/>
  <c r="CG262" i="1"/>
  <c r="CG261" i="1"/>
  <c r="CG260" i="1"/>
  <c r="CG259" i="1"/>
  <c r="CG258" i="1"/>
  <c r="CG257" i="1"/>
  <c r="CG256" i="1"/>
  <c r="CG255" i="1"/>
  <c r="CG254" i="1"/>
  <c r="CG253" i="1"/>
  <c r="CG252" i="1"/>
  <c r="CG251" i="1"/>
  <c r="CG250" i="1"/>
  <c r="CG249" i="1"/>
  <c r="CG248" i="1"/>
  <c r="CG247" i="1"/>
  <c r="CG246" i="1"/>
  <c r="CG245" i="1"/>
  <c r="CG244" i="1"/>
  <c r="CG243" i="1"/>
  <c r="CG242" i="1"/>
  <c r="CG241" i="1"/>
  <c r="CG240" i="1"/>
  <c r="CG239" i="1"/>
  <c r="CG238" i="1"/>
  <c r="CG237" i="1"/>
  <c r="CG236" i="1"/>
  <c r="CG235" i="1"/>
  <c r="CG234" i="1"/>
  <c r="CG233" i="1"/>
  <c r="CG232" i="1"/>
  <c r="CG231" i="1"/>
  <c r="CG230" i="1"/>
  <c r="CG229" i="1"/>
  <c r="CG228" i="1"/>
  <c r="CG227" i="1"/>
  <c r="CG226" i="1"/>
  <c r="CG225" i="1"/>
  <c r="CG224" i="1"/>
  <c r="CG223" i="1"/>
  <c r="CG222" i="1"/>
  <c r="CG221" i="1"/>
  <c r="CG220" i="1"/>
  <c r="CG219" i="1"/>
  <c r="CG218" i="1"/>
  <c r="CG217" i="1"/>
  <c r="CG216" i="1"/>
  <c r="CG215" i="1"/>
  <c r="CG214" i="1"/>
  <c r="CG213" i="1"/>
  <c r="CG212" i="1"/>
  <c r="CG211" i="1"/>
  <c r="CG210" i="1"/>
  <c r="CG209" i="1"/>
  <c r="CG208" i="1"/>
  <c r="CG207" i="1"/>
  <c r="CG206" i="1"/>
  <c r="CG205" i="1"/>
  <c r="CG204" i="1"/>
  <c r="CG203" i="1"/>
  <c r="CG202" i="1"/>
  <c r="CG201" i="1"/>
  <c r="CG200" i="1"/>
  <c r="CG199" i="1"/>
  <c r="CG198" i="1"/>
  <c r="CG197" i="1"/>
  <c r="CG196" i="1"/>
  <c r="CG195" i="1"/>
  <c r="CG194" i="1"/>
  <c r="CG193" i="1"/>
  <c r="CG192" i="1"/>
  <c r="CG191" i="1"/>
  <c r="CG190" i="1"/>
  <c r="CG189" i="1"/>
  <c r="CG188" i="1"/>
  <c r="CG187" i="1"/>
  <c r="CG186" i="1"/>
  <c r="CG185" i="1"/>
  <c r="CG184" i="1"/>
  <c r="CG183" i="1"/>
  <c r="CG182" i="1"/>
  <c r="CF313" i="1"/>
  <c r="CF312" i="1"/>
  <c r="CF311" i="1"/>
  <c r="CF310" i="1"/>
  <c r="CF309" i="1"/>
  <c r="CF308" i="1"/>
  <c r="CF307" i="1"/>
  <c r="CF306" i="1"/>
  <c r="CF305" i="1"/>
  <c r="CF304" i="1"/>
  <c r="CF303" i="1"/>
  <c r="CF302" i="1"/>
  <c r="CF301" i="1"/>
  <c r="CF300" i="1"/>
  <c r="CF299" i="1"/>
  <c r="CF298" i="1"/>
  <c r="CF297" i="1"/>
  <c r="CF296" i="1"/>
  <c r="CF295" i="1"/>
  <c r="CF294" i="1"/>
  <c r="CF293" i="1"/>
  <c r="CF292" i="1"/>
  <c r="CF291" i="1"/>
  <c r="CF290" i="1"/>
  <c r="CF289" i="1"/>
  <c r="CF288" i="1"/>
  <c r="CF287" i="1"/>
  <c r="CF286" i="1"/>
  <c r="CF285" i="1"/>
  <c r="CF284" i="1"/>
  <c r="CF283" i="1"/>
  <c r="CF282" i="1"/>
  <c r="CF281" i="1"/>
  <c r="CF280" i="1"/>
  <c r="CF279" i="1"/>
  <c r="CF278" i="1"/>
  <c r="CF277" i="1"/>
  <c r="CF276" i="1"/>
  <c r="CF275" i="1"/>
  <c r="CF274" i="1"/>
  <c r="CF273" i="1"/>
  <c r="CF272" i="1"/>
  <c r="CF271" i="1"/>
  <c r="CF270" i="1"/>
  <c r="CF269" i="1"/>
  <c r="CF268" i="1"/>
  <c r="CF267" i="1"/>
  <c r="CF266" i="1"/>
  <c r="CF265" i="1"/>
  <c r="CF264" i="1"/>
  <c r="CF263" i="1"/>
  <c r="CF262" i="1"/>
  <c r="CF261" i="1"/>
  <c r="CF260" i="1"/>
  <c r="CF259" i="1"/>
  <c r="CF258" i="1"/>
  <c r="CF257" i="1"/>
  <c r="CF256" i="1"/>
  <c r="CF255" i="1"/>
  <c r="CF254" i="1"/>
  <c r="CF253" i="1"/>
  <c r="CF252" i="1"/>
  <c r="CF251" i="1"/>
  <c r="CF250" i="1"/>
  <c r="CF249" i="1"/>
  <c r="CF248" i="1"/>
  <c r="CF247" i="1"/>
  <c r="CF246" i="1"/>
  <c r="CF245" i="1"/>
  <c r="CF244" i="1"/>
  <c r="CF243" i="1"/>
  <c r="CF242" i="1"/>
  <c r="CF241" i="1"/>
  <c r="CF240" i="1"/>
  <c r="CF239" i="1"/>
  <c r="CF238" i="1"/>
  <c r="CF237" i="1"/>
  <c r="CF236" i="1"/>
  <c r="CF235" i="1"/>
  <c r="CF234" i="1"/>
  <c r="CF233" i="1"/>
  <c r="CF232" i="1"/>
  <c r="CF231" i="1"/>
  <c r="CF230" i="1"/>
  <c r="CF229" i="1"/>
  <c r="CF228" i="1"/>
  <c r="CF227" i="1"/>
  <c r="CF226" i="1"/>
  <c r="CF225" i="1"/>
  <c r="CF224" i="1"/>
  <c r="CF223" i="1"/>
  <c r="CF222" i="1"/>
  <c r="CF221" i="1"/>
  <c r="CF220" i="1"/>
  <c r="CF219" i="1"/>
  <c r="CF218" i="1"/>
  <c r="CF217" i="1"/>
  <c r="CF216" i="1"/>
  <c r="CF215" i="1"/>
  <c r="CF214" i="1"/>
  <c r="CF213" i="1"/>
  <c r="CF212" i="1"/>
  <c r="CF211" i="1"/>
  <c r="CF210" i="1"/>
  <c r="CF209" i="1"/>
  <c r="CF208" i="1"/>
  <c r="CF207" i="1"/>
  <c r="CF206" i="1"/>
  <c r="CF205" i="1"/>
  <c r="CF204" i="1"/>
  <c r="CF203" i="1"/>
  <c r="CF202" i="1"/>
  <c r="CF201" i="1"/>
  <c r="CF200" i="1"/>
  <c r="CF199" i="1"/>
  <c r="CF198" i="1"/>
  <c r="CF197" i="1"/>
  <c r="CF196" i="1"/>
  <c r="CF195" i="1"/>
  <c r="CF194" i="1"/>
  <c r="CF193" i="1"/>
  <c r="CF192" i="1"/>
  <c r="CF191" i="1"/>
  <c r="CF190" i="1"/>
  <c r="CF189" i="1"/>
  <c r="CF188" i="1"/>
  <c r="CF187" i="1"/>
  <c r="CF186" i="1"/>
  <c r="CF185" i="1"/>
  <c r="CF184" i="1"/>
  <c r="CF183" i="1"/>
  <c r="CF182" i="1"/>
  <c r="CI313" i="1"/>
  <c r="CI312" i="1"/>
  <c r="CI311" i="1"/>
  <c r="CI310" i="1"/>
  <c r="CI309" i="1"/>
  <c r="CI308" i="1"/>
  <c r="CI307" i="1"/>
  <c r="CI306" i="1"/>
  <c r="CI305" i="1"/>
  <c r="CI304" i="1"/>
  <c r="CI303" i="1"/>
  <c r="CI302" i="1"/>
  <c r="CI301" i="1"/>
  <c r="CI300" i="1"/>
  <c r="CI299" i="1"/>
  <c r="CI298" i="1"/>
  <c r="CI297" i="1"/>
  <c r="CI296" i="1"/>
  <c r="CI295" i="1"/>
  <c r="CI294" i="1"/>
  <c r="CI293" i="1"/>
  <c r="CI292" i="1"/>
  <c r="CI291" i="1"/>
  <c r="CI290" i="1"/>
  <c r="CI289" i="1"/>
  <c r="CI288" i="1"/>
  <c r="CI287" i="1"/>
  <c r="CI286" i="1"/>
  <c r="CI285" i="1"/>
  <c r="CI284" i="1"/>
  <c r="CI283" i="1"/>
  <c r="CI282" i="1"/>
  <c r="CI281" i="1"/>
  <c r="CI280" i="1"/>
  <c r="CI279" i="1"/>
  <c r="CI278" i="1"/>
  <c r="CI277" i="1"/>
  <c r="CI276" i="1"/>
  <c r="CI275" i="1"/>
  <c r="CI274" i="1"/>
  <c r="CI273" i="1"/>
  <c r="CI272" i="1"/>
  <c r="CI271" i="1"/>
  <c r="CI270" i="1"/>
  <c r="CI269" i="1"/>
  <c r="CI268" i="1"/>
  <c r="CI267" i="1"/>
  <c r="CI266" i="1"/>
  <c r="CI265" i="1"/>
  <c r="CI264" i="1"/>
  <c r="CI263" i="1"/>
  <c r="CI262" i="1"/>
  <c r="CI261" i="1"/>
  <c r="CI260" i="1"/>
  <c r="CI259" i="1"/>
  <c r="CI258" i="1"/>
  <c r="CI257" i="1"/>
  <c r="CI256" i="1"/>
  <c r="CI255" i="1"/>
  <c r="CI254" i="1"/>
  <c r="CI253" i="1"/>
  <c r="CI252" i="1"/>
  <c r="CI251" i="1"/>
  <c r="CI250" i="1"/>
  <c r="CI249" i="1"/>
  <c r="CI248" i="1"/>
  <c r="CI247" i="1"/>
  <c r="CI246" i="1"/>
  <c r="CI245" i="1"/>
  <c r="CI244" i="1"/>
  <c r="CI243" i="1"/>
  <c r="CI242" i="1"/>
  <c r="CI241" i="1"/>
  <c r="CI240" i="1"/>
  <c r="CI239" i="1"/>
  <c r="CI238" i="1"/>
  <c r="CI237" i="1"/>
  <c r="CI236" i="1"/>
  <c r="CI235" i="1"/>
  <c r="CI234" i="1"/>
  <c r="CI233" i="1"/>
  <c r="CI232" i="1"/>
  <c r="CI231" i="1"/>
  <c r="CI230" i="1"/>
  <c r="CI229" i="1"/>
  <c r="CI228" i="1"/>
  <c r="CI227" i="1"/>
  <c r="CI226" i="1"/>
  <c r="CI225" i="1"/>
  <c r="CI224" i="1"/>
  <c r="CI223" i="1"/>
  <c r="CI222" i="1"/>
  <c r="CI221" i="1"/>
  <c r="CI220" i="1"/>
  <c r="CI219" i="1"/>
  <c r="CI218" i="1"/>
  <c r="CI217" i="1"/>
  <c r="CI216" i="1"/>
  <c r="CI215" i="1"/>
  <c r="CI214" i="1"/>
  <c r="CI213" i="1"/>
  <c r="CI212" i="1"/>
  <c r="CI211" i="1"/>
  <c r="CI210" i="1"/>
  <c r="CI209" i="1"/>
  <c r="CI208" i="1"/>
  <c r="CI207" i="1"/>
  <c r="CI206" i="1"/>
  <c r="CI205" i="1"/>
  <c r="CI204" i="1"/>
  <c r="CI203" i="1"/>
  <c r="CI202" i="1"/>
  <c r="CI201" i="1"/>
  <c r="CI200" i="1"/>
  <c r="CI199" i="1"/>
  <c r="CI198" i="1"/>
  <c r="CI197" i="1"/>
  <c r="CI196" i="1"/>
  <c r="CI195" i="1"/>
  <c r="CI194" i="1"/>
  <c r="CI193" i="1"/>
  <c r="CI192" i="1"/>
  <c r="CI191" i="1"/>
  <c r="CI190" i="1"/>
  <c r="CI189" i="1"/>
  <c r="CI188" i="1"/>
  <c r="CI187" i="1"/>
  <c r="CI186" i="1"/>
  <c r="CI185" i="1"/>
  <c r="CI184" i="1"/>
  <c r="CI183" i="1"/>
  <c r="CI182" i="1"/>
  <c r="BV313" i="1" a="1"/>
  <c r="BV313" i="1" s="1"/>
  <c r="BV312" i="1" a="1"/>
  <c r="BV312" i="1" s="1"/>
  <c r="BV311" i="1" a="1"/>
  <c r="BV311" i="1" s="1"/>
  <c r="BV310" i="1" a="1"/>
  <c r="BV310" i="1" s="1"/>
  <c r="BV309" i="1" a="1"/>
  <c r="BV309" i="1" s="1"/>
  <c r="BV308" i="1" a="1"/>
  <c r="BV308" i="1" s="1"/>
  <c r="BV307" i="1" a="1"/>
  <c r="BV307" i="1" s="1"/>
  <c r="BV306" i="1" a="1"/>
  <c r="BV306" i="1" s="1"/>
  <c r="BV305" i="1" a="1"/>
  <c r="BV305" i="1" s="1"/>
  <c r="BV304" i="1" a="1"/>
  <c r="BV304" i="1" s="1"/>
  <c r="BV303" i="1" a="1"/>
  <c r="BV303" i="1" s="1"/>
  <c r="BV302" i="1" a="1"/>
  <c r="BV302" i="1" s="1"/>
  <c r="BV301" i="1" a="1"/>
  <c r="BV301" i="1" s="1"/>
  <c r="BV300" i="1" a="1"/>
  <c r="BV300" i="1" s="1"/>
  <c r="BV299" i="1" a="1"/>
  <c r="BV299" i="1" s="1"/>
  <c r="BV298" i="1" a="1"/>
  <c r="BV298" i="1" s="1"/>
  <c r="BV297" i="1" a="1"/>
  <c r="BV297" i="1" s="1"/>
  <c r="BV296" i="1" a="1"/>
  <c r="BV296" i="1" s="1"/>
  <c r="BV295" i="1" a="1"/>
  <c r="BV295" i="1" s="1"/>
  <c r="BV294" i="1" a="1"/>
  <c r="BV294" i="1" s="1"/>
  <c r="BV293" i="1" a="1"/>
  <c r="BV293" i="1" s="1"/>
  <c r="BV292" i="1" a="1"/>
  <c r="BV292" i="1" s="1"/>
  <c r="BV291" i="1" a="1"/>
  <c r="BV291" i="1" s="1"/>
  <c r="BV290" i="1" a="1"/>
  <c r="BV290" i="1" s="1"/>
  <c r="BV289" i="1" a="1"/>
  <c r="BV289" i="1" s="1"/>
  <c r="BV288" i="1" a="1"/>
  <c r="BV288" i="1" s="1"/>
  <c r="BV287" i="1" a="1"/>
  <c r="BV287" i="1" s="1"/>
  <c r="BV286" i="1" a="1"/>
  <c r="BV286" i="1" s="1"/>
  <c r="BV285" i="1" a="1"/>
  <c r="BV285" i="1" s="1"/>
  <c r="BV284" i="1" a="1"/>
  <c r="BV284" i="1" s="1"/>
  <c r="BV283" i="1" a="1"/>
  <c r="BV283" i="1" s="1"/>
  <c r="BV282" i="1" a="1"/>
  <c r="BV282" i="1" s="1"/>
  <c r="BV281" i="1" a="1"/>
  <c r="BV281" i="1" s="1"/>
  <c r="BV280" i="1" a="1"/>
  <c r="BV280" i="1" s="1"/>
  <c r="BV279" i="1" a="1"/>
  <c r="BV279" i="1" s="1"/>
  <c r="BV278" i="1" a="1"/>
  <c r="BV278" i="1" s="1"/>
  <c r="BV277" i="1" a="1"/>
  <c r="BV277" i="1" s="1"/>
  <c r="BV276" i="1" a="1"/>
  <c r="BV276" i="1" s="1"/>
  <c r="BV275" i="1" a="1"/>
  <c r="BV275" i="1" s="1"/>
  <c r="BV274" i="1" a="1"/>
  <c r="BV274" i="1" s="1"/>
  <c r="BV273" i="1" a="1"/>
  <c r="BV273" i="1" s="1"/>
  <c r="BV272" i="1" a="1"/>
  <c r="BV272" i="1" s="1"/>
  <c r="BV271" i="1" a="1"/>
  <c r="BV271" i="1" s="1"/>
  <c r="BV270" i="1" a="1"/>
  <c r="BV270" i="1" s="1"/>
  <c r="BV269" i="1" a="1"/>
  <c r="BV269" i="1" s="1"/>
  <c r="BV268" i="1" a="1"/>
  <c r="BV268" i="1" s="1"/>
  <c r="BV267" i="1" a="1"/>
  <c r="BV267" i="1" s="1"/>
  <c r="BV266" i="1" a="1"/>
  <c r="BV266" i="1" s="1"/>
  <c r="BV265" i="1" a="1"/>
  <c r="BV265" i="1" s="1"/>
  <c r="BV264" i="1" a="1"/>
  <c r="BV264" i="1" s="1"/>
  <c r="BV263" i="1" a="1"/>
  <c r="BV263" i="1" s="1"/>
  <c r="BV262" i="1" a="1"/>
  <c r="BV262" i="1" s="1"/>
  <c r="BV261" i="1" a="1"/>
  <c r="BV261" i="1" s="1"/>
  <c r="BV260" i="1" a="1"/>
  <c r="BV260" i="1" s="1"/>
  <c r="BV259" i="1" a="1"/>
  <c r="BV259" i="1" s="1"/>
  <c r="BV258" i="1" a="1"/>
  <c r="BV258" i="1" s="1"/>
  <c r="BV257" i="1" a="1"/>
  <c r="BV257" i="1" s="1"/>
  <c r="BV256" i="1" a="1"/>
  <c r="BV256" i="1" s="1"/>
  <c r="BV255" i="1" a="1"/>
  <c r="BV255" i="1" s="1"/>
  <c r="BV254" i="1" a="1"/>
  <c r="BV254" i="1" s="1"/>
  <c r="BV253" i="1" a="1"/>
  <c r="BV253" i="1" s="1"/>
  <c r="BV252" i="1" a="1"/>
  <c r="BV252" i="1" s="1"/>
  <c r="BV251" i="1" a="1"/>
  <c r="BV251" i="1" s="1"/>
  <c r="BV250" i="1" a="1"/>
  <c r="BV250" i="1" s="1"/>
  <c r="BV249" i="1" a="1"/>
  <c r="BV249" i="1" s="1"/>
  <c r="BV248" i="1" a="1"/>
  <c r="BV248" i="1" s="1"/>
  <c r="BV247" i="1" a="1"/>
  <c r="BV247" i="1" s="1"/>
  <c r="BV246" i="1" a="1"/>
  <c r="BV246" i="1" s="1"/>
  <c r="BV245" i="1" a="1"/>
  <c r="BV245" i="1" s="1"/>
  <c r="BV244" i="1" a="1"/>
  <c r="BV244" i="1" s="1"/>
  <c r="BV243" i="1" a="1"/>
  <c r="BV243" i="1" s="1"/>
  <c r="BV242" i="1" a="1"/>
  <c r="BV242" i="1" s="1"/>
  <c r="BV241" i="1" a="1"/>
  <c r="BV241" i="1" s="1"/>
  <c r="BV240" i="1" a="1"/>
  <c r="BV240" i="1" s="1"/>
  <c r="BV239" i="1" a="1"/>
  <c r="BV239" i="1" s="1"/>
  <c r="BV238" i="1" a="1"/>
  <c r="BV238" i="1" s="1"/>
  <c r="BV237" i="1" a="1"/>
  <c r="BV237" i="1" s="1"/>
  <c r="BV236" i="1" a="1"/>
  <c r="BV236" i="1" s="1"/>
  <c r="BV235" i="1" a="1"/>
  <c r="BV235" i="1" s="1"/>
  <c r="BV234" i="1" a="1"/>
  <c r="BV234" i="1" s="1"/>
  <c r="BV233" i="1" a="1"/>
  <c r="BV233" i="1" s="1"/>
  <c r="BV232" i="1" a="1"/>
  <c r="BV232" i="1" s="1"/>
  <c r="BV231" i="1" a="1"/>
  <c r="BV231" i="1" s="1"/>
  <c r="BV230" i="1" a="1"/>
  <c r="BV230" i="1" s="1"/>
  <c r="BV229" i="1" a="1"/>
  <c r="BV229" i="1" s="1"/>
  <c r="BV228" i="1" a="1"/>
  <c r="BV228" i="1" s="1"/>
  <c r="BV227" i="1" a="1"/>
  <c r="BV227" i="1" s="1"/>
  <c r="BV226" i="1" a="1"/>
  <c r="BV226" i="1" s="1"/>
  <c r="BV225" i="1" a="1"/>
  <c r="BV225" i="1" s="1"/>
  <c r="BV224" i="1" a="1"/>
  <c r="BV224" i="1" s="1"/>
  <c r="BV223" i="1" a="1"/>
  <c r="BV223" i="1" s="1"/>
  <c r="BV222" i="1" a="1"/>
  <c r="BV222" i="1" s="1"/>
  <c r="BV221" i="1" a="1"/>
  <c r="BV221" i="1" s="1"/>
  <c r="BV220" i="1" a="1"/>
  <c r="BV220" i="1" s="1"/>
  <c r="BV219" i="1" a="1"/>
  <c r="BV219" i="1" s="1"/>
  <c r="BV218" i="1" a="1"/>
  <c r="BV218" i="1" s="1"/>
  <c r="BV217" i="1" a="1"/>
  <c r="BV217" i="1" s="1"/>
  <c r="BV216" i="1" a="1"/>
  <c r="BV216" i="1" s="1"/>
  <c r="BV215" i="1" a="1"/>
  <c r="BV215" i="1" s="1"/>
  <c r="BV214" i="1" a="1"/>
  <c r="BV214" i="1" s="1"/>
  <c r="BV213" i="1" a="1"/>
  <c r="BV213" i="1" s="1"/>
  <c r="BV212" i="1" a="1"/>
  <c r="BV212" i="1" s="1"/>
  <c r="BV211" i="1" a="1"/>
  <c r="BV211" i="1" s="1"/>
  <c r="BV210" i="1" a="1"/>
  <c r="BV210" i="1" s="1"/>
  <c r="BV209" i="1" a="1"/>
  <c r="BV209" i="1" s="1"/>
  <c r="BV208" i="1" a="1"/>
  <c r="BV208" i="1" s="1"/>
  <c r="BV207" i="1" a="1"/>
  <c r="BV207" i="1" s="1"/>
  <c r="BV206" i="1" a="1"/>
  <c r="BV206" i="1" s="1"/>
  <c r="BV205" i="1" a="1"/>
  <c r="BV205" i="1" s="1"/>
  <c r="BV204" i="1" a="1"/>
  <c r="BV204" i="1" s="1"/>
  <c r="BV203" i="1" a="1"/>
  <c r="BV203" i="1" s="1"/>
  <c r="BV202" i="1" a="1"/>
  <c r="BV202" i="1" s="1"/>
  <c r="BV201" i="1" a="1"/>
  <c r="BV201" i="1" s="1"/>
  <c r="BV200" i="1" a="1"/>
  <c r="BV200" i="1" s="1"/>
  <c r="BV199" i="1" a="1"/>
  <c r="BV199" i="1" s="1"/>
  <c r="BV198" i="1" a="1"/>
  <c r="BV198" i="1" s="1"/>
  <c r="BV197" i="1" a="1"/>
  <c r="BV197" i="1" s="1"/>
  <c r="BV196" i="1" a="1"/>
  <c r="BV196" i="1" s="1"/>
  <c r="BV195" i="1" a="1"/>
  <c r="BV195" i="1" s="1"/>
  <c r="BV194" i="1" a="1"/>
  <c r="BV194" i="1" s="1"/>
  <c r="BV193" i="1" a="1"/>
  <c r="BV193" i="1" s="1"/>
  <c r="BV192" i="1" a="1"/>
  <c r="BV192" i="1" s="1"/>
  <c r="BV191" i="1" a="1"/>
  <c r="BV191" i="1" s="1"/>
  <c r="BV190" i="1" a="1"/>
  <c r="BV190" i="1" s="1"/>
  <c r="BV189" i="1" a="1"/>
  <c r="BV189" i="1" s="1"/>
  <c r="BV188" i="1" a="1"/>
  <c r="BV188" i="1" s="1"/>
  <c r="BV187" i="1" a="1"/>
  <c r="BV187" i="1" s="1"/>
  <c r="BV186" i="1" a="1"/>
  <c r="BV186" i="1" s="1"/>
  <c r="BV185" i="1" a="1"/>
  <c r="BV185" i="1" s="1"/>
  <c r="BV184" i="1" a="1"/>
  <c r="BV184" i="1" s="1"/>
  <c r="BV183" i="1" a="1"/>
  <c r="BV183" i="1" s="1"/>
  <c r="BV182" i="1" a="1"/>
  <c r="BV182" i="1" s="1"/>
  <c r="CH313" i="1"/>
  <c r="CH312" i="1"/>
  <c r="CH311" i="1"/>
  <c r="CH310" i="1"/>
  <c r="CH309" i="1"/>
  <c r="CH308" i="1"/>
  <c r="CH307" i="1"/>
  <c r="CH306" i="1"/>
  <c r="CH305" i="1"/>
  <c r="CH304" i="1"/>
  <c r="CH303" i="1"/>
  <c r="CH302" i="1"/>
  <c r="CH301" i="1"/>
  <c r="CH300" i="1"/>
  <c r="CH299" i="1"/>
  <c r="CH298" i="1"/>
  <c r="CH297" i="1"/>
  <c r="CH296" i="1"/>
  <c r="CH295" i="1"/>
  <c r="CH294" i="1"/>
  <c r="CH293" i="1"/>
  <c r="CH292" i="1"/>
  <c r="CH291" i="1"/>
  <c r="CH290" i="1"/>
  <c r="CH289" i="1"/>
  <c r="CH288" i="1"/>
  <c r="CH287" i="1"/>
  <c r="CH286" i="1"/>
  <c r="CH285" i="1"/>
  <c r="CH284" i="1"/>
  <c r="CH283" i="1"/>
  <c r="CH282" i="1"/>
  <c r="CH281" i="1"/>
  <c r="CH280" i="1"/>
  <c r="CH279" i="1"/>
  <c r="CH278" i="1"/>
  <c r="CH277" i="1"/>
  <c r="CH276" i="1"/>
  <c r="CH275" i="1"/>
  <c r="CH274" i="1"/>
  <c r="CH273" i="1"/>
  <c r="CH272" i="1"/>
  <c r="CH271" i="1"/>
  <c r="CH270" i="1"/>
  <c r="CH269" i="1"/>
  <c r="CH268" i="1"/>
  <c r="CH267" i="1"/>
  <c r="CH266" i="1"/>
  <c r="CH265" i="1"/>
  <c r="CH264" i="1"/>
  <c r="CH263" i="1"/>
  <c r="CH262" i="1"/>
  <c r="CH261" i="1"/>
  <c r="CH260" i="1"/>
  <c r="CH259" i="1"/>
  <c r="CH258" i="1"/>
  <c r="CH257" i="1"/>
  <c r="CH256" i="1"/>
  <c r="CH255" i="1"/>
  <c r="CH254" i="1"/>
  <c r="CH253" i="1"/>
  <c r="CH252" i="1"/>
  <c r="CH251" i="1"/>
  <c r="CH250" i="1"/>
  <c r="CH249" i="1"/>
  <c r="CH248" i="1"/>
  <c r="CH247" i="1"/>
  <c r="CH246" i="1"/>
  <c r="CH245" i="1"/>
  <c r="CH244" i="1"/>
  <c r="CH243" i="1"/>
  <c r="CH242" i="1"/>
  <c r="CH241" i="1"/>
  <c r="CH240" i="1"/>
  <c r="CH239" i="1"/>
  <c r="CH238" i="1"/>
  <c r="CH237" i="1"/>
  <c r="CH236" i="1"/>
  <c r="CH235" i="1"/>
  <c r="CH234" i="1"/>
  <c r="CH233" i="1"/>
  <c r="CH232" i="1"/>
  <c r="CH231" i="1"/>
  <c r="CH230" i="1"/>
  <c r="CH229" i="1"/>
  <c r="CH228" i="1"/>
  <c r="CH227" i="1"/>
  <c r="CH226" i="1"/>
  <c r="CH225" i="1"/>
  <c r="CH224" i="1"/>
  <c r="CH223" i="1"/>
  <c r="CH222" i="1"/>
  <c r="CH221" i="1"/>
  <c r="CH220" i="1"/>
  <c r="CH219" i="1"/>
  <c r="CH218" i="1"/>
  <c r="CH217" i="1"/>
  <c r="CH216" i="1"/>
  <c r="CH215" i="1"/>
  <c r="CH214" i="1"/>
  <c r="CH213" i="1"/>
  <c r="CH212" i="1"/>
  <c r="CH211" i="1"/>
  <c r="CH210" i="1"/>
  <c r="CH209" i="1"/>
  <c r="CH208" i="1"/>
  <c r="CH207" i="1"/>
  <c r="CH206" i="1"/>
  <c r="CH205" i="1"/>
  <c r="CH204" i="1"/>
  <c r="CH203" i="1"/>
  <c r="CH202" i="1"/>
  <c r="CH201" i="1"/>
  <c r="CH200" i="1"/>
  <c r="CH199" i="1"/>
  <c r="CH198" i="1"/>
  <c r="CH197" i="1"/>
  <c r="CH196" i="1"/>
  <c r="CH195" i="1"/>
  <c r="CH194" i="1"/>
  <c r="CH193" i="1"/>
  <c r="CH192" i="1"/>
  <c r="CH191" i="1"/>
  <c r="CH190" i="1"/>
  <c r="CH189" i="1"/>
  <c r="CH188" i="1"/>
  <c r="CH187" i="1"/>
  <c r="CH186" i="1"/>
  <c r="CH185" i="1"/>
  <c r="CH184" i="1"/>
  <c r="CH183" i="1"/>
  <c r="CH182" i="1"/>
  <c r="CE313" i="1"/>
  <c r="CD313" i="1"/>
  <c r="CC313" i="1"/>
  <c r="CE312" i="1"/>
  <c r="CD312" i="1"/>
  <c r="CC312" i="1"/>
  <c r="CE311" i="1"/>
  <c r="CD311" i="1"/>
  <c r="CC311" i="1"/>
  <c r="CE310" i="1"/>
  <c r="CD310" i="1"/>
  <c r="CC310" i="1"/>
  <c r="CE309" i="1"/>
  <c r="CD309" i="1"/>
  <c r="CC309" i="1"/>
  <c r="CE308" i="1"/>
  <c r="CD308" i="1"/>
  <c r="CC308" i="1"/>
  <c r="CE307" i="1"/>
  <c r="CD307" i="1"/>
  <c r="CC307" i="1"/>
  <c r="CE306" i="1"/>
  <c r="CD306" i="1"/>
  <c r="CC306" i="1"/>
  <c r="CE305" i="1"/>
  <c r="CD305" i="1"/>
  <c r="CC305" i="1"/>
  <c r="CE304" i="1"/>
  <c r="CD304" i="1"/>
  <c r="CC304" i="1"/>
  <c r="CE303" i="1"/>
  <c r="CD303" i="1"/>
  <c r="CC303" i="1"/>
  <c r="CE302" i="1"/>
  <c r="CD302" i="1"/>
  <c r="CC302" i="1"/>
  <c r="CE301" i="1"/>
  <c r="CD301" i="1"/>
  <c r="CC301" i="1"/>
  <c r="CE300" i="1"/>
  <c r="CD300" i="1"/>
  <c r="CC300" i="1"/>
  <c r="CE299" i="1"/>
  <c r="CD299" i="1"/>
  <c r="CC299" i="1"/>
  <c r="CE298" i="1"/>
  <c r="CD298" i="1"/>
  <c r="CC298" i="1"/>
  <c r="CE297" i="1"/>
  <c r="CD297" i="1"/>
  <c r="CC297" i="1"/>
  <c r="CE296" i="1"/>
  <c r="CD296" i="1"/>
  <c r="CC296" i="1"/>
  <c r="CE295" i="1"/>
  <c r="CD295" i="1"/>
  <c r="CC295" i="1"/>
  <c r="CE294" i="1"/>
  <c r="CD294" i="1"/>
  <c r="CC294" i="1"/>
  <c r="CE293" i="1"/>
  <c r="CD293" i="1"/>
  <c r="CC293" i="1"/>
  <c r="CE292" i="1"/>
  <c r="CD292" i="1"/>
  <c r="CC292" i="1"/>
  <c r="CE291" i="1"/>
  <c r="CD291" i="1"/>
  <c r="CC291" i="1"/>
  <c r="CE290" i="1"/>
  <c r="CD290" i="1"/>
  <c r="CC290" i="1"/>
  <c r="CE289" i="1"/>
  <c r="CD289" i="1"/>
  <c r="CC289" i="1"/>
  <c r="CE288" i="1"/>
  <c r="CD288" i="1"/>
  <c r="CC288" i="1"/>
  <c r="CE287" i="1"/>
  <c r="CD287" i="1"/>
  <c r="CC287" i="1"/>
  <c r="CE286" i="1"/>
  <c r="CD286" i="1"/>
  <c r="CC286" i="1"/>
  <c r="CE285" i="1"/>
  <c r="CD285" i="1"/>
  <c r="CC285" i="1"/>
  <c r="CE284" i="1"/>
  <c r="CD284" i="1"/>
  <c r="CC284" i="1"/>
  <c r="CE283" i="1"/>
  <c r="CD283" i="1"/>
  <c r="CC283" i="1"/>
  <c r="CE282" i="1"/>
  <c r="CD282" i="1"/>
  <c r="CC282" i="1"/>
  <c r="CE281" i="1"/>
  <c r="CD281" i="1"/>
  <c r="CC281" i="1"/>
  <c r="CE280" i="1"/>
  <c r="CD280" i="1"/>
  <c r="CC280" i="1"/>
  <c r="CE279" i="1"/>
  <c r="CD279" i="1"/>
  <c r="CC279" i="1"/>
  <c r="CE278" i="1"/>
  <c r="CD278" i="1"/>
  <c r="CC278" i="1"/>
  <c r="CE277" i="1"/>
  <c r="CD277" i="1"/>
  <c r="CC277" i="1"/>
  <c r="CE276" i="1"/>
  <c r="CD276" i="1"/>
  <c r="CC276" i="1"/>
  <c r="CE275" i="1"/>
  <c r="CD275" i="1"/>
  <c r="CC275" i="1"/>
  <c r="CE274" i="1"/>
  <c r="CD274" i="1"/>
  <c r="CC274" i="1"/>
  <c r="CE273" i="1"/>
  <c r="CD273" i="1"/>
  <c r="CC273" i="1"/>
  <c r="CE272" i="1"/>
  <c r="CD272" i="1"/>
  <c r="CC272" i="1"/>
  <c r="CE271" i="1"/>
  <c r="CD271" i="1"/>
  <c r="CC271" i="1"/>
  <c r="CE270" i="1"/>
  <c r="CD270" i="1"/>
  <c r="CC270" i="1"/>
  <c r="CE269" i="1"/>
  <c r="CD269" i="1"/>
  <c r="CC269" i="1"/>
  <c r="CE268" i="1"/>
  <c r="CD268" i="1"/>
  <c r="CC268" i="1"/>
  <c r="CE267" i="1"/>
  <c r="CD267" i="1"/>
  <c r="CC267" i="1"/>
  <c r="CE266" i="1"/>
  <c r="CD266" i="1"/>
  <c r="CC266" i="1"/>
  <c r="CE265" i="1"/>
  <c r="CD265" i="1"/>
  <c r="CC265" i="1"/>
  <c r="CE264" i="1"/>
  <c r="CD264" i="1"/>
  <c r="CC264" i="1"/>
  <c r="CE263" i="1"/>
  <c r="CD263" i="1"/>
  <c r="CC263" i="1"/>
  <c r="CE262" i="1"/>
  <c r="CD262" i="1"/>
  <c r="CC262" i="1"/>
  <c r="CE261" i="1"/>
  <c r="CD261" i="1"/>
  <c r="CC261" i="1"/>
  <c r="CE260" i="1"/>
  <c r="CD260" i="1"/>
  <c r="CC260" i="1"/>
  <c r="CE259" i="1"/>
  <c r="CD259" i="1"/>
  <c r="CC259" i="1"/>
  <c r="CE258" i="1"/>
  <c r="CD258" i="1"/>
  <c r="CC258" i="1"/>
  <c r="CE257" i="1"/>
  <c r="CD257" i="1"/>
  <c r="CC257" i="1"/>
  <c r="CE256" i="1"/>
  <c r="CD256" i="1"/>
  <c r="CC256" i="1"/>
  <c r="CE255" i="1"/>
  <c r="CD255" i="1"/>
  <c r="CC255" i="1"/>
  <c r="CE254" i="1"/>
  <c r="CD254" i="1"/>
  <c r="CC254" i="1"/>
  <c r="CE253" i="1"/>
  <c r="CD253" i="1"/>
  <c r="CC253" i="1"/>
  <c r="CE252" i="1"/>
  <c r="CD252" i="1"/>
  <c r="CC252" i="1"/>
  <c r="CE251" i="1"/>
  <c r="CD251" i="1"/>
  <c r="CC251" i="1"/>
  <c r="CE250" i="1"/>
  <c r="CD250" i="1"/>
  <c r="CC250" i="1"/>
  <c r="CE249" i="1"/>
  <c r="CD249" i="1"/>
  <c r="CC249" i="1"/>
  <c r="CE248" i="1"/>
  <c r="CD248" i="1"/>
  <c r="CC248" i="1"/>
  <c r="CE247" i="1"/>
  <c r="CD247" i="1"/>
  <c r="CC247" i="1"/>
  <c r="CE246" i="1"/>
  <c r="CD246" i="1"/>
  <c r="CC246" i="1"/>
  <c r="CE245" i="1"/>
  <c r="CD245" i="1"/>
  <c r="CC245" i="1"/>
  <c r="CE244" i="1"/>
  <c r="CD244" i="1"/>
  <c r="CC244" i="1"/>
  <c r="CE243" i="1"/>
  <c r="CD243" i="1"/>
  <c r="CC243" i="1"/>
  <c r="CE242" i="1"/>
  <c r="CD242" i="1"/>
  <c r="CC242" i="1"/>
  <c r="CE241" i="1"/>
  <c r="CD241" i="1"/>
  <c r="CC241" i="1"/>
  <c r="CE240" i="1"/>
  <c r="CD240" i="1"/>
  <c r="CC240" i="1"/>
  <c r="CE239" i="1"/>
  <c r="CD239" i="1"/>
  <c r="CC239" i="1"/>
  <c r="CE238" i="1"/>
  <c r="CD238" i="1"/>
  <c r="CC238" i="1"/>
  <c r="CE237" i="1"/>
  <c r="CD237" i="1"/>
  <c r="CC237" i="1"/>
  <c r="CE236" i="1"/>
  <c r="CD236" i="1"/>
  <c r="CC236" i="1"/>
  <c r="CE235" i="1"/>
  <c r="CD235" i="1"/>
  <c r="CC235" i="1"/>
  <c r="CE234" i="1"/>
  <c r="CD234" i="1"/>
  <c r="CC234" i="1"/>
  <c r="CE233" i="1"/>
  <c r="CD233" i="1"/>
  <c r="CC233" i="1"/>
  <c r="CE232" i="1"/>
  <c r="CD232" i="1"/>
  <c r="CC232" i="1"/>
  <c r="CE231" i="1"/>
  <c r="CD231" i="1"/>
  <c r="CC231" i="1"/>
  <c r="CE230" i="1"/>
  <c r="CD230" i="1"/>
  <c r="CC230" i="1"/>
  <c r="CE229" i="1"/>
  <c r="CD229" i="1"/>
  <c r="CC229" i="1"/>
  <c r="CE228" i="1"/>
  <c r="CD228" i="1"/>
  <c r="CC228" i="1"/>
  <c r="CE227" i="1"/>
  <c r="CD227" i="1"/>
  <c r="CC227" i="1"/>
  <c r="CE226" i="1"/>
  <c r="CD226" i="1"/>
  <c r="CC226" i="1"/>
  <c r="CE225" i="1"/>
  <c r="CD225" i="1"/>
  <c r="CC225" i="1"/>
  <c r="CE224" i="1"/>
  <c r="CD224" i="1"/>
  <c r="CC224" i="1"/>
  <c r="CE223" i="1"/>
  <c r="CD223" i="1"/>
  <c r="CC223" i="1"/>
  <c r="CE222" i="1"/>
  <c r="CD222" i="1"/>
  <c r="CC222" i="1"/>
  <c r="CE221" i="1"/>
  <c r="CD221" i="1"/>
  <c r="CC221" i="1"/>
  <c r="CE220" i="1"/>
  <c r="CD220" i="1"/>
  <c r="CC220" i="1"/>
  <c r="CE219" i="1"/>
  <c r="CD219" i="1"/>
  <c r="CC219" i="1"/>
  <c r="CE218" i="1"/>
  <c r="CD218" i="1"/>
  <c r="CC218" i="1"/>
  <c r="CE217" i="1"/>
  <c r="CD217" i="1"/>
  <c r="CC217" i="1"/>
  <c r="CE216" i="1"/>
  <c r="CD216" i="1"/>
  <c r="CC216" i="1"/>
  <c r="CE215" i="1"/>
  <c r="CD215" i="1"/>
  <c r="CC215" i="1"/>
  <c r="CE214" i="1"/>
  <c r="CD214" i="1"/>
  <c r="CC214" i="1"/>
  <c r="CE213" i="1"/>
  <c r="CD213" i="1"/>
  <c r="CC213" i="1"/>
  <c r="CE212" i="1"/>
  <c r="CD212" i="1"/>
  <c r="CC212" i="1"/>
  <c r="CE211" i="1"/>
  <c r="CD211" i="1"/>
  <c r="CC211" i="1"/>
  <c r="CE210" i="1"/>
  <c r="CD210" i="1"/>
  <c r="CC210" i="1"/>
  <c r="CE209" i="1"/>
  <c r="CD209" i="1"/>
  <c r="CC209" i="1"/>
  <c r="CE208" i="1"/>
  <c r="CD208" i="1"/>
  <c r="CC208" i="1"/>
  <c r="CE207" i="1"/>
  <c r="CD207" i="1"/>
  <c r="CC207" i="1"/>
  <c r="CE206" i="1"/>
  <c r="CD206" i="1"/>
  <c r="CC206" i="1"/>
  <c r="CE205" i="1"/>
  <c r="CD205" i="1"/>
  <c r="CC205" i="1"/>
  <c r="CE204" i="1"/>
  <c r="CD204" i="1"/>
  <c r="CC204" i="1"/>
  <c r="CE203" i="1"/>
  <c r="CD203" i="1"/>
  <c r="CC203" i="1"/>
  <c r="CE202" i="1"/>
  <c r="CD202" i="1"/>
  <c r="CC202" i="1"/>
  <c r="CE201" i="1"/>
  <c r="CD201" i="1"/>
  <c r="CC201" i="1"/>
  <c r="CE200" i="1"/>
  <c r="CD200" i="1"/>
  <c r="CC200" i="1"/>
  <c r="CE199" i="1"/>
  <c r="CD199" i="1"/>
  <c r="CC199" i="1"/>
  <c r="CE198" i="1"/>
  <c r="CD198" i="1"/>
  <c r="CC198" i="1"/>
  <c r="CE197" i="1"/>
  <c r="CD197" i="1"/>
  <c r="CC197" i="1"/>
  <c r="CE196" i="1"/>
  <c r="CD196" i="1"/>
  <c r="CC196" i="1"/>
  <c r="CE195" i="1"/>
  <c r="CD195" i="1"/>
  <c r="CC195" i="1"/>
  <c r="CE194" i="1"/>
  <c r="CD194" i="1"/>
  <c r="CC194" i="1"/>
  <c r="CE193" i="1"/>
  <c r="CD193" i="1"/>
  <c r="CC193" i="1"/>
  <c r="CE192" i="1"/>
  <c r="CD192" i="1"/>
  <c r="CC192" i="1"/>
  <c r="CE191" i="1"/>
  <c r="CD191" i="1"/>
  <c r="CC191" i="1"/>
  <c r="CE190" i="1"/>
  <c r="CD190" i="1"/>
  <c r="CC190" i="1"/>
  <c r="CE189" i="1"/>
  <c r="CD189" i="1"/>
  <c r="CC189" i="1"/>
  <c r="CE188" i="1"/>
  <c r="CD188" i="1"/>
  <c r="CC188" i="1"/>
  <c r="CE187" i="1"/>
  <c r="CD187" i="1"/>
  <c r="CC187" i="1"/>
  <c r="CE186" i="1"/>
  <c r="CD186" i="1"/>
  <c r="CC186" i="1"/>
  <c r="CE185" i="1"/>
  <c r="CD185" i="1"/>
  <c r="CC185" i="1"/>
  <c r="CE184" i="1"/>
  <c r="CD184" i="1"/>
  <c r="CC184" i="1"/>
  <c r="CE183" i="1"/>
  <c r="CD183" i="1"/>
  <c r="CC183" i="1"/>
  <c r="CE182" i="1"/>
  <c r="CD182" i="1"/>
  <c r="CC182" i="1"/>
  <c r="CB313" i="1"/>
  <c r="CB312" i="1"/>
  <c r="CB311" i="1"/>
  <c r="CB310" i="1"/>
  <c r="CB309" i="1"/>
  <c r="CB308" i="1"/>
  <c r="CB307" i="1"/>
  <c r="CB306" i="1"/>
  <c r="CB305" i="1"/>
  <c r="CB304" i="1"/>
  <c r="CB303" i="1"/>
  <c r="CB302" i="1"/>
  <c r="CB301" i="1"/>
  <c r="CB300" i="1"/>
  <c r="CB299" i="1"/>
  <c r="CB298" i="1"/>
  <c r="CB297" i="1"/>
  <c r="CB296" i="1"/>
  <c r="CB295" i="1"/>
  <c r="CB294" i="1"/>
  <c r="CB293" i="1"/>
  <c r="CB292" i="1"/>
  <c r="CB291" i="1"/>
  <c r="CB290" i="1"/>
  <c r="CB289" i="1"/>
  <c r="CB288" i="1"/>
  <c r="CB287" i="1"/>
  <c r="CB286" i="1"/>
  <c r="CB285" i="1"/>
  <c r="CB284" i="1"/>
  <c r="CB283" i="1"/>
  <c r="CB282" i="1"/>
  <c r="CB281" i="1"/>
  <c r="CB280" i="1"/>
  <c r="CB279" i="1"/>
  <c r="CB278" i="1"/>
  <c r="CB277" i="1"/>
  <c r="CB276" i="1"/>
  <c r="CB275" i="1"/>
  <c r="CB274" i="1"/>
  <c r="CB273" i="1"/>
  <c r="CB272" i="1"/>
  <c r="CB271" i="1"/>
  <c r="CB270" i="1"/>
  <c r="CB269" i="1"/>
  <c r="CB268" i="1"/>
  <c r="CB267" i="1"/>
  <c r="CB266" i="1"/>
  <c r="CB265" i="1"/>
  <c r="CB264" i="1"/>
  <c r="CB263" i="1"/>
  <c r="CB262" i="1"/>
  <c r="CB261" i="1"/>
  <c r="CB260" i="1"/>
  <c r="CB259" i="1"/>
  <c r="CB258" i="1"/>
  <c r="CB257" i="1"/>
  <c r="CB256" i="1"/>
  <c r="CB255" i="1"/>
  <c r="CB254" i="1"/>
  <c r="CB253" i="1"/>
  <c r="CB252" i="1"/>
  <c r="CB251" i="1"/>
  <c r="CB250" i="1"/>
  <c r="CB249" i="1"/>
  <c r="CB248" i="1"/>
  <c r="CB247" i="1"/>
  <c r="CB246" i="1"/>
  <c r="CB245" i="1"/>
  <c r="CB244" i="1"/>
  <c r="CB243" i="1"/>
  <c r="CB242" i="1"/>
  <c r="CB241" i="1"/>
  <c r="CB240" i="1"/>
  <c r="CB239" i="1"/>
  <c r="CB238" i="1"/>
  <c r="CB237" i="1"/>
  <c r="CB236" i="1"/>
  <c r="CB235" i="1"/>
  <c r="CB234" i="1"/>
  <c r="CB233" i="1"/>
  <c r="CB232" i="1"/>
  <c r="CB231" i="1"/>
  <c r="CB230" i="1"/>
  <c r="CB229" i="1"/>
  <c r="CB228" i="1"/>
  <c r="CB227" i="1"/>
  <c r="CB226" i="1"/>
  <c r="CB225" i="1"/>
  <c r="CB224" i="1"/>
  <c r="CB223" i="1"/>
  <c r="CB222" i="1"/>
  <c r="CB221" i="1"/>
  <c r="CB220" i="1"/>
  <c r="CB219" i="1"/>
  <c r="CB218" i="1"/>
  <c r="CB217" i="1"/>
  <c r="CB216" i="1"/>
  <c r="CB215" i="1"/>
  <c r="CB214" i="1"/>
  <c r="CB213" i="1"/>
  <c r="CB212" i="1"/>
  <c r="CB211" i="1"/>
  <c r="CB210" i="1"/>
  <c r="CB209" i="1"/>
  <c r="CB208" i="1"/>
  <c r="CB207" i="1"/>
  <c r="CB206" i="1"/>
  <c r="CB205" i="1"/>
  <c r="CB204" i="1"/>
  <c r="CB203" i="1"/>
  <c r="CB202" i="1"/>
  <c r="CB201" i="1"/>
  <c r="CB200" i="1"/>
  <c r="CB199" i="1"/>
  <c r="CB198" i="1"/>
  <c r="CB197" i="1"/>
  <c r="CB196" i="1"/>
  <c r="CB195" i="1"/>
  <c r="CB194" i="1"/>
  <c r="CB193" i="1"/>
  <c r="CB192" i="1"/>
  <c r="CB191" i="1"/>
  <c r="CB190" i="1"/>
  <c r="CB189" i="1"/>
  <c r="CB188" i="1"/>
  <c r="CB187" i="1"/>
  <c r="CB186" i="1"/>
  <c r="CB185" i="1"/>
  <c r="CB184" i="1"/>
  <c r="CB183" i="1"/>
  <c r="CB182" i="1"/>
  <c r="CA313" i="1"/>
  <c r="CA312" i="1"/>
  <c r="CA311" i="1"/>
  <c r="CA310" i="1"/>
  <c r="CA309" i="1"/>
  <c r="CA308" i="1"/>
  <c r="CA307" i="1"/>
  <c r="CA306" i="1"/>
  <c r="CA305" i="1"/>
  <c r="CA304" i="1"/>
  <c r="CA303" i="1"/>
  <c r="CA302" i="1"/>
  <c r="CA301" i="1"/>
  <c r="CA300" i="1"/>
  <c r="CA299" i="1"/>
  <c r="CA298" i="1"/>
  <c r="CA297" i="1"/>
  <c r="CA296" i="1"/>
  <c r="CA295" i="1"/>
  <c r="CA294" i="1"/>
  <c r="CA293" i="1"/>
  <c r="CA292" i="1"/>
  <c r="CA291" i="1"/>
  <c r="CA290" i="1"/>
  <c r="CA289" i="1"/>
  <c r="CA288" i="1"/>
  <c r="CA287" i="1"/>
  <c r="CA286" i="1"/>
  <c r="CA285" i="1"/>
  <c r="CA284" i="1"/>
  <c r="CA283" i="1"/>
  <c r="CA282" i="1"/>
  <c r="CA281" i="1"/>
  <c r="CA280" i="1"/>
  <c r="CA279" i="1"/>
  <c r="CA278" i="1"/>
  <c r="CA277" i="1"/>
  <c r="CA276" i="1"/>
  <c r="CA275" i="1"/>
  <c r="CA274" i="1"/>
  <c r="CA273" i="1"/>
  <c r="CA272" i="1"/>
  <c r="CA271" i="1"/>
  <c r="CA270" i="1"/>
  <c r="CA269" i="1"/>
  <c r="CA268" i="1"/>
  <c r="CA267" i="1"/>
  <c r="CA266" i="1"/>
  <c r="CA265" i="1"/>
  <c r="CA264" i="1"/>
  <c r="CA263" i="1"/>
  <c r="CA262" i="1"/>
  <c r="CA261" i="1"/>
  <c r="CA260" i="1"/>
  <c r="CA259" i="1"/>
  <c r="CA258" i="1"/>
  <c r="CA257" i="1"/>
  <c r="CA256" i="1"/>
  <c r="CA255" i="1"/>
  <c r="CA254" i="1"/>
  <c r="CA253" i="1"/>
  <c r="CA252" i="1"/>
  <c r="CA251" i="1"/>
  <c r="CA250" i="1"/>
  <c r="CA249" i="1"/>
  <c r="CA248" i="1"/>
  <c r="CA247" i="1"/>
  <c r="CA246" i="1"/>
  <c r="CA245" i="1"/>
  <c r="CA244" i="1"/>
  <c r="CA243" i="1"/>
  <c r="CA242" i="1"/>
  <c r="CA241" i="1"/>
  <c r="CA240" i="1"/>
  <c r="CA239" i="1"/>
  <c r="CA238" i="1"/>
  <c r="CA237" i="1"/>
  <c r="CA236" i="1"/>
  <c r="CA235" i="1"/>
  <c r="CA234" i="1"/>
  <c r="CA233" i="1"/>
  <c r="CA232" i="1"/>
  <c r="CA231" i="1"/>
  <c r="CA230" i="1"/>
  <c r="CA229" i="1"/>
  <c r="CA228" i="1"/>
  <c r="CA227" i="1"/>
  <c r="CA226" i="1"/>
  <c r="CA225" i="1"/>
  <c r="CA224" i="1"/>
  <c r="CA223" i="1"/>
  <c r="CA222" i="1"/>
  <c r="CA221" i="1"/>
  <c r="CA220" i="1"/>
  <c r="CA219" i="1"/>
  <c r="CA218" i="1"/>
  <c r="CA217" i="1"/>
  <c r="CA216" i="1"/>
  <c r="CA215" i="1"/>
  <c r="CA214" i="1"/>
  <c r="CA213" i="1"/>
  <c r="CA212" i="1"/>
  <c r="CA211" i="1"/>
  <c r="CA210" i="1"/>
  <c r="CA209" i="1"/>
  <c r="CA208" i="1"/>
  <c r="CA207" i="1"/>
  <c r="CA206" i="1"/>
  <c r="CA205" i="1"/>
  <c r="CA204" i="1"/>
  <c r="CA203" i="1"/>
  <c r="CA202" i="1"/>
  <c r="CA201" i="1"/>
  <c r="CA200" i="1"/>
  <c r="CA199" i="1"/>
  <c r="CA198" i="1"/>
  <c r="CA197" i="1"/>
  <c r="CA196" i="1"/>
  <c r="CA195" i="1"/>
  <c r="CA194" i="1"/>
  <c r="CA193" i="1"/>
  <c r="CA192" i="1"/>
  <c r="CA191" i="1"/>
  <c r="CA190" i="1"/>
  <c r="CA189" i="1"/>
  <c r="CA188" i="1"/>
  <c r="CA187" i="1"/>
  <c r="CA186" i="1"/>
  <c r="CA185" i="1"/>
  <c r="CA184" i="1"/>
  <c r="CA183" i="1"/>
  <c r="CA182" i="1"/>
  <c r="BZ313" i="1"/>
  <c r="BZ312" i="1"/>
  <c r="BZ311" i="1"/>
  <c r="BZ310" i="1"/>
  <c r="BZ309" i="1"/>
  <c r="BZ308" i="1"/>
  <c r="BZ307" i="1"/>
  <c r="BZ306" i="1"/>
  <c r="BZ305" i="1"/>
  <c r="BZ304" i="1"/>
  <c r="BZ303" i="1"/>
  <c r="BZ302" i="1"/>
  <c r="BZ301" i="1"/>
  <c r="BZ300" i="1"/>
  <c r="BZ299" i="1"/>
  <c r="BZ298" i="1"/>
  <c r="BZ297" i="1"/>
  <c r="BZ296" i="1"/>
  <c r="BZ295" i="1"/>
  <c r="BZ294" i="1"/>
  <c r="BZ293" i="1"/>
  <c r="BZ292" i="1"/>
  <c r="BZ291" i="1"/>
  <c r="BZ290" i="1"/>
  <c r="BZ289" i="1"/>
  <c r="BZ288" i="1"/>
  <c r="BZ287" i="1"/>
  <c r="BZ286" i="1"/>
  <c r="BZ285" i="1"/>
  <c r="BZ284" i="1"/>
  <c r="BZ283" i="1"/>
  <c r="BZ282" i="1"/>
  <c r="BZ281" i="1"/>
  <c r="BZ280" i="1"/>
  <c r="BZ279" i="1"/>
  <c r="BZ278" i="1"/>
  <c r="BZ277" i="1"/>
  <c r="BZ276" i="1"/>
  <c r="BZ275" i="1"/>
  <c r="BZ274" i="1"/>
  <c r="BZ273" i="1"/>
  <c r="BZ272" i="1"/>
  <c r="BZ271" i="1"/>
  <c r="BZ270" i="1"/>
  <c r="BZ269" i="1"/>
  <c r="BZ268" i="1"/>
  <c r="BZ267" i="1"/>
  <c r="BZ266" i="1"/>
  <c r="BZ265" i="1"/>
  <c r="BZ264" i="1"/>
  <c r="BZ263" i="1"/>
  <c r="BZ262" i="1"/>
  <c r="BZ261" i="1"/>
  <c r="BZ260" i="1"/>
  <c r="BZ259" i="1"/>
  <c r="BZ258" i="1"/>
  <c r="BZ257" i="1"/>
  <c r="BZ256" i="1"/>
  <c r="BZ255" i="1"/>
  <c r="BZ254" i="1"/>
  <c r="BZ253" i="1"/>
  <c r="BZ252" i="1"/>
  <c r="BZ251" i="1"/>
  <c r="BZ250" i="1"/>
  <c r="BZ249" i="1"/>
  <c r="BZ248" i="1"/>
  <c r="BZ247" i="1"/>
  <c r="BZ246" i="1"/>
  <c r="BZ245" i="1"/>
  <c r="BZ244" i="1"/>
  <c r="BZ243" i="1"/>
  <c r="BZ242" i="1"/>
  <c r="BZ241" i="1"/>
  <c r="BZ240" i="1"/>
  <c r="BZ239" i="1"/>
  <c r="BZ238" i="1"/>
  <c r="BZ237" i="1"/>
  <c r="BZ236" i="1"/>
  <c r="BZ235" i="1"/>
  <c r="BZ234" i="1"/>
  <c r="BZ233" i="1"/>
  <c r="BZ232" i="1"/>
  <c r="BZ231" i="1"/>
  <c r="BZ230" i="1"/>
  <c r="BZ229" i="1"/>
  <c r="BZ228" i="1"/>
  <c r="BZ227" i="1"/>
  <c r="BZ226" i="1"/>
  <c r="BZ225" i="1"/>
  <c r="BZ224" i="1"/>
  <c r="BZ223" i="1"/>
  <c r="BZ222" i="1"/>
  <c r="BZ221" i="1"/>
  <c r="BZ220" i="1"/>
  <c r="BZ219" i="1"/>
  <c r="BZ218" i="1"/>
  <c r="BZ217" i="1"/>
  <c r="BZ216" i="1"/>
  <c r="BZ215" i="1"/>
  <c r="BZ214" i="1"/>
  <c r="BZ213" i="1"/>
  <c r="BZ212" i="1"/>
  <c r="BZ211" i="1"/>
  <c r="BZ210" i="1"/>
  <c r="BZ209" i="1"/>
  <c r="BZ208" i="1"/>
  <c r="BZ207" i="1"/>
  <c r="BZ206" i="1"/>
  <c r="BZ205" i="1"/>
  <c r="BZ204" i="1"/>
  <c r="BZ203" i="1"/>
  <c r="BZ202" i="1"/>
  <c r="BZ201" i="1"/>
  <c r="BZ200" i="1"/>
  <c r="BZ199" i="1"/>
  <c r="BZ198" i="1"/>
  <c r="BZ197" i="1"/>
  <c r="BZ196" i="1"/>
  <c r="BZ195" i="1"/>
  <c r="BZ194" i="1"/>
  <c r="BZ193" i="1"/>
  <c r="BZ192" i="1"/>
  <c r="BZ191" i="1"/>
  <c r="BZ190" i="1"/>
  <c r="BZ189" i="1"/>
  <c r="BZ188" i="1"/>
  <c r="BZ187" i="1"/>
  <c r="BZ186" i="1"/>
  <c r="BZ185" i="1"/>
  <c r="BZ184" i="1"/>
  <c r="BZ183" i="1"/>
  <c r="BZ182" i="1"/>
  <c r="BY313" i="1"/>
  <c r="BY312" i="1"/>
  <c r="BY311" i="1"/>
  <c r="BY310" i="1"/>
  <c r="BY309" i="1"/>
  <c r="BY308" i="1"/>
  <c r="BY307" i="1"/>
  <c r="BY306" i="1"/>
  <c r="BY305" i="1"/>
  <c r="BY304" i="1"/>
  <c r="BY303" i="1"/>
  <c r="BY302" i="1"/>
  <c r="BY301" i="1"/>
  <c r="BY300" i="1"/>
  <c r="BY299" i="1"/>
  <c r="BY298" i="1"/>
  <c r="BY297" i="1"/>
  <c r="BY296" i="1"/>
  <c r="BY295" i="1"/>
  <c r="BY294" i="1"/>
  <c r="BY293" i="1"/>
  <c r="BY292" i="1"/>
  <c r="BY291" i="1"/>
  <c r="BY290" i="1"/>
  <c r="BY289" i="1"/>
  <c r="BY288" i="1"/>
  <c r="BY287" i="1"/>
  <c r="BY286" i="1"/>
  <c r="BY285" i="1"/>
  <c r="BY284" i="1"/>
  <c r="BY283" i="1"/>
  <c r="BY282" i="1"/>
  <c r="BY281" i="1"/>
  <c r="BY280" i="1"/>
  <c r="BY279" i="1"/>
  <c r="BY278" i="1"/>
  <c r="BY277" i="1"/>
  <c r="BY276" i="1"/>
  <c r="BY275" i="1"/>
  <c r="BY274" i="1"/>
  <c r="BY273" i="1"/>
  <c r="BY272" i="1"/>
  <c r="BY271" i="1"/>
  <c r="BY270" i="1"/>
  <c r="BY269" i="1"/>
  <c r="BY268" i="1"/>
  <c r="BY267" i="1"/>
  <c r="BY266" i="1"/>
  <c r="BY265" i="1"/>
  <c r="BY264" i="1"/>
  <c r="BY263" i="1"/>
  <c r="BY262" i="1"/>
  <c r="BY261" i="1"/>
  <c r="BY260" i="1"/>
  <c r="BY259" i="1"/>
  <c r="BY258" i="1"/>
  <c r="BY257" i="1"/>
  <c r="BY256" i="1"/>
  <c r="BY255" i="1"/>
  <c r="BY254" i="1"/>
  <c r="BY253" i="1"/>
  <c r="BY252" i="1"/>
  <c r="BY251" i="1"/>
  <c r="BY250" i="1"/>
  <c r="BY249" i="1"/>
  <c r="BY248" i="1"/>
  <c r="BY247" i="1"/>
  <c r="BY246" i="1"/>
  <c r="BY245" i="1"/>
  <c r="BY244" i="1"/>
  <c r="BY243" i="1"/>
  <c r="BY242" i="1"/>
  <c r="BY241" i="1"/>
  <c r="BY240" i="1"/>
  <c r="BY239" i="1"/>
  <c r="BY238" i="1"/>
  <c r="BY237" i="1"/>
  <c r="BY236" i="1"/>
  <c r="BY235" i="1"/>
  <c r="BY234" i="1"/>
  <c r="BY233" i="1"/>
  <c r="BY232" i="1"/>
  <c r="BY231" i="1"/>
  <c r="BY230" i="1"/>
  <c r="BY229" i="1"/>
  <c r="BY228" i="1"/>
  <c r="BY227" i="1"/>
  <c r="BY226" i="1"/>
  <c r="BY225" i="1"/>
  <c r="BY224" i="1"/>
  <c r="BY223" i="1"/>
  <c r="BY222" i="1"/>
  <c r="BY221" i="1"/>
  <c r="BY220" i="1"/>
  <c r="BY219" i="1"/>
  <c r="BY218" i="1"/>
  <c r="BY217" i="1"/>
  <c r="BY216" i="1"/>
  <c r="BY215" i="1"/>
  <c r="BY214" i="1"/>
  <c r="BY213" i="1"/>
  <c r="BY212" i="1"/>
  <c r="BY211" i="1"/>
  <c r="BY210" i="1"/>
  <c r="BY209" i="1"/>
  <c r="BY208" i="1"/>
  <c r="BY207" i="1"/>
  <c r="BY206" i="1"/>
  <c r="BY205" i="1"/>
  <c r="BY204" i="1"/>
  <c r="BY203" i="1"/>
  <c r="BY202" i="1"/>
  <c r="BY201" i="1"/>
  <c r="BY200" i="1"/>
  <c r="BY199" i="1"/>
  <c r="BY198" i="1"/>
  <c r="BY197" i="1"/>
  <c r="BY196" i="1"/>
  <c r="BY195" i="1"/>
  <c r="BY194" i="1"/>
  <c r="BY193" i="1"/>
  <c r="BY192" i="1"/>
  <c r="BY191" i="1"/>
  <c r="BY190" i="1"/>
  <c r="BY189" i="1"/>
  <c r="BY188" i="1"/>
  <c r="BY187" i="1"/>
  <c r="BY186" i="1"/>
  <c r="BY185" i="1"/>
  <c r="BY184" i="1"/>
  <c r="BY183" i="1"/>
  <c r="BY182" i="1"/>
  <c r="BX313" i="1"/>
  <c r="BX312" i="1"/>
  <c r="BX311" i="1"/>
  <c r="BX310" i="1"/>
  <c r="BX309" i="1"/>
  <c r="BX308" i="1"/>
  <c r="BX307" i="1"/>
  <c r="BX306" i="1"/>
  <c r="BX305" i="1"/>
  <c r="BX304" i="1"/>
  <c r="BX303" i="1"/>
  <c r="BX302" i="1"/>
  <c r="BX301" i="1"/>
  <c r="BX300" i="1"/>
  <c r="BX299" i="1"/>
  <c r="BX298" i="1"/>
  <c r="BX297" i="1"/>
  <c r="BX296" i="1"/>
  <c r="BX295" i="1"/>
  <c r="BX294" i="1"/>
  <c r="BX293" i="1"/>
  <c r="BX292" i="1"/>
  <c r="BX291" i="1"/>
  <c r="BX290" i="1"/>
  <c r="BX289" i="1"/>
  <c r="BX288" i="1"/>
  <c r="BX287" i="1"/>
  <c r="BX286" i="1"/>
  <c r="BX285" i="1"/>
  <c r="BX284" i="1"/>
  <c r="BX283" i="1"/>
  <c r="BX282" i="1"/>
  <c r="BX281" i="1"/>
  <c r="BX280" i="1"/>
  <c r="BX279" i="1"/>
  <c r="BX278" i="1"/>
  <c r="BX277" i="1"/>
  <c r="BX276" i="1"/>
  <c r="BX275" i="1"/>
  <c r="BX274" i="1"/>
  <c r="BX273" i="1"/>
  <c r="BX272" i="1"/>
  <c r="BX271" i="1"/>
  <c r="BX270" i="1"/>
  <c r="BX269" i="1"/>
  <c r="BX268" i="1"/>
  <c r="BX267" i="1"/>
  <c r="BX266" i="1"/>
  <c r="BX265" i="1"/>
  <c r="BX264" i="1"/>
  <c r="BX263" i="1"/>
  <c r="BX262" i="1"/>
  <c r="BX261" i="1"/>
  <c r="BX260" i="1"/>
  <c r="BX259" i="1"/>
  <c r="BX258" i="1"/>
  <c r="BX257" i="1"/>
  <c r="BX256" i="1"/>
  <c r="BX255" i="1"/>
  <c r="BX254" i="1"/>
  <c r="BX253" i="1"/>
  <c r="BX252" i="1"/>
  <c r="BX251" i="1"/>
  <c r="BX250" i="1"/>
  <c r="BX249" i="1"/>
  <c r="BX248" i="1"/>
  <c r="BX247" i="1"/>
  <c r="BX246" i="1"/>
  <c r="BX245" i="1"/>
  <c r="BX244" i="1"/>
  <c r="BX243" i="1"/>
  <c r="BX242" i="1"/>
  <c r="BX241" i="1"/>
  <c r="BX240" i="1"/>
  <c r="BX239" i="1"/>
  <c r="BX238" i="1"/>
  <c r="BX237" i="1"/>
  <c r="BX236" i="1"/>
  <c r="BX235" i="1"/>
  <c r="BX234" i="1"/>
  <c r="BX233" i="1"/>
  <c r="BX232" i="1"/>
  <c r="BX231" i="1"/>
  <c r="BX230" i="1"/>
  <c r="BX229" i="1"/>
  <c r="BX228" i="1"/>
  <c r="BX227" i="1"/>
  <c r="BX226" i="1"/>
  <c r="BX225" i="1"/>
  <c r="BX224" i="1"/>
  <c r="BX223" i="1"/>
  <c r="BX222" i="1"/>
  <c r="BX221" i="1"/>
  <c r="BX220" i="1"/>
  <c r="BX219" i="1"/>
  <c r="BX218" i="1"/>
  <c r="BX217" i="1"/>
  <c r="BX216" i="1"/>
  <c r="BX215" i="1"/>
  <c r="BX214" i="1"/>
  <c r="BX213" i="1"/>
  <c r="BX212" i="1"/>
  <c r="BX211" i="1"/>
  <c r="BX210" i="1"/>
  <c r="BX209" i="1"/>
  <c r="BX208" i="1"/>
  <c r="BX207" i="1"/>
  <c r="BX206" i="1"/>
  <c r="BX205" i="1"/>
  <c r="BX204" i="1"/>
  <c r="BX203" i="1"/>
  <c r="BX202" i="1"/>
  <c r="BX201" i="1"/>
  <c r="BX200" i="1"/>
  <c r="BX199" i="1"/>
  <c r="BX198" i="1"/>
  <c r="BX197" i="1"/>
  <c r="BX196" i="1"/>
  <c r="BX195" i="1"/>
  <c r="BX194" i="1"/>
  <c r="BX193" i="1"/>
  <c r="BX192" i="1"/>
  <c r="BX191" i="1"/>
  <c r="BX190" i="1"/>
  <c r="BX189" i="1"/>
  <c r="BX188" i="1"/>
  <c r="BX187" i="1"/>
  <c r="BX186" i="1"/>
  <c r="BX185" i="1"/>
  <c r="BX184" i="1"/>
  <c r="BX183" i="1"/>
  <c r="BX182" i="1"/>
  <c r="BW313" i="1" a="1"/>
  <c r="BW313" i="1" s="1"/>
  <c r="BW312" i="1" a="1"/>
  <c r="BW312" i="1" s="1"/>
  <c r="BW311" i="1" a="1"/>
  <c r="BW311" i="1" s="1"/>
  <c r="BW310" i="1" a="1"/>
  <c r="BW310" i="1" s="1"/>
  <c r="BW309" i="1" a="1"/>
  <c r="BW309" i="1" s="1"/>
  <c r="BW308" i="1" a="1"/>
  <c r="BW308" i="1" s="1"/>
  <c r="BW307" i="1" a="1"/>
  <c r="BW307" i="1" s="1"/>
  <c r="BW306" i="1" a="1"/>
  <c r="BW306" i="1" s="1"/>
  <c r="BW305" i="1" a="1"/>
  <c r="BW305" i="1" s="1"/>
  <c r="BW304" i="1" a="1"/>
  <c r="BW304" i="1" s="1"/>
  <c r="BW303" i="1" a="1"/>
  <c r="BW303" i="1" s="1"/>
  <c r="BW302" i="1" a="1"/>
  <c r="BW302" i="1" s="1"/>
  <c r="BW301" i="1" a="1"/>
  <c r="BW301" i="1" s="1"/>
  <c r="BW300" i="1" a="1"/>
  <c r="BW300" i="1" s="1"/>
  <c r="BW299" i="1" a="1"/>
  <c r="BW299" i="1" s="1"/>
  <c r="BW298" i="1" a="1"/>
  <c r="BW298" i="1" s="1"/>
  <c r="BW297" i="1" a="1"/>
  <c r="BW297" i="1" s="1"/>
  <c r="BW296" i="1" a="1"/>
  <c r="BW296" i="1" s="1"/>
  <c r="BW295" i="1" a="1"/>
  <c r="BW295" i="1" s="1"/>
  <c r="BW294" i="1" a="1"/>
  <c r="BW294" i="1" s="1"/>
  <c r="BW293" i="1" a="1"/>
  <c r="BW293" i="1" s="1"/>
  <c r="BW292" i="1" a="1"/>
  <c r="BW292" i="1" s="1"/>
  <c r="BW291" i="1" a="1"/>
  <c r="BW291" i="1" s="1"/>
  <c r="BW290" i="1" a="1"/>
  <c r="BW290" i="1" s="1"/>
  <c r="BW289" i="1" a="1"/>
  <c r="BW289" i="1" s="1"/>
  <c r="BW288" i="1" a="1"/>
  <c r="BW288" i="1" s="1"/>
  <c r="BW287" i="1" a="1"/>
  <c r="BW287" i="1" s="1"/>
  <c r="BW286" i="1" a="1"/>
  <c r="BW286" i="1" s="1"/>
  <c r="BW285" i="1" a="1"/>
  <c r="BW285" i="1" s="1"/>
  <c r="BW284" i="1" a="1"/>
  <c r="BW284" i="1" s="1"/>
  <c r="BW283" i="1" a="1"/>
  <c r="BW283" i="1" s="1"/>
  <c r="BW282" i="1" a="1"/>
  <c r="BW282" i="1" s="1"/>
  <c r="BW281" i="1" a="1"/>
  <c r="BW281" i="1" s="1"/>
  <c r="BW280" i="1" a="1"/>
  <c r="BW280" i="1" s="1"/>
  <c r="BW279" i="1" a="1"/>
  <c r="BW279" i="1" s="1"/>
  <c r="BW278" i="1" a="1"/>
  <c r="BW278" i="1" s="1"/>
  <c r="BW277" i="1" a="1"/>
  <c r="BW277" i="1" s="1"/>
  <c r="BW276" i="1" a="1"/>
  <c r="BW276" i="1" s="1"/>
  <c r="BW275" i="1" a="1"/>
  <c r="BW275" i="1" s="1"/>
  <c r="BW274" i="1" a="1"/>
  <c r="BW274" i="1" s="1"/>
  <c r="BW273" i="1" a="1"/>
  <c r="BW273" i="1" s="1"/>
  <c r="BW272" i="1" a="1"/>
  <c r="BW272" i="1" s="1"/>
  <c r="BW271" i="1" a="1"/>
  <c r="BW271" i="1" s="1"/>
  <c r="BW270" i="1" a="1"/>
  <c r="BW270" i="1" s="1"/>
  <c r="BW269" i="1" a="1"/>
  <c r="BW269" i="1" s="1"/>
  <c r="BW268" i="1" a="1"/>
  <c r="BW268" i="1" s="1"/>
  <c r="BW267" i="1" a="1"/>
  <c r="BW267" i="1" s="1"/>
  <c r="BW266" i="1" a="1"/>
  <c r="BW266" i="1" s="1"/>
  <c r="BW265" i="1" a="1"/>
  <c r="BW265" i="1" s="1"/>
  <c r="BW264" i="1" a="1"/>
  <c r="BW264" i="1" s="1"/>
  <c r="BW263" i="1" a="1"/>
  <c r="BW263" i="1" s="1"/>
  <c r="BW262" i="1" a="1"/>
  <c r="BW262" i="1" s="1"/>
  <c r="BW261" i="1" a="1"/>
  <c r="BW261" i="1" s="1"/>
  <c r="BW260" i="1" a="1"/>
  <c r="BW260" i="1" s="1"/>
  <c r="BW259" i="1" a="1"/>
  <c r="BW259" i="1" s="1"/>
  <c r="BW258" i="1" a="1"/>
  <c r="BW258" i="1" s="1"/>
  <c r="BW257" i="1" a="1"/>
  <c r="BW257" i="1" s="1"/>
  <c r="BW256" i="1" a="1"/>
  <c r="BW256" i="1" s="1"/>
  <c r="BW255" i="1" a="1"/>
  <c r="BW255" i="1" s="1"/>
  <c r="BW254" i="1" a="1"/>
  <c r="BW254" i="1" s="1"/>
  <c r="BW253" i="1" a="1"/>
  <c r="BW253" i="1" s="1"/>
  <c r="BW252" i="1" a="1"/>
  <c r="BW252" i="1" s="1"/>
  <c r="BW251" i="1" a="1"/>
  <c r="BW251" i="1" s="1"/>
  <c r="BW250" i="1" a="1"/>
  <c r="BW250" i="1" s="1"/>
  <c r="BW249" i="1" a="1"/>
  <c r="BW249" i="1" s="1"/>
  <c r="BW248" i="1" a="1"/>
  <c r="BW248" i="1" s="1"/>
  <c r="BW247" i="1" a="1"/>
  <c r="BW247" i="1" s="1"/>
  <c r="BW246" i="1" a="1"/>
  <c r="BW246" i="1" s="1"/>
  <c r="BW245" i="1" a="1"/>
  <c r="BW245" i="1" s="1"/>
  <c r="BW244" i="1" a="1"/>
  <c r="BW244" i="1" s="1"/>
  <c r="BW243" i="1" a="1"/>
  <c r="BW243" i="1" s="1"/>
  <c r="BW242" i="1" a="1"/>
  <c r="BW242" i="1" s="1"/>
  <c r="BW241" i="1" a="1"/>
  <c r="BW241" i="1" s="1"/>
  <c r="BW240" i="1" a="1"/>
  <c r="BW240" i="1" s="1"/>
  <c r="BW239" i="1" a="1"/>
  <c r="BW239" i="1" s="1"/>
  <c r="BW238" i="1" a="1"/>
  <c r="BW238" i="1" s="1"/>
  <c r="BW237" i="1" a="1"/>
  <c r="BW237" i="1" s="1"/>
  <c r="BW236" i="1" a="1"/>
  <c r="BW236" i="1" s="1"/>
  <c r="BW235" i="1" a="1"/>
  <c r="BW235" i="1" s="1"/>
  <c r="BW234" i="1" a="1"/>
  <c r="BW234" i="1" s="1"/>
  <c r="BW233" i="1" a="1"/>
  <c r="BW233" i="1" s="1"/>
  <c r="BW232" i="1" a="1"/>
  <c r="BW232" i="1" s="1"/>
  <c r="BW231" i="1" a="1"/>
  <c r="BW231" i="1" s="1"/>
  <c r="BW230" i="1" a="1"/>
  <c r="BW230" i="1" s="1"/>
  <c r="BW229" i="1" a="1"/>
  <c r="BW229" i="1" s="1"/>
  <c r="BW228" i="1" a="1"/>
  <c r="BW228" i="1" s="1"/>
  <c r="BW227" i="1" a="1"/>
  <c r="BW227" i="1" s="1"/>
  <c r="BW226" i="1" a="1"/>
  <c r="BW226" i="1" s="1"/>
  <c r="BW225" i="1" a="1"/>
  <c r="BW225" i="1" s="1"/>
  <c r="BW224" i="1" a="1"/>
  <c r="BW224" i="1" s="1"/>
  <c r="BW223" i="1" a="1"/>
  <c r="BW223" i="1" s="1"/>
  <c r="BW222" i="1" a="1"/>
  <c r="BW222" i="1" s="1"/>
  <c r="BW221" i="1" a="1"/>
  <c r="BW221" i="1" s="1"/>
  <c r="BW220" i="1" a="1"/>
  <c r="BW220" i="1" s="1"/>
  <c r="BW219" i="1" a="1"/>
  <c r="BW219" i="1" s="1"/>
  <c r="BW218" i="1" a="1"/>
  <c r="BW218" i="1" s="1"/>
  <c r="BW217" i="1" a="1"/>
  <c r="BW217" i="1" s="1"/>
  <c r="BW216" i="1" a="1"/>
  <c r="BW216" i="1" s="1"/>
  <c r="BW215" i="1" a="1"/>
  <c r="BW215" i="1" s="1"/>
  <c r="BW214" i="1" a="1"/>
  <c r="BW214" i="1" s="1"/>
  <c r="BW213" i="1" a="1"/>
  <c r="BW213" i="1" s="1"/>
  <c r="BW212" i="1" a="1"/>
  <c r="BW212" i="1" s="1"/>
  <c r="BW211" i="1" a="1"/>
  <c r="BW211" i="1" s="1"/>
  <c r="BW210" i="1" a="1"/>
  <c r="BW210" i="1" s="1"/>
  <c r="BW209" i="1" a="1"/>
  <c r="BW209" i="1" s="1"/>
  <c r="BW208" i="1" a="1"/>
  <c r="BW208" i="1" s="1"/>
  <c r="BW207" i="1" a="1"/>
  <c r="BW207" i="1" s="1"/>
  <c r="BW206" i="1" a="1"/>
  <c r="BW206" i="1" s="1"/>
  <c r="BW205" i="1" a="1"/>
  <c r="BW205" i="1" s="1"/>
  <c r="BW204" i="1" a="1"/>
  <c r="BW204" i="1" s="1"/>
  <c r="BW203" i="1" a="1"/>
  <c r="BW203" i="1" s="1"/>
  <c r="BW202" i="1" a="1"/>
  <c r="BW202" i="1" s="1"/>
  <c r="BW201" i="1" a="1"/>
  <c r="BW201" i="1" s="1"/>
  <c r="BW200" i="1" a="1"/>
  <c r="BW200" i="1" s="1"/>
  <c r="BW199" i="1" a="1"/>
  <c r="BW199" i="1" s="1"/>
  <c r="BW198" i="1" a="1"/>
  <c r="BW198" i="1" s="1"/>
  <c r="BW197" i="1" a="1"/>
  <c r="BW197" i="1" s="1"/>
  <c r="BW196" i="1" a="1"/>
  <c r="BW196" i="1" s="1"/>
  <c r="BW195" i="1" a="1"/>
  <c r="BW195" i="1" s="1"/>
  <c r="BW194" i="1" a="1"/>
  <c r="BW194" i="1" s="1"/>
  <c r="BW193" i="1" a="1"/>
  <c r="BW193" i="1" s="1"/>
  <c r="BW192" i="1" a="1"/>
  <c r="BW192" i="1" s="1"/>
  <c r="BW191" i="1" a="1"/>
  <c r="BW191" i="1" s="1"/>
  <c r="BW190" i="1" a="1"/>
  <c r="BW190" i="1" s="1"/>
  <c r="BW189" i="1" a="1"/>
  <c r="BW189" i="1" s="1"/>
  <c r="BW188" i="1" a="1"/>
  <c r="BW188" i="1" s="1"/>
  <c r="BW187" i="1" a="1"/>
  <c r="BW187" i="1" s="1"/>
  <c r="BW186" i="1" a="1"/>
  <c r="BW186" i="1" s="1"/>
  <c r="BW185" i="1" a="1"/>
  <c r="BW185" i="1" s="1"/>
  <c r="BW184" i="1" a="1"/>
  <c r="BW184" i="1" s="1"/>
  <c r="BW183" i="1" a="1"/>
  <c r="BW183" i="1" s="1"/>
  <c r="BW182" i="1" a="1"/>
  <c r="BW182" i="1" s="1"/>
  <c r="BT313" i="1" a="1"/>
  <c r="BT313" i="1" s="1"/>
  <c r="BT312" i="1" a="1"/>
  <c r="BT312" i="1" s="1"/>
  <c r="BT311" i="1" a="1"/>
  <c r="BT311" i="1" s="1"/>
  <c r="BT310" i="1" a="1"/>
  <c r="BT310" i="1" s="1"/>
  <c r="BT309" i="1" a="1"/>
  <c r="BT309" i="1" s="1"/>
  <c r="BT308" i="1" a="1"/>
  <c r="BT308" i="1" s="1"/>
  <c r="BT307" i="1" a="1"/>
  <c r="BT307" i="1" s="1"/>
  <c r="BT306" i="1" a="1"/>
  <c r="BT306" i="1" s="1"/>
  <c r="BT305" i="1" a="1"/>
  <c r="BT305" i="1" s="1"/>
  <c r="BT304" i="1" a="1"/>
  <c r="BT304" i="1" s="1"/>
  <c r="BT303" i="1" a="1"/>
  <c r="BT303" i="1" s="1"/>
  <c r="BT302" i="1" a="1"/>
  <c r="BT302" i="1" s="1"/>
  <c r="BT301" i="1" a="1"/>
  <c r="BT301" i="1" s="1"/>
  <c r="BT300" i="1" a="1"/>
  <c r="BT300" i="1" s="1"/>
  <c r="BT299" i="1" a="1"/>
  <c r="BT299" i="1" s="1"/>
  <c r="BT298" i="1" a="1"/>
  <c r="BT298" i="1" s="1"/>
  <c r="BT297" i="1" a="1"/>
  <c r="BT297" i="1" s="1"/>
  <c r="BT296" i="1" a="1"/>
  <c r="BT296" i="1" s="1"/>
  <c r="BT295" i="1" a="1"/>
  <c r="BT295" i="1" s="1"/>
  <c r="BT294" i="1" a="1"/>
  <c r="BT294" i="1" s="1"/>
  <c r="BT293" i="1" a="1"/>
  <c r="BT293" i="1" s="1"/>
  <c r="BT292" i="1" a="1"/>
  <c r="BT292" i="1" s="1"/>
  <c r="BT291" i="1" a="1"/>
  <c r="BT291" i="1" s="1"/>
  <c r="BT290" i="1" a="1"/>
  <c r="BT290" i="1" s="1"/>
  <c r="BT289" i="1" a="1"/>
  <c r="BT289" i="1" s="1"/>
  <c r="BT288" i="1" a="1"/>
  <c r="BT288" i="1" s="1"/>
  <c r="BT287" i="1" a="1"/>
  <c r="BT287" i="1" s="1"/>
  <c r="BT286" i="1" a="1"/>
  <c r="BT286" i="1" s="1"/>
  <c r="BT285" i="1" a="1"/>
  <c r="BT285" i="1" s="1"/>
  <c r="BT284" i="1" a="1"/>
  <c r="BT284" i="1" s="1"/>
  <c r="BT283" i="1" a="1"/>
  <c r="BT283" i="1" s="1"/>
  <c r="BT282" i="1" a="1"/>
  <c r="BT282" i="1" s="1"/>
  <c r="BT281" i="1" a="1"/>
  <c r="BT281" i="1" s="1"/>
  <c r="BT280" i="1" a="1"/>
  <c r="BT280" i="1" s="1"/>
  <c r="BT279" i="1" a="1"/>
  <c r="BT279" i="1" s="1"/>
  <c r="BT278" i="1" a="1"/>
  <c r="BT278" i="1" s="1"/>
  <c r="BT277" i="1" a="1"/>
  <c r="BT277" i="1" s="1"/>
  <c r="BT276" i="1" a="1"/>
  <c r="BT276" i="1" s="1"/>
  <c r="BT275" i="1" a="1"/>
  <c r="BT275" i="1" s="1"/>
  <c r="BT274" i="1" a="1"/>
  <c r="BT274" i="1" s="1"/>
  <c r="BT273" i="1" a="1"/>
  <c r="BT273" i="1" s="1"/>
  <c r="BT272" i="1" a="1"/>
  <c r="BT272" i="1" s="1"/>
  <c r="BT271" i="1" a="1"/>
  <c r="BT271" i="1" s="1"/>
  <c r="BT270" i="1" a="1"/>
  <c r="BT270" i="1" s="1"/>
  <c r="BT269" i="1" a="1"/>
  <c r="BT269" i="1" s="1"/>
  <c r="BT268" i="1" a="1"/>
  <c r="BT268" i="1" s="1"/>
  <c r="BT267" i="1" a="1"/>
  <c r="BT267" i="1" s="1"/>
  <c r="BT266" i="1" a="1"/>
  <c r="BT266" i="1" s="1"/>
  <c r="BT265" i="1" a="1"/>
  <c r="BT265" i="1" s="1"/>
  <c r="BT264" i="1" a="1"/>
  <c r="BT264" i="1" s="1"/>
  <c r="BT263" i="1" a="1"/>
  <c r="BT263" i="1" s="1"/>
  <c r="BT262" i="1" a="1"/>
  <c r="BT262" i="1" s="1"/>
  <c r="BT261" i="1" a="1"/>
  <c r="BT261" i="1" s="1"/>
  <c r="BT260" i="1" a="1"/>
  <c r="BT260" i="1" s="1"/>
  <c r="BT259" i="1" a="1"/>
  <c r="BT259" i="1" s="1"/>
  <c r="BT258" i="1" a="1"/>
  <c r="BT258" i="1" s="1"/>
  <c r="BT257" i="1" a="1"/>
  <c r="BT257" i="1" s="1"/>
  <c r="BT256" i="1" a="1"/>
  <c r="BT256" i="1" s="1"/>
  <c r="BT255" i="1" a="1"/>
  <c r="BT255" i="1" s="1"/>
  <c r="BT254" i="1" a="1"/>
  <c r="BT254" i="1" s="1"/>
  <c r="BT253" i="1" a="1"/>
  <c r="BT253" i="1" s="1"/>
  <c r="BT252" i="1" a="1"/>
  <c r="BT252" i="1" s="1"/>
  <c r="BT251" i="1" a="1"/>
  <c r="BT251" i="1" s="1"/>
  <c r="BT250" i="1" a="1"/>
  <c r="BT250" i="1" s="1"/>
  <c r="BT249" i="1" a="1"/>
  <c r="BT249" i="1" s="1"/>
  <c r="BT248" i="1" a="1"/>
  <c r="BT248" i="1" s="1"/>
  <c r="BT247" i="1" a="1"/>
  <c r="BT247" i="1" s="1"/>
  <c r="BT246" i="1" a="1"/>
  <c r="BT246" i="1" s="1"/>
  <c r="BT245" i="1" a="1"/>
  <c r="BT245" i="1" s="1"/>
  <c r="BT244" i="1" a="1"/>
  <c r="BT244" i="1" s="1"/>
  <c r="BT243" i="1" a="1"/>
  <c r="BT243" i="1" s="1"/>
  <c r="BT242" i="1" a="1"/>
  <c r="BT242" i="1" s="1"/>
  <c r="BT241" i="1" a="1"/>
  <c r="BT241" i="1" s="1"/>
  <c r="BT240" i="1" a="1"/>
  <c r="BT240" i="1" s="1"/>
  <c r="BT239" i="1" a="1"/>
  <c r="BT239" i="1" s="1"/>
  <c r="BT238" i="1" a="1"/>
  <c r="BT238" i="1" s="1"/>
  <c r="BT237" i="1" a="1"/>
  <c r="BT237" i="1" s="1"/>
  <c r="BT236" i="1" a="1"/>
  <c r="BT236" i="1" s="1"/>
  <c r="BT235" i="1" a="1"/>
  <c r="BT235" i="1" s="1"/>
  <c r="BT234" i="1" a="1"/>
  <c r="BT234" i="1" s="1"/>
  <c r="BT233" i="1" a="1"/>
  <c r="BT233" i="1" s="1"/>
  <c r="BT232" i="1" a="1"/>
  <c r="BT232" i="1" s="1"/>
  <c r="BT231" i="1" a="1"/>
  <c r="BT231" i="1" s="1"/>
  <c r="BT230" i="1" a="1"/>
  <c r="BT230" i="1" s="1"/>
  <c r="BT229" i="1" a="1"/>
  <c r="BT229" i="1" s="1"/>
  <c r="BT228" i="1" a="1"/>
  <c r="BT228" i="1" s="1"/>
  <c r="BT227" i="1" a="1"/>
  <c r="BT227" i="1" s="1"/>
  <c r="BT226" i="1" a="1"/>
  <c r="BT226" i="1" s="1"/>
  <c r="BT225" i="1" a="1"/>
  <c r="BT225" i="1" s="1"/>
  <c r="BT224" i="1" a="1"/>
  <c r="BT224" i="1" s="1"/>
  <c r="BT223" i="1" a="1"/>
  <c r="BT223" i="1" s="1"/>
  <c r="BT222" i="1" a="1"/>
  <c r="BT222" i="1" s="1"/>
  <c r="BT221" i="1" a="1"/>
  <c r="BT221" i="1" s="1"/>
  <c r="BT220" i="1" a="1"/>
  <c r="BT220" i="1" s="1"/>
  <c r="BT219" i="1" a="1"/>
  <c r="BT219" i="1" s="1"/>
  <c r="BT218" i="1" a="1"/>
  <c r="BT218" i="1" s="1"/>
  <c r="BT217" i="1" a="1"/>
  <c r="BT217" i="1" s="1"/>
  <c r="BT216" i="1" a="1"/>
  <c r="BT216" i="1" s="1"/>
  <c r="BT215" i="1" a="1"/>
  <c r="BT215" i="1" s="1"/>
  <c r="BT214" i="1" a="1"/>
  <c r="BT214" i="1" s="1"/>
  <c r="BT213" i="1" a="1"/>
  <c r="BT213" i="1" s="1"/>
  <c r="BT212" i="1" a="1"/>
  <c r="BT212" i="1" s="1"/>
  <c r="BT211" i="1" a="1"/>
  <c r="BT211" i="1" s="1"/>
  <c r="BT210" i="1" a="1"/>
  <c r="BT210" i="1" s="1"/>
  <c r="BT209" i="1" a="1"/>
  <c r="BT209" i="1" s="1"/>
  <c r="BT208" i="1" a="1"/>
  <c r="BT208" i="1" s="1"/>
  <c r="BT207" i="1" a="1"/>
  <c r="BT207" i="1" s="1"/>
  <c r="BT206" i="1" a="1"/>
  <c r="BT206" i="1" s="1"/>
  <c r="BT205" i="1" a="1"/>
  <c r="BT205" i="1" s="1"/>
  <c r="BT204" i="1" a="1"/>
  <c r="BT204" i="1" s="1"/>
  <c r="BT203" i="1" a="1"/>
  <c r="BT203" i="1" s="1"/>
  <c r="BT202" i="1" a="1"/>
  <c r="BT202" i="1" s="1"/>
  <c r="BT201" i="1" a="1"/>
  <c r="BT201" i="1" s="1"/>
  <c r="BT200" i="1" a="1"/>
  <c r="BT200" i="1" s="1"/>
  <c r="BT199" i="1" a="1"/>
  <c r="BT199" i="1" s="1"/>
  <c r="BT198" i="1" a="1"/>
  <c r="BT198" i="1" s="1"/>
  <c r="BT197" i="1" a="1"/>
  <c r="BT197" i="1" s="1"/>
  <c r="BT196" i="1" a="1"/>
  <c r="BT196" i="1" s="1"/>
  <c r="BT195" i="1" a="1"/>
  <c r="BT195" i="1" s="1"/>
  <c r="BT194" i="1" a="1"/>
  <c r="BT194" i="1" s="1"/>
  <c r="BT193" i="1" a="1"/>
  <c r="BT193" i="1" s="1"/>
  <c r="BT192" i="1" a="1"/>
  <c r="BT192" i="1" s="1"/>
  <c r="BT191" i="1" a="1"/>
  <c r="BT191" i="1" s="1"/>
  <c r="BT190" i="1" a="1"/>
  <c r="BT190" i="1" s="1"/>
  <c r="BT189" i="1" a="1"/>
  <c r="BT189" i="1" s="1"/>
  <c r="BT188" i="1" a="1"/>
  <c r="BT188" i="1" s="1"/>
  <c r="BT187" i="1" a="1"/>
  <c r="BT187" i="1" s="1"/>
  <c r="BT186" i="1" a="1"/>
  <c r="BT186" i="1" s="1"/>
  <c r="BT185" i="1" a="1"/>
  <c r="BT185" i="1" s="1"/>
  <c r="BT184" i="1" a="1"/>
  <c r="BT184" i="1" s="1"/>
  <c r="BT183" i="1" a="1"/>
  <c r="BT183" i="1" s="1"/>
  <c r="BT182" i="1" a="1"/>
  <c r="BT182" i="1" s="1"/>
  <c r="BU313" i="1" a="1"/>
  <c r="BU313" i="1" s="1"/>
  <c r="BU312" i="1" a="1"/>
  <c r="BU312" i="1" s="1"/>
  <c r="BU311" i="1" a="1"/>
  <c r="BU311" i="1" s="1"/>
  <c r="BU310" i="1" a="1"/>
  <c r="BU310" i="1" s="1"/>
  <c r="BU309" i="1" a="1"/>
  <c r="BU309" i="1" s="1"/>
  <c r="BU308" i="1" a="1"/>
  <c r="BU308" i="1" s="1"/>
  <c r="BU307" i="1" a="1"/>
  <c r="BU307" i="1" s="1"/>
  <c r="BU306" i="1" a="1"/>
  <c r="BU306" i="1" s="1"/>
  <c r="BU305" i="1" a="1"/>
  <c r="BU305" i="1" s="1"/>
  <c r="BU304" i="1" a="1"/>
  <c r="BU304" i="1" s="1"/>
  <c r="BU303" i="1" a="1"/>
  <c r="BU303" i="1" s="1"/>
  <c r="BU302" i="1" a="1"/>
  <c r="BU302" i="1" s="1"/>
  <c r="BU301" i="1" a="1"/>
  <c r="BU301" i="1" s="1"/>
  <c r="BU300" i="1" a="1"/>
  <c r="BU300" i="1" s="1"/>
  <c r="BU299" i="1" a="1"/>
  <c r="BU299" i="1" s="1"/>
  <c r="BU298" i="1" a="1"/>
  <c r="BU298" i="1" s="1"/>
  <c r="BU297" i="1" a="1"/>
  <c r="BU297" i="1" s="1"/>
  <c r="BU296" i="1" a="1"/>
  <c r="BU296" i="1" s="1"/>
  <c r="BU295" i="1" a="1"/>
  <c r="BU295" i="1" s="1"/>
  <c r="BU294" i="1" a="1"/>
  <c r="BU294" i="1" s="1"/>
  <c r="BU293" i="1" a="1"/>
  <c r="BU293" i="1" s="1"/>
  <c r="BU292" i="1" a="1"/>
  <c r="BU292" i="1" s="1"/>
  <c r="BU291" i="1" a="1"/>
  <c r="BU291" i="1" s="1"/>
  <c r="BU290" i="1" a="1"/>
  <c r="BU290" i="1" s="1"/>
  <c r="BU289" i="1" a="1"/>
  <c r="BU289" i="1" s="1"/>
  <c r="BU288" i="1" a="1"/>
  <c r="BU288" i="1" s="1"/>
  <c r="BU287" i="1" a="1"/>
  <c r="BU287" i="1" s="1"/>
  <c r="BU286" i="1" a="1"/>
  <c r="BU286" i="1" s="1"/>
  <c r="BU285" i="1" a="1"/>
  <c r="BU285" i="1" s="1"/>
  <c r="BU284" i="1" a="1"/>
  <c r="BU284" i="1" s="1"/>
  <c r="BU283" i="1" a="1"/>
  <c r="BU283" i="1" s="1"/>
  <c r="BU282" i="1" a="1"/>
  <c r="BU282" i="1" s="1"/>
  <c r="BU281" i="1" a="1"/>
  <c r="BU281" i="1" s="1"/>
  <c r="BU280" i="1" a="1"/>
  <c r="BU280" i="1" s="1"/>
  <c r="BU279" i="1" a="1"/>
  <c r="BU279" i="1" s="1"/>
  <c r="BU278" i="1" a="1"/>
  <c r="BU278" i="1" s="1"/>
  <c r="BU277" i="1" a="1"/>
  <c r="BU277" i="1" s="1"/>
  <c r="BU276" i="1" a="1"/>
  <c r="BU276" i="1" s="1"/>
  <c r="BU275" i="1" a="1"/>
  <c r="BU275" i="1" s="1"/>
  <c r="BU274" i="1" a="1"/>
  <c r="BU274" i="1" s="1"/>
  <c r="BU273" i="1" a="1"/>
  <c r="BU273" i="1" s="1"/>
  <c r="BU272" i="1" a="1"/>
  <c r="BU272" i="1" s="1"/>
  <c r="BU271" i="1" a="1"/>
  <c r="BU271" i="1" s="1"/>
  <c r="BU270" i="1" a="1"/>
  <c r="BU270" i="1" s="1"/>
  <c r="BU269" i="1" a="1"/>
  <c r="BU269" i="1" s="1"/>
  <c r="BU268" i="1" a="1"/>
  <c r="BU268" i="1" s="1"/>
  <c r="BU267" i="1" a="1"/>
  <c r="BU267" i="1" s="1"/>
  <c r="BU266" i="1" a="1"/>
  <c r="BU266" i="1" s="1"/>
  <c r="BU265" i="1" a="1"/>
  <c r="BU265" i="1" s="1"/>
  <c r="BU264" i="1" a="1"/>
  <c r="BU264" i="1" s="1"/>
  <c r="BU263" i="1" a="1"/>
  <c r="BU263" i="1" s="1"/>
  <c r="BU262" i="1" a="1"/>
  <c r="BU262" i="1" s="1"/>
  <c r="BU261" i="1" a="1"/>
  <c r="BU261" i="1" s="1"/>
  <c r="BU260" i="1" a="1"/>
  <c r="BU260" i="1" s="1"/>
  <c r="BU259" i="1" a="1"/>
  <c r="BU259" i="1" s="1"/>
  <c r="BU258" i="1" a="1"/>
  <c r="BU258" i="1" s="1"/>
  <c r="BU257" i="1" a="1"/>
  <c r="BU257" i="1" s="1"/>
  <c r="BU256" i="1" a="1"/>
  <c r="BU256" i="1" s="1"/>
  <c r="BU255" i="1" a="1"/>
  <c r="BU255" i="1" s="1"/>
  <c r="BU254" i="1" a="1"/>
  <c r="BU254" i="1" s="1"/>
  <c r="BU253" i="1" a="1"/>
  <c r="BU253" i="1" s="1"/>
  <c r="BU252" i="1" a="1"/>
  <c r="BU252" i="1" s="1"/>
  <c r="BU251" i="1" a="1"/>
  <c r="BU251" i="1" s="1"/>
  <c r="BU250" i="1" a="1"/>
  <c r="BU250" i="1" s="1"/>
  <c r="BU249" i="1" a="1"/>
  <c r="BU249" i="1" s="1"/>
  <c r="BU248" i="1" a="1"/>
  <c r="BU248" i="1" s="1"/>
  <c r="BU247" i="1" a="1"/>
  <c r="BU247" i="1" s="1"/>
  <c r="BU246" i="1" a="1"/>
  <c r="BU246" i="1" s="1"/>
  <c r="BU245" i="1" a="1"/>
  <c r="BU245" i="1" s="1"/>
  <c r="BU244" i="1" a="1"/>
  <c r="BU244" i="1" s="1"/>
  <c r="BU243" i="1" a="1"/>
  <c r="BU243" i="1" s="1"/>
  <c r="BU242" i="1" a="1"/>
  <c r="BU242" i="1" s="1"/>
  <c r="BU241" i="1" a="1"/>
  <c r="BU241" i="1" s="1"/>
  <c r="BU240" i="1" a="1"/>
  <c r="BU240" i="1" s="1"/>
  <c r="BU239" i="1" a="1"/>
  <c r="BU239" i="1" s="1"/>
  <c r="BU238" i="1" a="1"/>
  <c r="BU238" i="1" s="1"/>
  <c r="BU237" i="1" a="1"/>
  <c r="BU237" i="1" s="1"/>
  <c r="BU236" i="1" a="1"/>
  <c r="BU236" i="1" s="1"/>
  <c r="BU235" i="1" a="1"/>
  <c r="BU235" i="1" s="1"/>
  <c r="BU234" i="1" a="1"/>
  <c r="BU234" i="1" s="1"/>
  <c r="BU233" i="1" a="1"/>
  <c r="BU233" i="1" s="1"/>
  <c r="BU232" i="1" a="1"/>
  <c r="BU232" i="1" s="1"/>
  <c r="BU231" i="1" a="1"/>
  <c r="BU231" i="1" s="1"/>
  <c r="BU230" i="1" a="1"/>
  <c r="BU230" i="1" s="1"/>
  <c r="BU229" i="1" a="1"/>
  <c r="BU229" i="1" s="1"/>
  <c r="BU228" i="1" a="1"/>
  <c r="BU228" i="1" s="1"/>
  <c r="BU227" i="1" a="1"/>
  <c r="BU227" i="1" s="1"/>
  <c r="BU226" i="1" a="1"/>
  <c r="BU226" i="1" s="1"/>
  <c r="BU225" i="1" a="1"/>
  <c r="BU225" i="1" s="1"/>
  <c r="BU224" i="1" a="1"/>
  <c r="BU224" i="1" s="1"/>
  <c r="BU223" i="1" a="1"/>
  <c r="BU223" i="1" s="1"/>
  <c r="BU222" i="1" a="1"/>
  <c r="BU222" i="1" s="1"/>
  <c r="BU221" i="1" a="1"/>
  <c r="BU221" i="1" s="1"/>
  <c r="BU220" i="1" a="1"/>
  <c r="BU220" i="1" s="1"/>
  <c r="BU219" i="1" a="1"/>
  <c r="BU219" i="1" s="1"/>
  <c r="BU218" i="1" a="1"/>
  <c r="BU218" i="1" s="1"/>
  <c r="BU217" i="1" a="1"/>
  <c r="BU217" i="1" s="1"/>
  <c r="BU216" i="1" a="1"/>
  <c r="BU216" i="1" s="1"/>
  <c r="BU215" i="1" a="1"/>
  <c r="BU215" i="1" s="1"/>
  <c r="BU214" i="1" a="1"/>
  <c r="BU214" i="1" s="1"/>
  <c r="BU213" i="1" a="1"/>
  <c r="BU213" i="1" s="1"/>
  <c r="BU212" i="1" a="1"/>
  <c r="BU212" i="1" s="1"/>
  <c r="BU211" i="1" a="1"/>
  <c r="BU211" i="1" s="1"/>
  <c r="BU210" i="1" a="1"/>
  <c r="BU210" i="1" s="1"/>
  <c r="BU209" i="1" a="1"/>
  <c r="BU209" i="1" s="1"/>
  <c r="BU208" i="1" a="1"/>
  <c r="BU208" i="1" s="1"/>
  <c r="BU207" i="1" a="1"/>
  <c r="BU207" i="1" s="1"/>
  <c r="BU206" i="1" a="1"/>
  <c r="BU206" i="1" s="1"/>
  <c r="BU205" i="1" a="1"/>
  <c r="BU205" i="1" s="1"/>
  <c r="BU204" i="1" a="1"/>
  <c r="BU204" i="1" s="1"/>
  <c r="BU203" i="1" a="1"/>
  <c r="BU203" i="1" s="1"/>
  <c r="BU202" i="1" a="1"/>
  <c r="BU202" i="1" s="1"/>
  <c r="BU201" i="1" a="1"/>
  <c r="BU201" i="1" s="1"/>
  <c r="BU200" i="1" a="1"/>
  <c r="BU200" i="1" s="1"/>
  <c r="BU199" i="1" a="1"/>
  <c r="BU199" i="1" s="1"/>
  <c r="BU198" i="1" a="1"/>
  <c r="BU198" i="1" s="1"/>
  <c r="BU197" i="1" a="1"/>
  <c r="BU197" i="1" s="1"/>
  <c r="BU196" i="1" a="1"/>
  <c r="BU196" i="1" s="1"/>
  <c r="BU195" i="1" a="1"/>
  <c r="BU195" i="1" s="1"/>
  <c r="BU194" i="1" a="1"/>
  <c r="BU194" i="1" s="1"/>
  <c r="BU193" i="1" a="1"/>
  <c r="BU193" i="1" s="1"/>
  <c r="BU192" i="1" a="1"/>
  <c r="BU192" i="1" s="1"/>
  <c r="BU191" i="1" a="1"/>
  <c r="BU191" i="1" s="1"/>
  <c r="BU190" i="1" a="1"/>
  <c r="BU190" i="1" s="1"/>
  <c r="BU189" i="1" a="1"/>
  <c r="BU189" i="1" s="1"/>
  <c r="BU188" i="1" a="1"/>
  <c r="BU188" i="1" s="1"/>
  <c r="BU187" i="1" a="1"/>
  <c r="BU187" i="1" s="1"/>
  <c r="BU186" i="1" a="1"/>
  <c r="BU186" i="1" s="1"/>
  <c r="BU185" i="1" a="1"/>
  <c r="BU185" i="1" s="1"/>
  <c r="BU184" i="1" a="1"/>
  <c r="BU184" i="1" s="1"/>
  <c r="BU183" i="1" a="1"/>
  <c r="BU183" i="1" s="1"/>
  <c r="BU182" i="1" a="1"/>
  <c r="BU182" i="1" s="1"/>
  <c r="BS313" i="1"/>
  <c r="BS312" i="1"/>
  <c r="BS311" i="1"/>
  <c r="BS310" i="1"/>
  <c r="BS309" i="1"/>
  <c r="BS308" i="1"/>
  <c r="BS307" i="1"/>
  <c r="BS306" i="1"/>
  <c r="BS305" i="1"/>
  <c r="BS304" i="1"/>
  <c r="BS303" i="1"/>
  <c r="BS302" i="1"/>
  <c r="BS301" i="1"/>
  <c r="BS300" i="1"/>
  <c r="BS299" i="1"/>
  <c r="BS298" i="1"/>
  <c r="BS297" i="1"/>
  <c r="BS296" i="1"/>
  <c r="BS295" i="1"/>
  <c r="BS294" i="1"/>
  <c r="BS293" i="1"/>
  <c r="BS292" i="1"/>
  <c r="BS291" i="1"/>
  <c r="BS290" i="1"/>
  <c r="BS289" i="1"/>
  <c r="BS288" i="1"/>
  <c r="BS287" i="1"/>
  <c r="BS286" i="1"/>
  <c r="BS285" i="1"/>
  <c r="BS284" i="1"/>
  <c r="BS283" i="1"/>
  <c r="BS282" i="1"/>
  <c r="BS281" i="1"/>
  <c r="BS280" i="1"/>
  <c r="BS279" i="1"/>
  <c r="BS278" i="1"/>
  <c r="BS277" i="1"/>
  <c r="BS276" i="1"/>
  <c r="BS275" i="1"/>
  <c r="BS274" i="1"/>
  <c r="BS273" i="1"/>
  <c r="BS272" i="1"/>
  <c r="BS271" i="1"/>
  <c r="BS270" i="1"/>
  <c r="BS269" i="1"/>
  <c r="BS268" i="1"/>
  <c r="BS267" i="1"/>
  <c r="BS266" i="1"/>
  <c r="BS265" i="1"/>
  <c r="BS264" i="1"/>
  <c r="BS263" i="1"/>
  <c r="BS262" i="1"/>
  <c r="BS261" i="1"/>
  <c r="BS260" i="1"/>
  <c r="BS259" i="1"/>
  <c r="BS258" i="1"/>
  <c r="BS257" i="1"/>
  <c r="BS256" i="1"/>
  <c r="BS255" i="1"/>
  <c r="BS254" i="1"/>
  <c r="BS253" i="1"/>
  <c r="BS252" i="1"/>
  <c r="BS251" i="1"/>
  <c r="BS250" i="1"/>
  <c r="BS249" i="1"/>
  <c r="BS248" i="1"/>
  <c r="BS247" i="1"/>
  <c r="BS246" i="1"/>
  <c r="BS245" i="1"/>
  <c r="BS244" i="1"/>
  <c r="BS243" i="1"/>
  <c r="BS242" i="1"/>
  <c r="BS241" i="1"/>
  <c r="BS240" i="1"/>
  <c r="BS239" i="1"/>
  <c r="BS238" i="1"/>
  <c r="BS237" i="1"/>
  <c r="BS236" i="1"/>
  <c r="BS235" i="1"/>
  <c r="BS234" i="1"/>
  <c r="BS233" i="1"/>
  <c r="BS232" i="1"/>
  <c r="BS231" i="1"/>
  <c r="BS230" i="1"/>
  <c r="BS229" i="1"/>
  <c r="BS228" i="1"/>
  <c r="BS227" i="1"/>
  <c r="BS226" i="1"/>
  <c r="BS225" i="1"/>
  <c r="BS224" i="1"/>
  <c r="BS223" i="1"/>
  <c r="BS222" i="1"/>
  <c r="BS221" i="1"/>
  <c r="BS220" i="1"/>
  <c r="BS219" i="1"/>
  <c r="BS218" i="1"/>
  <c r="BS217" i="1"/>
  <c r="BS216" i="1"/>
  <c r="BS215" i="1"/>
  <c r="BS214" i="1"/>
  <c r="BS213" i="1"/>
  <c r="BS212" i="1"/>
  <c r="BS211" i="1"/>
  <c r="BS210" i="1"/>
  <c r="BS209" i="1"/>
  <c r="BS208" i="1"/>
  <c r="BS207" i="1"/>
  <c r="BS206" i="1"/>
  <c r="BS205" i="1"/>
  <c r="BS204" i="1"/>
  <c r="BS203" i="1"/>
  <c r="BS202" i="1"/>
  <c r="BS201" i="1"/>
  <c r="BS200" i="1"/>
  <c r="BS199" i="1"/>
  <c r="BS198" i="1"/>
  <c r="BS197" i="1"/>
  <c r="BS196" i="1"/>
  <c r="BS195" i="1"/>
  <c r="BS194" i="1"/>
  <c r="BS193" i="1"/>
  <c r="BS192" i="1"/>
  <c r="BS191" i="1"/>
  <c r="BS190" i="1"/>
  <c r="BS189" i="1"/>
  <c r="BS188" i="1"/>
  <c r="BS187" i="1"/>
  <c r="BS186" i="1"/>
  <c r="BS185" i="1"/>
  <c r="BS184" i="1"/>
  <c r="BS183" i="1"/>
  <c r="BS182" i="1"/>
  <c r="BR313" i="1"/>
  <c r="BR312" i="1"/>
  <c r="BR311" i="1"/>
  <c r="BR310" i="1"/>
  <c r="BR309" i="1"/>
  <c r="BR308" i="1"/>
  <c r="BR307" i="1"/>
  <c r="BR306" i="1"/>
  <c r="BR305" i="1"/>
  <c r="BR304" i="1"/>
  <c r="BR303" i="1"/>
  <c r="BR302" i="1"/>
  <c r="BR301" i="1"/>
  <c r="BR300" i="1"/>
  <c r="BR299" i="1"/>
  <c r="BR298" i="1"/>
  <c r="BR297" i="1"/>
  <c r="BR296" i="1"/>
  <c r="BR295" i="1"/>
  <c r="BR294" i="1"/>
  <c r="BR293" i="1"/>
  <c r="BR292" i="1"/>
  <c r="BR291" i="1"/>
  <c r="BR290" i="1"/>
  <c r="BR289" i="1"/>
  <c r="BR288" i="1"/>
  <c r="BR287" i="1"/>
  <c r="BR286" i="1"/>
  <c r="BR285" i="1"/>
  <c r="BR284" i="1"/>
  <c r="BR283" i="1"/>
  <c r="BR282" i="1"/>
  <c r="BR281" i="1"/>
  <c r="BR280" i="1"/>
  <c r="BR279" i="1"/>
  <c r="BR278" i="1"/>
  <c r="BR277" i="1"/>
  <c r="BR276" i="1"/>
  <c r="BR275" i="1"/>
  <c r="BR274" i="1"/>
  <c r="BR273" i="1"/>
  <c r="BR272" i="1"/>
  <c r="BR271" i="1"/>
  <c r="BR270" i="1"/>
  <c r="BR269" i="1"/>
  <c r="BR268" i="1"/>
  <c r="BR267" i="1"/>
  <c r="BR266" i="1"/>
  <c r="BR265" i="1"/>
  <c r="BR264" i="1"/>
  <c r="BR263" i="1"/>
  <c r="BR262" i="1"/>
  <c r="BR261" i="1"/>
  <c r="BR260" i="1"/>
  <c r="BR259" i="1"/>
  <c r="BR258" i="1"/>
  <c r="BR257" i="1"/>
  <c r="BR256" i="1"/>
  <c r="BR255" i="1"/>
  <c r="BR254" i="1"/>
  <c r="BR253" i="1"/>
  <c r="BR252" i="1"/>
  <c r="BR251" i="1"/>
  <c r="BR250" i="1"/>
  <c r="BR249" i="1"/>
  <c r="BR248" i="1"/>
  <c r="BR247" i="1"/>
  <c r="BR246" i="1"/>
  <c r="BR245" i="1"/>
  <c r="BR244" i="1"/>
  <c r="BR243" i="1"/>
  <c r="BR242" i="1"/>
  <c r="BR241" i="1"/>
  <c r="BR240" i="1"/>
  <c r="BR239" i="1"/>
  <c r="BR238" i="1"/>
  <c r="BR237" i="1"/>
  <c r="BR236" i="1"/>
  <c r="BR235" i="1"/>
  <c r="BR234" i="1"/>
  <c r="BR233" i="1"/>
  <c r="BR232" i="1"/>
  <c r="BR231" i="1"/>
  <c r="BR230" i="1"/>
  <c r="BR229" i="1"/>
  <c r="BR228" i="1"/>
  <c r="BR227" i="1"/>
  <c r="BR226" i="1"/>
  <c r="BR225" i="1"/>
  <c r="BR224" i="1"/>
  <c r="BR223" i="1"/>
  <c r="BR222" i="1"/>
  <c r="BR221" i="1"/>
  <c r="BR220" i="1"/>
  <c r="BR219" i="1"/>
  <c r="BR218" i="1"/>
  <c r="BR217" i="1"/>
  <c r="BR216" i="1"/>
  <c r="BR215" i="1"/>
  <c r="BR214" i="1"/>
  <c r="BR213" i="1"/>
  <c r="BR212" i="1"/>
  <c r="BR211" i="1"/>
  <c r="BR210" i="1"/>
  <c r="BR209" i="1"/>
  <c r="BR208" i="1"/>
  <c r="BR207" i="1"/>
  <c r="BR206" i="1"/>
  <c r="BR205" i="1"/>
  <c r="BR204" i="1"/>
  <c r="BR203" i="1"/>
  <c r="BR202" i="1"/>
  <c r="BR201" i="1"/>
  <c r="BR200" i="1"/>
  <c r="BR199" i="1"/>
  <c r="BR198" i="1"/>
  <c r="BR197" i="1"/>
  <c r="BR196" i="1"/>
  <c r="BR195" i="1"/>
  <c r="BR194" i="1"/>
  <c r="BR193" i="1"/>
  <c r="BR192" i="1"/>
  <c r="BR191" i="1"/>
  <c r="BR190" i="1"/>
  <c r="BR189" i="1"/>
  <c r="BR188" i="1"/>
  <c r="BR187" i="1"/>
  <c r="BR186" i="1"/>
  <c r="BR185" i="1"/>
  <c r="BR184" i="1"/>
  <c r="BR183" i="1"/>
  <c r="BR182" i="1"/>
  <c r="BQ105" i="1" a="1"/>
  <c r="BQ105" i="1" s="1"/>
  <c r="BQ182" i="1" a="1"/>
  <c r="BQ182" i="1" s="1"/>
  <c r="BQ183" i="1" a="1"/>
  <c r="BQ183" i="1" s="1"/>
  <c r="BQ184" i="1" a="1"/>
  <c r="BQ184" i="1" s="1"/>
  <c r="BQ185" i="1" a="1"/>
  <c r="BQ185" i="1" s="1"/>
  <c r="BQ186" i="1" a="1"/>
  <c r="BQ186" i="1" s="1"/>
  <c r="BQ187" i="1" a="1"/>
  <c r="BQ187" i="1" s="1"/>
  <c r="BQ188" i="1" a="1"/>
  <c r="BQ188" i="1" s="1"/>
  <c r="BQ189" i="1" a="1"/>
  <c r="BQ189" i="1" s="1"/>
  <c r="BQ190" i="1" a="1"/>
  <c r="BQ190" i="1" s="1"/>
  <c r="BQ191" i="1" a="1"/>
  <c r="BQ191" i="1" s="1"/>
  <c r="BQ192" i="1" a="1"/>
  <c r="BQ192" i="1" s="1"/>
  <c r="BQ193" i="1" a="1"/>
  <c r="BQ193" i="1" s="1"/>
  <c r="BQ194" i="1" a="1"/>
  <c r="BQ194" i="1" s="1"/>
  <c r="BQ195" i="1" a="1"/>
  <c r="BQ195" i="1" s="1"/>
  <c r="BQ196" i="1" a="1"/>
  <c r="BQ196" i="1" s="1"/>
  <c r="BQ197" i="1" a="1"/>
  <c r="BQ197" i="1" s="1"/>
  <c r="BQ198" i="1" a="1"/>
  <c r="BQ198" i="1" s="1"/>
  <c r="BQ199" i="1" a="1"/>
  <c r="BQ199" i="1" s="1"/>
  <c r="BQ200" i="1" a="1"/>
  <c r="BQ200" i="1" s="1"/>
  <c r="BQ201" i="1" a="1"/>
  <c r="BQ201" i="1" s="1"/>
  <c r="BQ202" i="1" a="1"/>
  <c r="BQ202" i="1" s="1"/>
  <c r="BQ203" i="1" a="1"/>
  <c r="BQ203" i="1" s="1"/>
  <c r="BQ204" i="1" a="1"/>
  <c r="BQ204" i="1" s="1"/>
  <c r="BQ205" i="1" a="1"/>
  <c r="BQ205" i="1" s="1"/>
  <c r="BQ206" i="1" a="1"/>
  <c r="BQ206" i="1" s="1"/>
  <c r="BQ207" i="1" a="1"/>
  <c r="BQ207" i="1" s="1"/>
  <c r="BQ208" i="1" a="1"/>
  <c r="BQ208" i="1" s="1"/>
  <c r="BQ209" i="1" a="1"/>
  <c r="BQ209" i="1" s="1"/>
  <c r="BQ210" i="1" a="1"/>
  <c r="BQ210" i="1" s="1"/>
  <c r="BQ211" i="1" a="1"/>
  <c r="BQ211" i="1" s="1"/>
  <c r="BQ212" i="1" a="1"/>
  <c r="BQ212" i="1" s="1"/>
  <c r="BQ213" i="1" a="1"/>
  <c r="BQ213" i="1" s="1"/>
  <c r="BQ214" i="1" a="1"/>
  <c r="BQ214" i="1" s="1"/>
  <c r="BQ215" i="1" a="1"/>
  <c r="BQ215" i="1" s="1"/>
  <c r="BQ216" i="1" a="1"/>
  <c r="BQ216" i="1" s="1"/>
  <c r="BQ217" i="1" a="1"/>
  <c r="BQ217" i="1" s="1"/>
  <c r="BQ218" i="1" a="1"/>
  <c r="BQ218" i="1" s="1"/>
  <c r="BQ219" i="1" a="1"/>
  <c r="BQ219" i="1" s="1"/>
  <c r="BQ220" i="1" a="1"/>
  <c r="BQ220" i="1" s="1"/>
  <c r="BQ221" i="1" a="1"/>
  <c r="BQ221" i="1" s="1"/>
  <c r="BQ222" i="1" a="1"/>
  <c r="BQ222" i="1" s="1"/>
  <c r="BQ223" i="1" a="1"/>
  <c r="BQ223" i="1" s="1"/>
  <c r="BQ224" i="1" a="1"/>
  <c r="BQ224" i="1" s="1"/>
  <c r="BQ225" i="1" a="1"/>
  <c r="BQ225" i="1" s="1"/>
  <c r="BQ226" i="1" a="1"/>
  <c r="BQ226" i="1" s="1"/>
  <c r="BQ227" i="1" a="1"/>
  <c r="BQ227" i="1" s="1"/>
  <c r="BQ228" i="1" a="1"/>
  <c r="BQ228" i="1" s="1"/>
  <c r="BQ229" i="1" a="1"/>
  <c r="BQ229" i="1" s="1"/>
  <c r="BQ230" i="1" a="1"/>
  <c r="BQ230" i="1" s="1"/>
  <c r="BQ231" i="1" a="1"/>
  <c r="BQ231" i="1" s="1"/>
  <c r="BQ232" i="1" a="1"/>
  <c r="BQ232" i="1" s="1"/>
  <c r="BQ233" i="1" a="1"/>
  <c r="BQ233" i="1" s="1"/>
  <c r="BQ234" i="1" a="1"/>
  <c r="BQ234" i="1" s="1"/>
  <c r="BQ235" i="1" a="1"/>
  <c r="BQ235" i="1" s="1"/>
  <c r="BQ236" i="1" a="1"/>
  <c r="BQ236" i="1" s="1"/>
  <c r="BQ237" i="1" a="1"/>
  <c r="BQ237" i="1" s="1"/>
  <c r="BQ238" i="1" a="1"/>
  <c r="BQ238" i="1" s="1"/>
  <c r="BQ239" i="1" a="1"/>
  <c r="BQ239" i="1" s="1"/>
  <c r="BQ240" i="1" a="1"/>
  <c r="BQ240" i="1" s="1"/>
  <c r="BQ241" i="1" a="1"/>
  <c r="BQ241" i="1" s="1"/>
  <c r="BQ242" i="1" a="1"/>
  <c r="BQ242" i="1" s="1"/>
  <c r="BQ243" i="1" a="1"/>
  <c r="BQ243" i="1" s="1"/>
  <c r="BQ244" i="1" a="1"/>
  <c r="BQ244" i="1" s="1"/>
  <c r="BQ245" i="1" a="1"/>
  <c r="BQ245" i="1" s="1"/>
  <c r="BQ246" i="1" a="1"/>
  <c r="BQ246" i="1" s="1"/>
  <c r="BQ247" i="1" a="1"/>
  <c r="BQ247" i="1" s="1"/>
  <c r="BQ248" i="1" a="1"/>
  <c r="BQ248" i="1" s="1"/>
  <c r="BQ249" i="1" a="1"/>
  <c r="BQ249" i="1" s="1"/>
  <c r="BQ250" i="1" a="1"/>
  <c r="BQ250" i="1" s="1"/>
  <c r="BQ251" i="1" a="1"/>
  <c r="BQ251" i="1" s="1"/>
  <c r="BQ252" i="1" a="1"/>
  <c r="BQ252" i="1" s="1"/>
  <c r="BQ253" i="1" a="1"/>
  <c r="BQ253" i="1" s="1"/>
  <c r="BQ254" i="1" a="1"/>
  <c r="BQ254" i="1" s="1"/>
  <c r="BQ255" i="1" a="1"/>
  <c r="BQ255" i="1" s="1"/>
  <c r="BQ256" i="1" a="1"/>
  <c r="BQ256" i="1" s="1"/>
  <c r="BQ257" i="1" a="1"/>
  <c r="BQ257" i="1" s="1"/>
  <c r="BQ258" i="1" a="1"/>
  <c r="BQ258" i="1" s="1"/>
  <c r="BQ259" i="1" a="1"/>
  <c r="BQ259" i="1" s="1"/>
  <c r="BQ260" i="1" a="1"/>
  <c r="BQ260" i="1" s="1"/>
  <c r="BQ261" i="1" a="1"/>
  <c r="BQ261" i="1" s="1"/>
  <c r="BQ262" i="1" a="1"/>
  <c r="BQ262" i="1" s="1"/>
  <c r="BQ263" i="1" a="1"/>
  <c r="BQ263" i="1" s="1"/>
  <c r="BQ264" i="1" a="1"/>
  <c r="BQ264" i="1" s="1"/>
  <c r="BQ265" i="1" a="1"/>
  <c r="BQ265" i="1" s="1"/>
  <c r="BQ266" i="1" a="1"/>
  <c r="BQ266" i="1" s="1"/>
  <c r="BQ267" i="1" a="1"/>
  <c r="BQ267" i="1" s="1"/>
  <c r="BQ268" i="1" a="1"/>
  <c r="BQ268" i="1" s="1"/>
  <c r="BQ269" i="1" a="1"/>
  <c r="BQ269" i="1" s="1"/>
  <c r="BQ270" i="1" a="1"/>
  <c r="BQ270" i="1" s="1"/>
  <c r="BQ271" i="1" a="1"/>
  <c r="BQ271" i="1" s="1"/>
  <c r="BQ272" i="1" a="1"/>
  <c r="BQ272" i="1" s="1"/>
  <c r="BQ273" i="1" a="1"/>
  <c r="BQ273" i="1" s="1"/>
  <c r="BQ274" i="1" a="1"/>
  <c r="BQ274" i="1" s="1"/>
  <c r="BQ275" i="1" a="1"/>
  <c r="BQ275" i="1" s="1"/>
  <c r="BQ276" i="1" a="1"/>
  <c r="BQ276" i="1" s="1"/>
  <c r="BQ277" i="1" a="1"/>
  <c r="BQ277" i="1" s="1"/>
  <c r="BQ278" i="1" a="1"/>
  <c r="BQ278" i="1" s="1"/>
  <c r="BQ279" i="1" a="1"/>
  <c r="BQ279" i="1" s="1"/>
  <c r="BQ280" i="1" a="1"/>
  <c r="BQ280" i="1" s="1"/>
  <c r="BQ281" i="1" a="1"/>
  <c r="BQ281" i="1" s="1"/>
  <c r="BQ282" i="1" a="1"/>
  <c r="BQ282" i="1" s="1"/>
  <c r="BQ283" i="1" a="1"/>
  <c r="BQ283" i="1" s="1"/>
  <c r="BQ284" i="1" a="1"/>
  <c r="BQ284" i="1" s="1"/>
  <c r="BQ285" i="1" a="1"/>
  <c r="BQ285" i="1" s="1"/>
  <c r="BQ286" i="1" a="1"/>
  <c r="BQ286" i="1" s="1"/>
  <c r="BQ287" i="1" a="1"/>
  <c r="BQ287" i="1" s="1"/>
  <c r="BQ288" i="1" a="1"/>
  <c r="BQ288" i="1" s="1"/>
  <c r="BQ289" i="1" a="1"/>
  <c r="BQ289" i="1" s="1"/>
  <c r="BQ290" i="1" a="1"/>
  <c r="BQ290" i="1" s="1"/>
  <c r="BQ291" i="1" a="1"/>
  <c r="BQ291" i="1" s="1"/>
  <c r="BQ292" i="1" a="1"/>
  <c r="BQ292" i="1" s="1"/>
  <c r="BQ293" i="1" a="1"/>
  <c r="BQ293" i="1" s="1"/>
  <c r="BQ294" i="1" a="1"/>
  <c r="BQ294" i="1" s="1"/>
  <c r="BQ295" i="1" a="1"/>
  <c r="BQ295" i="1" s="1"/>
  <c r="BQ296" i="1" a="1"/>
  <c r="BQ296" i="1" s="1"/>
  <c r="BQ297" i="1" a="1"/>
  <c r="BQ297" i="1" s="1"/>
  <c r="BQ298" i="1" a="1"/>
  <c r="BQ298" i="1" s="1"/>
  <c r="BQ299" i="1" a="1"/>
  <c r="BQ299" i="1" s="1"/>
  <c r="BQ300" i="1" a="1"/>
  <c r="BQ300" i="1" s="1"/>
  <c r="BQ301" i="1" a="1"/>
  <c r="BQ301" i="1" s="1"/>
  <c r="BQ302" i="1" a="1"/>
  <c r="BQ302" i="1" s="1"/>
  <c r="BQ303" i="1" a="1"/>
  <c r="BQ303" i="1" s="1"/>
  <c r="BQ304" i="1" a="1"/>
  <c r="BQ304" i="1" s="1"/>
  <c r="BQ305" i="1" a="1"/>
  <c r="BQ305" i="1" s="1"/>
  <c r="BQ306" i="1" a="1"/>
  <c r="BQ306" i="1" s="1"/>
  <c r="BQ307" i="1" a="1"/>
  <c r="BQ307" i="1" s="1"/>
  <c r="BQ308" i="1" a="1"/>
  <c r="BQ308" i="1" s="1"/>
  <c r="BQ309" i="1" a="1"/>
  <c r="BQ309" i="1" s="1"/>
  <c r="BQ310" i="1" a="1"/>
  <c r="BQ310" i="1" s="1"/>
  <c r="BQ311" i="1" a="1"/>
  <c r="BQ311" i="1" s="1"/>
  <c r="BQ312" i="1" a="1"/>
  <c r="BQ312" i="1" s="1"/>
  <c r="BQ313" i="1" a="1"/>
  <c r="BQ313" i="1" s="1"/>
  <c r="BE313" i="1" l="1"/>
  <c r="BE312" i="1"/>
  <c r="BE311" i="1"/>
  <c r="BE310" i="1"/>
  <c r="BE309" i="1"/>
  <c r="BE308" i="1"/>
  <c r="BE307" i="1"/>
  <c r="BE306" i="1"/>
  <c r="BE305" i="1"/>
  <c r="BE304" i="1"/>
  <c r="BE303" i="1"/>
  <c r="BE302" i="1"/>
  <c r="BE301" i="1"/>
  <c r="BE300" i="1"/>
  <c r="BE299" i="1"/>
  <c r="BE298" i="1"/>
  <c r="BE297" i="1"/>
  <c r="BE296" i="1"/>
  <c r="BE295" i="1"/>
  <c r="BE294" i="1"/>
  <c r="BE293" i="1"/>
  <c r="BE292" i="1"/>
  <c r="BE291" i="1"/>
  <c r="BE290" i="1"/>
  <c r="BE289" i="1"/>
  <c r="BE288" i="1"/>
  <c r="BE287" i="1"/>
  <c r="BE286" i="1"/>
  <c r="BE285" i="1"/>
  <c r="BE284" i="1"/>
  <c r="BE283" i="1"/>
  <c r="BE282" i="1"/>
  <c r="BE281" i="1"/>
  <c r="BE280" i="1"/>
  <c r="BE279" i="1"/>
  <c r="BE278" i="1"/>
  <c r="BE277" i="1"/>
  <c r="BE276" i="1"/>
  <c r="BE275" i="1"/>
  <c r="BE274" i="1"/>
  <c r="BE273" i="1"/>
  <c r="BE272" i="1"/>
  <c r="BE271" i="1"/>
  <c r="BE270" i="1"/>
  <c r="BE269" i="1"/>
  <c r="BE268" i="1"/>
  <c r="BE267" i="1"/>
  <c r="BE266" i="1"/>
  <c r="BE265" i="1"/>
  <c r="BE264" i="1"/>
  <c r="BE263" i="1"/>
  <c r="BE262" i="1"/>
  <c r="BE261" i="1"/>
  <c r="BE260" i="1"/>
  <c r="BE259" i="1"/>
  <c r="BE258" i="1"/>
  <c r="BE257" i="1"/>
  <c r="BE256" i="1"/>
  <c r="BE255" i="1"/>
  <c r="BE254" i="1"/>
  <c r="BE253" i="1"/>
  <c r="BE252" i="1"/>
  <c r="BE251" i="1"/>
  <c r="BE250" i="1"/>
  <c r="BE249" i="1"/>
  <c r="BE248" i="1"/>
  <c r="BE247" i="1"/>
  <c r="BE246" i="1"/>
  <c r="BE245" i="1"/>
  <c r="BE244" i="1"/>
  <c r="BE243" i="1"/>
  <c r="BE242" i="1"/>
  <c r="BE241" i="1"/>
  <c r="BE240" i="1"/>
  <c r="BE239" i="1"/>
  <c r="BE238" i="1"/>
  <c r="BE237" i="1"/>
  <c r="BE236" i="1"/>
  <c r="BE235" i="1"/>
  <c r="BE234" i="1"/>
  <c r="BE233" i="1"/>
  <c r="BE232" i="1"/>
  <c r="BE231" i="1"/>
  <c r="BE230" i="1"/>
  <c r="BE229" i="1"/>
  <c r="BE228" i="1"/>
  <c r="BE227" i="1"/>
  <c r="BE226" i="1"/>
  <c r="BE225" i="1"/>
  <c r="BE224" i="1"/>
  <c r="BE223" i="1"/>
  <c r="BE222" i="1"/>
  <c r="BE221" i="1"/>
  <c r="BE220" i="1"/>
  <c r="BE219" i="1"/>
  <c r="BE218" i="1"/>
  <c r="BE217" i="1"/>
  <c r="BE216" i="1"/>
  <c r="BE215" i="1"/>
  <c r="BE214" i="1"/>
  <c r="BE213" i="1"/>
  <c r="BE212" i="1"/>
  <c r="BE211" i="1"/>
  <c r="BE210" i="1"/>
  <c r="BE209" i="1"/>
  <c r="BE208" i="1"/>
  <c r="BE207" i="1"/>
  <c r="BE206" i="1"/>
  <c r="BE205" i="1"/>
  <c r="BE204" i="1"/>
  <c r="BE203" i="1"/>
  <c r="BE202" i="1"/>
  <c r="BE201" i="1"/>
  <c r="BE200" i="1"/>
  <c r="BE199" i="1"/>
  <c r="BE198" i="1"/>
  <c r="BE197" i="1"/>
  <c r="BE196" i="1"/>
  <c r="BE195" i="1"/>
  <c r="BE194" i="1"/>
  <c r="BE193" i="1"/>
  <c r="BE192" i="1"/>
  <c r="BE191" i="1"/>
  <c r="BE190" i="1"/>
  <c r="BE189" i="1"/>
  <c r="BE188" i="1"/>
  <c r="BE187" i="1"/>
  <c r="BE186" i="1"/>
  <c r="BE185" i="1"/>
  <c r="BE184" i="1"/>
  <c r="BE183" i="1"/>
  <c r="BE182" i="1"/>
  <c r="BP2" i="1" l="1"/>
  <c r="BP3" i="1"/>
  <c r="BP4" i="1"/>
  <c r="BP5" i="1"/>
  <c r="BP6" i="1"/>
  <c r="BP7" i="1"/>
  <c r="BP8" i="1"/>
  <c r="BP9" i="1"/>
  <c r="BP10" i="1"/>
  <c r="BP11" i="1"/>
  <c r="BP12" i="1"/>
  <c r="BP13" i="1"/>
  <c r="BP14" i="1"/>
  <c r="BP15" i="1"/>
  <c r="BP16" i="1"/>
  <c r="BP17" i="1"/>
  <c r="BP18" i="1"/>
  <c r="BP19" i="1"/>
  <c r="BP20" i="1"/>
  <c r="BP21" i="1"/>
  <c r="BP22" i="1"/>
  <c r="BP23" i="1"/>
  <c r="BP24" i="1"/>
  <c r="BP25" i="1"/>
  <c r="BP26" i="1"/>
  <c r="BP27" i="1"/>
  <c r="BP28" i="1"/>
  <c r="BP29" i="1"/>
  <c r="BP30" i="1"/>
  <c r="BP31" i="1"/>
  <c r="BP32" i="1"/>
  <c r="BP33" i="1"/>
  <c r="BP34" i="1"/>
  <c r="BP35" i="1"/>
  <c r="BP36" i="1"/>
  <c r="BP37" i="1"/>
  <c r="BP38" i="1"/>
  <c r="BP39" i="1"/>
  <c r="BP40" i="1"/>
  <c r="BP41" i="1"/>
  <c r="BP42" i="1"/>
  <c r="BP43" i="1"/>
  <c r="BP44" i="1"/>
  <c r="BP45" i="1"/>
  <c r="BP46" i="1"/>
  <c r="BP47" i="1"/>
  <c r="BP48" i="1"/>
  <c r="BP49" i="1"/>
  <c r="BP50" i="1"/>
  <c r="BP51" i="1"/>
  <c r="BP52" i="1"/>
  <c r="BP53" i="1"/>
  <c r="BP54" i="1"/>
  <c r="BP55" i="1"/>
  <c r="BP56" i="1"/>
  <c r="BP57" i="1"/>
  <c r="BP58" i="1"/>
  <c r="BP59" i="1"/>
  <c r="BP60" i="1"/>
  <c r="BP61" i="1"/>
  <c r="BP62" i="1"/>
  <c r="BP63" i="1"/>
  <c r="BP64" i="1"/>
  <c r="BP65" i="1"/>
  <c r="BP66" i="1"/>
  <c r="BP67" i="1"/>
  <c r="BP68" i="1"/>
  <c r="BP69" i="1"/>
  <c r="BP70" i="1"/>
  <c r="BP71" i="1"/>
  <c r="BP72" i="1"/>
  <c r="BP73" i="1"/>
  <c r="BP74" i="1"/>
  <c r="BP75" i="1"/>
  <c r="BP76" i="1"/>
  <c r="BP77" i="1"/>
  <c r="BP78" i="1"/>
  <c r="BP79" i="1"/>
  <c r="BP80" i="1"/>
  <c r="BP81" i="1"/>
  <c r="BP82" i="1"/>
  <c r="BP83" i="1"/>
  <c r="BP84" i="1"/>
  <c r="BP85" i="1"/>
  <c r="BP86" i="1"/>
  <c r="BP87" i="1"/>
  <c r="BP88" i="1"/>
  <c r="BP89" i="1"/>
  <c r="BP90" i="1"/>
  <c r="BP91" i="1"/>
  <c r="BP92" i="1"/>
  <c r="BP93" i="1"/>
  <c r="BP94" i="1"/>
  <c r="BP95" i="1"/>
  <c r="BP96" i="1"/>
  <c r="BP97" i="1"/>
  <c r="BP98" i="1"/>
  <c r="BP99" i="1"/>
  <c r="BP100" i="1"/>
  <c r="BP101" i="1"/>
  <c r="BP102" i="1"/>
  <c r="BP103" i="1"/>
  <c r="BP104" i="1"/>
  <c r="BP106" i="1"/>
  <c r="BP107" i="1"/>
  <c r="BP108" i="1"/>
  <c r="BP109" i="1"/>
  <c r="BP110" i="1"/>
  <c r="BP111" i="1"/>
  <c r="BP112" i="1"/>
  <c r="BP113" i="1"/>
  <c r="BP114" i="1"/>
  <c r="BP115" i="1"/>
  <c r="BP116" i="1"/>
  <c r="BP117" i="1"/>
  <c r="BP118" i="1"/>
  <c r="BP119" i="1"/>
  <c r="BP120" i="1"/>
  <c r="BP121" i="1"/>
  <c r="BP122" i="1"/>
  <c r="BP123" i="1"/>
  <c r="BP124" i="1"/>
  <c r="BP125" i="1"/>
  <c r="BP126" i="1"/>
  <c r="BP127" i="1"/>
  <c r="BP128" i="1"/>
  <c r="BP129" i="1"/>
  <c r="BP130" i="1"/>
  <c r="BP131" i="1"/>
  <c r="BP132" i="1"/>
  <c r="BP133" i="1"/>
  <c r="BP134" i="1"/>
  <c r="BP135" i="1"/>
  <c r="BP136" i="1"/>
  <c r="BP137" i="1"/>
  <c r="BP138" i="1"/>
  <c r="BP139" i="1"/>
  <c r="BP140" i="1"/>
  <c r="BP141" i="1"/>
  <c r="BP142" i="1"/>
  <c r="BP143" i="1"/>
  <c r="BP144" i="1"/>
  <c r="BP145" i="1"/>
  <c r="BP146" i="1"/>
  <c r="BP147" i="1"/>
  <c r="BP148" i="1"/>
  <c r="BP149" i="1"/>
  <c r="BP150" i="1"/>
  <c r="BP151" i="1"/>
  <c r="BP152" i="1"/>
  <c r="BP153" i="1"/>
  <c r="BP154" i="1"/>
  <c r="BP155" i="1"/>
  <c r="BP156" i="1"/>
  <c r="BP157" i="1"/>
  <c r="BP158" i="1"/>
  <c r="BP159" i="1"/>
  <c r="BP160" i="1"/>
  <c r="BP161" i="1"/>
  <c r="BP162" i="1"/>
  <c r="BP163" i="1"/>
  <c r="BP164" i="1"/>
  <c r="BP165" i="1"/>
  <c r="BP166" i="1"/>
  <c r="BP167" i="1"/>
  <c r="BP168" i="1"/>
  <c r="BP169" i="1"/>
  <c r="BP170" i="1"/>
  <c r="BP171" i="1"/>
  <c r="BP172" i="1"/>
  <c r="BP173" i="1"/>
  <c r="BP174" i="1"/>
  <c r="BP175" i="1"/>
  <c r="BP176" i="1"/>
  <c r="BP177" i="1"/>
  <c r="BP178" i="1"/>
  <c r="BP179" i="1"/>
  <c r="BP180" i="1"/>
  <c r="BP181" i="1"/>
  <c r="BP182" i="1"/>
  <c r="BP183" i="1"/>
  <c r="BP184" i="1"/>
  <c r="BP185" i="1"/>
  <c r="BP186" i="1"/>
  <c r="BP187" i="1"/>
  <c r="BP188" i="1"/>
  <c r="BP189" i="1"/>
  <c r="BP190" i="1"/>
  <c r="BP191" i="1"/>
  <c r="BP192" i="1"/>
  <c r="BP193" i="1"/>
  <c r="BP194" i="1"/>
  <c r="BP195" i="1"/>
  <c r="BP196" i="1"/>
  <c r="BP197" i="1"/>
  <c r="BP198" i="1"/>
  <c r="BP199" i="1"/>
  <c r="BP200" i="1"/>
  <c r="BP201" i="1"/>
  <c r="BP202" i="1"/>
  <c r="BP203" i="1"/>
  <c r="BP204" i="1"/>
  <c r="BP205" i="1"/>
  <c r="BP206" i="1"/>
  <c r="BP207" i="1"/>
  <c r="BP208" i="1"/>
  <c r="BP209" i="1"/>
  <c r="BP210" i="1"/>
  <c r="BP211" i="1"/>
  <c r="BP212" i="1"/>
  <c r="BP213" i="1"/>
  <c r="BP214" i="1"/>
  <c r="BP215" i="1"/>
  <c r="BP216" i="1"/>
  <c r="BP217" i="1"/>
  <c r="BP218" i="1"/>
  <c r="BP219" i="1"/>
  <c r="BP220" i="1"/>
  <c r="BP221" i="1"/>
  <c r="BP222" i="1"/>
  <c r="BP223" i="1"/>
  <c r="BP224" i="1"/>
  <c r="BP225" i="1"/>
  <c r="BP226" i="1"/>
  <c r="BP227" i="1"/>
  <c r="BP228" i="1"/>
  <c r="BP229" i="1"/>
  <c r="BP230" i="1"/>
  <c r="BP231" i="1"/>
  <c r="BP232" i="1"/>
  <c r="BP233" i="1"/>
  <c r="BP234" i="1"/>
  <c r="BP235" i="1"/>
  <c r="BP236" i="1"/>
  <c r="BP237" i="1"/>
  <c r="BP238" i="1"/>
  <c r="BP239" i="1"/>
  <c r="BP240" i="1"/>
  <c r="BP241" i="1"/>
  <c r="BP242" i="1"/>
  <c r="BP243" i="1"/>
  <c r="BP244" i="1"/>
  <c r="BP245" i="1"/>
  <c r="BP246" i="1"/>
  <c r="BP247" i="1"/>
  <c r="BP248" i="1"/>
  <c r="BP249" i="1"/>
  <c r="BP250" i="1"/>
  <c r="BP251" i="1"/>
  <c r="BP252" i="1"/>
  <c r="BP253" i="1"/>
  <c r="BP254" i="1"/>
  <c r="BP255" i="1"/>
  <c r="BP256" i="1"/>
  <c r="BP257" i="1"/>
  <c r="BP258" i="1"/>
  <c r="BP259" i="1"/>
  <c r="BP260" i="1"/>
  <c r="BP261" i="1"/>
  <c r="BP262" i="1"/>
  <c r="BP263" i="1"/>
  <c r="BP264" i="1"/>
  <c r="BP265" i="1"/>
  <c r="BP266" i="1"/>
  <c r="BP267" i="1"/>
  <c r="BP268" i="1"/>
  <c r="BP269" i="1"/>
  <c r="BP270" i="1"/>
  <c r="BP271" i="1"/>
  <c r="BP272" i="1"/>
  <c r="BP273" i="1"/>
  <c r="BP274" i="1"/>
  <c r="BP275" i="1"/>
  <c r="BP276" i="1"/>
  <c r="BP277" i="1"/>
  <c r="BP278" i="1"/>
  <c r="BP279" i="1"/>
  <c r="BP280" i="1"/>
  <c r="BP281" i="1"/>
  <c r="BP282" i="1"/>
  <c r="BP283" i="1"/>
  <c r="BP284" i="1"/>
  <c r="BP285" i="1"/>
  <c r="BP286" i="1"/>
  <c r="BP287" i="1"/>
  <c r="BP288" i="1"/>
  <c r="BP289" i="1"/>
  <c r="BP290" i="1"/>
  <c r="BP291" i="1"/>
  <c r="BP292" i="1"/>
  <c r="BP293" i="1"/>
  <c r="BP294" i="1"/>
  <c r="BP295" i="1"/>
  <c r="BP296" i="1"/>
  <c r="BP297" i="1"/>
  <c r="BP298" i="1"/>
  <c r="BP299" i="1"/>
  <c r="BP300" i="1"/>
  <c r="BP301" i="1"/>
  <c r="BP302" i="1"/>
  <c r="BP303" i="1"/>
  <c r="BP304" i="1"/>
  <c r="BP305" i="1"/>
  <c r="BP306" i="1"/>
  <c r="BP307" i="1"/>
  <c r="BP308" i="1"/>
  <c r="BP309" i="1"/>
  <c r="BP310" i="1"/>
  <c r="BP311" i="1"/>
  <c r="BP312" i="1"/>
  <c r="BP313" i="1"/>
  <c r="B135" i="9"/>
  <c r="Y134" i="9"/>
  <c r="X134" i="9"/>
  <c r="W134" i="9"/>
  <c r="V134" i="9"/>
  <c r="U134" i="9"/>
  <c r="T134" i="9"/>
  <c r="S134" i="9"/>
  <c r="R134" i="9"/>
  <c r="Q134" i="9"/>
  <c r="P134" i="9"/>
  <c r="O134" i="9"/>
  <c r="N134" i="9"/>
  <c r="M134" i="9"/>
  <c r="L134" i="9"/>
  <c r="K134" i="9"/>
  <c r="J134" i="9"/>
  <c r="I134" i="9"/>
  <c r="H134" i="9"/>
  <c r="G134" i="9"/>
  <c r="F134" i="9"/>
  <c r="E134" i="9"/>
  <c r="E131" i="9"/>
  <c r="E138" i="9" s="1"/>
  <c r="Y130" i="9"/>
  <c r="Y129" i="9"/>
  <c r="X129" i="9"/>
  <c r="X130" i="9" s="1"/>
  <c r="W129" i="9"/>
  <c r="W130" i="9" s="1"/>
  <c r="V129" i="9"/>
  <c r="V130" i="9" s="1"/>
  <c r="U129" i="9"/>
  <c r="U130" i="9" s="1"/>
  <c r="T129" i="9"/>
  <c r="T130" i="9" s="1"/>
  <c r="S129" i="9"/>
  <c r="S130" i="9" s="1"/>
  <c r="R129" i="9"/>
  <c r="R130" i="9" s="1"/>
  <c r="Q129" i="9"/>
  <c r="Q130" i="9" s="1"/>
  <c r="P129" i="9"/>
  <c r="P130" i="9" s="1"/>
  <c r="O129" i="9"/>
  <c r="O130" i="9" s="1"/>
  <c r="N129" i="9"/>
  <c r="N130" i="9" s="1"/>
  <c r="M129" i="9"/>
  <c r="M130" i="9" s="1"/>
  <c r="L129" i="9"/>
  <c r="L130" i="9" s="1"/>
  <c r="K129" i="9"/>
  <c r="K130" i="9" s="1"/>
  <c r="J129" i="9"/>
  <c r="J130" i="9" s="1"/>
  <c r="I129" i="9"/>
  <c r="I130" i="9" s="1"/>
  <c r="H129" i="9"/>
  <c r="H130" i="9" s="1"/>
  <c r="G129" i="9"/>
  <c r="G130" i="9" s="1"/>
  <c r="F129" i="9"/>
  <c r="F130" i="9" s="1"/>
  <c r="E129" i="9"/>
  <c r="Y127" i="9"/>
  <c r="X127" i="9"/>
  <c r="X128" i="9" s="1"/>
  <c r="W127" i="9"/>
  <c r="W128" i="9" s="1"/>
  <c r="V127" i="9"/>
  <c r="V128" i="9" s="1"/>
  <c r="U127" i="9"/>
  <c r="U128" i="9" s="1"/>
  <c r="T127" i="9"/>
  <c r="S127" i="9"/>
  <c r="R127" i="9"/>
  <c r="Q127" i="9"/>
  <c r="P127" i="9"/>
  <c r="P128" i="9" s="1"/>
  <c r="O127" i="9"/>
  <c r="N127" i="9"/>
  <c r="M127" i="9"/>
  <c r="L127" i="9"/>
  <c r="K127" i="9"/>
  <c r="J127" i="9"/>
  <c r="I127" i="9"/>
  <c r="H127" i="9"/>
  <c r="H128" i="9" s="1"/>
  <c r="G127" i="9"/>
  <c r="G128" i="9" s="1"/>
  <c r="F127" i="9"/>
  <c r="F128" i="9" s="1"/>
  <c r="E127" i="9"/>
  <c r="W126" i="9"/>
  <c r="U126" i="9"/>
  <c r="S126" i="9"/>
  <c r="Q126" i="9"/>
  <c r="O126" i="9"/>
  <c r="M126" i="9"/>
  <c r="K126" i="9"/>
  <c r="I126" i="9"/>
  <c r="G126" i="9"/>
  <c r="E126" i="9"/>
  <c r="W124" i="9"/>
  <c r="U124" i="9"/>
  <c r="S124" i="9"/>
  <c r="Q124" i="9"/>
  <c r="O124" i="9"/>
  <c r="M124" i="9"/>
  <c r="K124" i="9"/>
  <c r="I124" i="9"/>
  <c r="G124" i="9"/>
  <c r="E124" i="9"/>
  <c r="E125" i="9" s="1"/>
  <c r="BL10" i="1"/>
  <c r="B110" i="9"/>
  <c r="Y109" i="9"/>
  <c r="X109" i="9"/>
  <c r="W109" i="9"/>
  <c r="V109" i="9"/>
  <c r="U109" i="9"/>
  <c r="T109" i="9"/>
  <c r="S109" i="9"/>
  <c r="R109" i="9"/>
  <c r="Q109" i="9"/>
  <c r="P109" i="9"/>
  <c r="O109" i="9"/>
  <c r="N109" i="9"/>
  <c r="M109" i="9"/>
  <c r="L109" i="9"/>
  <c r="K109" i="9"/>
  <c r="J109" i="9"/>
  <c r="I109" i="9"/>
  <c r="H109" i="9"/>
  <c r="G109" i="9"/>
  <c r="F109" i="9"/>
  <c r="E109" i="9"/>
  <c r="E106" i="9"/>
  <c r="E113" i="9" s="1"/>
  <c r="Y105" i="9"/>
  <c r="Y104" i="9"/>
  <c r="X104" i="9"/>
  <c r="X105" i="9" s="1"/>
  <c r="W104" i="9"/>
  <c r="W105" i="9" s="1"/>
  <c r="V104" i="9"/>
  <c r="V105" i="9" s="1"/>
  <c r="U104" i="9"/>
  <c r="U105" i="9" s="1"/>
  <c r="T104" i="9"/>
  <c r="T105" i="9" s="1"/>
  <c r="S104" i="9"/>
  <c r="S105" i="9" s="1"/>
  <c r="R104" i="9"/>
  <c r="R105" i="9" s="1"/>
  <c r="Q104" i="9"/>
  <c r="Q105" i="9" s="1"/>
  <c r="P104" i="9"/>
  <c r="P105" i="9" s="1"/>
  <c r="O104" i="9"/>
  <c r="O105" i="9" s="1"/>
  <c r="N104" i="9"/>
  <c r="N105" i="9" s="1"/>
  <c r="M104" i="9"/>
  <c r="M105" i="9" s="1"/>
  <c r="L104" i="9"/>
  <c r="L105" i="9" s="1"/>
  <c r="K104" i="9"/>
  <c r="K105" i="9" s="1"/>
  <c r="J104" i="9"/>
  <c r="J105" i="9" s="1"/>
  <c r="I104" i="9"/>
  <c r="I105" i="9" s="1"/>
  <c r="H104" i="9"/>
  <c r="H105" i="9" s="1"/>
  <c r="G104" i="9"/>
  <c r="G105" i="9" s="1"/>
  <c r="F104" i="9"/>
  <c r="F105" i="9" s="1"/>
  <c r="E104" i="9"/>
  <c r="Y102" i="9"/>
  <c r="X102" i="9"/>
  <c r="X103" i="9" s="1"/>
  <c r="W102" i="9"/>
  <c r="V102" i="9"/>
  <c r="U102" i="9"/>
  <c r="T102" i="9"/>
  <c r="T115" i="9" s="1"/>
  <c r="S102" i="9"/>
  <c r="S112" i="9" s="1"/>
  <c r="R102" i="9"/>
  <c r="R112" i="9" s="1"/>
  <c r="Q102" i="9"/>
  <c r="Q114" i="9" s="1"/>
  <c r="P102" i="9"/>
  <c r="P114" i="9" s="1"/>
  <c r="O102" i="9"/>
  <c r="O117" i="9" s="1"/>
  <c r="N102" i="9"/>
  <c r="N117" i="9" s="1"/>
  <c r="M102" i="9"/>
  <c r="M117" i="9" s="1"/>
  <c r="L102" i="9"/>
  <c r="L115" i="9" s="1"/>
  <c r="K102" i="9"/>
  <c r="K112" i="9" s="1"/>
  <c r="J102" i="9"/>
  <c r="J112" i="9" s="1"/>
  <c r="I102" i="9"/>
  <c r="I114" i="9" s="1"/>
  <c r="H102" i="9"/>
  <c r="H114" i="9" s="1"/>
  <c r="G102" i="9"/>
  <c r="G117" i="9" s="1"/>
  <c r="F102" i="9"/>
  <c r="F117" i="9" s="1"/>
  <c r="E102" i="9"/>
  <c r="E117" i="9" s="1"/>
  <c r="W101" i="9"/>
  <c r="U101" i="9"/>
  <c r="S101" i="9"/>
  <c r="Q101" i="9"/>
  <c r="O101" i="9"/>
  <c r="M101" i="9"/>
  <c r="K101" i="9"/>
  <c r="I101" i="9"/>
  <c r="G101" i="9"/>
  <c r="E101" i="9"/>
  <c r="W99" i="9"/>
  <c r="U99" i="9"/>
  <c r="S99" i="9"/>
  <c r="Q99" i="9"/>
  <c r="O99" i="9"/>
  <c r="M99" i="9"/>
  <c r="K99" i="9"/>
  <c r="I99" i="9"/>
  <c r="G99" i="9"/>
  <c r="E99" i="9"/>
  <c r="E100" i="9" s="1"/>
  <c r="B85" i="9"/>
  <c r="Y84" i="9"/>
  <c r="X84" i="9"/>
  <c r="W84" i="9"/>
  <c r="V84" i="9"/>
  <c r="U84" i="9"/>
  <c r="T84" i="9"/>
  <c r="S84" i="9"/>
  <c r="R84" i="9"/>
  <c r="Q84" i="9"/>
  <c r="P84" i="9"/>
  <c r="O84" i="9"/>
  <c r="N84" i="9"/>
  <c r="M84" i="9"/>
  <c r="L84" i="9"/>
  <c r="K84" i="9"/>
  <c r="J84" i="9"/>
  <c r="I84" i="9"/>
  <c r="H84" i="9"/>
  <c r="G84" i="9"/>
  <c r="F84" i="9"/>
  <c r="E84" i="9"/>
  <c r="E81" i="9"/>
  <c r="E88" i="9" s="1"/>
  <c r="Y80" i="9"/>
  <c r="Y79" i="9"/>
  <c r="X79" i="9"/>
  <c r="X80" i="9" s="1"/>
  <c r="W79" i="9"/>
  <c r="W80" i="9" s="1"/>
  <c r="V79" i="9"/>
  <c r="V80" i="9" s="1"/>
  <c r="U79" i="9"/>
  <c r="U80" i="9" s="1"/>
  <c r="T79" i="9"/>
  <c r="T80" i="9" s="1"/>
  <c r="S79" i="9"/>
  <c r="S80" i="9" s="1"/>
  <c r="R79" i="9"/>
  <c r="R80" i="9" s="1"/>
  <c r="Q79" i="9"/>
  <c r="Q80" i="9" s="1"/>
  <c r="P79" i="9"/>
  <c r="P80" i="9" s="1"/>
  <c r="O79" i="9"/>
  <c r="O80" i="9" s="1"/>
  <c r="N79" i="9"/>
  <c r="N80" i="9" s="1"/>
  <c r="M79" i="9"/>
  <c r="M80" i="9" s="1"/>
  <c r="L79" i="9"/>
  <c r="L80" i="9" s="1"/>
  <c r="K79" i="9"/>
  <c r="K80" i="9" s="1"/>
  <c r="J79" i="9"/>
  <c r="J80" i="9" s="1"/>
  <c r="I79" i="9"/>
  <c r="I80" i="9" s="1"/>
  <c r="H79" i="9"/>
  <c r="H80" i="9" s="1"/>
  <c r="G79" i="9"/>
  <c r="G80" i="9" s="1"/>
  <c r="F79" i="9"/>
  <c r="F80" i="9" s="1"/>
  <c r="E79" i="9"/>
  <c r="E80" i="9" s="1"/>
  <c r="Y77" i="9"/>
  <c r="Y78" i="9" s="1"/>
  <c r="X77" i="9"/>
  <c r="X78" i="9" s="1"/>
  <c r="W77" i="9"/>
  <c r="W78" i="9" s="1"/>
  <c r="V77" i="9"/>
  <c r="V92" i="9" s="1"/>
  <c r="U77" i="9"/>
  <c r="U86" i="9" s="1"/>
  <c r="T77" i="9"/>
  <c r="T90" i="9" s="1"/>
  <c r="S77" i="9"/>
  <c r="S87" i="9" s="1"/>
  <c r="R77" i="9"/>
  <c r="R87" i="9" s="1"/>
  <c r="Q77" i="9"/>
  <c r="Q89" i="9" s="1"/>
  <c r="P77" i="9"/>
  <c r="P89" i="9" s="1"/>
  <c r="O77" i="9"/>
  <c r="O92" i="9" s="1"/>
  <c r="N77" i="9"/>
  <c r="N92" i="9" s="1"/>
  <c r="M77" i="9"/>
  <c r="M89" i="9" s="1"/>
  <c r="L77" i="9"/>
  <c r="L90" i="9" s="1"/>
  <c r="K77" i="9"/>
  <c r="K87" i="9" s="1"/>
  <c r="J77" i="9"/>
  <c r="J87" i="9" s="1"/>
  <c r="I77" i="9"/>
  <c r="I89" i="9" s="1"/>
  <c r="H77" i="9"/>
  <c r="H89" i="9" s="1"/>
  <c r="G77" i="9"/>
  <c r="G92" i="9" s="1"/>
  <c r="F77" i="9"/>
  <c r="F92" i="9" s="1"/>
  <c r="E77" i="9"/>
  <c r="E89" i="9" s="1"/>
  <c r="W76" i="9"/>
  <c r="U76" i="9"/>
  <c r="S76" i="9"/>
  <c r="Q76" i="9"/>
  <c r="O76" i="9"/>
  <c r="M76" i="9"/>
  <c r="K76" i="9"/>
  <c r="I76" i="9"/>
  <c r="G76" i="9"/>
  <c r="E76" i="9"/>
  <c r="W74" i="9"/>
  <c r="U74" i="9"/>
  <c r="S74" i="9"/>
  <c r="Q74" i="9"/>
  <c r="O74" i="9"/>
  <c r="M74" i="9"/>
  <c r="K74" i="9"/>
  <c r="I74" i="9"/>
  <c r="G74" i="9"/>
  <c r="E74" i="9"/>
  <c r="E75" i="9" s="1"/>
  <c r="Y59" i="9"/>
  <c r="X59" i="9"/>
  <c r="W59" i="9"/>
  <c r="V59" i="9"/>
  <c r="U59" i="9"/>
  <c r="T59" i="9"/>
  <c r="S59" i="9"/>
  <c r="R59" i="9"/>
  <c r="Q59" i="9"/>
  <c r="P59" i="9"/>
  <c r="O59" i="9"/>
  <c r="N59" i="9"/>
  <c r="M59" i="9"/>
  <c r="L59" i="9"/>
  <c r="K59" i="9"/>
  <c r="J59" i="9"/>
  <c r="I59" i="9"/>
  <c r="H59" i="9"/>
  <c r="G59" i="9"/>
  <c r="F59" i="9"/>
  <c r="E59" i="9"/>
  <c r="Y54" i="9"/>
  <c r="X54" i="9"/>
  <c r="X55" i="9" s="1"/>
  <c r="W54" i="9"/>
  <c r="W55" i="9" s="1"/>
  <c r="V54" i="9"/>
  <c r="V55" i="9" s="1"/>
  <c r="U54" i="9"/>
  <c r="U55" i="9" s="1"/>
  <c r="T54" i="9"/>
  <c r="T55" i="9" s="1"/>
  <c r="S54" i="9"/>
  <c r="S55" i="9" s="1"/>
  <c r="R54" i="9"/>
  <c r="R55" i="9" s="1"/>
  <c r="Q54" i="9"/>
  <c r="Q55" i="9" s="1"/>
  <c r="P54" i="9"/>
  <c r="P55" i="9" s="1"/>
  <c r="O54" i="9"/>
  <c r="O55" i="9" s="1"/>
  <c r="N54" i="9"/>
  <c r="N55" i="9" s="1"/>
  <c r="M54" i="9"/>
  <c r="M55" i="9" s="1"/>
  <c r="L54" i="9"/>
  <c r="L55" i="9" s="1"/>
  <c r="K54" i="9"/>
  <c r="K55" i="9" s="1"/>
  <c r="J54" i="9"/>
  <c r="J55" i="9" s="1"/>
  <c r="I54" i="9"/>
  <c r="I55" i="9" s="1"/>
  <c r="H54" i="9"/>
  <c r="H55" i="9" s="1"/>
  <c r="G54" i="9"/>
  <c r="G55" i="9" s="1"/>
  <c r="F54" i="9"/>
  <c r="F55" i="9" s="1"/>
  <c r="E54" i="9"/>
  <c r="E55" i="9" s="1"/>
  <c r="B60" i="9"/>
  <c r="Y52" i="9"/>
  <c r="Y53" i="9" s="1"/>
  <c r="X52" i="9"/>
  <c r="X53" i="9" s="1"/>
  <c r="W52" i="9"/>
  <c r="W53" i="9" s="1"/>
  <c r="V52" i="9"/>
  <c r="V53" i="9" s="1"/>
  <c r="U52" i="9"/>
  <c r="U53" i="9" s="1"/>
  <c r="T52" i="9"/>
  <c r="T53" i="9" s="1"/>
  <c r="S52" i="9"/>
  <c r="S53" i="9" s="1"/>
  <c r="R52" i="9"/>
  <c r="R53" i="9" s="1"/>
  <c r="Q52" i="9"/>
  <c r="Q53" i="9" s="1"/>
  <c r="P52" i="9"/>
  <c r="P53" i="9" s="1"/>
  <c r="O52" i="9"/>
  <c r="O53" i="9" s="1"/>
  <c r="N52" i="9"/>
  <c r="N53" i="9" s="1"/>
  <c r="M52" i="9"/>
  <c r="M53" i="9" s="1"/>
  <c r="L52" i="9"/>
  <c r="L53" i="9" s="1"/>
  <c r="K52" i="9"/>
  <c r="K53" i="9" s="1"/>
  <c r="J52" i="9"/>
  <c r="J53" i="9" s="1"/>
  <c r="I52" i="9"/>
  <c r="I53" i="9" s="1"/>
  <c r="H52" i="9"/>
  <c r="H53" i="9" s="1"/>
  <c r="G52" i="9"/>
  <c r="G53" i="9" s="1"/>
  <c r="F52" i="9"/>
  <c r="F53" i="9" s="1"/>
  <c r="E52" i="9"/>
  <c r="E53" i="9" s="1"/>
  <c r="Y55" i="9"/>
  <c r="E56" i="9"/>
  <c r="E63" i="9" s="1"/>
  <c r="W51" i="9"/>
  <c r="G51" i="9"/>
  <c r="I51" i="9"/>
  <c r="K51" i="9"/>
  <c r="M51" i="9"/>
  <c r="O51" i="9"/>
  <c r="Q51" i="9"/>
  <c r="S51" i="9"/>
  <c r="U51" i="9"/>
  <c r="E51" i="9"/>
  <c r="W49" i="9"/>
  <c r="U49" i="9"/>
  <c r="G49" i="9"/>
  <c r="I49" i="9"/>
  <c r="K49" i="9"/>
  <c r="M49" i="9"/>
  <c r="O49" i="9"/>
  <c r="Q49" i="9"/>
  <c r="S49" i="9"/>
  <c r="E49" i="9"/>
  <c r="E50" i="9" s="1"/>
  <c r="T87" i="9" l="1"/>
  <c r="M137" i="9"/>
  <c r="U112" i="9"/>
  <c r="O137" i="9"/>
  <c r="Q139" i="9"/>
  <c r="S137" i="9"/>
  <c r="U137" i="9"/>
  <c r="M128" i="9"/>
  <c r="N128" i="9"/>
  <c r="O128" i="9"/>
  <c r="W137" i="9"/>
  <c r="K137" i="9"/>
  <c r="I139" i="9"/>
  <c r="G137" i="9"/>
  <c r="E128" i="9"/>
  <c r="Y139" i="9"/>
  <c r="G125" i="9"/>
  <c r="I125" i="9" s="1"/>
  <c r="K125" i="9" s="1"/>
  <c r="M125" i="9" s="1"/>
  <c r="O125" i="9" s="1"/>
  <c r="Q125" i="9" s="1"/>
  <c r="S125" i="9" s="1"/>
  <c r="U125" i="9" s="1"/>
  <c r="W125" i="9" s="1"/>
  <c r="M139" i="9"/>
  <c r="U139" i="9"/>
  <c r="I128" i="9"/>
  <c r="Q128" i="9"/>
  <c r="Y128" i="9"/>
  <c r="E130" i="9"/>
  <c r="F131" i="9" s="1"/>
  <c r="J128" i="9"/>
  <c r="R128" i="9"/>
  <c r="I137" i="9"/>
  <c r="Q137" i="9"/>
  <c r="Y137" i="9"/>
  <c r="G139" i="9"/>
  <c r="O139" i="9"/>
  <c r="W139" i="9"/>
  <c r="K139" i="9"/>
  <c r="S139" i="9"/>
  <c r="K128" i="9"/>
  <c r="S128" i="9"/>
  <c r="L128" i="9"/>
  <c r="T128" i="9"/>
  <c r="V78" i="9"/>
  <c r="Y62" i="9"/>
  <c r="W62" i="9"/>
  <c r="Q62" i="9"/>
  <c r="V90" i="9"/>
  <c r="E112" i="9"/>
  <c r="E103" i="9"/>
  <c r="E114" i="9"/>
  <c r="M112" i="9"/>
  <c r="W112" i="9"/>
  <c r="J114" i="9"/>
  <c r="H103" i="9"/>
  <c r="P115" i="9"/>
  <c r="N103" i="9"/>
  <c r="I117" i="9"/>
  <c r="P103" i="9"/>
  <c r="P117" i="9"/>
  <c r="O118" i="9" s="1"/>
  <c r="J111" i="9"/>
  <c r="G87" i="9"/>
  <c r="P87" i="9"/>
  <c r="R92" i="9"/>
  <c r="F78" i="9"/>
  <c r="V87" i="9"/>
  <c r="G78" i="9"/>
  <c r="J89" i="9"/>
  <c r="I78" i="9"/>
  <c r="R89" i="9"/>
  <c r="O78" i="9"/>
  <c r="W87" i="9"/>
  <c r="R86" i="9"/>
  <c r="H90" i="9"/>
  <c r="P78" i="9"/>
  <c r="F87" i="9"/>
  <c r="P90" i="9"/>
  <c r="U103" i="9"/>
  <c r="V103" i="9"/>
  <c r="U114" i="9"/>
  <c r="T112" i="9"/>
  <c r="R111" i="9"/>
  <c r="R114" i="9"/>
  <c r="Q117" i="9"/>
  <c r="O112" i="9"/>
  <c r="M115" i="9"/>
  <c r="M103" i="9"/>
  <c r="M111" i="9"/>
  <c r="M114" i="9"/>
  <c r="L112" i="9"/>
  <c r="H115" i="9"/>
  <c r="H117" i="9"/>
  <c r="G118" i="9" s="1"/>
  <c r="G112" i="9"/>
  <c r="Y114" i="9"/>
  <c r="F103" i="9"/>
  <c r="E111" i="9"/>
  <c r="E115" i="9"/>
  <c r="G100" i="9"/>
  <c r="I100" i="9" s="1"/>
  <c r="K100" i="9" s="1"/>
  <c r="M100" i="9" s="1"/>
  <c r="O100" i="9" s="1"/>
  <c r="Q100" i="9" s="1"/>
  <c r="S100" i="9" s="1"/>
  <c r="U100" i="9" s="1"/>
  <c r="W100" i="9" s="1"/>
  <c r="E120" i="9"/>
  <c r="E118" i="9"/>
  <c r="E119" i="9" s="1"/>
  <c r="M118" i="9"/>
  <c r="M120" i="9"/>
  <c r="K111" i="9"/>
  <c r="S111" i="9"/>
  <c r="K114" i="9"/>
  <c r="S114" i="9"/>
  <c r="F115" i="9"/>
  <c r="N115" i="9"/>
  <c r="G103" i="9"/>
  <c r="O103" i="9"/>
  <c r="W103" i="9"/>
  <c r="L111" i="9"/>
  <c r="T111" i="9"/>
  <c r="F112" i="9"/>
  <c r="N112" i="9"/>
  <c r="L114" i="9"/>
  <c r="T114" i="9"/>
  <c r="G115" i="9"/>
  <c r="O115" i="9"/>
  <c r="J117" i="9"/>
  <c r="R117" i="9"/>
  <c r="I103" i="9"/>
  <c r="Q103" i="9"/>
  <c r="Y103" i="9"/>
  <c r="E105" i="9"/>
  <c r="F106" i="9" s="1"/>
  <c r="F111" i="9"/>
  <c r="N111" i="9"/>
  <c r="H112" i="9"/>
  <c r="P112" i="9"/>
  <c r="F114" i="9"/>
  <c r="N114" i="9"/>
  <c r="I115" i="9"/>
  <c r="Q115" i="9"/>
  <c r="L117" i="9"/>
  <c r="T117" i="9"/>
  <c r="J103" i="9"/>
  <c r="R103" i="9"/>
  <c r="G111" i="9"/>
  <c r="O111" i="9"/>
  <c r="I112" i="9"/>
  <c r="Q112" i="9"/>
  <c r="Y112" i="9"/>
  <c r="G114" i="9"/>
  <c r="O114" i="9"/>
  <c r="W114" i="9"/>
  <c r="J115" i="9"/>
  <c r="R115" i="9"/>
  <c r="S117" i="9"/>
  <c r="K103" i="9"/>
  <c r="S103" i="9"/>
  <c r="H111" i="9"/>
  <c r="P111" i="9"/>
  <c r="K115" i="9"/>
  <c r="S115" i="9"/>
  <c r="K117" i="9"/>
  <c r="L103" i="9"/>
  <c r="T103" i="9"/>
  <c r="I111" i="9"/>
  <c r="Q111" i="9"/>
  <c r="U78" i="9"/>
  <c r="U90" i="9"/>
  <c r="U87" i="9"/>
  <c r="Q90" i="9"/>
  <c r="Q92" i="9"/>
  <c r="Q78" i="9"/>
  <c r="P92" i="9"/>
  <c r="O93" i="9" s="1"/>
  <c r="O87" i="9"/>
  <c r="O90" i="9"/>
  <c r="N78" i="9"/>
  <c r="N87" i="9"/>
  <c r="N90" i="9"/>
  <c r="M78" i="9"/>
  <c r="M90" i="9"/>
  <c r="M87" i="9"/>
  <c r="L87" i="9"/>
  <c r="J92" i="9"/>
  <c r="J86" i="9"/>
  <c r="I90" i="9"/>
  <c r="I92" i="9"/>
  <c r="H92" i="9"/>
  <c r="G93" i="9" s="1"/>
  <c r="H78" i="9"/>
  <c r="H87" i="9"/>
  <c r="Y89" i="9"/>
  <c r="G90" i="9"/>
  <c r="F90" i="9"/>
  <c r="E90" i="9"/>
  <c r="E78" i="9"/>
  <c r="E87" i="9"/>
  <c r="G75" i="9"/>
  <c r="I75" i="9" s="1"/>
  <c r="K75" i="9" s="1"/>
  <c r="M75" i="9" s="1"/>
  <c r="O75" i="9" s="1"/>
  <c r="Q75" i="9" s="1"/>
  <c r="S75" i="9" s="1"/>
  <c r="U75" i="9" s="1"/>
  <c r="W75" i="9" s="1"/>
  <c r="K86" i="9"/>
  <c r="K89" i="9"/>
  <c r="L89" i="9"/>
  <c r="F81" i="9"/>
  <c r="M86" i="9"/>
  <c r="U89" i="9"/>
  <c r="N86" i="9"/>
  <c r="V86" i="9"/>
  <c r="N89" i="9"/>
  <c r="L92" i="9"/>
  <c r="T92" i="9"/>
  <c r="J78" i="9"/>
  <c r="R78" i="9"/>
  <c r="G86" i="9"/>
  <c r="O86" i="9"/>
  <c r="I87" i="9"/>
  <c r="Q87" i="9"/>
  <c r="Y87" i="9"/>
  <c r="G89" i="9"/>
  <c r="O89" i="9"/>
  <c r="W89" i="9"/>
  <c r="J90" i="9"/>
  <c r="R90" i="9"/>
  <c r="E92" i="9"/>
  <c r="M92" i="9"/>
  <c r="U92" i="9"/>
  <c r="T86" i="9"/>
  <c r="T89" i="9"/>
  <c r="E86" i="9"/>
  <c r="K92" i="9"/>
  <c r="S92" i="9"/>
  <c r="F86" i="9"/>
  <c r="F89" i="9"/>
  <c r="V89" i="9"/>
  <c r="K78" i="9"/>
  <c r="S78" i="9"/>
  <c r="H86" i="9"/>
  <c r="P86" i="9"/>
  <c r="K90" i="9"/>
  <c r="S90" i="9"/>
  <c r="S86" i="9"/>
  <c r="S89" i="9"/>
  <c r="L86" i="9"/>
  <c r="L78" i="9"/>
  <c r="T78" i="9"/>
  <c r="I86" i="9"/>
  <c r="Q86" i="9"/>
  <c r="U64" i="9"/>
  <c r="K62" i="9"/>
  <c r="S64" i="9"/>
  <c r="M62" i="9"/>
  <c r="O62" i="9"/>
  <c r="I62" i="9"/>
  <c r="G64" i="9"/>
  <c r="G62" i="9"/>
  <c r="U62" i="9"/>
  <c r="S62" i="9"/>
  <c r="Q64" i="9"/>
  <c r="M64" i="9"/>
  <c r="O64" i="9"/>
  <c r="I64" i="9"/>
  <c r="K64" i="9"/>
  <c r="E62" i="9"/>
  <c r="E64" i="9"/>
  <c r="W64" i="9"/>
  <c r="Y64" i="9"/>
  <c r="B61" i="9"/>
  <c r="B59" i="9" s="1"/>
  <c r="B53" i="9"/>
  <c r="B52" i="9"/>
  <c r="F56" i="9"/>
  <c r="F63" i="9" s="1"/>
  <c r="G50" i="9"/>
  <c r="I50" i="9" s="1"/>
  <c r="K50" i="9" s="1"/>
  <c r="M50" i="9" s="1"/>
  <c r="O50" i="9" s="1"/>
  <c r="Q50" i="9" s="1"/>
  <c r="S50" i="9" s="1"/>
  <c r="U50" i="9" s="1"/>
  <c r="W50" i="9" s="1"/>
  <c r="E137" i="9" l="1"/>
  <c r="E139" i="9"/>
  <c r="B128" i="9"/>
  <c r="B136" i="9"/>
  <c r="B134" i="9" s="1"/>
  <c r="B127" i="9"/>
  <c r="F138" i="9"/>
  <c r="G131" i="9"/>
  <c r="O95" i="9"/>
  <c r="Q95" i="9"/>
  <c r="G95" i="9"/>
  <c r="Q120" i="9"/>
  <c r="I120" i="9"/>
  <c r="O120" i="9"/>
  <c r="I118" i="9"/>
  <c r="G120" i="9"/>
  <c r="I93" i="9"/>
  <c r="I95" i="9"/>
  <c r="Q118" i="9"/>
  <c r="B102" i="9"/>
  <c r="G119" i="9"/>
  <c r="F113" i="9"/>
  <c r="G106" i="9"/>
  <c r="B103" i="9"/>
  <c r="B111" i="9"/>
  <c r="B109" i="9" s="1"/>
  <c r="S120" i="9"/>
  <c r="K118" i="9"/>
  <c r="K120" i="9"/>
  <c r="B86" i="9"/>
  <c r="B84" i="9" s="1"/>
  <c r="B77" i="9"/>
  <c r="Q93" i="9"/>
  <c r="S95" i="9"/>
  <c r="S93" i="9"/>
  <c r="K95" i="9"/>
  <c r="K93" i="9"/>
  <c r="B78" i="9"/>
  <c r="F88" i="9"/>
  <c r="G81" i="9"/>
  <c r="E95" i="9"/>
  <c r="E93" i="9"/>
  <c r="E94" i="9" s="1"/>
  <c r="G94" i="9" s="1"/>
  <c r="U95" i="9"/>
  <c r="M93" i="9"/>
  <c r="M95" i="9"/>
  <c r="B54" i="9"/>
  <c r="G56" i="9"/>
  <c r="G63" i="9" s="1"/>
  <c r="I94" i="9" l="1"/>
  <c r="K94" i="9" s="1"/>
  <c r="M94" i="9" s="1"/>
  <c r="O94" i="9" s="1"/>
  <c r="Q94" i="9" s="1"/>
  <c r="S94" i="9" s="1"/>
  <c r="B129" i="9"/>
  <c r="B126" i="9" s="1"/>
  <c r="H131" i="9"/>
  <c r="G138" i="9"/>
  <c r="I119" i="9"/>
  <c r="K119" i="9" s="1"/>
  <c r="M119" i="9" s="1"/>
  <c r="O119" i="9" s="1"/>
  <c r="Q119" i="9" s="1"/>
  <c r="B104" i="9"/>
  <c r="B101" i="9" s="1"/>
  <c r="G113" i="9"/>
  <c r="H106" i="9"/>
  <c r="B79" i="9"/>
  <c r="B76" i="9" s="1"/>
  <c r="G88" i="9"/>
  <c r="H81" i="9"/>
  <c r="B51" i="9"/>
  <c r="H56" i="9"/>
  <c r="H63" i="9" s="1"/>
  <c r="I131" i="9" l="1"/>
  <c r="H138" i="9"/>
  <c r="I106" i="9"/>
  <c r="H113" i="9"/>
  <c r="I81" i="9"/>
  <c r="H88" i="9"/>
  <c r="I56" i="9"/>
  <c r="I63" i="9" s="1"/>
  <c r="J131" i="9" l="1"/>
  <c r="I138" i="9"/>
  <c r="J106" i="9"/>
  <c r="I113" i="9"/>
  <c r="J81" i="9"/>
  <c r="I88" i="9"/>
  <c r="J56" i="9"/>
  <c r="J63" i="9" s="1"/>
  <c r="J138" i="9" l="1"/>
  <c r="K131" i="9"/>
  <c r="J113" i="9"/>
  <c r="K106" i="9"/>
  <c r="J88" i="9"/>
  <c r="K81" i="9"/>
  <c r="K56" i="9"/>
  <c r="K63" i="9" s="1"/>
  <c r="L131" i="9" l="1"/>
  <c r="K138" i="9"/>
  <c r="K113" i="9"/>
  <c r="L106" i="9"/>
  <c r="L81" i="9"/>
  <c r="K88" i="9"/>
  <c r="L56" i="9"/>
  <c r="L63" i="9" s="1"/>
  <c r="L138" i="9" l="1"/>
  <c r="M131" i="9"/>
  <c r="L113" i="9"/>
  <c r="M106" i="9"/>
  <c r="M81" i="9"/>
  <c r="L88" i="9"/>
  <c r="M56" i="9"/>
  <c r="M63" i="9" s="1"/>
  <c r="M138" i="9" l="1"/>
  <c r="N131" i="9"/>
  <c r="M113" i="9"/>
  <c r="N106" i="9"/>
  <c r="M88" i="9"/>
  <c r="N81" i="9"/>
  <c r="N56" i="9"/>
  <c r="N63" i="9" s="1"/>
  <c r="N138" i="9" l="1"/>
  <c r="O131" i="9"/>
  <c r="N113" i="9"/>
  <c r="O106" i="9"/>
  <c r="N88" i="9"/>
  <c r="O81" i="9"/>
  <c r="O56" i="9"/>
  <c r="O63" i="9" s="1"/>
  <c r="P131" i="9" l="1"/>
  <c r="O138" i="9"/>
  <c r="P106" i="9"/>
  <c r="O113" i="9"/>
  <c r="P81" i="9"/>
  <c r="O88" i="9"/>
  <c r="P56" i="9"/>
  <c r="P63" i="9" s="1"/>
  <c r="Q131" i="9" l="1"/>
  <c r="P138" i="9"/>
  <c r="Q106" i="9"/>
  <c r="P113" i="9"/>
  <c r="P88" i="9"/>
  <c r="Q81" i="9"/>
  <c r="Q56" i="9"/>
  <c r="Q63" i="9" s="1"/>
  <c r="R131" i="9" l="1"/>
  <c r="Q138" i="9"/>
  <c r="R106" i="9"/>
  <c r="Q113" i="9"/>
  <c r="R81" i="9"/>
  <c r="Q88" i="9"/>
  <c r="R56" i="9"/>
  <c r="R63" i="9" s="1"/>
  <c r="R138" i="9" l="1"/>
  <c r="S131" i="9"/>
  <c r="R113" i="9"/>
  <c r="S106" i="9"/>
  <c r="S81" i="9"/>
  <c r="R88" i="9"/>
  <c r="S56" i="9"/>
  <c r="S63" i="9" s="1"/>
  <c r="T131" i="9" l="1"/>
  <c r="S138" i="9"/>
  <c r="S113" i="9"/>
  <c r="T106" i="9"/>
  <c r="T81" i="9"/>
  <c r="S88" i="9"/>
  <c r="T56" i="9"/>
  <c r="T63" i="9" s="1"/>
  <c r="T138" i="9" l="1"/>
  <c r="U131" i="9"/>
  <c r="T113" i="9"/>
  <c r="U106" i="9"/>
  <c r="U81" i="9"/>
  <c r="T88" i="9"/>
  <c r="U56" i="9"/>
  <c r="U63" i="9" s="1"/>
  <c r="BL200" i="1"/>
  <c r="A9" i="8"/>
  <c r="A10" i="8" s="1"/>
  <c r="A11" i="8" s="1"/>
  <c r="A12" i="8" s="1"/>
  <c r="A13" i="8" s="1"/>
  <c r="A14" i="8" s="1"/>
  <c r="A15" i="8" s="1"/>
  <c r="A16" i="8" s="1"/>
  <c r="A17" i="8" s="1"/>
  <c r="A18" i="8" s="1"/>
  <c r="A19" i="8" s="1"/>
  <c r="A20" i="8" s="1"/>
  <c r="A21" i="8" s="1"/>
  <c r="A22" i="8" s="1"/>
  <c r="A23" i="8" s="1"/>
  <c r="A24" i="8" s="1"/>
  <c r="A25" i="8" s="1"/>
  <c r="A26" i="8" s="1"/>
  <c r="A31" i="8"/>
  <c r="BL164" i="1"/>
  <c r="U138" i="9" l="1"/>
  <c r="V131" i="9"/>
  <c r="U113" i="9"/>
  <c r="V106" i="9"/>
  <c r="V81" i="9"/>
  <c r="U88" i="9"/>
  <c r="V56" i="9"/>
  <c r="V63" i="9" s="1"/>
  <c r="A32" i="8"/>
  <c r="BM313" i="1"/>
  <c r="BM312" i="1"/>
  <c r="BM311" i="1"/>
  <c r="BM310" i="1"/>
  <c r="BM309" i="1"/>
  <c r="BM308" i="1"/>
  <c r="BM307" i="1"/>
  <c r="BM306" i="1"/>
  <c r="BM305" i="1"/>
  <c r="BM304" i="1"/>
  <c r="BM303" i="1"/>
  <c r="BM302" i="1"/>
  <c r="BM301" i="1"/>
  <c r="BM300" i="1"/>
  <c r="BM299" i="1"/>
  <c r="BM298" i="1"/>
  <c r="BM297" i="1"/>
  <c r="BM296" i="1"/>
  <c r="BM295" i="1"/>
  <c r="BM294" i="1"/>
  <c r="BM293" i="1"/>
  <c r="BM292" i="1"/>
  <c r="BM291" i="1"/>
  <c r="BM290" i="1"/>
  <c r="BM289" i="1"/>
  <c r="BM288" i="1"/>
  <c r="BM287" i="1"/>
  <c r="BM286" i="1"/>
  <c r="BM285" i="1"/>
  <c r="BM284" i="1"/>
  <c r="BM283" i="1"/>
  <c r="BM282" i="1"/>
  <c r="BM281" i="1"/>
  <c r="BM280" i="1"/>
  <c r="BM279" i="1"/>
  <c r="BM278" i="1"/>
  <c r="BM277" i="1"/>
  <c r="BM276" i="1"/>
  <c r="BM275" i="1"/>
  <c r="BM274" i="1"/>
  <c r="BM273" i="1"/>
  <c r="BM272" i="1"/>
  <c r="BM271" i="1"/>
  <c r="BM270" i="1"/>
  <c r="BM269" i="1"/>
  <c r="BM268" i="1"/>
  <c r="BM267" i="1"/>
  <c r="BM266" i="1"/>
  <c r="BM265" i="1"/>
  <c r="BM264" i="1"/>
  <c r="BM263" i="1"/>
  <c r="BM262" i="1"/>
  <c r="BM261" i="1"/>
  <c r="BM260" i="1"/>
  <c r="BM259" i="1"/>
  <c r="BM258" i="1"/>
  <c r="BM257" i="1"/>
  <c r="BM256" i="1"/>
  <c r="BM255" i="1"/>
  <c r="BM254" i="1"/>
  <c r="BM253" i="1"/>
  <c r="BM252" i="1"/>
  <c r="BM251" i="1"/>
  <c r="BM250" i="1"/>
  <c r="BM249" i="1"/>
  <c r="BM248" i="1"/>
  <c r="BM247" i="1"/>
  <c r="BM246" i="1"/>
  <c r="BM245" i="1"/>
  <c r="BM244" i="1"/>
  <c r="BM243" i="1"/>
  <c r="BM242" i="1"/>
  <c r="BM241" i="1"/>
  <c r="BM240" i="1"/>
  <c r="BM239" i="1"/>
  <c r="BM238" i="1"/>
  <c r="BM237" i="1"/>
  <c r="BM236" i="1"/>
  <c r="BL56" i="1"/>
  <c r="BL3" i="1"/>
  <c r="BN313" i="1"/>
  <c r="BN312" i="1"/>
  <c r="BN311" i="1"/>
  <c r="BN310" i="1"/>
  <c r="BN309" i="1"/>
  <c r="BN308" i="1"/>
  <c r="BN307" i="1"/>
  <c r="BN306" i="1"/>
  <c r="BN305" i="1"/>
  <c r="BN304" i="1"/>
  <c r="BN303" i="1"/>
  <c r="BN302" i="1"/>
  <c r="BN301" i="1"/>
  <c r="BN300" i="1"/>
  <c r="BN299" i="1"/>
  <c r="BN298" i="1"/>
  <c r="BN297" i="1"/>
  <c r="BN296" i="1"/>
  <c r="BN295" i="1"/>
  <c r="BN294" i="1"/>
  <c r="BN293" i="1"/>
  <c r="BN292" i="1"/>
  <c r="BN291" i="1"/>
  <c r="BN290" i="1"/>
  <c r="BN289" i="1"/>
  <c r="BN288" i="1"/>
  <c r="BN287" i="1"/>
  <c r="BN286" i="1"/>
  <c r="BN285" i="1"/>
  <c r="BN284" i="1"/>
  <c r="BN283" i="1"/>
  <c r="BN282" i="1"/>
  <c r="BN281" i="1"/>
  <c r="BN280" i="1"/>
  <c r="BN279" i="1"/>
  <c r="BN278" i="1"/>
  <c r="BN277" i="1"/>
  <c r="BN276" i="1"/>
  <c r="BN275" i="1"/>
  <c r="BN274" i="1"/>
  <c r="BN273" i="1"/>
  <c r="BN272" i="1"/>
  <c r="BN271" i="1"/>
  <c r="BN270" i="1"/>
  <c r="BN269" i="1"/>
  <c r="BN268" i="1"/>
  <c r="BN267" i="1"/>
  <c r="BN266" i="1"/>
  <c r="BN265" i="1"/>
  <c r="BN264" i="1"/>
  <c r="BN263" i="1"/>
  <c r="BN262" i="1"/>
  <c r="BN261" i="1"/>
  <c r="BN260" i="1"/>
  <c r="BN259" i="1"/>
  <c r="BN258" i="1"/>
  <c r="BN257" i="1"/>
  <c r="BN256" i="1"/>
  <c r="BN255" i="1"/>
  <c r="BN254" i="1"/>
  <c r="BN253" i="1"/>
  <c r="BN252" i="1"/>
  <c r="BN251" i="1"/>
  <c r="BN250" i="1"/>
  <c r="BN249" i="1"/>
  <c r="BN248" i="1"/>
  <c r="BN247" i="1"/>
  <c r="BN246" i="1"/>
  <c r="BN245" i="1"/>
  <c r="BN244" i="1"/>
  <c r="BN243" i="1"/>
  <c r="BN242" i="1"/>
  <c r="BN241" i="1"/>
  <c r="BN240" i="1"/>
  <c r="BN239" i="1"/>
  <c r="BN238" i="1"/>
  <c r="BN237" i="1"/>
  <c r="BN236" i="1"/>
  <c r="BK313" i="1"/>
  <c r="BK312" i="1"/>
  <c r="BK311" i="1"/>
  <c r="BK310" i="1"/>
  <c r="BK309" i="1"/>
  <c r="BK308" i="1"/>
  <c r="BK307" i="1"/>
  <c r="BK306" i="1"/>
  <c r="BK305" i="1"/>
  <c r="BK304" i="1"/>
  <c r="BK303" i="1"/>
  <c r="BK302" i="1"/>
  <c r="BK301" i="1"/>
  <c r="BK300" i="1"/>
  <c r="BK299" i="1"/>
  <c r="BK298" i="1"/>
  <c r="BK297" i="1"/>
  <c r="BK296" i="1"/>
  <c r="BK295" i="1"/>
  <c r="BK294" i="1"/>
  <c r="BK293" i="1"/>
  <c r="BK292" i="1"/>
  <c r="BK291" i="1"/>
  <c r="BK290" i="1"/>
  <c r="BK289" i="1"/>
  <c r="BK288" i="1"/>
  <c r="BK287" i="1"/>
  <c r="BK286" i="1"/>
  <c r="BK285" i="1"/>
  <c r="BK284" i="1"/>
  <c r="BK283" i="1"/>
  <c r="BK282" i="1"/>
  <c r="BK281" i="1"/>
  <c r="BK280" i="1"/>
  <c r="BK279" i="1"/>
  <c r="BK278" i="1"/>
  <c r="BK277" i="1"/>
  <c r="BK276" i="1"/>
  <c r="BK275" i="1"/>
  <c r="BK274" i="1"/>
  <c r="BK273" i="1"/>
  <c r="BK272" i="1"/>
  <c r="BK271" i="1"/>
  <c r="BK270" i="1"/>
  <c r="BK269" i="1"/>
  <c r="BK268" i="1"/>
  <c r="BK267" i="1"/>
  <c r="BK266" i="1"/>
  <c r="BK265" i="1"/>
  <c r="BK264" i="1"/>
  <c r="BK263" i="1"/>
  <c r="BK262" i="1"/>
  <c r="BK261" i="1"/>
  <c r="BK260" i="1"/>
  <c r="BK259" i="1"/>
  <c r="BK258" i="1"/>
  <c r="BK257" i="1"/>
  <c r="BK256" i="1"/>
  <c r="BK255" i="1"/>
  <c r="BK254" i="1"/>
  <c r="BK253" i="1"/>
  <c r="BK252" i="1"/>
  <c r="BK251" i="1"/>
  <c r="BK250" i="1"/>
  <c r="BK249" i="1"/>
  <c r="BK248" i="1"/>
  <c r="BK247" i="1"/>
  <c r="BK246" i="1"/>
  <c r="BK245" i="1"/>
  <c r="BK244" i="1"/>
  <c r="BK243" i="1"/>
  <c r="BK242" i="1"/>
  <c r="BK241" i="1"/>
  <c r="BK240" i="1"/>
  <c r="BK239" i="1"/>
  <c r="BK238" i="1"/>
  <c r="BK237" i="1"/>
  <c r="BK236" i="1"/>
  <c r="BJ313" i="1"/>
  <c r="BJ312" i="1"/>
  <c r="BJ311" i="1"/>
  <c r="BJ310" i="1"/>
  <c r="BJ309" i="1"/>
  <c r="BJ308" i="1"/>
  <c r="BJ307" i="1"/>
  <c r="BJ306" i="1"/>
  <c r="BJ305" i="1"/>
  <c r="BJ304" i="1"/>
  <c r="BJ303" i="1"/>
  <c r="BJ302" i="1"/>
  <c r="BJ301" i="1"/>
  <c r="BJ300" i="1"/>
  <c r="BJ299" i="1"/>
  <c r="BJ298" i="1"/>
  <c r="BJ297" i="1"/>
  <c r="BJ296" i="1"/>
  <c r="BJ295" i="1"/>
  <c r="BJ294" i="1"/>
  <c r="BJ293" i="1"/>
  <c r="BJ292" i="1"/>
  <c r="BJ291" i="1"/>
  <c r="BJ290" i="1"/>
  <c r="BJ289" i="1"/>
  <c r="BJ288" i="1"/>
  <c r="BJ287" i="1"/>
  <c r="BJ286" i="1"/>
  <c r="BJ285" i="1"/>
  <c r="BJ284" i="1"/>
  <c r="BJ283" i="1"/>
  <c r="BJ282" i="1"/>
  <c r="BJ281" i="1"/>
  <c r="BJ280" i="1"/>
  <c r="BJ279" i="1"/>
  <c r="BJ278" i="1"/>
  <c r="BJ277" i="1"/>
  <c r="BJ276" i="1"/>
  <c r="BJ275" i="1"/>
  <c r="BJ274" i="1"/>
  <c r="BJ273" i="1"/>
  <c r="BJ272" i="1"/>
  <c r="BJ271" i="1"/>
  <c r="BJ270" i="1"/>
  <c r="BJ269" i="1"/>
  <c r="BJ268" i="1"/>
  <c r="BJ267" i="1"/>
  <c r="BJ266" i="1"/>
  <c r="BJ265" i="1"/>
  <c r="BJ264" i="1"/>
  <c r="BJ263" i="1"/>
  <c r="BJ262" i="1"/>
  <c r="BJ261" i="1"/>
  <c r="BJ260" i="1"/>
  <c r="BJ259" i="1"/>
  <c r="BJ258" i="1"/>
  <c r="BJ257" i="1"/>
  <c r="BJ256" i="1"/>
  <c r="BJ255" i="1"/>
  <c r="BJ254" i="1"/>
  <c r="BJ253" i="1"/>
  <c r="BJ252" i="1"/>
  <c r="BJ251" i="1"/>
  <c r="BJ250" i="1"/>
  <c r="BJ249" i="1"/>
  <c r="BJ248" i="1"/>
  <c r="BJ247" i="1"/>
  <c r="BJ246" i="1"/>
  <c r="BJ245" i="1"/>
  <c r="BJ244" i="1"/>
  <c r="BJ243" i="1"/>
  <c r="BJ242" i="1"/>
  <c r="BJ241" i="1"/>
  <c r="BJ240" i="1"/>
  <c r="BJ239" i="1"/>
  <c r="BJ238" i="1"/>
  <c r="BJ237" i="1"/>
  <c r="BJ236" i="1"/>
  <c r="BL2" i="1"/>
  <c r="BL313" i="1"/>
  <c r="BL312" i="1"/>
  <c r="BL311" i="1"/>
  <c r="BL310" i="1"/>
  <c r="BL309" i="1"/>
  <c r="BL308" i="1"/>
  <c r="BL307" i="1"/>
  <c r="BL306" i="1"/>
  <c r="BL305" i="1"/>
  <c r="BL304" i="1"/>
  <c r="BL303" i="1"/>
  <c r="BL302" i="1"/>
  <c r="BL301" i="1"/>
  <c r="BL300" i="1"/>
  <c r="BL299" i="1"/>
  <c r="BL298" i="1"/>
  <c r="BL297" i="1"/>
  <c r="BL296" i="1"/>
  <c r="BL295" i="1"/>
  <c r="BL294" i="1"/>
  <c r="BL293" i="1"/>
  <c r="BL292" i="1"/>
  <c r="BL291" i="1"/>
  <c r="BL290" i="1"/>
  <c r="BL289" i="1"/>
  <c r="BL288" i="1"/>
  <c r="BL287" i="1"/>
  <c r="BL286" i="1"/>
  <c r="BL285" i="1"/>
  <c r="BL284" i="1"/>
  <c r="BL283" i="1"/>
  <c r="BL282" i="1"/>
  <c r="BL281" i="1"/>
  <c r="BL280" i="1"/>
  <c r="BL279" i="1"/>
  <c r="BL278" i="1"/>
  <c r="BL277" i="1"/>
  <c r="BL276" i="1"/>
  <c r="BL275" i="1"/>
  <c r="BL274" i="1"/>
  <c r="BL273" i="1"/>
  <c r="BL272" i="1"/>
  <c r="BL271" i="1"/>
  <c r="BL270" i="1"/>
  <c r="BL269" i="1"/>
  <c r="BL268" i="1"/>
  <c r="BL267" i="1"/>
  <c r="BL266" i="1"/>
  <c r="BL265" i="1"/>
  <c r="BL264" i="1"/>
  <c r="BL263" i="1"/>
  <c r="BL262" i="1"/>
  <c r="BL261" i="1"/>
  <c r="BL260" i="1"/>
  <c r="BL259" i="1"/>
  <c r="BL258" i="1"/>
  <c r="BL257" i="1"/>
  <c r="BL256" i="1"/>
  <c r="BL255" i="1"/>
  <c r="BL254" i="1"/>
  <c r="BL253" i="1"/>
  <c r="BL252" i="1"/>
  <c r="BL251" i="1"/>
  <c r="BL250" i="1"/>
  <c r="BL249" i="1"/>
  <c r="BL248" i="1"/>
  <c r="BL247" i="1"/>
  <c r="BL246" i="1"/>
  <c r="BL245" i="1"/>
  <c r="BL244" i="1"/>
  <c r="BL243" i="1"/>
  <c r="BL242" i="1"/>
  <c r="BL241" i="1"/>
  <c r="BL240" i="1"/>
  <c r="BL239" i="1"/>
  <c r="BL238" i="1"/>
  <c r="BL237" i="1"/>
  <c r="BL236" i="1"/>
  <c r="BL235" i="1"/>
  <c r="BL234" i="1"/>
  <c r="BL233" i="1"/>
  <c r="BL232" i="1"/>
  <c r="BL231" i="1"/>
  <c r="BL230" i="1"/>
  <c r="BL229" i="1"/>
  <c r="BL228" i="1"/>
  <c r="BL227" i="1"/>
  <c r="BL226" i="1"/>
  <c r="BL225" i="1"/>
  <c r="BL224" i="1"/>
  <c r="BL223" i="1"/>
  <c r="BL222" i="1"/>
  <c r="BL221" i="1"/>
  <c r="BL220" i="1"/>
  <c r="BL219" i="1"/>
  <c r="BL218" i="1"/>
  <c r="BL217" i="1"/>
  <c r="BL216" i="1"/>
  <c r="BL215" i="1"/>
  <c r="BL214" i="1"/>
  <c r="BL213" i="1"/>
  <c r="BL212" i="1"/>
  <c r="BL211" i="1"/>
  <c r="BL210" i="1"/>
  <c r="BL209" i="1"/>
  <c r="BL208" i="1"/>
  <c r="BL207" i="1"/>
  <c r="BL206" i="1"/>
  <c r="BL205" i="1"/>
  <c r="BL204" i="1"/>
  <c r="BL203" i="1"/>
  <c r="BL202" i="1"/>
  <c r="BL201" i="1"/>
  <c r="BL199" i="1"/>
  <c r="BL198" i="1"/>
  <c r="BL197" i="1"/>
  <c r="BL196" i="1"/>
  <c r="BL195" i="1"/>
  <c r="BL194" i="1"/>
  <c r="BL193" i="1"/>
  <c r="BL192" i="1"/>
  <c r="BL191" i="1"/>
  <c r="BL190" i="1"/>
  <c r="BL189" i="1"/>
  <c r="BL188" i="1"/>
  <c r="BL187" i="1"/>
  <c r="BL186" i="1"/>
  <c r="BL185" i="1"/>
  <c r="BL184" i="1"/>
  <c r="BL183" i="1"/>
  <c r="BL182" i="1"/>
  <c r="BL181" i="1"/>
  <c r="BL180" i="1"/>
  <c r="BL179" i="1"/>
  <c r="BL178" i="1"/>
  <c r="BL177" i="1"/>
  <c r="BL176" i="1"/>
  <c r="BL175" i="1"/>
  <c r="BL174" i="1"/>
  <c r="BL173" i="1"/>
  <c r="BL172" i="1"/>
  <c r="BL171" i="1"/>
  <c r="BL170" i="1"/>
  <c r="BL169" i="1"/>
  <c r="BL168" i="1"/>
  <c r="BL167" i="1"/>
  <c r="BL166" i="1"/>
  <c r="BL165" i="1"/>
  <c r="BL163" i="1"/>
  <c r="BL162" i="1"/>
  <c r="BL161" i="1"/>
  <c r="BL160" i="1"/>
  <c r="BL159" i="1"/>
  <c r="BL158" i="1"/>
  <c r="BL157" i="1"/>
  <c r="BL156" i="1"/>
  <c r="BL155" i="1"/>
  <c r="BL154" i="1"/>
  <c r="BL153" i="1"/>
  <c r="BL152" i="1"/>
  <c r="BL151" i="1"/>
  <c r="BL150" i="1"/>
  <c r="BL149" i="1"/>
  <c r="BL148" i="1"/>
  <c r="BL147" i="1"/>
  <c r="BL146" i="1"/>
  <c r="BL145" i="1"/>
  <c r="BL144" i="1"/>
  <c r="BL143" i="1"/>
  <c r="BL142" i="1"/>
  <c r="BL141" i="1"/>
  <c r="BL140" i="1"/>
  <c r="BL139" i="1"/>
  <c r="BL138" i="1"/>
  <c r="BL137" i="1"/>
  <c r="BL136" i="1"/>
  <c r="BL135" i="1"/>
  <c r="BL134" i="1"/>
  <c r="BL133" i="1"/>
  <c r="BL132" i="1"/>
  <c r="BL131" i="1"/>
  <c r="BL130" i="1"/>
  <c r="BL129" i="1"/>
  <c r="BL128" i="1"/>
  <c r="BL127" i="1"/>
  <c r="BL126" i="1"/>
  <c r="BL125" i="1"/>
  <c r="BL124" i="1"/>
  <c r="BL123" i="1"/>
  <c r="BL122" i="1"/>
  <c r="BL121" i="1"/>
  <c r="BL120" i="1"/>
  <c r="BL119" i="1"/>
  <c r="BL118" i="1"/>
  <c r="BL117" i="1"/>
  <c r="BL116" i="1"/>
  <c r="BL115" i="1"/>
  <c r="BL114" i="1"/>
  <c r="BL113" i="1"/>
  <c r="BL112" i="1"/>
  <c r="BL111" i="1"/>
  <c r="BL110" i="1"/>
  <c r="BL109" i="1"/>
  <c r="BL108" i="1"/>
  <c r="BL107" i="1"/>
  <c r="BL106" i="1"/>
  <c r="BL105" i="1"/>
  <c r="BL104" i="1"/>
  <c r="BL103" i="1"/>
  <c r="BL102" i="1"/>
  <c r="BL101" i="1"/>
  <c r="BL100" i="1"/>
  <c r="BL99" i="1"/>
  <c r="BL98" i="1"/>
  <c r="BL97" i="1"/>
  <c r="BL96" i="1"/>
  <c r="BL95" i="1"/>
  <c r="BL94" i="1"/>
  <c r="BL93" i="1"/>
  <c r="BL92" i="1"/>
  <c r="BL91" i="1"/>
  <c r="BL90" i="1"/>
  <c r="BL89" i="1"/>
  <c r="BL88" i="1"/>
  <c r="BL87" i="1"/>
  <c r="BL86" i="1"/>
  <c r="BL85" i="1"/>
  <c r="BL84" i="1"/>
  <c r="BL83" i="1"/>
  <c r="BL82" i="1"/>
  <c r="BL81" i="1"/>
  <c r="BL80" i="1"/>
  <c r="BL79" i="1"/>
  <c r="BL78" i="1"/>
  <c r="BL77" i="1"/>
  <c r="BL76" i="1"/>
  <c r="BL75" i="1"/>
  <c r="BL74" i="1"/>
  <c r="BL73" i="1"/>
  <c r="BL72" i="1"/>
  <c r="BL71" i="1"/>
  <c r="BL70" i="1"/>
  <c r="BL69" i="1"/>
  <c r="BL68" i="1"/>
  <c r="BL67" i="1"/>
  <c r="BL66" i="1"/>
  <c r="BL65" i="1"/>
  <c r="BL64" i="1"/>
  <c r="BL63" i="1"/>
  <c r="BL62" i="1"/>
  <c r="BL61" i="1"/>
  <c r="BL60" i="1"/>
  <c r="BL59" i="1"/>
  <c r="BL58" i="1"/>
  <c r="BL57" i="1"/>
  <c r="BL55" i="1"/>
  <c r="BL54" i="1"/>
  <c r="BL53" i="1"/>
  <c r="BL52" i="1"/>
  <c r="BL51" i="1"/>
  <c r="BL50" i="1"/>
  <c r="BL49" i="1"/>
  <c r="BL48" i="1"/>
  <c r="BL47" i="1"/>
  <c r="BL46" i="1"/>
  <c r="BL45" i="1"/>
  <c r="BL44" i="1"/>
  <c r="BL43" i="1"/>
  <c r="BL42" i="1"/>
  <c r="BL41" i="1"/>
  <c r="BL40" i="1"/>
  <c r="BL39" i="1"/>
  <c r="BL38" i="1"/>
  <c r="BL37" i="1"/>
  <c r="BL36" i="1"/>
  <c r="BL35" i="1"/>
  <c r="BL34" i="1"/>
  <c r="BL33" i="1"/>
  <c r="BL32" i="1"/>
  <c r="BL31" i="1"/>
  <c r="BL30" i="1"/>
  <c r="BL29" i="1"/>
  <c r="BL28" i="1"/>
  <c r="BL27" i="1"/>
  <c r="BL26" i="1"/>
  <c r="BL25" i="1"/>
  <c r="BL24" i="1"/>
  <c r="BL23" i="1"/>
  <c r="BL22" i="1"/>
  <c r="BL21" i="1"/>
  <c r="BL20" i="1"/>
  <c r="BL19" i="1"/>
  <c r="BL18" i="1"/>
  <c r="BL17" i="1"/>
  <c r="BL16" i="1"/>
  <c r="BL15" i="1"/>
  <c r="BL14" i="1"/>
  <c r="BL13" i="1"/>
  <c r="BL12" i="1"/>
  <c r="BL11" i="1"/>
  <c r="BL9" i="1"/>
  <c r="BL8" i="1"/>
  <c r="BL7" i="1"/>
  <c r="BL6" i="1"/>
  <c r="BL5" i="1"/>
  <c r="BL4" i="1"/>
  <c r="BO313" i="1"/>
  <c r="BO312" i="1"/>
  <c r="BO311" i="1"/>
  <c r="BO310" i="1"/>
  <c r="BO309" i="1"/>
  <c r="BO308" i="1"/>
  <c r="BO307" i="1"/>
  <c r="BO306" i="1"/>
  <c r="BO305" i="1"/>
  <c r="BO304" i="1"/>
  <c r="BO303" i="1"/>
  <c r="BO302" i="1"/>
  <c r="BO301" i="1"/>
  <c r="BO300" i="1"/>
  <c r="BO299" i="1"/>
  <c r="BO298" i="1"/>
  <c r="BO297" i="1"/>
  <c r="BO296" i="1"/>
  <c r="BO295" i="1"/>
  <c r="BO294" i="1"/>
  <c r="BO293" i="1"/>
  <c r="BO292" i="1"/>
  <c r="BO291" i="1"/>
  <c r="BO290" i="1"/>
  <c r="BO289" i="1"/>
  <c r="BO288" i="1"/>
  <c r="BO287" i="1"/>
  <c r="BO286" i="1"/>
  <c r="BO285" i="1"/>
  <c r="BO284" i="1"/>
  <c r="BO283" i="1"/>
  <c r="BO282" i="1"/>
  <c r="BO281" i="1"/>
  <c r="BO280" i="1"/>
  <c r="BO279" i="1"/>
  <c r="BO278" i="1"/>
  <c r="BO277" i="1"/>
  <c r="BO276" i="1"/>
  <c r="BO275" i="1"/>
  <c r="BO274" i="1"/>
  <c r="BO273" i="1"/>
  <c r="BO272" i="1"/>
  <c r="BO271" i="1"/>
  <c r="BO270" i="1"/>
  <c r="BO269" i="1"/>
  <c r="BO268" i="1"/>
  <c r="BO267" i="1"/>
  <c r="BO266" i="1"/>
  <c r="BO265" i="1"/>
  <c r="BO264" i="1"/>
  <c r="BO263" i="1"/>
  <c r="BO262" i="1"/>
  <c r="BO261" i="1"/>
  <c r="BO260" i="1"/>
  <c r="BO259" i="1"/>
  <c r="BO258" i="1"/>
  <c r="BO257" i="1"/>
  <c r="BO256" i="1"/>
  <c r="BO255" i="1"/>
  <c r="BO254" i="1"/>
  <c r="BO253" i="1"/>
  <c r="BO252" i="1"/>
  <c r="BO251" i="1"/>
  <c r="BO250" i="1"/>
  <c r="BO249" i="1"/>
  <c r="BO248" i="1"/>
  <c r="BO247" i="1"/>
  <c r="BO246" i="1"/>
  <c r="BO245" i="1"/>
  <c r="BO244" i="1"/>
  <c r="BO243" i="1"/>
  <c r="BO242" i="1"/>
  <c r="BO241" i="1"/>
  <c r="BO240" i="1"/>
  <c r="BO239" i="1"/>
  <c r="BO238" i="1"/>
  <c r="BO237" i="1"/>
  <c r="BO236" i="1"/>
  <c r="BI313" i="1"/>
  <c r="BH313" i="1"/>
  <c r="BI312" i="1"/>
  <c r="BH312" i="1"/>
  <c r="BI311" i="1"/>
  <c r="BH311" i="1"/>
  <c r="BI310" i="1"/>
  <c r="BH310" i="1"/>
  <c r="BI309" i="1"/>
  <c r="BH309" i="1"/>
  <c r="BI308" i="1"/>
  <c r="BH308" i="1"/>
  <c r="BI307" i="1"/>
  <c r="BH307" i="1"/>
  <c r="BI306" i="1"/>
  <c r="BH306" i="1"/>
  <c r="BI305" i="1"/>
  <c r="BH305" i="1"/>
  <c r="BI304" i="1"/>
  <c r="BH304" i="1"/>
  <c r="BI303" i="1"/>
  <c r="BH303" i="1"/>
  <c r="BI302" i="1"/>
  <c r="BH302" i="1"/>
  <c r="BI301" i="1"/>
  <c r="BH301" i="1"/>
  <c r="BI300" i="1"/>
  <c r="BH300" i="1"/>
  <c r="BI299" i="1"/>
  <c r="BH299" i="1"/>
  <c r="BI298" i="1"/>
  <c r="BH298" i="1"/>
  <c r="BI297" i="1"/>
  <c r="BH297" i="1"/>
  <c r="BI296" i="1"/>
  <c r="BH296" i="1"/>
  <c r="BI295" i="1"/>
  <c r="BH295" i="1"/>
  <c r="BI294" i="1"/>
  <c r="BH294" i="1"/>
  <c r="BI293" i="1"/>
  <c r="BH293" i="1"/>
  <c r="BI292" i="1"/>
  <c r="BH292" i="1"/>
  <c r="BI291" i="1"/>
  <c r="BH291" i="1"/>
  <c r="BI290" i="1"/>
  <c r="BH290" i="1"/>
  <c r="BI289" i="1"/>
  <c r="BH289" i="1"/>
  <c r="BI288" i="1"/>
  <c r="BH288" i="1"/>
  <c r="BI287" i="1"/>
  <c r="BH287" i="1"/>
  <c r="BI286" i="1"/>
  <c r="BH286" i="1"/>
  <c r="BI285" i="1"/>
  <c r="BH285" i="1"/>
  <c r="BI284" i="1"/>
  <c r="BH284" i="1"/>
  <c r="BI283" i="1"/>
  <c r="BH283" i="1"/>
  <c r="BI282" i="1"/>
  <c r="BH282" i="1"/>
  <c r="BI281" i="1"/>
  <c r="BH281" i="1"/>
  <c r="BI280" i="1"/>
  <c r="BH280" i="1"/>
  <c r="BI279" i="1"/>
  <c r="BH279" i="1"/>
  <c r="BI278" i="1"/>
  <c r="BH278" i="1"/>
  <c r="BI277" i="1"/>
  <c r="BH277" i="1"/>
  <c r="BI276" i="1"/>
  <c r="BH276" i="1"/>
  <c r="BI275" i="1"/>
  <c r="BH275" i="1"/>
  <c r="BI274" i="1"/>
  <c r="BH274" i="1"/>
  <c r="BI273" i="1"/>
  <c r="BH273" i="1"/>
  <c r="BI272" i="1"/>
  <c r="BH272" i="1"/>
  <c r="BI271" i="1"/>
  <c r="BH271" i="1"/>
  <c r="BI270" i="1"/>
  <c r="BH270" i="1"/>
  <c r="BI269" i="1"/>
  <c r="BH269" i="1"/>
  <c r="BI268" i="1"/>
  <c r="BH268" i="1"/>
  <c r="BI267" i="1"/>
  <c r="BH267" i="1"/>
  <c r="BI266" i="1"/>
  <c r="BH266" i="1"/>
  <c r="BI265" i="1"/>
  <c r="BH265" i="1"/>
  <c r="BI264" i="1"/>
  <c r="BH264" i="1"/>
  <c r="BI263" i="1"/>
  <c r="BH263" i="1"/>
  <c r="BI262" i="1"/>
  <c r="BH262" i="1"/>
  <c r="BI261" i="1"/>
  <c r="BH261" i="1"/>
  <c r="BI260" i="1"/>
  <c r="BH260" i="1"/>
  <c r="BI259" i="1"/>
  <c r="BH259" i="1"/>
  <c r="BI258" i="1"/>
  <c r="BH258" i="1"/>
  <c r="BI257" i="1"/>
  <c r="BH257" i="1"/>
  <c r="BI256" i="1"/>
  <c r="BH256" i="1"/>
  <c r="BI255" i="1"/>
  <c r="BH255" i="1"/>
  <c r="BI254" i="1"/>
  <c r="BH254" i="1"/>
  <c r="BI253" i="1"/>
  <c r="BH253" i="1"/>
  <c r="BI252" i="1"/>
  <c r="BH252" i="1"/>
  <c r="BI251" i="1"/>
  <c r="BH251" i="1"/>
  <c r="BI250" i="1"/>
  <c r="BH250" i="1"/>
  <c r="BI249" i="1"/>
  <c r="BH249" i="1"/>
  <c r="BI248" i="1"/>
  <c r="BH248" i="1"/>
  <c r="BI247" i="1"/>
  <c r="BH247" i="1"/>
  <c r="BI246" i="1"/>
  <c r="BH246" i="1"/>
  <c r="BI245" i="1"/>
  <c r="BH245" i="1"/>
  <c r="BI244" i="1"/>
  <c r="BH244" i="1"/>
  <c r="BI243" i="1"/>
  <c r="BH243" i="1"/>
  <c r="BI242" i="1"/>
  <c r="BH242" i="1"/>
  <c r="BI241" i="1"/>
  <c r="BH241" i="1"/>
  <c r="BI240" i="1"/>
  <c r="BH240" i="1"/>
  <c r="BI239" i="1"/>
  <c r="BH239" i="1"/>
  <c r="BI238" i="1"/>
  <c r="BH238" i="1"/>
  <c r="BI237" i="1"/>
  <c r="BH237" i="1"/>
  <c r="BI236" i="1"/>
  <c r="BH236" i="1"/>
  <c r="BG313" i="1"/>
  <c r="BF313" i="1"/>
  <c r="BG312" i="1"/>
  <c r="BF312" i="1"/>
  <c r="BG311" i="1"/>
  <c r="BF311" i="1"/>
  <c r="BG310" i="1"/>
  <c r="BF310" i="1"/>
  <c r="BG309" i="1"/>
  <c r="BF309" i="1"/>
  <c r="BG308" i="1"/>
  <c r="BF308" i="1"/>
  <c r="BG307" i="1"/>
  <c r="BF307" i="1"/>
  <c r="BG306" i="1"/>
  <c r="BF306" i="1"/>
  <c r="BG305" i="1"/>
  <c r="BF305" i="1"/>
  <c r="BG304" i="1"/>
  <c r="BF304" i="1"/>
  <c r="BG303" i="1"/>
  <c r="BF303" i="1"/>
  <c r="BG302" i="1"/>
  <c r="BF302" i="1"/>
  <c r="BG301" i="1"/>
  <c r="BF301" i="1"/>
  <c r="BG300" i="1"/>
  <c r="BF300" i="1"/>
  <c r="BG299" i="1"/>
  <c r="BF299" i="1"/>
  <c r="BG298" i="1"/>
  <c r="BF298" i="1"/>
  <c r="BG297" i="1"/>
  <c r="BF297" i="1"/>
  <c r="BG296" i="1"/>
  <c r="BF296" i="1"/>
  <c r="BG295" i="1"/>
  <c r="BF295" i="1"/>
  <c r="BG294" i="1"/>
  <c r="BF294" i="1"/>
  <c r="BG293" i="1"/>
  <c r="BF293" i="1"/>
  <c r="BG292" i="1"/>
  <c r="BF292" i="1"/>
  <c r="BG291" i="1"/>
  <c r="BF291" i="1"/>
  <c r="BG290" i="1"/>
  <c r="BF290" i="1"/>
  <c r="BG289" i="1"/>
  <c r="BF289" i="1"/>
  <c r="BG288" i="1"/>
  <c r="BF288" i="1"/>
  <c r="BG287" i="1"/>
  <c r="BF287" i="1"/>
  <c r="BG286" i="1"/>
  <c r="BF286" i="1"/>
  <c r="BG285" i="1"/>
  <c r="BF285" i="1"/>
  <c r="BG284" i="1"/>
  <c r="BF284" i="1"/>
  <c r="BG283" i="1"/>
  <c r="BF283" i="1"/>
  <c r="BG282" i="1"/>
  <c r="BF282" i="1"/>
  <c r="BG281" i="1"/>
  <c r="BF281" i="1"/>
  <c r="BG280" i="1"/>
  <c r="BF280" i="1"/>
  <c r="BG279" i="1"/>
  <c r="BF279" i="1"/>
  <c r="BG278" i="1"/>
  <c r="BF278" i="1"/>
  <c r="BG277" i="1"/>
  <c r="BF277" i="1"/>
  <c r="BG276" i="1"/>
  <c r="BF276" i="1"/>
  <c r="BG275" i="1"/>
  <c r="BF275" i="1"/>
  <c r="BG274" i="1"/>
  <c r="BF274" i="1"/>
  <c r="BG273" i="1"/>
  <c r="BF273" i="1"/>
  <c r="BG272" i="1"/>
  <c r="BF272" i="1"/>
  <c r="BG271" i="1"/>
  <c r="BF271" i="1"/>
  <c r="BG270" i="1"/>
  <c r="BF270" i="1"/>
  <c r="BG269" i="1"/>
  <c r="BF269" i="1"/>
  <c r="BG268" i="1"/>
  <c r="BF268" i="1"/>
  <c r="BG267" i="1"/>
  <c r="BF267" i="1"/>
  <c r="BG266" i="1"/>
  <c r="BF266" i="1"/>
  <c r="BG265" i="1"/>
  <c r="BF265" i="1"/>
  <c r="BG264" i="1"/>
  <c r="BF264" i="1"/>
  <c r="BG263" i="1"/>
  <c r="BF263" i="1"/>
  <c r="BG262" i="1"/>
  <c r="BF262" i="1"/>
  <c r="BG261" i="1"/>
  <c r="BF261" i="1"/>
  <c r="BG260" i="1"/>
  <c r="BF260" i="1"/>
  <c r="BG259" i="1"/>
  <c r="BF259" i="1"/>
  <c r="BG258" i="1"/>
  <c r="BF258" i="1"/>
  <c r="BG257" i="1"/>
  <c r="BF257" i="1"/>
  <c r="BG256" i="1"/>
  <c r="BF256" i="1"/>
  <c r="BG255" i="1"/>
  <c r="BF255" i="1"/>
  <c r="BG254" i="1"/>
  <c r="BF254" i="1"/>
  <c r="BG253" i="1"/>
  <c r="BF253" i="1"/>
  <c r="BG252" i="1"/>
  <c r="BF252" i="1"/>
  <c r="BG251" i="1"/>
  <c r="BF251" i="1"/>
  <c r="BG250" i="1"/>
  <c r="BF250" i="1"/>
  <c r="BG249" i="1"/>
  <c r="BF249" i="1"/>
  <c r="BG248" i="1"/>
  <c r="BF248" i="1"/>
  <c r="BG247" i="1"/>
  <c r="BF247" i="1"/>
  <c r="BG246" i="1"/>
  <c r="BF246" i="1"/>
  <c r="BG245" i="1"/>
  <c r="BF245" i="1"/>
  <c r="BG244" i="1"/>
  <c r="BF244" i="1"/>
  <c r="BG243" i="1"/>
  <c r="BF243" i="1"/>
  <c r="BG242" i="1"/>
  <c r="BF242" i="1"/>
  <c r="BG241" i="1"/>
  <c r="BF241" i="1"/>
  <c r="BG240" i="1"/>
  <c r="BF240" i="1"/>
  <c r="BG239" i="1"/>
  <c r="BF239" i="1"/>
  <c r="BG238" i="1"/>
  <c r="BF238" i="1"/>
  <c r="BG237" i="1"/>
  <c r="BF237" i="1"/>
  <c r="BG236" i="1"/>
  <c r="BF236" i="1"/>
  <c r="BG235" i="1"/>
  <c r="BF235" i="1"/>
  <c r="BG234" i="1"/>
  <c r="BF234" i="1"/>
  <c r="BG233" i="1"/>
  <c r="BF233" i="1"/>
  <c r="BG232" i="1"/>
  <c r="BF232" i="1"/>
  <c r="BG231" i="1"/>
  <c r="BF231" i="1"/>
  <c r="BG230" i="1"/>
  <c r="BF230" i="1"/>
  <c r="BG229" i="1"/>
  <c r="BF229" i="1"/>
  <c r="BG228" i="1"/>
  <c r="BF228" i="1"/>
  <c r="BG227" i="1"/>
  <c r="BF227" i="1"/>
  <c r="BG226" i="1"/>
  <c r="BF226" i="1"/>
  <c r="BG225" i="1"/>
  <c r="BF225" i="1"/>
  <c r="BG224" i="1"/>
  <c r="BF224" i="1"/>
  <c r="BG223" i="1"/>
  <c r="BF223" i="1"/>
  <c r="BG222" i="1"/>
  <c r="BF222" i="1"/>
  <c r="BG221" i="1"/>
  <c r="BF221" i="1"/>
  <c r="BG220" i="1"/>
  <c r="BF220" i="1"/>
  <c r="BG219" i="1"/>
  <c r="BF219" i="1"/>
  <c r="BG218" i="1"/>
  <c r="BF218" i="1"/>
  <c r="BG217" i="1"/>
  <c r="BF217" i="1"/>
  <c r="BG216" i="1"/>
  <c r="BF216" i="1"/>
  <c r="BG215" i="1"/>
  <c r="BF215" i="1"/>
  <c r="BG214" i="1"/>
  <c r="BF214" i="1"/>
  <c r="BG213" i="1"/>
  <c r="BF213" i="1"/>
  <c r="BG212" i="1"/>
  <c r="BF212" i="1"/>
  <c r="BG211" i="1"/>
  <c r="BF211" i="1"/>
  <c r="BG210" i="1"/>
  <c r="BF210" i="1"/>
  <c r="BG209" i="1"/>
  <c r="BF209" i="1"/>
  <c r="BG208" i="1"/>
  <c r="BF208" i="1"/>
  <c r="BG207" i="1"/>
  <c r="BF207" i="1"/>
  <c r="BG206" i="1"/>
  <c r="BF206" i="1"/>
  <c r="BG205" i="1"/>
  <c r="BF205" i="1"/>
  <c r="BG204" i="1"/>
  <c r="BF204" i="1"/>
  <c r="BG203" i="1"/>
  <c r="BF203" i="1"/>
  <c r="BG202" i="1"/>
  <c r="BF202" i="1"/>
  <c r="BG201" i="1"/>
  <c r="BF201" i="1"/>
  <c r="BG200" i="1"/>
  <c r="BF200" i="1"/>
  <c r="BG199" i="1"/>
  <c r="BF199" i="1"/>
  <c r="BG198" i="1"/>
  <c r="BF198" i="1"/>
  <c r="BG197" i="1"/>
  <c r="BF197" i="1"/>
  <c r="BG196" i="1"/>
  <c r="BF196" i="1"/>
  <c r="BG195" i="1"/>
  <c r="BF195" i="1"/>
  <c r="BG194" i="1"/>
  <c r="BF194" i="1"/>
  <c r="BG193" i="1"/>
  <c r="BF193" i="1"/>
  <c r="BG192" i="1"/>
  <c r="BF192" i="1"/>
  <c r="BG191" i="1"/>
  <c r="BF191" i="1"/>
  <c r="BG190" i="1"/>
  <c r="BF190" i="1"/>
  <c r="BG189" i="1"/>
  <c r="BF189" i="1"/>
  <c r="BG188" i="1"/>
  <c r="BF188" i="1"/>
  <c r="BG187" i="1"/>
  <c r="BF187" i="1"/>
  <c r="BG186" i="1"/>
  <c r="BF186" i="1"/>
  <c r="BG185" i="1"/>
  <c r="BF185" i="1"/>
  <c r="BG184" i="1"/>
  <c r="BF184" i="1"/>
  <c r="BG183" i="1"/>
  <c r="BF183" i="1"/>
  <c r="BG182" i="1"/>
  <c r="BF182" i="1"/>
  <c r="BG181" i="1"/>
  <c r="BF181" i="1"/>
  <c r="BG180" i="1"/>
  <c r="BF180" i="1"/>
  <c r="BG179" i="1"/>
  <c r="BF179" i="1"/>
  <c r="BG178" i="1"/>
  <c r="BF178" i="1"/>
  <c r="BG177" i="1"/>
  <c r="BF177" i="1"/>
  <c r="BG176" i="1"/>
  <c r="BF176" i="1"/>
  <c r="BG175" i="1"/>
  <c r="BF175" i="1"/>
  <c r="BG174" i="1"/>
  <c r="BF174" i="1"/>
  <c r="BG173" i="1"/>
  <c r="BF173" i="1"/>
  <c r="BG172" i="1"/>
  <c r="BF172" i="1"/>
  <c r="BG171" i="1"/>
  <c r="BF171" i="1"/>
  <c r="BG170" i="1"/>
  <c r="BF170" i="1"/>
  <c r="BG169" i="1"/>
  <c r="BF169" i="1"/>
  <c r="BG168" i="1"/>
  <c r="BF168" i="1"/>
  <c r="BG167" i="1"/>
  <c r="BF167" i="1"/>
  <c r="BG166" i="1"/>
  <c r="BF166" i="1"/>
  <c r="BG165" i="1"/>
  <c r="BF165" i="1"/>
  <c r="BG164" i="1"/>
  <c r="BF164" i="1"/>
  <c r="BG163" i="1"/>
  <c r="BF163" i="1"/>
  <c r="BG162" i="1"/>
  <c r="BF162" i="1"/>
  <c r="BG161" i="1"/>
  <c r="BF161" i="1"/>
  <c r="BG160" i="1"/>
  <c r="BF160" i="1"/>
  <c r="BG159" i="1"/>
  <c r="BF159" i="1"/>
  <c r="BG158" i="1"/>
  <c r="BF158" i="1"/>
  <c r="BG157" i="1"/>
  <c r="BF157" i="1"/>
  <c r="BG156" i="1"/>
  <c r="BF156" i="1"/>
  <c r="BG155" i="1"/>
  <c r="BF155" i="1"/>
  <c r="BG154" i="1"/>
  <c r="BF154" i="1"/>
  <c r="BG153" i="1"/>
  <c r="BF153" i="1"/>
  <c r="BG152" i="1"/>
  <c r="BF152" i="1"/>
  <c r="BG151" i="1"/>
  <c r="BF151" i="1"/>
  <c r="BG150" i="1"/>
  <c r="BF150" i="1"/>
  <c r="BG149" i="1"/>
  <c r="BF149" i="1"/>
  <c r="BG148" i="1"/>
  <c r="BF148" i="1"/>
  <c r="BG147" i="1"/>
  <c r="BF147" i="1"/>
  <c r="BG146" i="1"/>
  <c r="BF146" i="1"/>
  <c r="BG145" i="1"/>
  <c r="BF145" i="1"/>
  <c r="BG144" i="1"/>
  <c r="BF144" i="1"/>
  <c r="BG143" i="1"/>
  <c r="BF143" i="1"/>
  <c r="BG142" i="1"/>
  <c r="BF142" i="1"/>
  <c r="BG141" i="1"/>
  <c r="BF141" i="1"/>
  <c r="BG140" i="1"/>
  <c r="BF140" i="1"/>
  <c r="BG139" i="1"/>
  <c r="BF139" i="1"/>
  <c r="BG138" i="1"/>
  <c r="BF138" i="1"/>
  <c r="BG137" i="1"/>
  <c r="BF137" i="1"/>
  <c r="BG136" i="1"/>
  <c r="BF136" i="1"/>
  <c r="BG135" i="1"/>
  <c r="BF135" i="1"/>
  <c r="BG134" i="1"/>
  <c r="BF134" i="1"/>
  <c r="BG133" i="1"/>
  <c r="BF133" i="1"/>
  <c r="BG132" i="1"/>
  <c r="BF132" i="1"/>
  <c r="BG131" i="1"/>
  <c r="BF131" i="1"/>
  <c r="BG130" i="1"/>
  <c r="BF130" i="1"/>
  <c r="BG129" i="1"/>
  <c r="BF129" i="1"/>
  <c r="BG128" i="1"/>
  <c r="BF128" i="1"/>
  <c r="BG127" i="1"/>
  <c r="BF127" i="1"/>
  <c r="BG126" i="1"/>
  <c r="BF126" i="1"/>
  <c r="BG125" i="1"/>
  <c r="BF125" i="1"/>
  <c r="BG124" i="1"/>
  <c r="BF124" i="1"/>
  <c r="BG123" i="1"/>
  <c r="BF123" i="1"/>
  <c r="BG122" i="1"/>
  <c r="BF122" i="1"/>
  <c r="BG121" i="1"/>
  <c r="BF121" i="1"/>
  <c r="BG120" i="1"/>
  <c r="BF120" i="1"/>
  <c r="BG119" i="1"/>
  <c r="BF119" i="1"/>
  <c r="BG118" i="1"/>
  <c r="BF118" i="1"/>
  <c r="BG117" i="1"/>
  <c r="BF117" i="1"/>
  <c r="BG116" i="1"/>
  <c r="BF116" i="1"/>
  <c r="BG115" i="1"/>
  <c r="BF115" i="1"/>
  <c r="BG114" i="1"/>
  <c r="BF114" i="1"/>
  <c r="BG113" i="1"/>
  <c r="BF113" i="1"/>
  <c r="BG112" i="1"/>
  <c r="BF112" i="1"/>
  <c r="BG111" i="1"/>
  <c r="BF111" i="1"/>
  <c r="BG110" i="1"/>
  <c r="BF110" i="1"/>
  <c r="BG109" i="1"/>
  <c r="BF109" i="1"/>
  <c r="BG108" i="1"/>
  <c r="BF108" i="1"/>
  <c r="BG107" i="1"/>
  <c r="BF107" i="1"/>
  <c r="BG106" i="1"/>
  <c r="BF106" i="1"/>
  <c r="BG105" i="1"/>
  <c r="BF105" i="1"/>
  <c r="BG104" i="1"/>
  <c r="BF104" i="1"/>
  <c r="BG103" i="1"/>
  <c r="BF103" i="1"/>
  <c r="BG102" i="1"/>
  <c r="BF102" i="1"/>
  <c r="BG101" i="1"/>
  <c r="BF101" i="1"/>
  <c r="BG100" i="1"/>
  <c r="BF100" i="1"/>
  <c r="BG99" i="1"/>
  <c r="BF99" i="1"/>
  <c r="BG98" i="1"/>
  <c r="BF98" i="1"/>
  <c r="BG97" i="1"/>
  <c r="BF97" i="1"/>
  <c r="BG96" i="1"/>
  <c r="BF96" i="1"/>
  <c r="BG95" i="1"/>
  <c r="BF95" i="1"/>
  <c r="BG94" i="1"/>
  <c r="BF94" i="1"/>
  <c r="BG93" i="1"/>
  <c r="BF93" i="1"/>
  <c r="BG92" i="1"/>
  <c r="BF92" i="1"/>
  <c r="BG91" i="1"/>
  <c r="BF91" i="1"/>
  <c r="BG90" i="1"/>
  <c r="BF90" i="1"/>
  <c r="BG89" i="1"/>
  <c r="BF89" i="1"/>
  <c r="BG88" i="1"/>
  <c r="BF88" i="1"/>
  <c r="BG87" i="1"/>
  <c r="BF87" i="1"/>
  <c r="BG86" i="1"/>
  <c r="BF86" i="1"/>
  <c r="BG85" i="1"/>
  <c r="BF85" i="1"/>
  <c r="BG84" i="1"/>
  <c r="BF84" i="1"/>
  <c r="BG83" i="1"/>
  <c r="BF83" i="1"/>
  <c r="BG82" i="1"/>
  <c r="BF82" i="1"/>
  <c r="BG81" i="1"/>
  <c r="BF81" i="1"/>
  <c r="BG80" i="1"/>
  <c r="BF80" i="1"/>
  <c r="BG79" i="1"/>
  <c r="BF79" i="1"/>
  <c r="BG78" i="1"/>
  <c r="BF78" i="1"/>
  <c r="BG77" i="1"/>
  <c r="BF77" i="1"/>
  <c r="BG76" i="1"/>
  <c r="BF76" i="1"/>
  <c r="BG75" i="1"/>
  <c r="BF75" i="1"/>
  <c r="BG74" i="1"/>
  <c r="BF74" i="1"/>
  <c r="BG73" i="1"/>
  <c r="BF73" i="1"/>
  <c r="BG72" i="1"/>
  <c r="BF72" i="1"/>
  <c r="BG71" i="1"/>
  <c r="BF71" i="1"/>
  <c r="BG70" i="1"/>
  <c r="BF70" i="1"/>
  <c r="BG69" i="1"/>
  <c r="BF69" i="1"/>
  <c r="BG68" i="1"/>
  <c r="BF68" i="1"/>
  <c r="BG67" i="1"/>
  <c r="BF67" i="1"/>
  <c r="BG66" i="1"/>
  <c r="BF66" i="1"/>
  <c r="BG65" i="1"/>
  <c r="BF65" i="1"/>
  <c r="BG64" i="1"/>
  <c r="BF64" i="1"/>
  <c r="BG63" i="1"/>
  <c r="BF63" i="1"/>
  <c r="BG62" i="1"/>
  <c r="BF62" i="1"/>
  <c r="BG61" i="1"/>
  <c r="BF61" i="1"/>
  <c r="BG60" i="1"/>
  <c r="BF60" i="1"/>
  <c r="BG59" i="1"/>
  <c r="BF59" i="1"/>
  <c r="BG58" i="1"/>
  <c r="BF58" i="1"/>
  <c r="BG57" i="1"/>
  <c r="BF57" i="1"/>
  <c r="BG56" i="1"/>
  <c r="BF56" i="1"/>
  <c r="BG55" i="1"/>
  <c r="BF55" i="1"/>
  <c r="BG54" i="1"/>
  <c r="BF54" i="1"/>
  <c r="BG53" i="1"/>
  <c r="BF53" i="1"/>
  <c r="BG52" i="1"/>
  <c r="BF52" i="1"/>
  <c r="BG51" i="1"/>
  <c r="BF51" i="1"/>
  <c r="BG50" i="1"/>
  <c r="BF50" i="1"/>
  <c r="BG49" i="1"/>
  <c r="BF49" i="1"/>
  <c r="BG48" i="1"/>
  <c r="BF48" i="1"/>
  <c r="BG47" i="1"/>
  <c r="BF47" i="1"/>
  <c r="BG46" i="1"/>
  <c r="BF46" i="1"/>
  <c r="BG45" i="1"/>
  <c r="BF45" i="1"/>
  <c r="BG44" i="1"/>
  <c r="BF44" i="1"/>
  <c r="BG43" i="1"/>
  <c r="BF43" i="1"/>
  <c r="BG42" i="1"/>
  <c r="BF42" i="1"/>
  <c r="BG41" i="1"/>
  <c r="BF41" i="1"/>
  <c r="BG40" i="1"/>
  <c r="BF40" i="1"/>
  <c r="BG39" i="1"/>
  <c r="BF39" i="1"/>
  <c r="BG38" i="1"/>
  <c r="BF38" i="1"/>
  <c r="BG37" i="1"/>
  <c r="BF37" i="1"/>
  <c r="BG36" i="1"/>
  <c r="BF36" i="1"/>
  <c r="BG35" i="1"/>
  <c r="BF35" i="1"/>
  <c r="BG34" i="1"/>
  <c r="BF34" i="1"/>
  <c r="BG33" i="1"/>
  <c r="BF33" i="1"/>
  <c r="BG32" i="1"/>
  <c r="BF32" i="1"/>
  <c r="BG31" i="1"/>
  <c r="BF31" i="1"/>
  <c r="BG30" i="1"/>
  <c r="BF30" i="1"/>
  <c r="BG29" i="1"/>
  <c r="BF29" i="1"/>
  <c r="BG28" i="1"/>
  <c r="BF28" i="1"/>
  <c r="BG27" i="1"/>
  <c r="BF27" i="1"/>
  <c r="BG26" i="1"/>
  <c r="BF26" i="1"/>
  <c r="BG25" i="1"/>
  <c r="BF25" i="1"/>
  <c r="BG24" i="1"/>
  <c r="BF24" i="1"/>
  <c r="BG23" i="1"/>
  <c r="BF23" i="1"/>
  <c r="BG22" i="1"/>
  <c r="BF22" i="1"/>
  <c r="BG21" i="1"/>
  <c r="BF21" i="1"/>
  <c r="BG20" i="1"/>
  <c r="BF20" i="1"/>
  <c r="BG19" i="1"/>
  <c r="BF19" i="1"/>
  <c r="BG18" i="1"/>
  <c r="BF18" i="1"/>
  <c r="BG17" i="1"/>
  <c r="BF17" i="1"/>
  <c r="BG16" i="1"/>
  <c r="BF16" i="1"/>
  <c r="BG15" i="1"/>
  <c r="BF15" i="1"/>
  <c r="BG14" i="1"/>
  <c r="BF14" i="1"/>
  <c r="BG13" i="1"/>
  <c r="BF13" i="1"/>
  <c r="BG12" i="1"/>
  <c r="BF12" i="1"/>
  <c r="BG11" i="1"/>
  <c r="BF11" i="1"/>
  <c r="BG10" i="1"/>
  <c r="BF10" i="1"/>
  <c r="BG9" i="1"/>
  <c r="BF9" i="1"/>
  <c r="BG8" i="1"/>
  <c r="BF8" i="1"/>
  <c r="BG7" i="1"/>
  <c r="BF7" i="1"/>
  <c r="BG6" i="1"/>
  <c r="BF6" i="1"/>
  <c r="BG5" i="1"/>
  <c r="BF5" i="1"/>
  <c r="BG4" i="1"/>
  <c r="BF4" i="1"/>
  <c r="BG3" i="1"/>
  <c r="BF3" i="1"/>
  <c r="BG2" i="1"/>
  <c r="BF2" i="1"/>
  <c r="CQ19" i="1"/>
  <c r="CQ22" i="1"/>
  <c r="CQ18" i="1"/>
  <c r="CP42" i="1"/>
  <c r="DL24" i="1" s="1"/>
  <c r="CZ1" i="1"/>
  <c r="CY4" i="1"/>
  <c r="CZ4" i="1" s="1"/>
  <c r="CY5" i="1"/>
  <c r="CY6" i="1"/>
  <c r="CZ6" i="1" s="1"/>
  <c r="CY7" i="1"/>
  <c r="CZ7" i="1" s="1"/>
  <c r="CY8" i="1"/>
  <c r="CY9" i="1"/>
  <c r="CZ9" i="1" s="1"/>
  <c r="CY10" i="1"/>
  <c r="CZ10" i="1" s="1"/>
  <c r="CY11" i="1"/>
  <c r="CZ11" i="1" s="1"/>
  <c r="CY12" i="1"/>
  <c r="CZ12" i="1" s="1"/>
  <c r="CY13" i="1"/>
  <c r="CZ13" i="1" s="1"/>
  <c r="CY14" i="1"/>
  <c r="CY15" i="1"/>
  <c r="CZ15" i="1" s="1"/>
  <c r="CY3" i="1"/>
  <c r="CZ3" i="1" s="1"/>
  <c r="AT4" i="2"/>
  <c r="AU4" i="2" s="1"/>
  <c r="AV4" i="2" s="1"/>
  <c r="AW4" i="2" s="1"/>
  <c r="C6" i="3"/>
  <c r="B7" i="3" s="1"/>
  <c r="L4" i="6"/>
  <c r="Q4" i="6" s="1"/>
  <c r="L5" i="6"/>
  <c r="Q5" i="6" s="1"/>
  <c r="L6" i="6"/>
  <c r="Q6" i="6" s="1"/>
  <c r="L7" i="6"/>
  <c r="Q7" i="6" s="1"/>
  <c r="L8" i="6"/>
  <c r="Q8" i="6" s="1"/>
  <c r="L9" i="6"/>
  <c r="Q9" i="6" s="1"/>
  <c r="L10" i="6"/>
  <c r="Q10" i="6" s="1"/>
  <c r="L11" i="6"/>
  <c r="Q11" i="6" s="1"/>
  <c r="L12" i="6"/>
  <c r="Q12" i="6" s="1"/>
  <c r="L13" i="6"/>
  <c r="Q13" i="6" s="1"/>
  <c r="L14" i="6"/>
  <c r="Q14" i="6" s="1"/>
  <c r="L15" i="6"/>
  <c r="Q15" i="6" s="1"/>
  <c r="L16" i="6"/>
  <c r="Q16" i="6" s="1"/>
  <c r="L17" i="6"/>
  <c r="Q17" i="6" s="1"/>
  <c r="L18" i="6"/>
  <c r="Q18" i="6" s="1"/>
  <c r="L19" i="6"/>
  <c r="Q19" i="6" s="1"/>
  <c r="L20" i="6"/>
  <c r="Q20" i="6" s="1"/>
  <c r="L21" i="6"/>
  <c r="Q21" i="6" s="1"/>
  <c r="L22" i="6"/>
  <c r="Q22" i="6" s="1"/>
  <c r="L23" i="6"/>
  <c r="Q23" i="6" s="1"/>
  <c r="L24" i="6"/>
  <c r="Q24" i="6" s="1"/>
  <c r="L25" i="6"/>
  <c r="Q25" i="6" s="1"/>
  <c r="L26" i="6"/>
  <c r="Q26" i="6" s="1"/>
  <c r="L27" i="6"/>
  <c r="Q27" i="6" s="1"/>
  <c r="L28" i="6"/>
  <c r="Q28" i="6" s="1"/>
  <c r="L29" i="6"/>
  <c r="Q29" i="6" s="1"/>
  <c r="L30" i="6"/>
  <c r="Q30" i="6" s="1"/>
  <c r="L31" i="6"/>
  <c r="Q31" i="6" s="1"/>
  <c r="L32" i="6"/>
  <c r="Q32" i="6" s="1"/>
  <c r="L33" i="6"/>
  <c r="Q33" i="6" s="1"/>
  <c r="L34" i="6"/>
  <c r="Q34" i="6" s="1"/>
  <c r="L35" i="6"/>
  <c r="Q35" i="6" s="1"/>
  <c r="L36" i="6"/>
  <c r="Q36" i="6" s="1"/>
  <c r="L37" i="6"/>
  <c r="Q37" i="6" s="1"/>
  <c r="L38" i="6"/>
  <c r="Q38" i="6" s="1"/>
  <c r="L39" i="6"/>
  <c r="Q39" i="6" s="1"/>
  <c r="L40" i="6"/>
  <c r="Q40" i="6" s="1"/>
  <c r="L41" i="6"/>
  <c r="Q41" i="6" s="1"/>
  <c r="L42" i="6"/>
  <c r="Q42" i="6" s="1"/>
  <c r="L43" i="6"/>
  <c r="Q43" i="6" s="1"/>
  <c r="L44" i="6"/>
  <c r="Q44" i="6" s="1"/>
  <c r="L45" i="6"/>
  <c r="Q45" i="6" s="1"/>
  <c r="L46" i="6"/>
  <c r="Q46" i="6" s="1"/>
  <c r="L47" i="6"/>
  <c r="Q47" i="6" s="1"/>
  <c r="L48" i="6"/>
  <c r="Q48" i="6" s="1"/>
  <c r="L49" i="6"/>
  <c r="Q49" i="6" s="1"/>
  <c r="L50" i="6"/>
  <c r="Q50" i="6" s="1"/>
  <c r="L51" i="6"/>
  <c r="Q51" i="6" s="1"/>
  <c r="L52" i="6"/>
  <c r="Q52" i="6" s="1"/>
  <c r="L53" i="6"/>
  <c r="Q53" i="6" s="1"/>
  <c r="L54" i="6"/>
  <c r="Q54" i="6" s="1"/>
  <c r="L55" i="6"/>
  <c r="Q55" i="6" s="1"/>
  <c r="L56" i="6"/>
  <c r="Q56" i="6" s="1"/>
  <c r="L57" i="6"/>
  <c r="Q57" i="6" s="1"/>
  <c r="L58" i="6"/>
  <c r="Q58" i="6" s="1"/>
  <c r="L59" i="6"/>
  <c r="Q59" i="6" s="1"/>
  <c r="L60" i="6"/>
  <c r="Q60" i="6" s="1"/>
  <c r="L61" i="6"/>
  <c r="Q61" i="6" s="1"/>
  <c r="L62" i="6"/>
  <c r="Q62" i="6" s="1"/>
  <c r="L63" i="6"/>
  <c r="Q63" i="6" s="1"/>
  <c r="L64" i="6"/>
  <c r="Q64" i="6" s="1"/>
  <c r="L65" i="6"/>
  <c r="Q65" i="6" s="1"/>
  <c r="L66" i="6"/>
  <c r="Q66" i="6" s="1"/>
  <c r="L67" i="6"/>
  <c r="Q67" i="6" s="1"/>
  <c r="L68" i="6"/>
  <c r="Q68" i="6" s="1"/>
  <c r="L69" i="6"/>
  <c r="Q69" i="6" s="1"/>
  <c r="L70" i="6"/>
  <c r="Q70" i="6" s="1"/>
  <c r="L71" i="6"/>
  <c r="Q71" i="6" s="1"/>
  <c r="L72" i="6"/>
  <c r="Q72" i="6" s="1"/>
  <c r="L73" i="6"/>
  <c r="Q73" i="6" s="1"/>
  <c r="L74" i="6"/>
  <c r="Q74" i="6" s="1"/>
  <c r="L75" i="6"/>
  <c r="Q75" i="6" s="1"/>
  <c r="L76" i="6"/>
  <c r="Q76" i="6" s="1"/>
  <c r="L77" i="6"/>
  <c r="Q77" i="6" s="1"/>
  <c r="L78" i="6"/>
  <c r="Q78" i="6" s="1"/>
  <c r="L79" i="6"/>
  <c r="Q79" i="6" s="1"/>
  <c r="L80" i="6"/>
  <c r="Q80" i="6" s="1"/>
  <c r="L81" i="6"/>
  <c r="Q81" i="6" s="1"/>
  <c r="L82" i="6"/>
  <c r="Q82" i="6" s="1"/>
  <c r="L83" i="6"/>
  <c r="Q83" i="6" s="1"/>
  <c r="L84" i="6"/>
  <c r="Q84" i="6" s="1"/>
  <c r="L85" i="6"/>
  <c r="Q85" i="6" s="1"/>
  <c r="L86" i="6"/>
  <c r="Q86" i="6" s="1"/>
  <c r="L87" i="6"/>
  <c r="Q87" i="6" s="1"/>
  <c r="L88" i="6"/>
  <c r="Q88" i="6" s="1"/>
  <c r="L89" i="6"/>
  <c r="Q89" i="6" s="1"/>
  <c r="L90" i="6"/>
  <c r="Q90" i="6" s="1"/>
  <c r="L91" i="6"/>
  <c r="Q91" i="6" s="1"/>
  <c r="L92" i="6"/>
  <c r="Q92" i="6" s="1"/>
  <c r="L93" i="6"/>
  <c r="Q93" i="6" s="1"/>
  <c r="L94" i="6"/>
  <c r="Q94" i="6" s="1"/>
  <c r="L95" i="6"/>
  <c r="Q95" i="6" s="1"/>
  <c r="L96" i="6"/>
  <c r="Q96" i="6" s="1"/>
  <c r="L97" i="6"/>
  <c r="Q97" i="6" s="1"/>
  <c r="L98" i="6"/>
  <c r="Q98" i="6" s="1"/>
  <c r="L99" i="6"/>
  <c r="Q99" i="6" s="1"/>
  <c r="L100" i="6"/>
  <c r="Q100" i="6" s="1"/>
  <c r="L101" i="6"/>
  <c r="Q101" i="6" s="1"/>
  <c r="L102" i="6"/>
  <c r="Q102" i="6" s="1"/>
  <c r="L103" i="6"/>
  <c r="Q103" i="6" s="1"/>
  <c r="L104" i="6"/>
  <c r="Q104" i="6" s="1"/>
  <c r="L105" i="6"/>
  <c r="Q105" i="6" s="1"/>
  <c r="L106" i="6"/>
  <c r="Q106" i="6" s="1"/>
  <c r="L107" i="6"/>
  <c r="Q107" i="6" s="1"/>
  <c r="L108" i="6"/>
  <c r="Q108" i="6" s="1"/>
  <c r="L109" i="6"/>
  <c r="Q109" i="6" s="1"/>
  <c r="L110" i="6"/>
  <c r="Q110" i="6" s="1"/>
  <c r="L111" i="6"/>
  <c r="Q111" i="6" s="1"/>
  <c r="L112" i="6"/>
  <c r="Q112" i="6" s="1"/>
  <c r="L113" i="6"/>
  <c r="Q113" i="6" s="1"/>
  <c r="L114" i="6"/>
  <c r="Q114" i="6" s="1"/>
  <c r="L115" i="6"/>
  <c r="Q115" i="6" s="1"/>
  <c r="L116" i="6"/>
  <c r="Q116" i="6" s="1"/>
  <c r="L117" i="6"/>
  <c r="Q117" i="6" s="1"/>
  <c r="L118" i="6"/>
  <c r="Q118" i="6" s="1"/>
  <c r="L119" i="6"/>
  <c r="Q119" i="6" s="1"/>
  <c r="L120" i="6"/>
  <c r="Q120" i="6" s="1"/>
  <c r="L121" i="6"/>
  <c r="Q121" i="6" s="1"/>
  <c r="L122" i="6"/>
  <c r="Q122" i="6" s="1"/>
  <c r="L123" i="6"/>
  <c r="Q123" i="6" s="1"/>
  <c r="L124" i="6"/>
  <c r="Q124" i="6" s="1"/>
  <c r="L125" i="6"/>
  <c r="Q125" i="6" s="1"/>
  <c r="L126" i="6"/>
  <c r="Q126" i="6" s="1"/>
  <c r="L127" i="6"/>
  <c r="Q127" i="6" s="1"/>
  <c r="L128" i="6"/>
  <c r="Q128" i="6" s="1"/>
  <c r="L129" i="6"/>
  <c r="Q129" i="6" s="1"/>
  <c r="L130" i="6"/>
  <c r="Q130" i="6" s="1"/>
  <c r="L131" i="6"/>
  <c r="Q131" i="6" s="1"/>
  <c r="L132" i="6"/>
  <c r="Q132" i="6" s="1"/>
  <c r="L133" i="6"/>
  <c r="Q133" i="6" s="1"/>
  <c r="L134" i="6"/>
  <c r="Q134" i="6" s="1"/>
  <c r="L135" i="6"/>
  <c r="Q135" i="6" s="1"/>
  <c r="L136" i="6"/>
  <c r="Q136" i="6" s="1"/>
  <c r="L137" i="6"/>
  <c r="Q137" i="6" s="1"/>
  <c r="L138" i="6"/>
  <c r="Q138" i="6" s="1"/>
  <c r="L139" i="6"/>
  <c r="Q139" i="6" s="1"/>
  <c r="L140" i="6"/>
  <c r="Q140" i="6" s="1"/>
  <c r="L141" i="6"/>
  <c r="Q141" i="6" s="1"/>
  <c r="L142" i="6"/>
  <c r="Q142" i="6" s="1"/>
  <c r="L143" i="6"/>
  <c r="Q143" i="6" s="1"/>
  <c r="L144" i="6"/>
  <c r="Q144" i="6" s="1"/>
  <c r="L145" i="6"/>
  <c r="Q145" i="6" s="1"/>
  <c r="L146" i="6"/>
  <c r="Q146" i="6" s="1"/>
  <c r="L147" i="6"/>
  <c r="Q147" i="6" s="1"/>
  <c r="L148" i="6"/>
  <c r="Q148" i="6" s="1"/>
  <c r="L149" i="6"/>
  <c r="Q149" i="6" s="1"/>
  <c r="L150" i="6"/>
  <c r="Q150" i="6" s="1"/>
  <c r="L151" i="6"/>
  <c r="Q151" i="6" s="1"/>
  <c r="L152" i="6"/>
  <c r="Q152" i="6" s="1"/>
  <c r="L153" i="6"/>
  <c r="Q153" i="6" s="1"/>
  <c r="L154" i="6"/>
  <c r="Q154" i="6" s="1"/>
  <c r="L155" i="6"/>
  <c r="Q155" i="6" s="1"/>
  <c r="L156" i="6"/>
  <c r="Q156" i="6" s="1"/>
  <c r="L157" i="6"/>
  <c r="Q157" i="6" s="1"/>
  <c r="L158" i="6"/>
  <c r="Q158" i="6" s="1"/>
  <c r="L159" i="6"/>
  <c r="Q159" i="6" s="1"/>
  <c r="L160" i="6"/>
  <c r="Q160" i="6" s="1"/>
  <c r="L161" i="6"/>
  <c r="Q161" i="6" s="1"/>
  <c r="L162" i="6"/>
  <c r="Q162" i="6" s="1"/>
  <c r="L163" i="6"/>
  <c r="Q163" i="6" s="1"/>
  <c r="L164" i="6"/>
  <c r="Q164" i="6" s="1"/>
  <c r="L165" i="6"/>
  <c r="Q165" i="6" s="1"/>
  <c r="L166" i="6"/>
  <c r="Q166" i="6" s="1"/>
  <c r="L167" i="6"/>
  <c r="Q167" i="6" s="1"/>
  <c r="L168" i="6"/>
  <c r="Q168" i="6" s="1"/>
  <c r="L169" i="6"/>
  <c r="Q169" i="6" s="1"/>
  <c r="L170" i="6"/>
  <c r="Q170" i="6" s="1"/>
  <c r="L171" i="6"/>
  <c r="Q171" i="6" s="1"/>
  <c r="L172" i="6"/>
  <c r="Q172" i="6" s="1"/>
  <c r="L173" i="6"/>
  <c r="Q173" i="6" s="1"/>
  <c r="L174" i="6"/>
  <c r="Q174" i="6" s="1"/>
  <c r="L175" i="6"/>
  <c r="Q175" i="6" s="1"/>
  <c r="L176" i="6"/>
  <c r="Q176" i="6" s="1"/>
  <c r="L177" i="6"/>
  <c r="Q177" i="6" s="1"/>
  <c r="L178" i="6"/>
  <c r="Q178" i="6" s="1"/>
  <c r="L179" i="6"/>
  <c r="Q179" i="6" s="1"/>
  <c r="L180" i="6"/>
  <c r="Q180" i="6" s="1"/>
  <c r="L181" i="6"/>
  <c r="Q181" i="6" s="1"/>
  <c r="L182" i="6"/>
  <c r="Q182" i="6" s="1"/>
  <c r="L183" i="6"/>
  <c r="Q183" i="6" s="1"/>
  <c r="L184" i="6"/>
  <c r="Q184" i="6" s="1"/>
  <c r="L185" i="6"/>
  <c r="Q185" i="6" s="1"/>
  <c r="L186" i="6"/>
  <c r="Q186" i="6" s="1"/>
  <c r="L187" i="6"/>
  <c r="Q187" i="6" s="1"/>
  <c r="L188" i="6"/>
  <c r="Q188" i="6" s="1"/>
  <c r="L189" i="6"/>
  <c r="Q189" i="6" s="1"/>
  <c r="L190" i="6"/>
  <c r="Q190" i="6" s="1"/>
  <c r="L191" i="6"/>
  <c r="Q191" i="6" s="1"/>
  <c r="L192" i="6"/>
  <c r="L193" i="6"/>
  <c r="Q193" i="6" s="1"/>
  <c r="L194" i="6"/>
  <c r="Q194" i="6" s="1"/>
  <c r="L195" i="6"/>
  <c r="Q195" i="6" s="1"/>
  <c r="L196" i="6"/>
  <c r="Q196" i="6" s="1"/>
  <c r="L197" i="6"/>
  <c r="Q197" i="6" s="1"/>
  <c r="L198" i="6"/>
  <c r="Q198" i="6" s="1"/>
  <c r="L199" i="6"/>
  <c r="Q199" i="6" s="1"/>
  <c r="L200" i="6"/>
  <c r="Q200" i="6" s="1"/>
  <c r="L201" i="6"/>
  <c r="Q201" i="6" s="1"/>
  <c r="L202" i="6"/>
  <c r="Q202" i="6" s="1"/>
  <c r="L203" i="6"/>
  <c r="Q203" i="6" s="1"/>
  <c r="L204" i="6"/>
  <c r="Q204" i="6" s="1"/>
  <c r="L205" i="6"/>
  <c r="Q205" i="6" s="1"/>
  <c r="L206" i="6"/>
  <c r="Q206" i="6" s="1"/>
  <c r="L207" i="6"/>
  <c r="Q207" i="6" s="1"/>
  <c r="L208" i="6"/>
  <c r="Q208" i="6" s="1"/>
  <c r="L209" i="6"/>
  <c r="Q209" i="6" s="1"/>
  <c r="L210" i="6"/>
  <c r="Q210" i="6" s="1"/>
  <c r="L211" i="6"/>
  <c r="Q211" i="6" s="1"/>
  <c r="L212" i="6"/>
  <c r="Q212" i="6" s="1"/>
  <c r="L213" i="6"/>
  <c r="Q213" i="6" s="1"/>
  <c r="L214" i="6"/>
  <c r="Q214" i="6" s="1"/>
  <c r="L215" i="6"/>
  <c r="Q215" i="6" s="1"/>
  <c r="L216" i="6"/>
  <c r="Q216" i="6" s="1"/>
  <c r="L217" i="6"/>
  <c r="Q217" i="6" s="1"/>
  <c r="L218" i="6"/>
  <c r="Q218" i="6" s="1"/>
  <c r="L219" i="6"/>
  <c r="Q219" i="6" s="1"/>
  <c r="L220" i="6"/>
  <c r="Q220" i="6" s="1"/>
  <c r="L221" i="6"/>
  <c r="Q221" i="6" s="1"/>
  <c r="L222" i="6"/>
  <c r="Q222" i="6" s="1"/>
  <c r="L223" i="6"/>
  <c r="Q223" i="6" s="1"/>
  <c r="L224" i="6"/>
  <c r="Q224" i="6" s="1"/>
  <c r="L225" i="6"/>
  <c r="Q225" i="6" s="1"/>
  <c r="L226" i="6"/>
  <c r="Q226" i="6" s="1"/>
  <c r="L227" i="6"/>
  <c r="Q227" i="6" s="1"/>
  <c r="L228" i="6"/>
  <c r="Q228" i="6" s="1"/>
  <c r="L229" i="6"/>
  <c r="Q229" i="6" s="1"/>
  <c r="L230" i="6"/>
  <c r="Q230" i="6" s="1"/>
  <c r="L231" i="6"/>
  <c r="Q231" i="6" s="1"/>
  <c r="L232" i="6"/>
  <c r="Q232" i="6" s="1"/>
  <c r="L233" i="6"/>
  <c r="Q233" i="6" s="1"/>
  <c r="L234" i="6"/>
  <c r="Q234" i="6" s="1"/>
  <c r="L235" i="6"/>
  <c r="Q235" i="6" s="1"/>
  <c r="L236" i="6"/>
  <c r="Q236" i="6" s="1"/>
  <c r="L237" i="6"/>
  <c r="K237" i="6" s="1"/>
  <c r="L238" i="6"/>
  <c r="P238" i="6" s="1"/>
  <c r="L239" i="6"/>
  <c r="P239" i="6" s="1"/>
  <c r="L240" i="6"/>
  <c r="Q240" i="6" s="1"/>
  <c r="L241" i="6"/>
  <c r="O241" i="6" s="1"/>
  <c r="L242" i="6"/>
  <c r="Q242" i="6" s="1"/>
  <c r="L243" i="6"/>
  <c r="K243" i="6" s="1"/>
  <c r="L244" i="6"/>
  <c r="K244" i="6" s="1"/>
  <c r="L245" i="6"/>
  <c r="R245" i="6" s="1"/>
  <c r="L246" i="6"/>
  <c r="Q246" i="6" s="1"/>
  <c r="L247" i="6"/>
  <c r="Q247" i="6" s="1"/>
  <c r="L248" i="6"/>
  <c r="Q248" i="6" s="1"/>
  <c r="L249" i="6"/>
  <c r="L250" i="6"/>
  <c r="Q250" i="6" s="1"/>
  <c r="L251" i="6"/>
  <c r="P251" i="6" s="1"/>
  <c r="L252" i="6"/>
  <c r="K252" i="6" s="1"/>
  <c r="L253" i="6"/>
  <c r="Q253" i="6" s="1"/>
  <c r="L254" i="6"/>
  <c r="O254" i="6" s="1"/>
  <c r="L255" i="6"/>
  <c r="Q255" i="6" s="1"/>
  <c r="L256" i="6"/>
  <c r="Q256" i="6" s="1"/>
  <c r="L257" i="6"/>
  <c r="L258" i="6"/>
  <c r="O258" i="6" s="1"/>
  <c r="L259" i="6"/>
  <c r="K259" i="6" s="1"/>
  <c r="L260" i="6"/>
  <c r="L261" i="6"/>
  <c r="L262" i="6"/>
  <c r="Q262" i="6" s="1"/>
  <c r="L263" i="6"/>
  <c r="Q263" i="6" s="1"/>
  <c r="L264" i="6"/>
  <c r="Q264" i="6" s="1"/>
  <c r="L265" i="6"/>
  <c r="L266" i="6"/>
  <c r="R266" i="6" s="1"/>
  <c r="L267" i="6"/>
  <c r="K267" i="6" s="1"/>
  <c r="L268" i="6"/>
  <c r="P268" i="6" s="1"/>
  <c r="L269" i="6"/>
  <c r="L270" i="6"/>
  <c r="Q270" i="6" s="1"/>
  <c r="L271" i="6"/>
  <c r="Q271" i="6" s="1"/>
  <c r="L272" i="6"/>
  <c r="P272" i="6" s="1"/>
  <c r="L273" i="6"/>
  <c r="O273" i="6" s="1"/>
  <c r="L274" i="6"/>
  <c r="Q274" i="6" s="1"/>
  <c r="L275" i="6"/>
  <c r="R275" i="6" s="1"/>
  <c r="L276" i="6"/>
  <c r="O276" i="6" s="1"/>
  <c r="L277" i="6"/>
  <c r="O277" i="6" s="1"/>
  <c r="L278" i="6"/>
  <c r="Q278" i="6" s="1"/>
  <c r="L279" i="6"/>
  <c r="Q279" i="6" s="1"/>
  <c r="L280" i="6"/>
  <c r="R280" i="6" s="1"/>
  <c r="L281" i="6"/>
  <c r="Q281" i="6" s="1"/>
  <c r="L282" i="6"/>
  <c r="K282" i="6" s="1"/>
  <c r="L283" i="6"/>
  <c r="P283" i="6" s="1"/>
  <c r="L284" i="6"/>
  <c r="L285" i="6"/>
  <c r="R285" i="6" s="1"/>
  <c r="L286" i="6"/>
  <c r="Q286" i="6" s="1"/>
  <c r="L287" i="6"/>
  <c r="O287" i="6" s="1"/>
  <c r="L288" i="6"/>
  <c r="K288" i="6" s="1"/>
  <c r="L289" i="6"/>
  <c r="M289" i="6"/>
  <c r="N289" i="6"/>
  <c r="L290" i="6"/>
  <c r="M290" i="6"/>
  <c r="N290" i="6"/>
  <c r="L291" i="6"/>
  <c r="M291" i="6"/>
  <c r="N291" i="6"/>
  <c r="L292" i="6"/>
  <c r="M292" i="6"/>
  <c r="N292" i="6"/>
  <c r="L293" i="6"/>
  <c r="Q293" i="6" s="1"/>
  <c r="M293" i="6"/>
  <c r="N293" i="6"/>
  <c r="L294" i="6"/>
  <c r="Q294" i="6" s="1"/>
  <c r="M294" i="6"/>
  <c r="N294" i="6"/>
  <c r="L295" i="6"/>
  <c r="Q295" i="6" s="1"/>
  <c r="M295" i="6"/>
  <c r="N295" i="6"/>
  <c r="L296" i="6"/>
  <c r="O296" i="6" s="1"/>
  <c r="M296" i="6"/>
  <c r="N296" i="6"/>
  <c r="L297" i="6"/>
  <c r="M297" i="6"/>
  <c r="N297" i="6"/>
  <c r="L298" i="6"/>
  <c r="O298" i="6" s="1"/>
  <c r="M298" i="6"/>
  <c r="N298" i="6"/>
  <c r="L299" i="6"/>
  <c r="O299" i="6" s="1"/>
  <c r="M299" i="6"/>
  <c r="N299" i="6"/>
  <c r="L300" i="6"/>
  <c r="O300" i="6" s="1"/>
  <c r="M300" i="6"/>
  <c r="N300" i="6"/>
  <c r="L301" i="6"/>
  <c r="Q301" i="6" s="1"/>
  <c r="M301" i="6"/>
  <c r="N301" i="6"/>
  <c r="L302" i="6"/>
  <c r="M302" i="6"/>
  <c r="N302" i="6"/>
  <c r="L303" i="6"/>
  <c r="M303" i="6"/>
  <c r="N303" i="6"/>
  <c r="L304" i="6"/>
  <c r="Q304" i="6" s="1"/>
  <c r="M304" i="6"/>
  <c r="N304" i="6"/>
  <c r="L305" i="6"/>
  <c r="M305" i="6"/>
  <c r="N305" i="6"/>
  <c r="L306" i="6"/>
  <c r="M306" i="6"/>
  <c r="N306" i="6"/>
  <c r="L307" i="6"/>
  <c r="K307" i="6" s="1"/>
  <c r="M307" i="6"/>
  <c r="N307" i="6"/>
  <c r="L308" i="6"/>
  <c r="M308" i="6"/>
  <c r="N308" i="6"/>
  <c r="L309" i="6"/>
  <c r="M309" i="6"/>
  <c r="N309" i="6"/>
  <c r="L310" i="6"/>
  <c r="M310" i="6"/>
  <c r="N310" i="6"/>
  <c r="L311" i="6"/>
  <c r="M311" i="6"/>
  <c r="N311" i="6"/>
  <c r="L312" i="6"/>
  <c r="M312" i="6"/>
  <c r="N312" i="6"/>
  <c r="L313" i="6"/>
  <c r="K313" i="6" s="1"/>
  <c r="M313" i="6"/>
  <c r="N313" i="6"/>
  <c r="L314" i="6"/>
  <c r="O314" i="6" s="1"/>
  <c r="L3" i="6"/>
  <c r="Q3" i="6" s="1"/>
  <c r="L316" i="5"/>
  <c r="R316" i="5" s="1"/>
  <c r="M316" i="5"/>
  <c r="L317" i="5"/>
  <c r="R317" i="5" s="1"/>
  <c r="M317" i="5"/>
  <c r="L318" i="5"/>
  <c r="R318" i="5" s="1"/>
  <c r="M318" i="5"/>
  <c r="L319" i="5"/>
  <c r="R319" i="5" s="1"/>
  <c r="M319" i="5"/>
  <c r="L320" i="5"/>
  <c r="R320" i="5" s="1"/>
  <c r="M320" i="5"/>
  <c r="L321" i="5"/>
  <c r="R321" i="5" s="1"/>
  <c r="M321" i="5"/>
  <c r="L322" i="5"/>
  <c r="R322" i="5" s="1"/>
  <c r="M322" i="5"/>
  <c r="L323" i="5"/>
  <c r="R323" i="5" s="1"/>
  <c r="M323" i="5"/>
  <c r="L324" i="5"/>
  <c r="R324" i="5" s="1"/>
  <c r="M324" i="5"/>
  <c r="L325" i="5"/>
  <c r="R325" i="5" s="1"/>
  <c r="M325" i="5"/>
  <c r="L326" i="5"/>
  <c r="R326" i="5" s="1"/>
  <c r="M326" i="5"/>
  <c r="L327" i="5"/>
  <c r="R327" i="5" s="1"/>
  <c r="M327" i="5"/>
  <c r="L328" i="5"/>
  <c r="R328" i="5" s="1"/>
  <c r="M328" i="5"/>
  <c r="L329" i="5"/>
  <c r="R329" i="5" s="1"/>
  <c r="M329" i="5"/>
  <c r="L330" i="5"/>
  <c r="R330" i="5" s="1"/>
  <c r="M330" i="5"/>
  <c r="L331" i="5"/>
  <c r="R331" i="5" s="1"/>
  <c r="M331" i="5"/>
  <c r="L332" i="5"/>
  <c r="R332" i="5" s="1"/>
  <c r="M332" i="5"/>
  <c r="L333" i="5"/>
  <c r="R333" i="5" s="1"/>
  <c r="M333" i="5"/>
  <c r="L334" i="5"/>
  <c r="R334" i="5" s="1"/>
  <c r="M334" i="5"/>
  <c r="L335" i="5"/>
  <c r="R335" i="5" s="1"/>
  <c r="M335" i="5"/>
  <c r="L336" i="5"/>
  <c r="R336" i="5" s="1"/>
  <c r="M336" i="5"/>
  <c r="L337" i="5"/>
  <c r="R337" i="5" s="1"/>
  <c r="M337" i="5"/>
  <c r="L338" i="5"/>
  <c r="R338" i="5" s="1"/>
  <c r="M338" i="5"/>
  <c r="L339" i="5"/>
  <c r="R339" i="5" s="1"/>
  <c r="M339" i="5"/>
  <c r="L340" i="5"/>
  <c r="R340" i="5" s="1"/>
  <c r="M340" i="5"/>
  <c r="L341" i="5"/>
  <c r="R341" i="5" s="1"/>
  <c r="M341" i="5"/>
  <c r="L342" i="5"/>
  <c r="R342" i="5" s="1"/>
  <c r="M342" i="5"/>
  <c r="L343" i="5"/>
  <c r="R343" i="5" s="1"/>
  <c r="M343" i="5"/>
  <c r="L344" i="5"/>
  <c r="R344" i="5" s="1"/>
  <c r="M344" i="5"/>
  <c r="L345" i="5"/>
  <c r="R345" i="5" s="1"/>
  <c r="M345" i="5"/>
  <c r="L346" i="5"/>
  <c r="R346" i="5" s="1"/>
  <c r="M346" i="5"/>
  <c r="L347" i="5"/>
  <c r="R347" i="5" s="1"/>
  <c r="M347" i="5"/>
  <c r="L348" i="5"/>
  <c r="R348" i="5" s="1"/>
  <c r="M348" i="5"/>
  <c r="L349" i="5"/>
  <c r="R349" i="5" s="1"/>
  <c r="M349" i="5"/>
  <c r="L350" i="5"/>
  <c r="R350" i="5" s="1"/>
  <c r="M350" i="5"/>
  <c r="L351" i="5"/>
  <c r="R351" i="5" s="1"/>
  <c r="M351" i="5"/>
  <c r="L352" i="5"/>
  <c r="R352" i="5" s="1"/>
  <c r="M352" i="5"/>
  <c r="L353" i="5"/>
  <c r="R353" i="5" s="1"/>
  <c r="M353" i="5"/>
  <c r="L354" i="5"/>
  <c r="R354" i="5" s="1"/>
  <c r="M354" i="5"/>
  <c r="L355" i="5"/>
  <c r="R355" i="5" s="1"/>
  <c r="M355" i="5"/>
  <c r="L356" i="5"/>
  <c r="R356" i="5" s="1"/>
  <c r="M356" i="5"/>
  <c r="L357" i="5"/>
  <c r="R357" i="5" s="1"/>
  <c r="M357" i="5"/>
  <c r="L358" i="5"/>
  <c r="R358" i="5" s="1"/>
  <c r="M358" i="5"/>
  <c r="L359" i="5"/>
  <c r="R359" i="5" s="1"/>
  <c r="M359" i="5"/>
  <c r="L360" i="5"/>
  <c r="R360" i="5" s="1"/>
  <c r="M360" i="5"/>
  <c r="L361" i="5"/>
  <c r="R361" i="5" s="1"/>
  <c r="M361" i="5"/>
  <c r="L362" i="5"/>
  <c r="R362" i="5" s="1"/>
  <c r="M362" i="5"/>
  <c r="L363" i="5"/>
  <c r="R363" i="5" s="1"/>
  <c r="M363" i="5"/>
  <c r="L364" i="5"/>
  <c r="R364" i="5" s="1"/>
  <c r="M364" i="5"/>
  <c r="L365" i="5"/>
  <c r="R365" i="5" s="1"/>
  <c r="M365" i="5"/>
  <c r="L366" i="5"/>
  <c r="R366" i="5" s="1"/>
  <c r="M366" i="5"/>
  <c r="L367" i="5"/>
  <c r="R367" i="5" s="1"/>
  <c r="M367" i="5"/>
  <c r="L368" i="5"/>
  <c r="R368" i="5" s="1"/>
  <c r="M368" i="5"/>
  <c r="L369" i="5"/>
  <c r="R369" i="5" s="1"/>
  <c r="M369" i="5"/>
  <c r="L370" i="5"/>
  <c r="R370" i="5" s="1"/>
  <c r="M370" i="5"/>
  <c r="L371" i="5"/>
  <c r="R371" i="5" s="1"/>
  <c r="M371" i="5"/>
  <c r="L372" i="5"/>
  <c r="R372" i="5" s="1"/>
  <c r="M372" i="5"/>
  <c r="L373" i="5"/>
  <c r="R373" i="5" s="1"/>
  <c r="M373" i="5"/>
  <c r="L374" i="5"/>
  <c r="R374" i="5" s="1"/>
  <c r="M374" i="5"/>
  <c r="L375" i="5"/>
  <c r="R375" i="5" s="1"/>
  <c r="M375" i="5"/>
  <c r="L376" i="5"/>
  <c r="R376" i="5" s="1"/>
  <c r="M376" i="5"/>
  <c r="L377" i="5"/>
  <c r="R377" i="5" s="1"/>
  <c r="M377" i="5"/>
  <c r="L378" i="5"/>
  <c r="R378" i="5" s="1"/>
  <c r="M378" i="5"/>
  <c r="L379" i="5"/>
  <c r="R379" i="5" s="1"/>
  <c r="M379" i="5"/>
  <c r="L380" i="5"/>
  <c r="R380" i="5" s="1"/>
  <c r="M380" i="5"/>
  <c r="L381" i="5"/>
  <c r="R381" i="5" s="1"/>
  <c r="M381" i="5"/>
  <c r="L382" i="5"/>
  <c r="R382" i="5" s="1"/>
  <c r="M382" i="5"/>
  <c r="L383" i="5"/>
  <c r="R383" i="5" s="1"/>
  <c r="M383" i="5"/>
  <c r="L384" i="5"/>
  <c r="R384" i="5" s="1"/>
  <c r="M384" i="5"/>
  <c r="L385" i="5"/>
  <c r="R385" i="5" s="1"/>
  <c r="M385" i="5"/>
  <c r="L386" i="5"/>
  <c r="R386" i="5" s="1"/>
  <c r="M386" i="5"/>
  <c r="L387" i="5"/>
  <c r="R387" i="5" s="1"/>
  <c r="M387" i="5"/>
  <c r="L388" i="5"/>
  <c r="R388" i="5" s="1"/>
  <c r="M388" i="5"/>
  <c r="L389" i="5"/>
  <c r="R389" i="5" s="1"/>
  <c r="M389" i="5"/>
  <c r="L390" i="5"/>
  <c r="R390" i="5" s="1"/>
  <c r="M390" i="5"/>
  <c r="L391" i="5"/>
  <c r="R391" i="5" s="1"/>
  <c r="M391" i="5"/>
  <c r="L392" i="5"/>
  <c r="R392" i="5" s="1"/>
  <c r="M392" i="5"/>
  <c r="L393" i="5"/>
  <c r="R393" i="5" s="1"/>
  <c r="M393" i="5"/>
  <c r="L394" i="5"/>
  <c r="R394" i="5" s="1"/>
  <c r="M394" i="5"/>
  <c r="L395" i="5"/>
  <c r="R395" i="5" s="1"/>
  <c r="M395" i="5"/>
  <c r="L396" i="5"/>
  <c r="R396" i="5" s="1"/>
  <c r="M396" i="5"/>
  <c r="L397" i="5"/>
  <c r="R397" i="5" s="1"/>
  <c r="M397" i="5"/>
  <c r="L398" i="5"/>
  <c r="R398" i="5" s="1"/>
  <c r="M398" i="5"/>
  <c r="L399" i="5"/>
  <c r="R399" i="5" s="1"/>
  <c r="M399" i="5"/>
  <c r="L400" i="5"/>
  <c r="R400" i="5" s="1"/>
  <c r="M400" i="5"/>
  <c r="L401" i="5"/>
  <c r="R401" i="5" s="1"/>
  <c r="M401" i="5"/>
  <c r="L402" i="5"/>
  <c r="R402" i="5" s="1"/>
  <c r="M402" i="5"/>
  <c r="L403" i="5"/>
  <c r="R403" i="5" s="1"/>
  <c r="M403" i="5"/>
  <c r="L404" i="5"/>
  <c r="R404" i="5" s="1"/>
  <c r="M404" i="5"/>
  <c r="L405" i="5"/>
  <c r="R405" i="5" s="1"/>
  <c r="M405" i="5"/>
  <c r="L406" i="5"/>
  <c r="R406" i="5" s="1"/>
  <c r="M406" i="5"/>
  <c r="L407" i="5"/>
  <c r="R407" i="5" s="1"/>
  <c r="M407" i="5"/>
  <c r="L408" i="5"/>
  <c r="R408" i="5" s="1"/>
  <c r="M408" i="5"/>
  <c r="L409" i="5"/>
  <c r="R409" i="5" s="1"/>
  <c r="M409" i="5"/>
  <c r="L410" i="5"/>
  <c r="R410" i="5" s="1"/>
  <c r="M410" i="5"/>
  <c r="L411" i="5"/>
  <c r="R411" i="5" s="1"/>
  <c r="M411" i="5"/>
  <c r="L412" i="5"/>
  <c r="R412" i="5" s="1"/>
  <c r="M412" i="5"/>
  <c r="L413" i="5"/>
  <c r="R413" i="5" s="1"/>
  <c r="M413" i="5"/>
  <c r="L414" i="5"/>
  <c r="R414" i="5" s="1"/>
  <c r="M414" i="5"/>
  <c r="L415" i="5"/>
  <c r="R415" i="5" s="1"/>
  <c r="M415" i="5"/>
  <c r="L416" i="5"/>
  <c r="R416" i="5" s="1"/>
  <c r="M416" i="5"/>
  <c r="L417" i="5"/>
  <c r="R417" i="5" s="1"/>
  <c r="M417" i="5"/>
  <c r="L418" i="5"/>
  <c r="R418" i="5" s="1"/>
  <c r="M418" i="5"/>
  <c r="L419" i="5"/>
  <c r="R419" i="5" s="1"/>
  <c r="M419" i="5"/>
  <c r="L420" i="5"/>
  <c r="R420" i="5" s="1"/>
  <c r="M420" i="5"/>
  <c r="L421" i="5"/>
  <c r="R421" i="5" s="1"/>
  <c r="M421" i="5"/>
  <c r="L422" i="5"/>
  <c r="R422" i="5" s="1"/>
  <c r="M422" i="5"/>
  <c r="L423" i="5"/>
  <c r="R423" i="5" s="1"/>
  <c r="M423" i="5"/>
  <c r="L424" i="5"/>
  <c r="R424" i="5" s="1"/>
  <c r="M424" i="5"/>
  <c r="L425" i="5"/>
  <c r="R425" i="5" s="1"/>
  <c r="M425" i="5"/>
  <c r="L426" i="5"/>
  <c r="R426" i="5" s="1"/>
  <c r="M426" i="5"/>
  <c r="L427" i="5"/>
  <c r="R427" i="5" s="1"/>
  <c r="M427" i="5"/>
  <c r="L428" i="5"/>
  <c r="R428" i="5" s="1"/>
  <c r="M428" i="5"/>
  <c r="L429" i="5"/>
  <c r="R429" i="5" s="1"/>
  <c r="M429" i="5"/>
  <c r="L430" i="5"/>
  <c r="R430" i="5" s="1"/>
  <c r="M430" i="5"/>
  <c r="L431" i="5"/>
  <c r="R431" i="5" s="1"/>
  <c r="M431" i="5"/>
  <c r="L432" i="5"/>
  <c r="R432" i="5" s="1"/>
  <c r="M432" i="5"/>
  <c r="L433" i="5"/>
  <c r="R433" i="5" s="1"/>
  <c r="M433" i="5"/>
  <c r="L434" i="5"/>
  <c r="R434" i="5" s="1"/>
  <c r="M434" i="5"/>
  <c r="L435" i="5"/>
  <c r="R435" i="5" s="1"/>
  <c r="M435" i="5"/>
  <c r="L436" i="5"/>
  <c r="R436" i="5" s="1"/>
  <c r="M436" i="5"/>
  <c r="L437" i="5"/>
  <c r="R437" i="5" s="1"/>
  <c r="M437" i="5"/>
  <c r="L438" i="5"/>
  <c r="R438" i="5" s="1"/>
  <c r="M438" i="5"/>
  <c r="L439" i="5"/>
  <c r="R439" i="5" s="1"/>
  <c r="M439" i="5"/>
  <c r="L440" i="5"/>
  <c r="R440" i="5" s="1"/>
  <c r="M440" i="5"/>
  <c r="L441" i="5"/>
  <c r="R441" i="5" s="1"/>
  <c r="M441" i="5"/>
  <c r="L442" i="5"/>
  <c r="R442" i="5" s="1"/>
  <c r="M442" i="5"/>
  <c r="L443" i="5"/>
  <c r="R443" i="5" s="1"/>
  <c r="M443" i="5"/>
  <c r="L444" i="5"/>
  <c r="R444" i="5" s="1"/>
  <c r="M444" i="5"/>
  <c r="L445" i="5"/>
  <c r="R445" i="5" s="1"/>
  <c r="M445" i="5"/>
  <c r="L446" i="5"/>
  <c r="R446" i="5" s="1"/>
  <c r="M446" i="5"/>
  <c r="L447" i="5"/>
  <c r="R447" i="5" s="1"/>
  <c r="M447" i="5"/>
  <c r="L448" i="5"/>
  <c r="R448" i="5" s="1"/>
  <c r="M448" i="5"/>
  <c r="L449" i="5"/>
  <c r="R449" i="5" s="1"/>
  <c r="M449" i="5"/>
  <c r="L450" i="5"/>
  <c r="R450" i="5" s="1"/>
  <c r="M450" i="5"/>
  <c r="L451" i="5"/>
  <c r="R451" i="5" s="1"/>
  <c r="M451" i="5"/>
  <c r="L452" i="5"/>
  <c r="R452" i="5" s="1"/>
  <c r="M452" i="5"/>
  <c r="L453" i="5"/>
  <c r="R453" i="5" s="1"/>
  <c r="M453" i="5"/>
  <c r="L454" i="5"/>
  <c r="R454" i="5" s="1"/>
  <c r="M454" i="5"/>
  <c r="L455" i="5"/>
  <c r="R455" i="5" s="1"/>
  <c r="M455" i="5"/>
  <c r="L456" i="5"/>
  <c r="R456" i="5" s="1"/>
  <c r="M456" i="5"/>
  <c r="L457" i="5"/>
  <c r="R457" i="5" s="1"/>
  <c r="M457" i="5"/>
  <c r="L458" i="5"/>
  <c r="R458" i="5" s="1"/>
  <c r="M458" i="5"/>
  <c r="L459" i="5"/>
  <c r="R459" i="5" s="1"/>
  <c r="M459" i="5"/>
  <c r="L460" i="5"/>
  <c r="R460" i="5" s="1"/>
  <c r="M460" i="5"/>
  <c r="L461" i="5"/>
  <c r="R461" i="5" s="1"/>
  <c r="M461" i="5"/>
  <c r="L462" i="5"/>
  <c r="R462" i="5" s="1"/>
  <c r="M462" i="5"/>
  <c r="L463" i="5"/>
  <c r="R463" i="5" s="1"/>
  <c r="M463" i="5"/>
  <c r="L464" i="5"/>
  <c r="R464" i="5" s="1"/>
  <c r="M464" i="5"/>
  <c r="L465" i="5"/>
  <c r="R465" i="5" s="1"/>
  <c r="M465" i="5"/>
  <c r="L466" i="5"/>
  <c r="R466" i="5" s="1"/>
  <c r="M466" i="5"/>
  <c r="L467" i="5"/>
  <c r="R467" i="5" s="1"/>
  <c r="M467" i="5"/>
  <c r="L468" i="5"/>
  <c r="R468" i="5" s="1"/>
  <c r="M468" i="5"/>
  <c r="L469" i="5"/>
  <c r="R469" i="5" s="1"/>
  <c r="M469" i="5"/>
  <c r="L470" i="5"/>
  <c r="R470" i="5" s="1"/>
  <c r="M470" i="5"/>
  <c r="L471" i="5"/>
  <c r="R471" i="5" s="1"/>
  <c r="M471" i="5"/>
  <c r="L472" i="5"/>
  <c r="R472" i="5" s="1"/>
  <c r="M472" i="5"/>
  <c r="L473" i="5"/>
  <c r="R473" i="5" s="1"/>
  <c r="M473" i="5"/>
  <c r="L474" i="5"/>
  <c r="R474" i="5" s="1"/>
  <c r="M474" i="5"/>
  <c r="L475" i="5"/>
  <c r="R475" i="5" s="1"/>
  <c r="M475" i="5"/>
  <c r="L476" i="5"/>
  <c r="R476" i="5" s="1"/>
  <c r="M476" i="5"/>
  <c r="L477" i="5"/>
  <c r="R477" i="5" s="1"/>
  <c r="M477" i="5"/>
  <c r="L478" i="5"/>
  <c r="R478" i="5" s="1"/>
  <c r="M478" i="5"/>
  <c r="L479" i="5"/>
  <c r="R479" i="5" s="1"/>
  <c r="M479" i="5"/>
  <c r="L480" i="5"/>
  <c r="R480" i="5" s="1"/>
  <c r="M480" i="5"/>
  <c r="L481" i="5"/>
  <c r="R481" i="5" s="1"/>
  <c r="M481" i="5"/>
  <c r="L482" i="5"/>
  <c r="R482" i="5" s="1"/>
  <c r="M482" i="5"/>
  <c r="L483" i="5"/>
  <c r="R483" i="5" s="1"/>
  <c r="M483" i="5"/>
  <c r="L484" i="5"/>
  <c r="R484" i="5" s="1"/>
  <c r="M484" i="5"/>
  <c r="L485" i="5"/>
  <c r="M485" i="5"/>
  <c r="L486" i="5"/>
  <c r="R486" i="5" s="1"/>
  <c r="M486" i="5"/>
  <c r="L487" i="5"/>
  <c r="R487" i="5" s="1"/>
  <c r="M487" i="5"/>
  <c r="L488" i="5"/>
  <c r="R488" i="5" s="1"/>
  <c r="M488" i="5"/>
  <c r="L489" i="5"/>
  <c r="M489" i="5"/>
  <c r="L490" i="5"/>
  <c r="R490" i="5" s="1"/>
  <c r="M490" i="5"/>
  <c r="L491" i="5"/>
  <c r="R491" i="5" s="1"/>
  <c r="M491" i="5"/>
  <c r="L492" i="5"/>
  <c r="R492" i="5" s="1"/>
  <c r="M492" i="5"/>
  <c r="L493" i="5"/>
  <c r="M493" i="5"/>
  <c r="L494" i="5"/>
  <c r="M494" i="5"/>
  <c r="L495" i="5"/>
  <c r="M495" i="5"/>
  <c r="L496" i="5"/>
  <c r="R496" i="5" s="1"/>
  <c r="M496" i="5"/>
  <c r="L497" i="5"/>
  <c r="M497" i="5"/>
  <c r="L498" i="5"/>
  <c r="R498" i="5" s="1"/>
  <c r="M498" i="5"/>
  <c r="L499" i="5"/>
  <c r="R499" i="5" s="1"/>
  <c r="M499" i="5"/>
  <c r="L500" i="5"/>
  <c r="R500" i="5" s="1"/>
  <c r="M500" i="5"/>
  <c r="L501" i="5"/>
  <c r="R501" i="5" s="1"/>
  <c r="M501" i="5"/>
  <c r="L502" i="5"/>
  <c r="M502" i="5"/>
  <c r="L503" i="5"/>
  <c r="M503" i="5"/>
  <c r="L504" i="5"/>
  <c r="R504" i="5" s="1"/>
  <c r="M504" i="5"/>
  <c r="L505" i="5"/>
  <c r="R505" i="5" s="1"/>
  <c r="M505" i="5"/>
  <c r="L506" i="5"/>
  <c r="M506" i="5"/>
  <c r="L507" i="5"/>
  <c r="R507" i="5" s="1"/>
  <c r="M507" i="5"/>
  <c r="L508" i="5"/>
  <c r="R508" i="5" s="1"/>
  <c r="M508" i="5"/>
  <c r="L509" i="5"/>
  <c r="M509" i="5"/>
  <c r="L510" i="5"/>
  <c r="R510" i="5" s="1"/>
  <c r="M510" i="5"/>
  <c r="L511" i="5"/>
  <c r="R511" i="5" s="1"/>
  <c r="M511" i="5"/>
  <c r="L512" i="5"/>
  <c r="R512" i="5" s="1"/>
  <c r="M512" i="5"/>
  <c r="L513" i="5"/>
  <c r="M513" i="5"/>
  <c r="L514" i="5"/>
  <c r="R514" i="5" s="1"/>
  <c r="M514" i="5"/>
  <c r="L515" i="5"/>
  <c r="R515" i="5" s="1"/>
  <c r="M515" i="5"/>
  <c r="L516" i="5"/>
  <c r="R516" i="5" s="1"/>
  <c r="M516" i="5"/>
  <c r="L517" i="5"/>
  <c r="M517" i="5"/>
  <c r="L518" i="5"/>
  <c r="R518" i="5" s="1"/>
  <c r="M518" i="5"/>
  <c r="L519" i="5"/>
  <c r="R519" i="5" s="1"/>
  <c r="M519" i="5"/>
  <c r="L520" i="5"/>
  <c r="R520" i="5" s="1"/>
  <c r="M520" i="5"/>
  <c r="L521" i="5"/>
  <c r="R521" i="5" s="1"/>
  <c r="M521" i="5"/>
  <c r="L522" i="5"/>
  <c r="R522" i="5" s="1"/>
  <c r="M522" i="5"/>
  <c r="L523" i="5"/>
  <c r="R523" i="5" s="1"/>
  <c r="M523" i="5"/>
  <c r="L524" i="5"/>
  <c r="R524" i="5" s="1"/>
  <c r="M524" i="5"/>
  <c r="L525" i="5"/>
  <c r="M525" i="5"/>
  <c r="L526" i="5"/>
  <c r="R526" i="5" s="1"/>
  <c r="M526" i="5"/>
  <c r="L527" i="5"/>
  <c r="M527" i="5"/>
  <c r="L528" i="5"/>
  <c r="R528" i="5" s="1"/>
  <c r="M528" i="5"/>
  <c r="L529" i="5"/>
  <c r="M529" i="5"/>
  <c r="L530" i="5"/>
  <c r="R530" i="5" s="1"/>
  <c r="M530" i="5"/>
  <c r="L531" i="5"/>
  <c r="R531" i="5" s="1"/>
  <c r="M531" i="5"/>
  <c r="L532" i="5"/>
  <c r="R532" i="5" s="1"/>
  <c r="M532" i="5"/>
  <c r="L533" i="5"/>
  <c r="R533" i="5" s="1"/>
  <c r="M533" i="5"/>
  <c r="L534" i="5"/>
  <c r="R534" i="5" s="1"/>
  <c r="M534" i="5"/>
  <c r="L535" i="5"/>
  <c r="R535" i="5" s="1"/>
  <c r="M535" i="5"/>
  <c r="L536" i="5"/>
  <c r="R536" i="5" s="1"/>
  <c r="M536" i="5"/>
  <c r="L537" i="5"/>
  <c r="M537" i="5"/>
  <c r="L538" i="5"/>
  <c r="M538" i="5"/>
  <c r="L539" i="5"/>
  <c r="M539" i="5"/>
  <c r="L540" i="5"/>
  <c r="R540" i="5" s="1"/>
  <c r="M540" i="5"/>
  <c r="L541" i="5"/>
  <c r="M541" i="5"/>
  <c r="L542" i="5"/>
  <c r="R542" i="5" s="1"/>
  <c r="M542" i="5"/>
  <c r="L543" i="5"/>
  <c r="R543" i="5" s="1"/>
  <c r="M543" i="5"/>
  <c r="L544" i="5"/>
  <c r="R544" i="5" s="1"/>
  <c r="M544" i="5"/>
  <c r="L545" i="5"/>
  <c r="M545" i="5"/>
  <c r="L546" i="5"/>
  <c r="R546" i="5" s="1"/>
  <c r="M546" i="5"/>
  <c r="L547" i="5"/>
  <c r="R547" i="5" s="1"/>
  <c r="M547" i="5"/>
  <c r="L548" i="5"/>
  <c r="R548" i="5" s="1"/>
  <c r="M548" i="5"/>
  <c r="L549" i="5"/>
  <c r="S549" i="5" s="1"/>
  <c r="M549" i="5"/>
  <c r="L550" i="5"/>
  <c r="S550" i="5" s="1"/>
  <c r="M550" i="5"/>
  <c r="L551" i="5"/>
  <c r="M551" i="5"/>
  <c r="L552" i="5"/>
  <c r="M552" i="5"/>
  <c r="L553" i="5"/>
  <c r="Q553" i="5" s="1"/>
  <c r="M553" i="5"/>
  <c r="L554" i="5"/>
  <c r="S554" i="5" s="1"/>
  <c r="M554" i="5"/>
  <c r="L555" i="5"/>
  <c r="P555" i="5" s="1"/>
  <c r="M555" i="5"/>
  <c r="L556" i="5"/>
  <c r="P556" i="5" s="1"/>
  <c r="M556" i="5"/>
  <c r="L557" i="5"/>
  <c r="P557" i="5" s="1"/>
  <c r="M557" i="5"/>
  <c r="L558" i="5"/>
  <c r="S558" i="5" s="1"/>
  <c r="M558" i="5"/>
  <c r="L559" i="5"/>
  <c r="K559" i="5" s="1"/>
  <c r="M559" i="5"/>
  <c r="L560" i="5"/>
  <c r="Q560" i="5" s="1"/>
  <c r="M560" i="5"/>
  <c r="L561" i="5"/>
  <c r="P561" i="5" s="1"/>
  <c r="M561" i="5"/>
  <c r="L562" i="5"/>
  <c r="M562" i="5"/>
  <c r="L563" i="5"/>
  <c r="K563" i="5" s="1"/>
  <c r="M563" i="5"/>
  <c r="L564" i="5"/>
  <c r="S564" i="5" s="1"/>
  <c r="M564" i="5"/>
  <c r="L565" i="5"/>
  <c r="R565" i="5" s="1"/>
  <c r="M565" i="5"/>
  <c r="L566" i="5"/>
  <c r="Q566" i="5" s="1"/>
  <c r="M566" i="5"/>
  <c r="L567" i="5"/>
  <c r="P567" i="5" s="1"/>
  <c r="M567" i="5"/>
  <c r="L568" i="5"/>
  <c r="K568" i="5" s="1"/>
  <c r="M568" i="5"/>
  <c r="L569" i="5"/>
  <c r="P569" i="5" s="1"/>
  <c r="M569" i="5"/>
  <c r="L570" i="5"/>
  <c r="M570" i="5"/>
  <c r="L571" i="5"/>
  <c r="S571" i="5" s="1"/>
  <c r="M571" i="5"/>
  <c r="L572" i="5"/>
  <c r="M572" i="5"/>
  <c r="L573" i="5"/>
  <c r="P573" i="5" s="1"/>
  <c r="M573" i="5"/>
  <c r="L574" i="5"/>
  <c r="S574" i="5" s="1"/>
  <c r="M574" i="5"/>
  <c r="L575" i="5"/>
  <c r="M575" i="5"/>
  <c r="L576" i="5"/>
  <c r="O576" i="5" s="1"/>
  <c r="M576" i="5"/>
  <c r="L577" i="5"/>
  <c r="Q577" i="5" s="1"/>
  <c r="M577" i="5"/>
  <c r="L578" i="5"/>
  <c r="K578" i="5" s="1"/>
  <c r="M578" i="5"/>
  <c r="L579" i="5"/>
  <c r="P579" i="5" s="1"/>
  <c r="M579" i="5"/>
  <c r="L580" i="5"/>
  <c r="M580" i="5"/>
  <c r="L581" i="5"/>
  <c r="P581" i="5" s="1"/>
  <c r="M581" i="5"/>
  <c r="L582" i="5"/>
  <c r="K582" i="5" s="1"/>
  <c r="M582" i="5"/>
  <c r="L583" i="5"/>
  <c r="K583" i="5" s="1"/>
  <c r="M583" i="5"/>
  <c r="L584" i="5"/>
  <c r="M584" i="5"/>
  <c r="L585" i="5"/>
  <c r="P585" i="5" s="1"/>
  <c r="M585" i="5"/>
  <c r="L586" i="5"/>
  <c r="R586" i="5" s="1"/>
  <c r="M586" i="5"/>
  <c r="L587" i="5"/>
  <c r="S587" i="5" s="1"/>
  <c r="M587" i="5"/>
  <c r="L588" i="5"/>
  <c r="M588" i="5"/>
  <c r="L589" i="5"/>
  <c r="K589" i="5" s="1"/>
  <c r="M589" i="5"/>
  <c r="L590" i="5"/>
  <c r="M590" i="5"/>
  <c r="L591" i="5"/>
  <c r="K591" i="5" s="1"/>
  <c r="M591" i="5"/>
  <c r="L592" i="5"/>
  <c r="M592" i="5"/>
  <c r="L593" i="5"/>
  <c r="P593" i="5" s="1"/>
  <c r="M593" i="5"/>
  <c r="L594" i="5"/>
  <c r="M594" i="5"/>
  <c r="L595" i="5"/>
  <c r="Q595" i="5" s="1"/>
  <c r="M595" i="5"/>
  <c r="L596" i="5"/>
  <c r="S596" i="5" s="1"/>
  <c r="M596" i="5"/>
  <c r="L597" i="5"/>
  <c r="S597" i="5" s="1"/>
  <c r="M597" i="5"/>
  <c r="L598" i="5"/>
  <c r="Q598" i="5" s="1"/>
  <c r="M598" i="5"/>
  <c r="L599" i="5"/>
  <c r="S599" i="5" s="1"/>
  <c r="M599" i="5"/>
  <c r="L600" i="5"/>
  <c r="M600" i="5"/>
  <c r="L601" i="5"/>
  <c r="M601" i="5"/>
  <c r="N601" i="5"/>
  <c r="L602" i="5"/>
  <c r="P602" i="5" s="1"/>
  <c r="M602" i="5"/>
  <c r="N602" i="5"/>
  <c r="L603" i="5"/>
  <c r="O603" i="5" s="1"/>
  <c r="M603" i="5"/>
  <c r="N603" i="5"/>
  <c r="L604" i="5"/>
  <c r="O604" i="5" s="1"/>
  <c r="M604" i="5"/>
  <c r="N604" i="5"/>
  <c r="L605" i="5"/>
  <c r="M605" i="5"/>
  <c r="N605" i="5"/>
  <c r="L606" i="5"/>
  <c r="M606" i="5"/>
  <c r="N606" i="5"/>
  <c r="L607" i="5"/>
  <c r="Q607" i="5" s="1"/>
  <c r="M607" i="5"/>
  <c r="N607" i="5"/>
  <c r="L608" i="5"/>
  <c r="R608" i="5" s="1"/>
  <c r="M608" i="5"/>
  <c r="N608" i="5"/>
  <c r="L609" i="5"/>
  <c r="P609" i="5" s="1"/>
  <c r="M609" i="5"/>
  <c r="N609" i="5"/>
  <c r="L610" i="5"/>
  <c r="S610" i="5" s="1"/>
  <c r="M610" i="5"/>
  <c r="N610" i="5"/>
  <c r="L611" i="5"/>
  <c r="M611" i="5"/>
  <c r="N611" i="5"/>
  <c r="L612" i="5"/>
  <c r="Q612" i="5" s="1"/>
  <c r="M612" i="5"/>
  <c r="N612" i="5"/>
  <c r="L613" i="5"/>
  <c r="M613" i="5"/>
  <c r="N613" i="5"/>
  <c r="L614" i="5"/>
  <c r="M614" i="5"/>
  <c r="N614" i="5"/>
  <c r="L615" i="5"/>
  <c r="M615" i="5"/>
  <c r="N615" i="5"/>
  <c r="L616" i="5"/>
  <c r="M616" i="5"/>
  <c r="N616" i="5"/>
  <c r="L617" i="5"/>
  <c r="P617" i="5" s="1"/>
  <c r="M617" i="5"/>
  <c r="N617" i="5"/>
  <c r="L618" i="5"/>
  <c r="M618" i="5"/>
  <c r="N618" i="5"/>
  <c r="L619" i="5"/>
  <c r="R619" i="5" s="1"/>
  <c r="M619" i="5"/>
  <c r="N619" i="5"/>
  <c r="L620" i="5"/>
  <c r="S620" i="5" s="1"/>
  <c r="M620" i="5"/>
  <c r="N620" i="5"/>
  <c r="L621" i="5"/>
  <c r="M621" i="5"/>
  <c r="N621" i="5"/>
  <c r="L622" i="5"/>
  <c r="K622" i="5" s="1"/>
  <c r="M622" i="5"/>
  <c r="N622" i="5"/>
  <c r="L623" i="5"/>
  <c r="M623" i="5"/>
  <c r="N623" i="5"/>
  <c r="L624" i="5"/>
  <c r="M624" i="5"/>
  <c r="N624" i="5"/>
  <c r="L625" i="5"/>
  <c r="P625" i="5" s="1"/>
  <c r="M625" i="5"/>
  <c r="N625" i="5"/>
  <c r="L626" i="5"/>
  <c r="Q626" i="5" s="1"/>
  <c r="M626" i="5"/>
  <c r="M315" i="5"/>
  <c r="L315"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 i="5"/>
  <c r="L4" i="5"/>
  <c r="R4" i="5" s="1"/>
  <c r="L5" i="5"/>
  <c r="R5" i="5" s="1"/>
  <c r="L6" i="5"/>
  <c r="R6" i="5" s="1"/>
  <c r="L7" i="5"/>
  <c r="R7" i="5" s="1"/>
  <c r="L8" i="5"/>
  <c r="R8" i="5" s="1"/>
  <c r="L9" i="5"/>
  <c r="L10" i="5"/>
  <c r="L11" i="5"/>
  <c r="L12" i="5"/>
  <c r="R12" i="5" s="1"/>
  <c r="L13" i="5"/>
  <c r="R13" i="5" s="1"/>
  <c r="L14" i="5"/>
  <c r="R14" i="5" s="1"/>
  <c r="L15" i="5"/>
  <c r="R15" i="5" s="1"/>
  <c r="L16" i="5"/>
  <c r="R16" i="5" s="1"/>
  <c r="L17" i="5"/>
  <c r="L18" i="5"/>
  <c r="R18" i="5" s="1"/>
  <c r="L19" i="5"/>
  <c r="R19" i="5" s="1"/>
  <c r="L20" i="5"/>
  <c r="R20" i="5" s="1"/>
  <c r="L21" i="5"/>
  <c r="R21" i="5" s="1"/>
  <c r="L22" i="5"/>
  <c r="R22" i="5" s="1"/>
  <c r="L23" i="5"/>
  <c r="R23" i="5" s="1"/>
  <c r="L24" i="5"/>
  <c r="R24" i="5" s="1"/>
  <c r="L25" i="5"/>
  <c r="R25" i="5" s="1"/>
  <c r="L26" i="5"/>
  <c r="R26" i="5" s="1"/>
  <c r="L27" i="5"/>
  <c r="R27" i="5" s="1"/>
  <c r="L28" i="5"/>
  <c r="R28" i="5" s="1"/>
  <c r="L29" i="5"/>
  <c r="R29" i="5" s="1"/>
  <c r="L30" i="5"/>
  <c r="R30" i="5" s="1"/>
  <c r="L31" i="5"/>
  <c r="R31" i="5" s="1"/>
  <c r="L32" i="5"/>
  <c r="R32" i="5" s="1"/>
  <c r="L33" i="5"/>
  <c r="R33" i="5" s="1"/>
  <c r="L34" i="5"/>
  <c r="R34" i="5" s="1"/>
  <c r="L35" i="5"/>
  <c r="R35" i="5" s="1"/>
  <c r="L36" i="5"/>
  <c r="R36" i="5" s="1"/>
  <c r="L37" i="5"/>
  <c r="R37" i="5" s="1"/>
  <c r="L38" i="5"/>
  <c r="R38" i="5" s="1"/>
  <c r="L39" i="5"/>
  <c r="R39" i="5" s="1"/>
  <c r="L40" i="5"/>
  <c r="R40" i="5" s="1"/>
  <c r="L41" i="5"/>
  <c r="R41" i="5" s="1"/>
  <c r="L42" i="5"/>
  <c r="R42" i="5" s="1"/>
  <c r="L43" i="5"/>
  <c r="R43" i="5" s="1"/>
  <c r="L44" i="5"/>
  <c r="R44" i="5" s="1"/>
  <c r="L45" i="5"/>
  <c r="R45" i="5" s="1"/>
  <c r="L46" i="5"/>
  <c r="R46" i="5" s="1"/>
  <c r="L47" i="5"/>
  <c r="R47" i="5" s="1"/>
  <c r="L48" i="5"/>
  <c r="R48" i="5" s="1"/>
  <c r="L49" i="5"/>
  <c r="R49" i="5" s="1"/>
  <c r="L50" i="5"/>
  <c r="R50" i="5" s="1"/>
  <c r="L51" i="5"/>
  <c r="R51" i="5" s="1"/>
  <c r="L52" i="5"/>
  <c r="R52" i="5" s="1"/>
  <c r="L53" i="5"/>
  <c r="R53" i="5" s="1"/>
  <c r="L54" i="5"/>
  <c r="R54" i="5" s="1"/>
  <c r="L55" i="5"/>
  <c r="R55" i="5" s="1"/>
  <c r="L56" i="5"/>
  <c r="L57" i="5"/>
  <c r="L58" i="5"/>
  <c r="R58" i="5" s="1"/>
  <c r="L59" i="5"/>
  <c r="R59" i="5" s="1"/>
  <c r="L60" i="5"/>
  <c r="R60" i="5" s="1"/>
  <c r="L61" i="5"/>
  <c r="R61" i="5" s="1"/>
  <c r="L62" i="5"/>
  <c r="R62" i="5" s="1"/>
  <c r="L63" i="5"/>
  <c r="R63" i="5" s="1"/>
  <c r="L64" i="5"/>
  <c r="L65" i="5"/>
  <c r="R65" i="5" s="1"/>
  <c r="L66" i="5"/>
  <c r="R66" i="5" s="1"/>
  <c r="L67" i="5"/>
  <c r="R67" i="5" s="1"/>
  <c r="L68" i="5"/>
  <c r="R68" i="5" s="1"/>
  <c r="L69" i="5"/>
  <c r="R69" i="5" s="1"/>
  <c r="L70" i="5"/>
  <c r="R70" i="5" s="1"/>
  <c r="L71" i="5"/>
  <c r="R71" i="5" s="1"/>
  <c r="L72" i="5"/>
  <c r="R72" i="5" s="1"/>
  <c r="L73" i="5"/>
  <c r="R73" i="5" s="1"/>
  <c r="L74" i="5"/>
  <c r="R74" i="5" s="1"/>
  <c r="L75" i="5"/>
  <c r="L76" i="5"/>
  <c r="R76" i="5" s="1"/>
  <c r="L77" i="5"/>
  <c r="R77" i="5" s="1"/>
  <c r="L78" i="5"/>
  <c r="R78" i="5" s="1"/>
  <c r="L79" i="5"/>
  <c r="R79" i="5" s="1"/>
  <c r="L80" i="5"/>
  <c r="R80" i="5" s="1"/>
  <c r="L81" i="5"/>
  <c r="L82" i="5"/>
  <c r="R82" i="5" s="1"/>
  <c r="L83" i="5"/>
  <c r="R83" i="5" s="1"/>
  <c r="L84" i="5"/>
  <c r="R84" i="5" s="1"/>
  <c r="L85" i="5"/>
  <c r="R85" i="5" s="1"/>
  <c r="L86" i="5"/>
  <c r="R86" i="5" s="1"/>
  <c r="L87" i="5"/>
  <c r="R87" i="5" s="1"/>
  <c r="L88" i="5"/>
  <c r="R88" i="5" s="1"/>
  <c r="L89" i="5"/>
  <c r="R89" i="5" s="1"/>
  <c r="L90" i="5"/>
  <c r="R90" i="5" s="1"/>
  <c r="L91" i="5"/>
  <c r="L92" i="5"/>
  <c r="R92" i="5" s="1"/>
  <c r="L93" i="5"/>
  <c r="R93" i="5" s="1"/>
  <c r="L94" i="5"/>
  <c r="R94" i="5" s="1"/>
  <c r="L95" i="5"/>
  <c r="R95" i="5" s="1"/>
  <c r="L96" i="5"/>
  <c r="R96" i="5" s="1"/>
  <c r="L97" i="5"/>
  <c r="R97" i="5" s="1"/>
  <c r="L98" i="5"/>
  <c r="R98" i="5" s="1"/>
  <c r="L99" i="5"/>
  <c r="R99" i="5" s="1"/>
  <c r="L100" i="5"/>
  <c r="R100" i="5" s="1"/>
  <c r="L101" i="5"/>
  <c r="R101" i="5" s="1"/>
  <c r="L102" i="5"/>
  <c r="R102" i="5" s="1"/>
  <c r="L103" i="5"/>
  <c r="R103" i="5" s="1"/>
  <c r="L104" i="5"/>
  <c r="R104" i="5" s="1"/>
  <c r="L105" i="5"/>
  <c r="R105" i="5" s="1"/>
  <c r="L106" i="5"/>
  <c r="R106" i="5" s="1"/>
  <c r="L107" i="5"/>
  <c r="R107" i="5" s="1"/>
  <c r="L108" i="5"/>
  <c r="R108" i="5" s="1"/>
  <c r="L109" i="5"/>
  <c r="R109" i="5" s="1"/>
  <c r="L110" i="5"/>
  <c r="R110" i="5" s="1"/>
  <c r="L111" i="5"/>
  <c r="R111" i="5" s="1"/>
  <c r="L112" i="5"/>
  <c r="R112" i="5" s="1"/>
  <c r="L113" i="5"/>
  <c r="R113" i="5" s="1"/>
  <c r="L114" i="5"/>
  <c r="R114" i="5" s="1"/>
  <c r="L115" i="5"/>
  <c r="R115" i="5" s="1"/>
  <c r="L116" i="5"/>
  <c r="R116" i="5" s="1"/>
  <c r="L117" i="5"/>
  <c r="R117" i="5" s="1"/>
  <c r="L118" i="5"/>
  <c r="R118" i="5" s="1"/>
  <c r="L119" i="5"/>
  <c r="R119" i="5" s="1"/>
  <c r="L120" i="5"/>
  <c r="R120" i="5" s="1"/>
  <c r="L121" i="5"/>
  <c r="R121" i="5" s="1"/>
  <c r="L122" i="5"/>
  <c r="R122" i="5" s="1"/>
  <c r="L123" i="5"/>
  <c r="R123" i="5" s="1"/>
  <c r="L124" i="5"/>
  <c r="R124" i="5" s="1"/>
  <c r="L125" i="5"/>
  <c r="R125" i="5" s="1"/>
  <c r="L126" i="5"/>
  <c r="R126" i="5" s="1"/>
  <c r="L127" i="5"/>
  <c r="R127" i="5" s="1"/>
  <c r="L128" i="5"/>
  <c r="R128" i="5" s="1"/>
  <c r="L129" i="5"/>
  <c r="L130" i="5"/>
  <c r="R130" i="5" s="1"/>
  <c r="L131" i="5"/>
  <c r="R131" i="5" s="1"/>
  <c r="L132" i="5"/>
  <c r="R132" i="5" s="1"/>
  <c r="L133" i="5"/>
  <c r="L134" i="5"/>
  <c r="R134" i="5" s="1"/>
  <c r="L135" i="5"/>
  <c r="R135" i="5" s="1"/>
  <c r="L136" i="5"/>
  <c r="R136" i="5" s="1"/>
  <c r="L137" i="5"/>
  <c r="R137" i="5" s="1"/>
  <c r="L138" i="5"/>
  <c r="R138" i="5" s="1"/>
  <c r="L139" i="5"/>
  <c r="R139" i="5" s="1"/>
  <c r="L140" i="5"/>
  <c r="R140" i="5" s="1"/>
  <c r="L141" i="5"/>
  <c r="R141" i="5" s="1"/>
  <c r="L142" i="5"/>
  <c r="R142" i="5" s="1"/>
  <c r="L143" i="5"/>
  <c r="L144" i="5"/>
  <c r="R144" i="5" s="1"/>
  <c r="L145" i="5"/>
  <c r="R145" i="5" s="1"/>
  <c r="L146" i="5"/>
  <c r="R146" i="5" s="1"/>
  <c r="L147" i="5"/>
  <c r="R147" i="5" s="1"/>
  <c r="L148" i="5"/>
  <c r="R148" i="5" s="1"/>
  <c r="L149" i="5"/>
  <c r="R149" i="5" s="1"/>
  <c r="L150" i="5"/>
  <c r="L151" i="5"/>
  <c r="R151" i="5" s="1"/>
  <c r="L152" i="5"/>
  <c r="R152" i="5" s="1"/>
  <c r="L153" i="5"/>
  <c r="R153" i="5" s="1"/>
  <c r="L154" i="5"/>
  <c r="R154" i="5" s="1"/>
  <c r="L155" i="5"/>
  <c r="R155" i="5" s="1"/>
  <c r="L156" i="5"/>
  <c r="R156" i="5" s="1"/>
  <c r="L157" i="5"/>
  <c r="R157" i="5" s="1"/>
  <c r="L158" i="5"/>
  <c r="R158" i="5" s="1"/>
  <c r="L159" i="5"/>
  <c r="R159" i="5" s="1"/>
  <c r="L160" i="5"/>
  <c r="R160" i="5" s="1"/>
  <c r="L161" i="5"/>
  <c r="R161" i="5" s="1"/>
  <c r="L162" i="5"/>
  <c r="R162" i="5" s="1"/>
  <c r="L163" i="5"/>
  <c r="R163" i="5" s="1"/>
  <c r="L164" i="5"/>
  <c r="L165" i="5"/>
  <c r="R165" i="5" s="1"/>
  <c r="L166" i="5"/>
  <c r="R166" i="5" s="1"/>
  <c r="L167" i="5"/>
  <c r="R167" i="5" s="1"/>
  <c r="L168" i="5"/>
  <c r="L169" i="5"/>
  <c r="R169" i="5" s="1"/>
  <c r="L170" i="5"/>
  <c r="R170" i="5" s="1"/>
  <c r="L171" i="5"/>
  <c r="R171" i="5" s="1"/>
  <c r="L172" i="5"/>
  <c r="R172" i="5" s="1"/>
  <c r="L173" i="5"/>
  <c r="R173" i="5" s="1"/>
  <c r="L174" i="5"/>
  <c r="R174" i="5" s="1"/>
  <c r="L175" i="5"/>
  <c r="R175" i="5" s="1"/>
  <c r="L176" i="5"/>
  <c r="R176" i="5" s="1"/>
  <c r="L177" i="5"/>
  <c r="R177" i="5" s="1"/>
  <c r="L178" i="5"/>
  <c r="R178" i="5" s="1"/>
  <c r="L179" i="5"/>
  <c r="R179" i="5" s="1"/>
  <c r="L180" i="5"/>
  <c r="R180" i="5" s="1"/>
  <c r="L181" i="5"/>
  <c r="R181" i="5" s="1"/>
  <c r="L182" i="5"/>
  <c r="R182" i="5" s="1"/>
  <c r="L183" i="5"/>
  <c r="R183" i="5" s="1"/>
  <c r="L184" i="5"/>
  <c r="R184" i="5" s="1"/>
  <c r="L185" i="5"/>
  <c r="R185" i="5" s="1"/>
  <c r="L186" i="5"/>
  <c r="R186" i="5" s="1"/>
  <c r="L187" i="5"/>
  <c r="R187" i="5" s="1"/>
  <c r="L188" i="5"/>
  <c r="R188" i="5" s="1"/>
  <c r="L189" i="5"/>
  <c r="R189" i="5" s="1"/>
  <c r="L190" i="5"/>
  <c r="R190" i="5" s="1"/>
  <c r="L191" i="5"/>
  <c r="R191" i="5" s="1"/>
  <c r="L192" i="5"/>
  <c r="R192" i="5" s="1"/>
  <c r="L193" i="5"/>
  <c r="R193" i="5" s="1"/>
  <c r="L194" i="5"/>
  <c r="R194" i="5" s="1"/>
  <c r="L195" i="5"/>
  <c r="R195" i="5" s="1"/>
  <c r="L196" i="5"/>
  <c r="R196" i="5" s="1"/>
  <c r="L197" i="5"/>
  <c r="R197" i="5" s="1"/>
  <c r="L198" i="5"/>
  <c r="R198" i="5" s="1"/>
  <c r="L199" i="5"/>
  <c r="R199" i="5" s="1"/>
  <c r="L200" i="5"/>
  <c r="R200" i="5" s="1"/>
  <c r="L201" i="5"/>
  <c r="R201" i="5" s="1"/>
  <c r="L202" i="5"/>
  <c r="R202" i="5" s="1"/>
  <c r="L203" i="5"/>
  <c r="R203" i="5" s="1"/>
  <c r="L204" i="5"/>
  <c r="R204" i="5" s="1"/>
  <c r="L205" i="5"/>
  <c r="R205" i="5" s="1"/>
  <c r="L206" i="5"/>
  <c r="R206" i="5" s="1"/>
  <c r="L207" i="5"/>
  <c r="R207" i="5" s="1"/>
  <c r="L208" i="5"/>
  <c r="R208" i="5" s="1"/>
  <c r="L209" i="5"/>
  <c r="R209" i="5" s="1"/>
  <c r="L210" i="5"/>
  <c r="R210" i="5" s="1"/>
  <c r="L211" i="5"/>
  <c r="R211" i="5" s="1"/>
  <c r="L212" i="5"/>
  <c r="R212" i="5" s="1"/>
  <c r="L213" i="5"/>
  <c r="R213" i="5" s="1"/>
  <c r="L214" i="5"/>
  <c r="L215" i="5"/>
  <c r="R215" i="5" s="1"/>
  <c r="L216" i="5"/>
  <c r="R216" i="5" s="1"/>
  <c r="L217" i="5"/>
  <c r="R217" i="5" s="1"/>
  <c r="L218" i="5"/>
  <c r="R218" i="5" s="1"/>
  <c r="L219" i="5"/>
  <c r="R219" i="5" s="1"/>
  <c r="L220" i="5"/>
  <c r="R220" i="5" s="1"/>
  <c r="L221" i="5"/>
  <c r="R221" i="5" s="1"/>
  <c r="L222" i="5"/>
  <c r="R222" i="5" s="1"/>
  <c r="L223" i="5"/>
  <c r="R223" i="5" s="1"/>
  <c r="L224" i="5"/>
  <c r="R224" i="5" s="1"/>
  <c r="L225" i="5"/>
  <c r="L226" i="5"/>
  <c r="R226" i="5" s="1"/>
  <c r="L227" i="5"/>
  <c r="R227" i="5" s="1"/>
  <c r="L228" i="5"/>
  <c r="R228" i="5" s="1"/>
  <c r="L229" i="5"/>
  <c r="R229" i="5" s="1"/>
  <c r="L230" i="5"/>
  <c r="R230" i="5" s="1"/>
  <c r="L231" i="5"/>
  <c r="R231" i="5" s="1"/>
  <c r="L232" i="5"/>
  <c r="L233" i="5"/>
  <c r="R233" i="5" s="1"/>
  <c r="L234" i="5"/>
  <c r="R234" i="5" s="1"/>
  <c r="L235" i="5"/>
  <c r="R235" i="5" s="1"/>
  <c r="L236" i="5"/>
  <c r="R236" i="5" s="1"/>
  <c r="L237" i="5"/>
  <c r="K237" i="5" s="1"/>
  <c r="L238" i="5"/>
  <c r="Q238" i="5" s="1"/>
  <c r="L239" i="5"/>
  <c r="L240" i="5"/>
  <c r="L241" i="5"/>
  <c r="L242" i="5"/>
  <c r="P242" i="5" s="1"/>
  <c r="L243" i="5"/>
  <c r="Q243" i="5" s="1"/>
  <c r="L244" i="5"/>
  <c r="S244" i="5" s="1"/>
  <c r="L245" i="5"/>
  <c r="K245" i="5" s="1"/>
  <c r="L246" i="5"/>
  <c r="S246" i="5" s="1"/>
  <c r="L247" i="5"/>
  <c r="O247" i="5" s="1"/>
  <c r="L248" i="5"/>
  <c r="Q248" i="5" s="1"/>
  <c r="L249" i="5"/>
  <c r="K249" i="5" s="1"/>
  <c r="L250" i="5"/>
  <c r="S250" i="5" s="1"/>
  <c r="L251" i="5"/>
  <c r="S251" i="5" s="1"/>
  <c r="L252" i="5"/>
  <c r="P252" i="5" s="1"/>
  <c r="L253" i="5"/>
  <c r="K253" i="5" s="1"/>
  <c r="L254" i="5"/>
  <c r="K254" i="5" s="1"/>
  <c r="L255" i="5"/>
  <c r="S255" i="5" s="1"/>
  <c r="L256" i="5"/>
  <c r="Q256" i="5" s="1"/>
  <c r="L257" i="5"/>
  <c r="S257" i="5" s="1"/>
  <c r="L258" i="5"/>
  <c r="R258" i="5" s="1"/>
  <c r="L259" i="5"/>
  <c r="Q259" i="5" s="1"/>
  <c r="L260" i="5"/>
  <c r="S260" i="5" s="1"/>
  <c r="L261" i="5"/>
  <c r="S261" i="5" s="1"/>
  <c r="L262" i="5"/>
  <c r="S262" i="5" s="1"/>
  <c r="L263" i="5"/>
  <c r="P263" i="5" s="1"/>
  <c r="L264" i="5"/>
  <c r="K264" i="5" s="1"/>
  <c r="L265" i="5"/>
  <c r="L266" i="5"/>
  <c r="S266" i="5" s="1"/>
  <c r="L267" i="5"/>
  <c r="K267" i="5" s="1"/>
  <c r="L268" i="5"/>
  <c r="P268" i="5" s="1"/>
  <c r="L269" i="5"/>
  <c r="Q269" i="5" s="1"/>
  <c r="L270" i="5"/>
  <c r="K270" i="5" s="1"/>
  <c r="L271" i="5"/>
  <c r="L272" i="5"/>
  <c r="S272" i="5" s="1"/>
  <c r="L273" i="5"/>
  <c r="Q273" i="5" s="1"/>
  <c r="L274" i="5"/>
  <c r="Q274" i="5" s="1"/>
  <c r="L275" i="5"/>
  <c r="O275" i="5" s="1"/>
  <c r="L276" i="5"/>
  <c r="Q276" i="5" s="1"/>
  <c r="L277" i="5"/>
  <c r="R277" i="5" s="1"/>
  <c r="L278" i="5"/>
  <c r="Q278" i="5" s="1"/>
  <c r="L279" i="5"/>
  <c r="K279" i="5" s="1"/>
  <c r="L280" i="5"/>
  <c r="L281" i="5"/>
  <c r="S281" i="5" s="1"/>
  <c r="L282" i="5"/>
  <c r="O282" i="5" s="1"/>
  <c r="L283" i="5"/>
  <c r="Q283" i="5" s="1"/>
  <c r="L284" i="5"/>
  <c r="K284" i="5" s="1"/>
  <c r="L285" i="5"/>
  <c r="Q285" i="5" s="1"/>
  <c r="L286" i="5"/>
  <c r="P286" i="5" s="1"/>
  <c r="L287" i="5"/>
  <c r="P287" i="5" s="1"/>
  <c r="L288" i="5"/>
  <c r="K288" i="5" s="1"/>
  <c r="L289" i="5"/>
  <c r="L290" i="5"/>
  <c r="L291" i="5"/>
  <c r="R291" i="5" s="1"/>
  <c r="L292" i="5"/>
  <c r="R292" i="5" s="1"/>
  <c r="L293" i="5"/>
  <c r="L294" i="5"/>
  <c r="K294" i="5" s="1"/>
  <c r="L295" i="5"/>
  <c r="S295" i="5" s="1"/>
  <c r="L296" i="5"/>
  <c r="O296" i="5" s="1"/>
  <c r="L297" i="5"/>
  <c r="L298" i="5"/>
  <c r="L299" i="5"/>
  <c r="Q299" i="5" s="1"/>
  <c r="L300" i="5"/>
  <c r="K300" i="5" s="1"/>
  <c r="L301" i="5"/>
  <c r="Q301" i="5" s="1"/>
  <c r="L302" i="5"/>
  <c r="L303" i="5"/>
  <c r="L304" i="5"/>
  <c r="P304" i="5" s="1"/>
  <c r="L305" i="5"/>
  <c r="O305" i="5" s="1"/>
  <c r="L306" i="5"/>
  <c r="P306" i="5" s="1"/>
  <c r="L307" i="5"/>
  <c r="L308" i="5"/>
  <c r="L309" i="5"/>
  <c r="L310" i="5"/>
  <c r="R310" i="5" s="1"/>
  <c r="L311" i="5"/>
  <c r="S311" i="5" s="1"/>
  <c r="L312" i="5"/>
  <c r="S312" i="5" s="1"/>
  <c r="L313" i="5"/>
  <c r="R313" i="5" s="1"/>
  <c r="L314" i="5"/>
  <c r="P314" i="5" s="1"/>
  <c r="L3" i="5"/>
  <c r="R3" i="5" s="1"/>
  <c r="Q192" i="6"/>
  <c r="D17" i="4"/>
  <c r="C17" i="4"/>
  <c r="B17" i="4"/>
  <c r="A17" i="4"/>
  <c r="D16" i="4"/>
  <c r="C16" i="4"/>
  <c r="B16" i="4"/>
  <c r="A16" i="4"/>
  <c r="D15" i="4"/>
  <c r="C15" i="4"/>
  <c r="B15" i="4"/>
  <c r="A15" i="4"/>
  <c r="D14" i="4"/>
  <c r="C14" i="4"/>
  <c r="B14" i="4"/>
  <c r="A14" i="4"/>
  <c r="D13" i="4"/>
  <c r="C13" i="4"/>
  <c r="B13" i="4"/>
  <c r="A13" i="4"/>
  <c r="D12" i="4"/>
  <c r="C12" i="4"/>
  <c r="B12" i="4"/>
  <c r="A12" i="4"/>
  <c r="D11" i="4"/>
  <c r="C11" i="4"/>
  <c r="B11" i="4"/>
  <c r="A11" i="4"/>
  <c r="D10" i="4"/>
  <c r="C10" i="4"/>
  <c r="B10" i="4"/>
  <c r="A10" i="4"/>
  <c r="D9" i="4"/>
  <c r="C9" i="4"/>
  <c r="B9" i="4"/>
  <c r="A9" i="4"/>
  <c r="D8" i="4"/>
  <c r="C8" i="4"/>
  <c r="B8" i="4"/>
  <c r="A8" i="4"/>
  <c r="D7" i="4"/>
  <c r="C7" i="4"/>
  <c r="B7" i="4"/>
  <c r="A7" i="4"/>
  <c r="D6" i="4"/>
  <c r="C6" i="4"/>
  <c r="B6" i="4"/>
  <c r="A6" i="4"/>
  <c r="D5" i="4"/>
  <c r="C5" i="4"/>
  <c r="B5" i="4"/>
  <c r="A5" i="4"/>
  <c r="A2" i="1"/>
  <c r="CY1" i="1"/>
  <c r="CY2" i="1" s="1"/>
  <c r="A1" i="8" s="1"/>
  <c r="CR18" i="1"/>
  <c r="CS18" i="1"/>
  <c r="CT18" i="1"/>
  <c r="CU18" i="1"/>
  <c r="CV18" i="1"/>
  <c r="CW18" i="1"/>
  <c r="CX18" i="1"/>
  <c r="CY18" i="1"/>
  <c r="CZ18" i="1"/>
  <c r="DA18" i="1"/>
  <c r="DB18" i="1"/>
  <c r="DC18" i="1"/>
  <c r="DD18" i="1"/>
  <c r="DE18" i="1"/>
  <c r="DF18" i="1"/>
  <c r="DG18" i="1"/>
  <c r="DH18" i="1"/>
  <c r="DI18" i="1"/>
  <c r="DJ18" i="1"/>
  <c r="DK18" i="1"/>
  <c r="DL18" i="1"/>
  <c r="DM18" i="1"/>
  <c r="CR19" i="1"/>
  <c r="CS19" i="1"/>
  <c r="CT19" i="1"/>
  <c r="CU19" i="1"/>
  <c r="CV19" i="1"/>
  <c r="CW19" i="1"/>
  <c r="CX19" i="1"/>
  <c r="CY19" i="1"/>
  <c r="CZ19" i="1"/>
  <c r="DA19" i="1"/>
  <c r="DB19" i="1"/>
  <c r="DC19" i="1"/>
  <c r="DD19" i="1"/>
  <c r="DE19" i="1"/>
  <c r="DF19" i="1"/>
  <c r="DG19" i="1"/>
  <c r="DH19" i="1"/>
  <c r="DI19" i="1"/>
  <c r="DJ19" i="1"/>
  <c r="DK19" i="1"/>
  <c r="DL19" i="1"/>
  <c r="CR20" i="1"/>
  <c r="CS20" i="1"/>
  <c r="CT20" i="1"/>
  <c r="CU20" i="1"/>
  <c r="CV20" i="1"/>
  <c r="CW20" i="1"/>
  <c r="CX20" i="1"/>
  <c r="CY20" i="1"/>
  <c r="CZ20" i="1"/>
  <c r="DA20" i="1"/>
  <c r="DB20" i="1"/>
  <c r="DC20" i="1"/>
  <c r="DD20" i="1"/>
  <c r="DE20" i="1"/>
  <c r="DF20" i="1"/>
  <c r="DG20" i="1"/>
  <c r="DH20" i="1"/>
  <c r="DI20" i="1"/>
  <c r="DJ20" i="1"/>
  <c r="DK20" i="1"/>
  <c r="CR21" i="1"/>
  <c r="CS21" i="1"/>
  <c r="CT21" i="1"/>
  <c r="CU21" i="1"/>
  <c r="CV21" i="1"/>
  <c r="CW21" i="1"/>
  <c r="CX21" i="1"/>
  <c r="CY21" i="1"/>
  <c r="CZ21" i="1"/>
  <c r="DA21" i="1"/>
  <c r="DB21" i="1"/>
  <c r="DC21" i="1"/>
  <c r="DD21" i="1"/>
  <c r="DE21" i="1"/>
  <c r="DF21" i="1"/>
  <c r="DG21" i="1"/>
  <c r="DH21" i="1"/>
  <c r="DI21" i="1"/>
  <c r="DJ21" i="1"/>
  <c r="CR22" i="1"/>
  <c r="CS22" i="1"/>
  <c r="CT22" i="1"/>
  <c r="CU22" i="1"/>
  <c r="CV22" i="1"/>
  <c r="CW22" i="1"/>
  <c r="CX22" i="1"/>
  <c r="CY22" i="1"/>
  <c r="CZ22" i="1"/>
  <c r="DA22" i="1"/>
  <c r="DB22" i="1"/>
  <c r="DC22" i="1"/>
  <c r="DD22" i="1"/>
  <c r="DE22" i="1"/>
  <c r="DF22" i="1"/>
  <c r="DG22" i="1"/>
  <c r="DH22" i="1"/>
  <c r="DI22" i="1"/>
  <c r="CR23" i="1"/>
  <c r="CS23" i="1"/>
  <c r="CT23" i="1"/>
  <c r="CU23" i="1"/>
  <c r="CV23" i="1"/>
  <c r="CW23" i="1"/>
  <c r="CX23" i="1"/>
  <c r="CY23" i="1"/>
  <c r="CZ23" i="1"/>
  <c r="DA23" i="1"/>
  <c r="DB23" i="1"/>
  <c r="DC23" i="1"/>
  <c r="DD23" i="1"/>
  <c r="DE23" i="1"/>
  <c r="DF23" i="1"/>
  <c r="DG23" i="1"/>
  <c r="DH23" i="1"/>
  <c r="CR24" i="1"/>
  <c r="CS24" i="1"/>
  <c r="CT24" i="1"/>
  <c r="CU24" i="1"/>
  <c r="CV24" i="1"/>
  <c r="CW24" i="1"/>
  <c r="CX24" i="1"/>
  <c r="CY24" i="1"/>
  <c r="CZ24" i="1"/>
  <c r="DA24" i="1"/>
  <c r="DB24" i="1"/>
  <c r="DC24" i="1"/>
  <c r="DD24" i="1"/>
  <c r="DE24" i="1"/>
  <c r="DF24" i="1"/>
  <c r="DG24" i="1"/>
  <c r="CR25" i="1"/>
  <c r="CS25" i="1"/>
  <c r="CT25" i="1"/>
  <c r="CU25" i="1"/>
  <c r="CV25" i="1"/>
  <c r="CW25" i="1"/>
  <c r="CX25" i="1"/>
  <c r="CY25" i="1"/>
  <c r="CZ25" i="1"/>
  <c r="DA25" i="1"/>
  <c r="DB25" i="1"/>
  <c r="DC25" i="1"/>
  <c r="DD25" i="1"/>
  <c r="DE25" i="1"/>
  <c r="DF25" i="1"/>
  <c r="CR26" i="1"/>
  <c r="CS26" i="1"/>
  <c r="CT26" i="1"/>
  <c r="CU26" i="1"/>
  <c r="CV26" i="1"/>
  <c r="CW26" i="1"/>
  <c r="CX26" i="1"/>
  <c r="CY26" i="1"/>
  <c r="CZ26" i="1"/>
  <c r="DA26" i="1"/>
  <c r="DB26" i="1"/>
  <c r="DC26" i="1"/>
  <c r="DD26" i="1"/>
  <c r="DE26" i="1"/>
  <c r="CR27" i="1"/>
  <c r="CS27" i="1"/>
  <c r="CT27" i="1"/>
  <c r="CU27" i="1"/>
  <c r="CV27" i="1"/>
  <c r="CW27" i="1"/>
  <c r="CX27" i="1"/>
  <c r="CY27" i="1"/>
  <c r="CZ27" i="1"/>
  <c r="DA27" i="1"/>
  <c r="DB27" i="1"/>
  <c r="DC27" i="1"/>
  <c r="DD27" i="1"/>
  <c r="CR28" i="1"/>
  <c r="CS28" i="1"/>
  <c r="CT28" i="1"/>
  <c r="CU28" i="1"/>
  <c r="CV28" i="1"/>
  <c r="CW28" i="1"/>
  <c r="CX28" i="1"/>
  <c r="CY28" i="1"/>
  <c r="CZ28" i="1"/>
  <c r="DA28" i="1"/>
  <c r="DB28" i="1"/>
  <c r="DC28" i="1"/>
  <c r="CR29" i="1"/>
  <c r="CS29" i="1"/>
  <c r="CT29" i="1"/>
  <c r="CU29" i="1"/>
  <c r="CV29" i="1"/>
  <c r="CW29" i="1"/>
  <c r="CX29" i="1"/>
  <c r="CY29" i="1"/>
  <c r="CZ29" i="1"/>
  <c r="DA29" i="1"/>
  <c r="DB29" i="1"/>
  <c r="CR30" i="1"/>
  <c r="CS30" i="1"/>
  <c r="CT30" i="1"/>
  <c r="CU30" i="1"/>
  <c r="CV30" i="1"/>
  <c r="CW30" i="1"/>
  <c r="CX30" i="1"/>
  <c r="CY30" i="1"/>
  <c r="CZ30" i="1"/>
  <c r="DA30" i="1"/>
  <c r="CR31" i="1"/>
  <c r="CS31" i="1"/>
  <c r="CT31" i="1"/>
  <c r="CU31" i="1"/>
  <c r="CV31" i="1"/>
  <c r="CW31" i="1"/>
  <c r="CX31" i="1"/>
  <c r="CY31" i="1"/>
  <c r="CZ31" i="1"/>
  <c r="CR32" i="1"/>
  <c r="CS32" i="1"/>
  <c r="CT32" i="1"/>
  <c r="CU32" i="1"/>
  <c r="CV32" i="1"/>
  <c r="CW32" i="1"/>
  <c r="CX32" i="1"/>
  <c r="CY32" i="1"/>
  <c r="CR33" i="1"/>
  <c r="CS33" i="1"/>
  <c r="CT33" i="1"/>
  <c r="CU33" i="1"/>
  <c r="CV33" i="1"/>
  <c r="CW33" i="1"/>
  <c r="CX33" i="1"/>
  <c r="CR34" i="1"/>
  <c r="CS34" i="1"/>
  <c r="CT34" i="1"/>
  <c r="CU34" i="1"/>
  <c r="CV34" i="1"/>
  <c r="CW34" i="1"/>
  <c r="CR35" i="1"/>
  <c r="CS35" i="1"/>
  <c r="CT35" i="1"/>
  <c r="CU35" i="1"/>
  <c r="CV35" i="1"/>
  <c r="CR36" i="1"/>
  <c r="CS36" i="1"/>
  <c r="CT36" i="1"/>
  <c r="CU36" i="1"/>
  <c r="CR37" i="1"/>
  <c r="CS37" i="1"/>
  <c r="CT37" i="1"/>
  <c r="CR38" i="1"/>
  <c r="CS38" i="1"/>
  <c r="CR39" i="1"/>
  <c r="CQ20" i="1"/>
  <c r="CQ21" i="1"/>
  <c r="CQ23" i="1"/>
  <c r="CQ24" i="1"/>
  <c r="CQ25" i="1"/>
  <c r="CQ26" i="1"/>
  <c r="CQ27" i="1"/>
  <c r="CQ28" i="1"/>
  <c r="CQ29" i="1"/>
  <c r="CQ30" i="1"/>
  <c r="CQ31" i="1"/>
  <c r="CQ32" i="1"/>
  <c r="CQ33" i="1"/>
  <c r="CQ34" i="1"/>
  <c r="CQ35" i="1"/>
  <c r="CQ36" i="1"/>
  <c r="CQ37" i="1"/>
  <c r="CQ38" i="1"/>
  <c r="CQ39" i="1"/>
  <c r="CQ40"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2" i="1"/>
  <c r="AI243" i="1"/>
  <c r="N288" i="6"/>
  <c r="N600" i="5"/>
  <c r="N288" i="5"/>
  <c r="N287" i="6"/>
  <c r="N287" i="5"/>
  <c r="N599" i="5"/>
  <c r="N286" i="6"/>
  <c r="N286" i="5"/>
  <c r="N598" i="5"/>
  <c r="N285" i="6"/>
  <c r="N285" i="5"/>
  <c r="N597" i="5"/>
  <c r="N284" i="5"/>
  <c r="N284" i="6"/>
  <c r="N596" i="5"/>
  <c r="N283" i="6"/>
  <c r="N283" i="5"/>
  <c r="N595" i="5"/>
  <c r="N282" i="6"/>
  <c r="N282" i="5"/>
  <c r="N594" i="5"/>
  <c r="N281" i="6"/>
  <c r="N281" i="5"/>
  <c r="N593" i="5"/>
  <c r="N280" i="6"/>
  <c r="N592" i="5"/>
  <c r="N280" i="5"/>
  <c r="N591" i="5"/>
  <c r="N279" i="6"/>
  <c r="N279" i="5"/>
  <c r="N590" i="5"/>
  <c r="N278" i="6"/>
  <c r="N278" i="5"/>
  <c r="N277" i="6"/>
  <c r="N277" i="5"/>
  <c r="N589" i="5"/>
  <c r="N588" i="5"/>
  <c r="N276" i="6"/>
  <c r="N276" i="5"/>
  <c r="N275" i="6"/>
  <c r="N275" i="5"/>
  <c r="N587" i="5"/>
  <c r="N274" i="6"/>
  <c r="N274" i="5"/>
  <c r="N586" i="5"/>
  <c r="N273" i="6"/>
  <c r="N273" i="5"/>
  <c r="N585" i="5"/>
  <c r="N272" i="6"/>
  <c r="N584" i="5"/>
  <c r="N272" i="5"/>
  <c r="N271" i="6"/>
  <c r="N271" i="5"/>
  <c r="N583" i="5"/>
  <c r="N582" i="5"/>
  <c r="N270" i="6"/>
  <c r="N270" i="5"/>
  <c r="N269" i="6"/>
  <c r="N269" i="5"/>
  <c r="N581" i="5"/>
  <c r="N580" i="5"/>
  <c r="N268" i="6"/>
  <c r="N268" i="5"/>
  <c r="N267" i="6"/>
  <c r="N267" i="5"/>
  <c r="N579" i="5"/>
  <c r="N578" i="5"/>
  <c r="N266" i="6"/>
  <c r="N266" i="5"/>
  <c r="N265" i="6"/>
  <c r="N265" i="5"/>
  <c r="N577" i="5"/>
  <c r="N264" i="5"/>
  <c r="N264" i="6"/>
  <c r="N576" i="5"/>
  <c r="N575" i="5"/>
  <c r="N263" i="6"/>
  <c r="N263" i="5"/>
  <c r="N574" i="5"/>
  <c r="N262" i="6"/>
  <c r="N262" i="5"/>
  <c r="N261" i="6"/>
  <c r="N261" i="5"/>
  <c r="N573" i="5"/>
  <c r="N260" i="6"/>
  <c r="N572" i="5"/>
  <c r="N260" i="5"/>
  <c r="N259" i="6"/>
  <c r="N259" i="5"/>
  <c r="N571" i="5"/>
  <c r="N258" i="6"/>
  <c r="N258" i="5"/>
  <c r="N570" i="5"/>
  <c r="N257" i="6"/>
  <c r="N257" i="5"/>
  <c r="N569" i="5"/>
  <c r="N256" i="6"/>
  <c r="N568" i="5"/>
  <c r="N256" i="5"/>
  <c r="N567" i="5"/>
  <c r="N255" i="6"/>
  <c r="N255" i="5"/>
  <c r="N254" i="6"/>
  <c r="N254" i="5"/>
  <c r="N566" i="5"/>
  <c r="N253" i="6"/>
  <c r="N253" i="5"/>
  <c r="N565" i="5"/>
  <c r="N252" i="6"/>
  <c r="N564" i="5"/>
  <c r="N252" i="5"/>
  <c r="N563" i="5"/>
  <c r="N251" i="6"/>
  <c r="N251" i="5"/>
  <c r="N250" i="6"/>
  <c r="N250" i="5"/>
  <c r="N562" i="5"/>
  <c r="N249" i="6"/>
  <c r="N249" i="5"/>
  <c r="N561" i="5"/>
  <c r="N248" i="6"/>
  <c r="N560" i="5"/>
  <c r="N248" i="5"/>
  <c r="N559" i="5"/>
  <c r="N247" i="6"/>
  <c r="N247" i="5"/>
  <c r="N246" i="6"/>
  <c r="N246" i="5"/>
  <c r="N558" i="5"/>
  <c r="N245" i="6"/>
  <c r="N245" i="5"/>
  <c r="N557" i="5"/>
  <c r="N244" i="6"/>
  <c r="N556" i="5"/>
  <c r="N244" i="5"/>
  <c r="N243" i="6"/>
  <c r="N243" i="5"/>
  <c r="N555" i="5"/>
  <c r="N242" i="5"/>
  <c r="N242" i="6"/>
  <c r="N554" i="5"/>
  <c r="N241" i="5"/>
  <c r="N241" i="6"/>
  <c r="N553" i="5"/>
  <c r="N240" i="6"/>
  <c r="N552" i="5"/>
  <c r="N240" i="5"/>
  <c r="N239" i="6"/>
  <c r="N239" i="5"/>
  <c r="N551" i="5"/>
  <c r="N238" i="5"/>
  <c r="N238" i="6"/>
  <c r="N550" i="5"/>
  <c r="N237" i="5"/>
  <c r="N237" i="6"/>
  <c r="N549" i="5"/>
  <c r="N314" i="6"/>
  <c r="N626" i="5"/>
  <c r="N314" i="5"/>
  <c r="M265" i="6"/>
  <c r="M249" i="6"/>
  <c r="M276" i="6"/>
  <c r="M268" i="6"/>
  <c r="M264" i="6"/>
  <c r="M260" i="6"/>
  <c r="M252" i="6"/>
  <c r="M244" i="6"/>
  <c r="M283" i="6"/>
  <c r="M259" i="6"/>
  <c r="M251" i="6"/>
  <c r="M237" i="6"/>
  <c r="M314" i="6"/>
  <c r="M262" i="6"/>
  <c r="M258" i="6"/>
  <c r="M250" i="6"/>
  <c r="M288" i="6"/>
  <c r="M280" i="6"/>
  <c r="M287" i="6"/>
  <c r="M279" i="6"/>
  <c r="M267" i="6"/>
  <c r="M263" i="6"/>
  <c r="M286" i="6"/>
  <c r="M278" i="6"/>
  <c r="M270" i="6"/>
  <c r="M266" i="6"/>
  <c r="M254" i="6"/>
  <c r="M246" i="6"/>
  <c r="M238" i="6"/>
  <c r="M271" i="6"/>
  <c r="M285" i="6"/>
  <c r="M273" i="6"/>
  <c r="M269" i="6"/>
  <c r="M253" i="6"/>
  <c r="M245" i="6"/>
  <c r="M241" i="6"/>
  <c r="M256" i="6"/>
  <c r="M255" i="6"/>
  <c r="M247" i="6"/>
  <c r="M243" i="6"/>
  <c r="M239" i="6"/>
  <c r="M284" i="6"/>
  <c r="M282" i="6"/>
  <c r="M281" i="6"/>
  <c r="M277" i="6"/>
  <c r="M275" i="6"/>
  <c r="M274" i="6"/>
  <c r="M272" i="6"/>
  <c r="M261" i="6"/>
  <c r="M257" i="6"/>
  <c r="M248" i="6"/>
  <c r="M242" i="6"/>
  <c r="M240" i="6"/>
  <c r="G5" i="2" a="1"/>
  <c r="Q5" i="2" s="1"/>
  <c r="CG2" i="1" l="1"/>
  <c r="C31" i="8"/>
  <c r="CJ312" i="1"/>
  <c r="AL312" i="1"/>
  <c r="CJ264" i="1"/>
  <c r="AL264" i="1"/>
  <c r="CJ311" i="1"/>
  <c r="AL311" i="1"/>
  <c r="CJ303" i="1"/>
  <c r="AL303" i="1"/>
  <c r="CJ295" i="1"/>
  <c r="AL295" i="1"/>
  <c r="CJ287" i="1"/>
  <c r="AL287" i="1"/>
  <c r="CJ279" i="1"/>
  <c r="AL279" i="1"/>
  <c r="CJ271" i="1"/>
  <c r="AL271" i="1"/>
  <c r="CJ263" i="1"/>
  <c r="AL263" i="1"/>
  <c r="CJ255" i="1"/>
  <c r="AL255" i="1"/>
  <c r="CJ247" i="1"/>
  <c r="AL247" i="1"/>
  <c r="CJ239" i="1"/>
  <c r="AL239" i="1"/>
  <c r="CJ288" i="1"/>
  <c r="AL288" i="1"/>
  <c r="CJ256" i="1"/>
  <c r="AL256" i="1"/>
  <c r="CJ302" i="1"/>
  <c r="AL302" i="1"/>
  <c r="CJ278" i="1"/>
  <c r="AL278" i="1"/>
  <c r="CJ238" i="1"/>
  <c r="AL238" i="1"/>
  <c r="CJ309" i="1"/>
  <c r="AL309" i="1"/>
  <c r="CJ301" i="1"/>
  <c r="AL301" i="1"/>
  <c r="CJ293" i="1"/>
  <c r="AL293" i="1"/>
  <c r="CJ285" i="1"/>
  <c r="AL285" i="1"/>
  <c r="CJ277" i="1"/>
  <c r="AL277" i="1"/>
  <c r="CJ269" i="1"/>
  <c r="AL269" i="1"/>
  <c r="CJ261" i="1"/>
  <c r="AL261" i="1"/>
  <c r="CJ253" i="1"/>
  <c r="AL253" i="1"/>
  <c r="CJ245" i="1"/>
  <c r="AL245" i="1"/>
  <c r="CJ237" i="1"/>
  <c r="AL237" i="1"/>
  <c r="CJ304" i="1"/>
  <c r="AL304" i="1"/>
  <c r="CJ270" i="1"/>
  <c r="AL270" i="1"/>
  <c r="CJ308" i="1"/>
  <c r="AL308" i="1"/>
  <c r="CJ300" i="1"/>
  <c r="AL300" i="1"/>
  <c r="CJ292" i="1"/>
  <c r="AL292" i="1"/>
  <c r="CJ284" i="1"/>
  <c r="AL284" i="1"/>
  <c r="CJ276" i="1"/>
  <c r="AL276" i="1"/>
  <c r="CJ268" i="1"/>
  <c r="AL268" i="1"/>
  <c r="CJ260" i="1"/>
  <c r="AL260" i="1"/>
  <c r="CJ252" i="1"/>
  <c r="AL252" i="1"/>
  <c r="CJ244" i="1"/>
  <c r="AL244" i="1"/>
  <c r="CJ236" i="1"/>
  <c r="AL236" i="1"/>
  <c r="CJ296" i="1"/>
  <c r="AL296" i="1"/>
  <c r="CJ248" i="1"/>
  <c r="AL248" i="1"/>
  <c r="CJ294" i="1"/>
  <c r="AL294" i="1"/>
  <c r="CJ254" i="1"/>
  <c r="AL254" i="1"/>
  <c r="CJ307" i="1"/>
  <c r="AL307" i="1"/>
  <c r="CJ299" i="1"/>
  <c r="AL299" i="1"/>
  <c r="CJ291" i="1"/>
  <c r="AL291" i="1"/>
  <c r="CJ283" i="1"/>
  <c r="AL283" i="1"/>
  <c r="CJ275" i="1"/>
  <c r="AL275" i="1"/>
  <c r="CJ267" i="1"/>
  <c r="AL267" i="1"/>
  <c r="CJ259" i="1"/>
  <c r="AL259" i="1"/>
  <c r="CJ251" i="1"/>
  <c r="AL251" i="1"/>
  <c r="CJ243" i="1"/>
  <c r="AL243" i="1"/>
  <c r="CJ280" i="1"/>
  <c r="AL280" i="1"/>
  <c r="CJ286" i="1"/>
  <c r="AL286" i="1"/>
  <c r="CJ246" i="1"/>
  <c r="AL246" i="1"/>
  <c r="CJ306" i="1"/>
  <c r="AL306" i="1"/>
  <c r="CJ298" i="1"/>
  <c r="AL298" i="1"/>
  <c r="CJ290" i="1"/>
  <c r="AL290" i="1"/>
  <c r="CJ282" i="1"/>
  <c r="AL282" i="1"/>
  <c r="CJ274" i="1"/>
  <c r="AL274" i="1"/>
  <c r="CJ266" i="1"/>
  <c r="AL266" i="1"/>
  <c r="CJ258" i="1"/>
  <c r="AL258" i="1"/>
  <c r="CJ250" i="1"/>
  <c r="AL250" i="1"/>
  <c r="CJ242" i="1"/>
  <c r="AL242" i="1"/>
  <c r="CJ272" i="1"/>
  <c r="AL272" i="1"/>
  <c r="CJ240" i="1"/>
  <c r="AL240" i="1"/>
  <c r="CJ310" i="1"/>
  <c r="AL310" i="1"/>
  <c r="CJ262" i="1"/>
  <c r="AL262" i="1"/>
  <c r="CJ313" i="1"/>
  <c r="AL313" i="1"/>
  <c r="CJ305" i="1"/>
  <c r="AL305" i="1"/>
  <c r="CJ297" i="1"/>
  <c r="AL297" i="1"/>
  <c r="CJ289" i="1"/>
  <c r="AL289" i="1"/>
  <c r="CJ281" i="1"/>
  <c r="AL281" i="1"/>
  <c r="CJ273" i="1"/>
  <c r="AL273" i="1"/>
  <c r="CJ265" i="1"/>
  <c r="AL265" i="1"/>
  <c r="CJ257" i="1"/>
  <c r="AL257" i="1"/>
  <c r="CJ249" i="1"/>
  <c r="AL249" i="1"/>
  <c r="CJ241" i="1"/>
  <c r="AL241" i="1"/>
  <c r="CB2" i="1"/>
  <c r="BV2" i="1" a="1"/>
  <c r="BV2" i="1" s="1"/>
  <c r="CD2" i="1"/>
  <c r="BY2" i="1"/>
  <c r="CA2" i="1"/>
  <c r="CC2" i="1"/>
  <c r="E31" i="8" s="1"/>
  <c r="BZ2" i="1"/>
  <c r="D31" i="8" s="1"/>
  <c r="BW2" i="1" a="1"/>
  <c r="BW2" i="1" s="1"/>
  <c r="CE2" i="1"/>
  <c r="BX2" i="1"/>
  <c r="CF2" i="1" s="1"/>
  <c r="B31" i="8" s="1"/>
  <c r="AC302" i="1"/>
  <c r="AH302" i="1"/>
  <c r="AC246" i="1"/>
  <c r="AH246" i="1"/>
  <c r="AC312" i="1"/>
  <c r="AH312" i="1"/>
  <c r="AC304" i="1"/>
  <c r="AH304" i="1"/>
  <c r="AC296" i="1"/>
  <c r="AH296" i="1"/>
  <c r="AC288" i="1"/>
  <c r="AH288" i="1"/>
  <c r="AC280" i="1"/>
  <c r="AH280" i="1"/>
  <c r="AC272" i="1"/>
  <c r="AH272" i="1"/>
  <c r="AC264" i="1"/>
  <c r="AH264" i="1"/>
  <c r="AC256" i="1"/>
  <c r="AH256" i="1"/>
  <c r="AC248" i="1"/>
  <c r="AH248" i="1"/>
  <c r="AC240" i="1"/>
  <c r="AH240" i="1"/>
  <c r="AC262" i="1"/>
  <c r="AH262" i="1"/>
  <c r="AC311" i="1"/>
  <c r="AH311" i="1"/>
  <c r="AC303" i="1"/>
  <c r="AH303" i="1"/>
  <c r="AC295" i="1"/>
  <c r="AH295" i="1"/>
  <c r="AC287" i="1"/>
  <c r="AH287" i="1"/>
  <c r="AC279" i="1"/>
  <c r="AH279" i="1"/>
  <c r="AC271" i="1"/>
  <c r="AH271" i="1"/>
  <c r="AC263" i="1"/>
  <c r="AH263" i="1"/>
  <c r="AC255" i="1"/>
  <c r="AH255" i="1"/>
  <c r="AC247" i="1"/>
  <c r="AH247" i="1"/>
  <c r="AC239" i="1"/>
  <c r="AH239" i="1"/>
  <c r="AC270" i="1"/>
  <c r="AH270" i="1"/>
  <c r="AH309" i="1"/>
  <c r="AC309" i="1"/>
  <c r="AH301" i="1"/>
  <c r="AC301" i="1"/>
  <c r="AH293" i="1"/>
  <c r="AC293" i="1"/>
  <c r="AH285" i="1"/>
  <c r="AC285" i="1"/>
  <c r="AH277" i="1"/>
  <c r="AC277" i="1"/>
  <c r="AH269" i="1"/>
  <c r="AC269" i="1"/>
  <c r="AH261" i="1"/>
  <c r="AC261" i="1"/>
  <c r="AH253" i="1"/>
  <c r="AC253" i="1"/>
  <c r="AH245" i="1"/>
  <c r="AC245" i="1"/>
  <c r="AH237" i="1"/>
  <c r="AC237" i="1"/>
  <c r="AC278" i="1"/>
  <c r="AH278" i="1"/>
  <c r="AH308" i="1"/>
  <c r="AC308" i="1"/>
  <c r="AH300" i="1"/>
  <c r="AC300" i="1"/>
  <c r="AH292" i="1"/>
  <c r="AC292" i="1"/>
  <c r="AH284" i="1"/>
  <c r="AC284" i="1"/>
  <c r="AH276" i="1"/>
  <c r="AC276" i="1"/>
  <c r="AH268" i="1"/>
  <c r="AC268" i="1"/>
  <c r="AH260" i="1"/>
  <c r="AC260" i="1"/>
  <c r="AH252" i="1"/>
  <c r="AC252" i="1"/>
  <c r="AH244" i="1"/>
  <c r="AC244" i="1"/>
  <c r="AH236" i="1"/>
  <c r="AC236" i="1"/>
  <c r="AC286" i="1"/>
  <c r="AH286" i="1"/>
  <c r="AH307" i="1"/>
  <c r="AC307" i="1"/>
  <c r="AH299" i="1"/>
  <c r="AC299" i="1"/>
  <c r="AH291" i="1"/>
  <c r="AC291" i="1"/>
  <c r="AH283" i="1"/>
  <c r="AC283" i="1"/>
  <c r="AH275" i="1"/>
  <c r="AC275" i="1"/>
  <c r="AH267" i="1"/>
  <c r="AC267" i="1"/>
  <c r="AH259" i="1"/>
  <c r="AC259" i="1"/>
  <c r="AH251" i="1"/>
  <c r="AC251" i="1"/>
  <c r="AH243" i="1"/>
  <c r="AC243" i="1"/>
  <c r="AC294" i="1"/>
  <c r="AH294" i="1"/>
  <c r="AC238" i="1"/>
  <c r="AH238" i="1"/>
  <c r="AC306" i="1"/>
  <c r="AH306" i="1"/>
  <c r="AC298" i="1"/>
  <c r="AH298" i="1"/>
  <c r="AC290" i="1"/>
  <c r="AH290" i="1"/>
  <c r="AC282" i="1"/>
  <c r="AH282" i="1"/>
  <c r="AC274" i="1"/>
  <c r="AH274" i="1"/>
  <c r="AC266" i="1"/>
  <c r="AH266" i="1"/>
  <c r="AC258" i="1"/>
  <c r="AH258" i="1"/>
  <c r="AC250" i="1"/>
  <c r="AH250" i="1"/>
  <c r="AC242" i="1"/>
  <c r="AH242" i="1"/>
  <c r="AC310" i="1"/>
  <c r="AH310" i="1"/>
  <c r="AC254" i="1"/>
  <c r="AH254" i="1"/>
  <c r="AC313" i="1"/>
  <c r="AH313" i="1"/>
  <c r="AC305" i="1"/>
  <c r="AH305" i="1"/>
  <c r="AC297" i="1"/>
  <c r="AH297" i="1"/>
  <c r="AC289" i="1"/>
  <c r="AH289" i="1"/>
  <c r="AC281" i="1"/>
  <c r="AH281" i="1"/>
  <c r="AC273" i="1"/>
  <c r="AH273" i="1"/>
  <c r="AC265" i="1"/>
  <c r="AH265" i="1"/>
  <c r="AC257" i="1"/>
  <c r="AH257" i="1"/>
  <c r="AC249" i="1"/>
  <c r="AH249" i="1"/>
  <c r="AC241" i="1"/>
  <c r="AH241" i="1"/>
  <c r="A3" i="1"/>
  <c r="V138" i="9"/>
  <c r="W131" i="9"/>
  <c r="V113" i="9"/>
  <c r="W106" i="9"/>
  <c r="V88" i="9"/>
  <c r="W81" i="9"/>
  <c r="W56" i="9"/>
  <c r="W63" i="9" s="1"/>
  <c r="T300" i="1" a="1"/>
  <c r="T300" i="1" s="1"/>
  <c r="U300" i="1" s="1"/>
  <c r="C7" i="3"/>
  <c r="B8" i="3" s="1"/>
  <c r="C8" i="3" s="1"/>
  <c r="B9" i="3" s="1"/>
  <c r="C9" i="3" s="1"/>
  <c r="B10" i="3" s="1"/>
  <c r="C10" i="3" s="1"/>
  <c r="B11" i="3" s="1"/>
  <c r="C11" i="3" s="1"/>
  <c r="B12" i="3" s="1"/>
  <c r="C12" i="3" s="1"/>
  <c r="B13" i="3" s="1"/>
  <c r="C13" i="3" s="1"/>
  <c r="B14" i="3" s="1"/>
  <c r="C14" i="3" s="1"/>
  <c r="B15" i="3" s="1"/>
  <c r="C15" i="3" s="1"/>
  <c r="B16" i="3" s="1"/>
  <c r="C16" i="3" s="1"/>
  <c r="B17" i="3" s="1"/>
  <c r="C17" i="3" s="1"/>
  <c r="B18" i="3" s="1"/>
  <c r="C18" i="3" s="1"/>
  <c r="B19" i="3" s="1"/>
  <c r="C19" i="3" s="1"/>
  <c r="B20" i="3" s="1"/>
  <c r="C20" i="3" s="1"/>
  <c r="B21" i="3" s="1"/>
  <c r="C21" i="3" s="1"/>
  <c r="B22" i="3" s="1"/>
  <c r="C22" i="3" s="1"/>
  <c r="B23" i="3" s="1"/>
  <c r="C23" i="3" s="1"/>
  <c r="B24" i="3" s="1"/>
  <c r="C24" i="3" s="1"/>
  <c r="B25" i="3" s="1"/>
  <c r="AJ243" i="1"/>
  <c r="AK243" i="1" s="1"/>
  <c r="AZ310" i="1" a="1"/>
  <c r="AZ310" i="1" s="1"/>
  <c r="L302" i="1"/>
  <c r="AZ294" i="1" a="1"/>
  <c r="AZ294" i="1" s="1"/>
  <c r="AD286" i="1"/>
  <c r="BD278" i="1"/>
  <c r="AP270" i="1"/>
  <c r="L262" i="1"/>
  <c r="F254" i="1"/>
  <c r="G254" i="1" s="1"/>
  <c r="BB254" i="1" s="1"/>
  <c r="E246" i="1"/>
  <c r="E238" i="1"/>
  <c r="AN301" i="1"/>
  <c r="C293" i="1"/>
  <c r="AS277" i="1" a="1"/>
  <c r="AS277" i="1" s="1"/>
  <c r="AV269" i="1"/>
  <c r="D261" i="1"/>
  <c r="E253" i="1"/>
  <c r="D245" i="1"/>
  <c r="D237" i="1"/>
  <c r="N308" i="1"/>
  <c r="AQ300" i="1"/>
  <c r="AD292" i="1"/>
  <c r="W284" i="1"/>
  <c r="R276" i="1" a="1"/>
  <c r="R276" i="1" s="1"/>
  <c r="AZ268" i="1" a="1"/>
  <c r="AZ268" i="1" s="1"/>
  <c r="AT260" i="1" a="1"/>
  <c r="AT260" i="1" s="1"/>
  <c r="AV244" i="1"/>
  <c r="C236" i="1"/>
  <c r="AV307" i="1"/>
  <c r="F299" i="1"/>
  <c r="G299" i="1" s="1"/>
  <c r="BB299" i="1" s="1"/>
  <c r="D291" i="1"/>
  <c r="C283" i="1"/>
  <c r="S275" i="1"/>
  <c r="AA267" i="1"/>
  <c r="D259" i="1"/>
  <c r="Q251" i="1" a="1"/>
  <c r="Q251" i="1" s="1"/>
  <c r="AO243" i="1"/>
  <c r="C298" i="1"/>
  <c r="AN290" i="1"/>
  <c r="AT282" i="1" a="1"/>
  <c r="AT282" i="1" s="1"/>
  <c r="W274" i="1"/>
  <c r="AN266" i="1"/>
  <c r="M258" i="1"/>
  <c r="AV242" i="1"/>
  <c r="E313" i="1"/>
  <c r="X305" i="1"/>
  <c r="AT297" i="1" a="1"/>
  <c r="AT297" i="1" s="1"/>
  <c r="AN289" i="1"/>
  <c r="T281" i="1" a="1"/>
  <c r="T281" i="1" s="1"/>
  <c r="U281" i="1" s="1"/>
  <c r="F273" i="1"/>
  <c r="G273" i="1" s="1"/>
  <c r="BB273" i="1" s="1"/>
  <c r="AS257" i="1" a="1"/>
  <c r="AS257" i="1" s="1"/>
  <c r="P312" i="1"/>
  <c r="L304" i="1"/>
  <c r="P296" i="1"/>
  <c r="S288" i="1"/>
  <c r="L280" i="1"/>
  <c r="AV272" i="1"/>
  <c r="N264" i="1"/>
  <c r="AT256" i="1" a="1"/>
  <c r="AT256" i="1" s="1"/>
  <c r="AU248" i="1"/>
  <c r="H240" i="1"/>
  <c r="AR311" i="1" a="1"/>
  <c r="AR311" i="1" s="1"/>
  <c r="AP287" i="1"/>
  <c r="S279" i="1"/>
  <c r="AF271" i="1"/>
  <c r="AI255" i="1"/>
  <c r="AR247" i="1" a="1"/>
  <c r="AR247" i="1" s="1"/>
  <c r="AA239" i="1"/>
  <c r="A33" i="8"/>
  <c r="K258" i="6"/>
  <c r="P282" i="6"/>
  <c r="R278" i="6"/>
  <c r="C307" i="1"/>
  <c r="R293" i="1" a="1"/>
  <c r="R293" i="1" s="1"/>
  <c r="AT237" i="1" a="1"/>
  <c r="AT237" i="1" s="1"/>
  <c r="K281" i="5"/>
  <c r="Q238" i="6"/>
  <c r="AT300" i="1" a="1"/>
  <c r="AT300" i="1" s="1"/>
  <c r="K238" i="6"/>
  <c r="AS253" i="1" a="1"/>
  <c r="AS253" i="1" s="1"/>
  <c r="K257" i="5"/>
  <c r="Q242" i="5"/>
  <c r="AV237" i="1"/>
  <c r="R277" i="6"/>
  <c r="AR237" i="1" a="1"/>
  <c r="AR237" i="1" s="1"/>
  <c r="R261" i="1" a="1"/>
  <c r="R261" i="1" s="1"/>
  <c r="O304" i="6"/>
  <c r="Z261" i="1"/>
  <c r="V261" i="1"/>
  <c r="R246" i="6"/>
  <c r="K253" i="6"/>
  <c r="R243" i="1" a="1"/>
  <c r="R243" i="1" s="1"/>
  <c r="AP261" i="1"/>
  <c r="AU261" i="1"/>
  <c r="AV253" i="1"/>
  <c r="K286" i="6"/>
  <c r="R254" i="6"/>
  <c r="AP243" i="1"/>
  <c r="K254" i="6"/>
  <c r="K560" i="5"/>
  <c r="O246" i="6"/>
  <c r="O278" i="6"/>
  <c r="R238" i="6"/>
  <c r="R286" i="6"/>
  <c r="P246" i="6"/>
  <c r="O238" i="6"/>
  <c r="O286" i="6"/>
  <c r="P286" i="6"/>
  <c r="R298" i="6"/>
  <c r="K262" i="6"/>
  <c r="R262" i="6"/>
  <c r="P254" i="6"/>
  <c r="K250" i="5"/>
  <c r="AB258" i="1"/>
  <c r="E266" i="1"/>
  <c r="K270" i="6"/>
  <c r="K571" i="5"/>
  <c r="R270" i="6"/>
  <c r="O262" i="6"/>
  <c r="Q314" i="5"/>
  <c r="P262" i="6"/>
  <c r="Q254" i="6"/>
  <c r="K278" i="6"/>
  <c r="K274" i="5"/>
  <c r="O270" i="6"/>
  <c r="P270" i="6"/>
  <c r="P304" i="6"/>
  <c r="K246" i="6"/>
  <c r="K596" i="5"/>
  <c r="P278" i="6"/>
  <c r="E300" i="1"/>
  <c r="K555" i="5"/>
  <c r="O252" i="6"/>
  <c r="S563" i="5"/>
  <c r="K579" i="5"/>
  <c r="AB259" i="1"/>
  <c r="R307" i="1" a="1"/>
  <c r="R307" i="1" s="1"/>
  <c r="K268" i="6"/>
  <c r="AT243" i="1" a="1"/>
  <c r="AT243" i="1" s="1"/>
  <c r="R276" i="6"/>
  <c r="R314" i="6"/>
  <c r="AP307" i="1"/>
  <c r="AR259" i="1" a="1"/>
  <c r="AR259" i="1" s="1"/>
  <c r="AS259" i="1" a="1"/>
  <c r="AS259" i="1" s="1"/>
  <c r="R259" i="1" a="1"/>
  <c r="R259" i="1" s="1"/>
  <c r="AR268" i="1" a="1"/>
  <c r="AR268" i="1" s="1"/>
  <c r="D274" i="1"/>
  <c r="V266" i="1"/>
  <c r="R268" i="6"/>
  <c r="W281" i="1"/>
  <c r="M308" i="1"/>
  <c r="AD300" i="1"/>
  <c r="K595" i="5"/>
  <c r="AR251" i="1" a="1"/>
  <c r="AR251" i="1" s="1"/>
  <c r="AS243" i="1" a="1"/>
  <c r="AS243" i="1" s="1"/>
  <c r="K314" i="6"/>
  <c r="D275" i="1"/>
  <c r="K272" i="5"/>
  <c r="AB236" i="1"/>
  <c r="AR274" i="1" a="1"/>
  <c r="AR274" i="1" s="1"/>
  <c r="E268" i="1"/>
  <c r="K567" i="5"/>
  <c r="K587" i="5"/>
  <c r="S595" i="5"/>
  <c r="AU282" i="1"/>
  <c r="Q555" i="5"/>
  <c r="AO251" i="1"/>
  <c r="W243" i="1"/>
  <c r="S567" i="5"/>
  <c r="E275" i="1"/>
  <c r="Y307" i="1"/>
  <c r="D266" i="1"/>
  <c r="M259" i="1"/>
  <c r="AT307" i="1" a="1"/>
  <c r="AT307" i="1" s="1"/>
  <c r="O259" i="1"/>
  <c r="R271" i="6"/>
  <c r="DF41" i="1"/>
  <c r="CW39" i="1"/>
  <c r="DM36" i="1"/>
  <c r="DI30" i="1"/>
  <c r="DH38" i="1"/>
  <c r="AA240" i="1"/>
  <c r="DJ35" i="1"/>
  <c r="E299" i="1"/>
  <c r="W307" i="1"/>
  <c r="N282" i="1"/>
  <c r="W259" i="1"/>
  <c r="X259" i="1"/>
  <c r="AR258" i="1" a="1"/>
  <c r="AR258" i="1" s="1"/>
  <c r="C258" i="1"/>
  <c r="AP244" i="1"/>
  <c r="AP251" i="1"/>
  <c r="X291" i="1"/>
  <c r="AU300" i="1"/>
  <c r="BD268" i="1"/>
  <c r="AA307" i="1"/>
  <c r="AU307" i="1"/>
  <c r="AG243" i="1"/>
  <c r="C273" i="1"/>
  <c r="K283" i="5"/>
  <c r="AP305" i="1"/>
  <c r="AU289" i="1"/>
  <c r="CX41" i="1"/>
  <c r="CT38" i="1"/>
  <c r="CW36" i="1"/>
  <c r="DG29" i="1"/>
  <c r="DL21" i="1"/>
  <c r="AS289" i="1" a="1"/>
  <c r="AS289" i="1" s="1"/>
  <c r="DL40" i="1"/>
  <c r="DM27" i="1"/>
  <c r="AU239" i="1"/>
  <c r="DD40" i="1"/>
  <c r="CY33" i="1"/>
  <c r="DM32" i="1"/>
  <c r="AR263" i="1" a="1"/>
  <c r="AR263" i="1" s="1"/>
  <c r="AQ273" i="1"/>
  <c r="R239" i="6"/>
  <c r="P255" i="6"/>
  <c r="CV40" i="1"/>
  <c r="DD37" i="1"/>
  <c r="DC34" i="1"/>
  <c r="DK31" i="1"/>
  <c r="D281" i="1"/>
  <c r="E263" i="1"/>
  <c r="Z289" i="1"/>
  <c r="DJ39" i="1"/>
  <c r="DJ28" i="1"/>
  <c r="DJ24" i="1"/>
  <c r="AV247" i="1"/>
  <c r="W287" i="1"/>
  <c r="AB255" i="1"/>
  <c r="AA273" i="1"/>
  <c r="K239" i="6"/>
  <c r="S275" i="5"/>
  <c r="X240" i="1"/>
  <c r="P251" i="5"/>
  <c r="P279" i="6"/>
  <c r="DM41" i="1"/>
  <c r="DE41" i="1"/>
  <c r="CW41" i="1"/>
  <c r="DK40" i="1"/>
  <c r="DC40" i="1"/>
  <c r="CU40" i="1"/>
  <c r="DI39" i="1"/>
  <c r="CV39" i="1"/>
  <c r="DF38" i="1"/>
  <c r="DA37" i="1"/>
  <c r="DL36" i="1"/>
  <c r="CV36" i="1"/>
  <c r="DH35" i="1"/>
  <c r="DA34" i="1"/>
  <c r="DL32" i="1"/>
  <c r="DJ31" i="1"/>
  <c r="DH30" i="1"/>
  <c r="DF29" i="1"/>
  <c r="DG28" i="1"/>
  <c r="DK27" i="1"/>
  <c r="DM23" i="1"/>
  <c r="O239" i="6"/>
  <c r="K263" i="6"/>
  <c r="K243" i="5"/>
  <c r="O263" i="6"/>
  <c r="Q251" i="5"/>
  <c r="DL41" i="1"/>
  <c r="DD41" i="1"/>
  <c r="CV41" i="1"/>
  <c r="DJ40" i="1"/>
  <c r="DB40" i="1"/>
  <c r="CT40" i="1"/>
  <c r="DH39" i="1"/>
  <c r="CU39" i="1"/>
  <c r="DC38" i="1"/>
  <c r="CY37" i="1"/>
  <c r="DJ36" i="1"/>
  <c r="DE35" i="1"/>
  <c r="CZ34" i="1"/>
  <c r="DL33" i="1"/>
  <c r="DJ32" i="1"/>
  <c r="DH31" i="1"/>
  <c r="DF30" i="1"/>
  <c r="DD29" i="1"/>
  <c r="DE28" i="1"/>
  <c r="DJ27" i="1"/>
  <c r="DK26" i="1"/>
  <c r="DK23" i="1"/>
  <c r="DM19" i="1"/>
  <c r="K275" i="5"/>
  <c r="R279" i="6"/>
  <c r="P247" i="6"/>
  <c r="P275" i="5"/>
  <c r="DK41" i="1"/>
  <c r="DC41" i="1"/>
  <c r="CU41" i="1"/>
  <c r="DI40" i="1"/>
  <c r="DA40" i="1"/>
  <c r="CS40" i="1"/>
  <c r="DE39" i="1"/>
  <c r="CT39" i="1"/>
  <c r="DB38" i="1"/>
  <c r="DL37" i="1"/>
  <c r="CX37" i="1"/>
  <c r="DG36" i="1"/>
  <c r="DC35" i="1"/>
  <c r="CX34" i="1"/>
  <c r="DI33" i="1"/>
  <c r="DG32" i="1"/>
  <c r="DE31" i="1"/>
  <c r="DC30" i="1"/>
  <c r="DD28" i="1"/>
  <c r="DH27" i="1"/>
  <c r="DI26" i="1"/>
  <c r="DJ23" i="1"/>
  <c r="O251" i="5"/>
  <c r="S259" i="5"/>
  <c r="DJ41" i="1"/>
  <c r="DB41" i="1"/>
  <c r="CT41" i="1"/>
  <c r="DH40" i="1"/>
  <c r="CZ40" i="1"/>
  <c r="CR40" i="1"/>
  <c r="DD39" i="1"/>
  <c r="DA38" i="1"/>
  <c r="DI37" i="1"/>
  <c r="CV37" i="1"/>
  <c r="DE36" i="1"/>
  <c r="DB35" i="1"/>
  <c r="DK34" i="1"/>
  <c r="DG33" i="1"/>
  <c r="DE32" i="1"/>
  <c r="DC31" i="1"/>
  <c r="DE27" i="1"/>
  <c r="DH26" i="1"/>
  <c r="DL25" i="1"/>
  <c r="DM20" i="1"/>
  <c r="K259" i="5"/>
  <c r="DI41" i="1"/>
  <c r="DA41" i="1"/>
  <c r="CS41" i="1"/>
  <c r="DG40" i="1"/>
  <c r="CY40" i="1"/>
  <c r="DM39" i="1"/>
  <c r="DC39" i="1"/>
  <c r="DK38" i="1"/>
  <c r="CZ38" i="1"/>
  <c r="DH37" i="1"/>
  <c r="DD36" i="1"/>
  <c r="CZ35" i="1"/>
  <c r="DI34" i="1"/>
  <c r="DF33" i="1"/>
  <c r="DD32" i="1"/>
  <c r="DB31" i="1"/>
  <c r="DF26" i="1"/>
  <c r="DI25" i="1"/>
  <c r="DK22" i="1"/>
  <c r="DL20" i="1"/>
  <c r="Q239" i="6"/>
  <c r="R247" i="6"/>
  <c r="R255" i="6"/>
  <c r="AR248" i="1" a="1"/>
  <c r="AR248" i="1" s="1"/>
  <c r="AE289" i="1"/>
  <c r="DH41" i="1"/>
  <c r="CZ41" i="1"/>
  <c r="CR41" i="1"/>
  <c r="DF40" i="1"/>
  <c r="CX40" i="1"/>
  <c r="DL39" i="1"/>
  <c r="DB39" i="1"/>
  <c r="DJ38" i="1"/>
  <c r="CX38" i="1"/>
  <c r="DG37" i="1"/>
  <c r="DB36" i="1"/>
  <c r="DM35" i="1"/>
  <c r="CW35" i="1"/>
  <c r="DH34" i="1"/>
  <c r="DD33" i="1"/>
  <c r="DB32" i="1"/>
  <c r="DL29" i="1"/>
  <c r="DM28" i="1"/>
  <c r="DG25" i="1"/>
  <c r="DM24" i="1"/>
  <c r="K251" i="5"/>
  <c r="DG41" i="1"/>
  <c r="CY41" i="1"/>
  <c r="DM40" i="1"/>
  <c r="DE40" i="1"/>
  <c r="CW40" i="1"/>
  <c r="DK39" i="1"/>
  <c r="CZ39" i="1"/>
  <c r="DI38" i="1"/>
  <c r="CU38" i="1"/>
  <c r="DF37" i="1"/>
  <c r="CY36" i="1"/>
  <c r="DK35" i="1"/>
  <c r="DF34" i="1"/>
  <c r="DA33" i="1"/>
  <c r="DM31" i="1"/>
  <c r="DK30" i="1"/>
  <c r="DI29" i="1"/>
  <c r="DL28" i="1"/>
  <c r="AV268" i="1"/>
  <c r="D276" i="1"/>
  <c r="V236" i="1"/>
  <c r="O240" i="6"/>
  <c r="AT292" i="1" a="1"/>
  <c r="AT292" i="1" s="1"/>
  <c r="AU268" i="1"/>
  <c r="P274" i="6"/>
  <c r="AE268" i="1"/>
  <c r="BD300" i="1"/>
  <c r="K246" i="5"/>
  <c r="AN244" i="1"/>
  <c r="Z236" i="1"/>
  <c r="O242" i="6"/>
  <c r="S284" i="5"/>
  <c r="AV292" i="1"/>
  <c r="AN300" i="1"/>
  <c r="AO300" i="1"/>
  <c r="O300" i="1"/>
  <c r="C292" i="1"/>
  <c r="K549" i="5"/>
  <c r="AA244" i="1"/>
  <c r="AB300" i="1"/>
  <c r="AV300" i="1"/>
  <c r="S300" i="1"/>
  <c r="AR252" i="1" a="1"/>
  <c r="AR252" i="1" s="1"/>
  <c r="K240" i="6"/>
  <c r="AV236" i="1"/>
  <c r="D292" i="1"/>
  <c r="C252" i="1"/>
  <c r="K553" i="5"/>
  <c r="R248" i="6"/>
  <c r="W244" i="1"/>
  <c r="R264" i="6"/>
  <c r="X300" i="1"/>
  <c r="O256" i="6"/>
  <c r="W292" i="1"/>
  <c r="Y268" i="1"/>
  <c r="AA300" i="1"/>
  <c r="P248" i="6"/>
  <c r="P250" i="6"/>
  <c r="Q589" i="5"/>
  <c r="AZ300" i="1" a="1"/>
  <c r="AZ300" i="1" s="1"/>
  <c r="S586" i="5"/>
  <c r="C300" i="1"/>
  <c r="E292" i="1"/>
  <c r="C268" i="1"/>
  <c r="D244" i="1"/>
  <c r="AT268" i="1" a="1"/>
  <c r="AT268" i="1" s="1"/>
  <c r="AQ268" i="1"/>
  <c r="O248" i="6"/>
  <c r="AS268" i="1" a="1"/>
  <c r="AS268" i="1" s="1"/>
  <c r="W268" i="1"/>
  <c r="AP236" i="1"/>
  <c r="R300" i="1" a="1"/>
  <c r="R300" i="1" s="1"/>
  <c r="W300" i="1"/>
  <c r="Y292" i="1"/>
  <c r="P264" i="6"/>
  <c r="AY236" i="1"/>
  <c r="AV260" i="1"/>
  <c r="D300" i="1"/>
  <c r="C284" i="1"/>
  <c r="D268" i="1"/>
  <c r="Z284" i="1"/>
  <c r="AP276" i="1"/>
  <c r="S565" i="5"/>
  <c r="AA268" i="1"/>
  <c r="R282" i="6"/>
  <c r="AP300" i="1"/>
  <c r="W308" i="1"/>
  <c r="Y300" i="1"/>
  <c r="P240" i="6"/>
  <c r="P598" i="5"/>
  <c r="BD310" i="1"/>
  <c r="C263" i="1"/>
  <c r="K248" i="6"/>
  <c r="K252" i="5"/>
  <c r="AQ263" i="1"/>
  <c r="AN248" i="1"/>
  <c r="M263" i="1"/>
  <c r="Q561" i="5"/>
  <c r="N248" i="1"/>
  <c r="Q263" i="1" a="1"/>
  <c r="Q263" i="1" s="1"/>
  <c r="AV263" i="1"/>
  <c r="D263" i="1"/>
  <c r="K557" i="5"/>
  <c r="K565" i="5"/>
  <c r="K577" i="5"/>
  <c r="K593" i="5"/>
  <c r="R240" i="6"/>
  <c r="S561" i="5"/>
  <c r="S573" i="5"/>
  <c r="AS303" i="1" a="1"/>
  <c r="AS303" i="1" s="1"/>
  <c r="Q565" i="5"/>
  <c r="BD303" i="1"/>
  <c r="C279" i="1"/>
  <c r="K256" i="6"/>
  <c r="K272" i="6"/>
  <c r="K268" i="5"/>
  <c r="S553" i="5"/>
  <c r="S577" i="5"/>
  <c r="R288" i="6"/>
  <c r="X303" i="1"/>
  <c r="L248" i="1"/>
  <c r="AU263" i="1"/>
  <c r="AG303" i="1"/>
  <c r="S263" i="1"/>
  <c r="D278" i="1"/>
  <c r="E248" i="1"/>
  <c r="K561" i="5"/>
  <c r="K581" i="5"/>
  <c r="K276" i="5"/>
  <c r="O272" i="6"/>
  <c r="R256" i="6"/>
  <c r="Y263" i="1"/>
  <c r="P256" i="6"/>
  <c r="K244" i="5"/>
  <c r="K260" i="5"/>
  <c r="AA263" i="1"/>
  <c r="S581" i="5"/>
  <c r="S585" i="5"/>
  <c r="O264" i="6"/>
  <c r="Y255" i="1"/>
  <c r="Z255" i="1"/>
  <c r="E310" i="1"/>
  <c r="AT246" i="1" a="1"/>
  <c r="AT246" i="1" s="1"/>
  <c r="K264" i="6"/>
  <c r="R248" i="1" a="1"/>
  <c r="R248" i="1" s="1"/>
  <c r="Z263" i="1"/>
  <c r="S268" i="5"/>
  <c r="P553" i="5"/>
  <c r="Q557" i="5"/>
  <c r="Q573" i="5"/>
  <c r="P243" i="6"/>
  <c r="AR281" i="1" a="1"/>
  <c r="AR281" i="1" s="1"/>
  <c r="AQ281" i="1"/>
  <c r="AV240" i="1"/>
  <c r="D304" i="1"/>
  <c r="D240" i="1"/>
  <c r="AT239" i="1" a="1"/>
  <c r="AT239" i="1" s="1"/>
  <c r="AT273" i="1" a="1"/>
  <c r="AT273" i="1" s="1"/>
  <c r="K566" i="5"/>
  <c r="AN273" i="1"/>
  <c r="R274" i="6"/>
  <c r="AS248" i="1" a="1"/>
  <c r="AS248" i="1" s="1"/>
  <c r="AN263" i="1"/>
  <c r="R240" i="1" a="1"/>
  <c r="R240" i="1" s="1"/>
  <c r="W248" i="1"/>
  <c r="R283" i="6"/>
  <c r="X281" i="1"/>
  <c r="Y273" i="1"/>
  <c r="AU303" i="1"/>
  <c r="V303" i="1"/>
  <c r="S578" i="5"/>
  <c r="AD263" i="1"/>
  <c r="AZ240" i="1" a="1"/>
  <c r="AZ240" i="1" s="1"/>
  <c r="T240" i="1" a="1"/>
  <c r="T240" i="1" s="1"/>
  <c r="U240" i="1" s="1"/>
  <c r="E273" i="1"/>
  <c r="M248" i="1"/>
  <c r="P266" i="6"/>
  <c r="E304" i="1"/>
  <c r="D297" i="1"/>
  <c r="C289" i="1"/>
  <c r="C256" i="1"/>
  <c r="E240" i="1"/>
  <c r="AT240" i="1" a="1"/>
  <c r="AT240" i="1" s="1"/>
  <c r="K250" i="6"/>
  <c r="K274" i="6"/>
  <c r="AS240" i="1" a="1"/>
  <c r="AS240" i="1" s="1"/>
  <c r="V273" i="1"/>
  <c r="R250" i="6"/>
  <c r="O274" i="6"/>
  <c r="R272" i="1" a="1"/>
  <c r="R272" i="1" s="1"/>
  <c r="Z248" i="1"/>
  <c r="AP240" i="1"/>
  <c r="M289" i="1"/>
  <c r="X289" i="1"/>
  <c r="L273" i="1"/>
  <c r="O283" i="6"/>
  <c r="AT289" i="1" a="1"/>
  <c r="AT289" i="1" s="1"/>
  <c r="P242" i="6"/>
  <c r="P566" i="5"/>
  <c r="P258" i="6"/>
  <c r="AD240" i="1"/>
  <c r="AO263" i="1"/>
  <c r="AZ273" i="1" a="1"/>
  <c r="AZ273" i="1" s="1"/>
  <c r="T296" i="1" a="1"/>
  <c r="T296" i="1" s="1"/>
  <c r="U296" i="1" s="1"/>
  <c r="R281" i="1" a="1"/>
  <c r="R281" i="1" s="1"/>
  <c r="O273" i="1"/>
  <c r="Q281" i="1" a="1"/>
  <c r="Q281" i="1" s="1"/>
  <c r="C305" i="1"/>
  <c r="C240" i="1"/>
  <c r="AS273" i="1" a="1"/>
  <c r="AS273" i="1" s="1"/>
  <c r="W273" i="1"/>
  <c r="V289" i="1"/>
  <c r="AV239" i="1"/>
  <c r="AR256" i="1" a="1"/>
  <c r="AR256" i="1" s="1"/>
  <c r="AR271" i="1" a="1"/>
  <c r="AR271" i="1" s="1"/>
  <c r="D313" i="1"/>
  <c r="D303" i="1"/>
  <c r="E297" i="1"/>
  <c r="D289" i="1"/>
  <c r="C255" i="1"/>
  <c r="E239" i="1"/>
  <c r="K242" i="6"/>
  <c r="V240" i="1"/>
  <c r="AQ248" i="1"/>
  <c r="K278" i="5"/>
  <c r="O250" i="6"/>
  <c r="R251" i="6"/>
  <c r="AN255" i="1"/>
  <c r="Z240" i="1"/>
  <c r="Z281" i="1"/>
  <c r="AP255" i="1"/>
  <c r="W303" i="1"/>
  <c r="M281" i="1"/>
  <c r="AP289" i="1"/>
  <c r="L255" i="1"/>
  <c r="L289" i="1"/>
  <c r="AO240" i="1"/>
  <c r="AD273" i="1"/>
  <c r="S240" i="1"/>
  <c r="AY281" i="1"/>
  <c r="BD273" i="1"/>
  <c r="H263" i="1"/>
  <c r="D273" i="1"/>
  <c r="X273" i="1"/>
  <c r="AR289" i="1" a="1"/>
  <c r="AR289" i="1" s="1"/>
  <c r="W240" i="1"/>
  <c r="S566" i="5"/>
  <c r="AA281" i="1"/>
  <c r="AA289" i="1"/>
  <c r="AV289" i="1"/>
  <c r="F240" i="1"/>
  <c r="G240" i="1" s="1"/>
  <c r="BB240" i="1" s="1"/>
  <c r="AV273" i="1"/>
  <c r="E303" i="1"/>
  <c r="D296" i="1"/>
  <c r="K266" i="6"/>
  <c r="AT281" i="1" a="1"/>
  <c r="AT281" i="1" s="1"/>
  <c r="AN240" i="1"/>
  <c r="K586" i="5"/>
  <c r="V279" i="1"/>
  <c r="O251" i="6"/>
  <c r="AN281" i="1"/>
  <c r="Z273" i="1"/>
  <c r="R303" i="1" a="1"/>
  <c r="R303" i="1" s="1"/>
  <c r="M297" i="1"/>
  <c r="M303" i="1"/>
  <c r="Y305" i="1"/>
  <c r="AB289" i="1"/>
  <c r="AQ296" i="1"/>
  <c r="AE273" i="1"/>
  <c r="AF279" i="1"/>
  <c r="S273" i="1"/>
  <c r="F281" i="1"/>
  <c r="G281" i="1" s="1"/>
  <c r="BA281" i="1" s="1"/>
  <c r="Q273" i="1" a="1"/>
  <c r="Q273" i="1" s="1"/>
  <c r="AV281" i="1"/>
  <c r="E281" i="1"/>
  <c r="AS281" i="1" a="1"/>
  <c r="AS281" i="1" s="1"/>
  <c r="O259" i="6"/>
  <c r="AR240" i="1" a="1"/>
  <c r="AR240" i="1" s="1"/>
  <c r="AV248" i="1"/>
  <c r="AR273" i="1" a="1"/>
  <c r="AR273" i="1" s="1"/>
  <c r="D311" i="1"/>
  <c r="E296" i="1"/>
  <c r="C281" i="1"/>
  <c r="C248" i="1"/>
  <c r="AQ240" i="1"/>
  <c r="AN272" i="1"/>
  <c r="V281" i="1"/>
  <c r="R263" i="1" a="1"/>
  <c r="R263" i="1" s="1"/>
  <c r="AP263" i="1"/>
  <c r="AP273" i="1"/>
  <c r="AP281" i="1"/>
  <c r="B3" i="1"/>
  <c r="CG3" i="1" s="1"/>
  <c r="R242" i="6"/>
  <c r="R259" i="6"/>
  <c r="AB273" i="1"/>
  <c r="AP297" i="1"/>
  <c r="AR303" i="1" a="1"/>
  <c r="AR303" i="1" s="1"/>
  <c r="AT303" i="1" a="1"/>
  <c r="AT303" i="1" s="1"/>
  <c r="AU281" i="1"/>
  <c r="AN303" i="1"/>
  <c r="AE296" i="1"/>
  <c r="AO273" i="1"/>
  <c r="S303" i="1"/>
  <c r="BC289" i="1"/>
  <c r="K269" i="5"/>
  <c r="AA254" i="1"/>
  <c r="R281" i="6"/>
  <c r="C303" i="1"/>
  <c r="D254" i="1"/>
  <c r="AT238" i="1" a="1"/>
  <c r="AT238" i="1" s="1"/>
  <c r="AN247" i="1"/>
  <c r="AS263" i="1" a="1"/>
  <c r="AS263" i="1" s="1"/>
  <c r="R267" i="1" a="1"/>
  <c r="R267" i="1" s="1"/>
  <c r="AB263" i="1"/>
  <c r="O281" i="6"/>
  <c r="S285" i="5"/>
  <c r="R289" i="1" a="1"/>
  <c r="R289" i="1" s="1"/>
  <c r="M307" i="1"/>
  <c r="Y297" i="1"/>
  <c r="AA303" i="1"/>
  <c r="AS307" i="1" a="1"/>
  <c r="AS307" i="1" s="1"/>
  <c r="AU259" i="1"/>
  <c r="P281" i="6"/>
  <c r="AG263" i="1"/>
  <c r="AG281" i="1"/>
  <c r="AF259" i="1"/>
  <c r="P255" i="1"/>
  <c r="AZ289" i="1" a="1"/>
  <c r="AZ289" i="1" s="1"/>
  <c r="BD263" i="1"/>
  <c r="T273" i="1" a="1"/>
  <c r="T273" i="1" s="1"/>
  <c r="U273" i="1" s="1"/>
  <c r="AV278" i="1"/>
  <c r="K281" i="6"/>
  <c r="P294" i="1"/>
  <c r="C270" i="1"/>
  <c r="AO307" i="1"/>
  <c r="O281" i="1"/>
  <c r="P303" i="1"/>
  <c r="C286" i="1"/>
  <c r="E278" i="1"/>
  <c r="C238" i="1"/>
  <c r="V278" i="1"/>
  <c r="Z303" i="1"/>
  <c r="AD303" i="1"/>
  <c r="AF273" i="1"/>
  <c r="BC281" i="1"/>
  <c r="H273" i="1"/>
  <c r="AR243" i="1" a="1"/>
  <c r="AR243" i="1" s="1"/>
  <c r="AR253" i="1" a="1"/>
  <c r="AR253" i="1" s="1"/>
  <c r="E307" i="1"/>
  <c r="C294" i="1"/>
  <c r="E286" i="1"/>
  <c r="C246" i="1"/>
  <c r="AT248" i="1" a="1"/>
  <c r="AT248" i="1" s="1"/>
  <c r="AT263" i="1" a="1"/>
  <c r="AT263" i="1" s="1"/>
  <c r="K277" i="5"/>
  <c r="AS255" i="1" a="1"/>
  <c r="AS255" i="1" s="1"/>
  <c r="AS266" i="1" a="1"/>
  <c r="AS266" i="1" s="1"/>
  <c r="AN246" i="1"/>
  <c r="R273" i="1" a="1"/>
  <c r="R273" i="1" s="1"/>
  <c r="W278" i="1"/>
  <c r="AP258" i="1"/>
  <c r="AB251" i="1"/>
  <c r="AP286" i="1"/>
  <c r="AA270" i="1"/>
  <c r="M273" i="1"/>
  <c r="R296" i="1" a="1"/>
  <c r="R296" i="1" s="1"/>
  <c r="AB281" i="1"/>
  <c r="L303" i="1"/>
  <c r="Y281" i="1"/>
  <c r="Y303" i="1"/>
  <c r="AB307" i="1"/>
  <c r="AQ289" i="1"/>
  <c r="AU273" i="1"/>
  <c r="Q262" i="5"/>
  <c r="AG273" i="1"/>
  <c r="AO303" i="1"/>
  <c r="AF281" i="1"/>
  <c r="N281" i="1"/>
  <c r="S281" i="1"/>
  <c r="AY263" i="1"/>
  <c r="BD248" i="1"/>
  <c r="BD281" i="1"/>
  <c r="H281" i="1"/>
  <c r="O266" i="5"/>
  <c r="K273" i="6"/>
  <c r="V286" i="1"/>
  <c r="AP278" i="1"/>
  <c r="W294" i="1"/>
  <c r="AV294" i="1"/>
  <c r="AZ263" i="1" a="1"/>
  <c r="AZ263" i="1" s="1"/>
  <c r="O313" i="6"/>
  <c r="R273" i="6"/>
  <c r="R238" i="1" a="1"/>
  <c r="R238" i="1" s="1"/>
  <c r="AP310" i="1"/>
  <c r="AU286" i="1"/>
  <c r="P253" i="5"/>
  <c r="AO286" i="1"/>
  <c r="AF263" i="1"/>
  <c r="P263" i="1"/>
  <c r="AZ303" i="1" a="1"/>
  <c r="AZ303" i="1" s="1"/>
  <c r="BD299" i="1"/>
  <c r="S277" i="5"/>
  <c r="BC263" i="1"/>
  <c r="H306" i="1"/>
  <c r="W306" i="1"/>
  <c r="AE306" i="1"/>
  <c r="AV298" i="1"/>
  <c r="BC298" i="1"/>
  <c r="AZ290" i="1" a="1"/>
  <c r="AZ290" i="1" s="1"/>
  <c r="P290" i="1"/>
  <c r="L290" i="1"/>
  <c r="X290" i="1"/>
  <c r="D290" i="1"/>
  <c r="Q282" i="1" a="1"/>
  <c r="Q282" i="1" s="1"/>
  <c r="S282" i="1"/>
  <c r="W282" i="1"/>
  <c r="AE282" i="1"/>
  <c r="M282" i="1"/>
  <c r="AP282" i="1"/>
  <c r="AS282" i="1" a="1"/>
  <c r="AS282" i="1" s="1"/>
  <c r="D282" i="1"/>
  <c r="AR282" i="1" a="1"/>
  <c r="AR282" i="1" s="1"/>
  <c r="AP274" i="1"/>
  <c r="AN274" i="1"/>
  <c r="X274" i="1"/>
  <c r="C274" i="1"/>
  <c r="AZ266" i="1" a="1"/>
  <c r="AZ266" i="1" s="1"/>
  <c r="AG266" i="1"/>
  <c r="AB266" i="1"/>
  <c r="T266" i="1" a="1"/>
  <c r="T266" i="1" s="1"/>
  <c r="U266" i="1" s="1"/>
  <c r="F266" i="1"/>
  <c r="G266" i="1" s="1"/>
  <c r="BB266" i="1" s="1"/>
  <c r="AD266" i="1"/>
  <c r="P266" i="1"/>
  <c r="O266" i="1"/>
  <c r="X266" i="1"/>
  <c r="AV266" i="1"/>
  <c r="AO266" i="1"/>
  <c r="AA266" i="1"/>
  <c r="O258" i="1"/>
  <c r="AF258" i="1"/>
  <c r="BC258" i="1"/>
  <c r="AY258" i="1"/>
  <c r="AO258" i="1"/>
  <c r="AZ258" i="1" a="1"/>
  <c r="AZ258" i="1" s="1"/>
  <c r="AN258" i="1"/>
  <c r="AT258" i="1" a="1"/>
  <c r="AT258" i="1" s="1"/>
  <c r="E258" i="1"/>
  <c r="AU258" i="1"/>
  <c r="Z258" i="1"/>
  <c r="N258" i="1"/>
  <c r="R289" i="5"/>
  <c r="O289" i="5"/>
  <c r="R257" i="5"/>
  <c r="Q257" i="5"/>
  <c r="P257" i="5"/>
  <c r="O309" i="6"/>
  <c r="Q309" i="6"/>
  <c r="O285" i="6"/>
  <c r="K285" i="6"/>
  <c r="Q269" i="6"/>
  <c r="K269" i="6"/>
  <c r="R269" i="6"/>
  <c r="Q261" i="6"/>
  <c r="R261" i="6"/>
  <c r="O245" i="6"/>
  <c r="K245" i="6"/>
  <c r="P237" i="6"/>
  <c r="R237" i="6"/>
  <c r="S297" i="5"/>
  <c r="R297" i="5"/>
  <c r="P297" i="5"/>
  <c r="O297" i="5"/>
  <c r="K297" i="5"/>
  <c r="Q297" i="5"/>
  <c r="O265" i="5"/>
  <c r="P265" i="5"/>
  <c r="S265" i="5"/>
  <c r="K265" i="5"/>
  <c r="R265" i="5"/>
  <c r="Q265" i="5"/>
  <c r="AT274" i="1" a="1"/>
  <c r="AT274" i="1" s="1"/>
  <c r="W258" i="1"/>
  <c r="K305" i="5"/>
  <c r="R305" i="5"/>
  <c r="S305" i="5"/>
  <c r="S273" i="5"/>
  <c r="K273" i="5"/>
  <c r="P273" i="5"/>
  <c r="R241" i="5"/>
  <c r="P241" i="5"/>
  <c r="K241" i="5"/>
  <c r="Q241" i="5"/>
  <c r="S241" i="5"/>
  <c r="K277" i="6"/>
  <c r="AQ266" i="1"/>
  <c r="Y266" i="1"/>
  <c r="K313" i="5"/>
  <c r="P313" i="5"/>
  <c r="Q281" i="5"/>
  <c r="P281" i="5"/>
  <c r="P249" i="5"/>
  <c r="S249" i="5"/>
  <c r="Q249" i="5"/>
  <c r="O253" i="6"/>
  <c r="O261" i="6"/>
  <c r="AA282" i="1"/>
  <c r="K261" i="6"/>
  <c r="AN282" i="1"/>
  <c r="Y282" i="1"/>
  <c r="C312" i="1"/>
  <c r="D248" i="1"/>
  <c r="R264" i="1" a="1"/>
  <c r="R264" i="1" s="1"/>
  <c r="AD296" i="1"/>
  <c r="O248" i="1"/>
  <c r="C296" i="1"/>
  <c r="AU296" i="1"/>
  <c r="V312" i="1"/>
  <c r="Q296" i="1" a="1"/>
  <c r="Q296" i="1" s="1"/>
  <c r="S248" i="1"/>
  <c r="F296" i="1"/>
  <c r="G296" i="1" s="1"/>
  <c r="BB296" i="1" s="1"/>
  <c r="V248" i="1"/>
  <c r="AP248" i="1"/>
  <c r="M296" i="1"/>
  <c r="AV296" i="1"/>
  <c r="P248" i="1"/>
  <c r="H303" i="1"/>
  <c r="AD248" i="1"/>
  <c r="AP294" i="1"/>
  <c r="AQ310" i="1"/>
  <c r="AE270" i="1"/>
  <c r="AF294" i="1"/>
  <c r="F270" i="1"/>
  <c r="G270" i="1" s="1"/>
  <c r="Q270" i="1" a="1"/>
  <c r="Q270" i="1" s="1"/>
  <c r="AV261" i="1"/>
  <c r="AV270" i="1"/>
  <c r="D270" i="1"/>
  <c r="D253" i="1"/>
  <c r="C245" i="1"/>
  <c r="D238" i="1"/>
  <c r="AT253" i="1" a="1"/>
  <c r="AT253" i="1" s="1"/>
  <c r="AT270" i="1" a="1"/>
  <c r="AT270" i="1" s="1"/>
  <c r="AT278" i="1" a="1"/>
  <c r="AT278" i="1" s="1"/>
  <c r="K286" i="5"/>
  <c r="W238" i="1"/>
  <c r="S278" i="5"/>
  <c r="AB278" i="1"/>
  <c r="M270" i="1"/>
  <c r="AU278" i="1"/>
  <c r="AG261" i="1"/>
  <c r="AO270" i="1"/>
  <c r="BC270" i="1"/>
  <c r="R607" i="5"/>
  <c r="AS270" i="1" a="1"/>
  <c r="AS270" i="1" s="1"/>
  <c r="AR261" i="1" a="1"/>
  <c r="AR261" i="1" s="1"/>
  <c r="AR270" i="1" a="1"/>
  <c r="AR270" i="1" s="1"/>
  <c r="AV286" i="1"/>
  <c r="C310" i="1"/>
  <c r="S238" i="5"/>
  <c r="S286" i="5"/>
  <c r="X278" i="1"/>
  <c r="X310" i="1"/>
  <c r="P238" i="5"/>
  <c r="Q298" i="6"/>
  <c r="P298" i="6"/>
  <c r="O290" i="6"/>
  <c r="P290" i="6"/>
  <c r="Q284" i="6"/>
  <c r="P284" i="6"/>
  <c r="K284" i="6"/>
  <c r="O284" i="6"/>
  <c r="R284" i="6"/>
  <c r="Q276" i="6"/>
  <c r="P276" i="6"/>
  <c r="K276" i="6"/>
  <c r="Q268" i="6"/>
  <c r="O268" i="6"/>
  <c r="R260" i="6"/>
  <c r="K260" i="6"/>
  <c r="P252" i="6"/>
  <c r="Q252" i="6"/>
  <c r="R252" i="6"/>
  <c r="P244" i="6"/>
  <c r="O244" i="6"/>
  <c r="T310" i="1" a="1"/>
  <c r="T310" i="1" s="1"/>
  <c r="U310" i="1" s="1"/>
  <c r="AS310" i="1" a="1"/>
  <c r="AS310" i="1" s="1"/>
  <c r="D310" i="1"/>
  <c r="R310" i="1" a="1"/>
  <c r="R310" i="1" s="1"/>
  <c r="AF310" i="1"/>
  <c r="V310" i="1"/>
  <c r="AU310" i="1"/>
  <c r="AY294" i="1"/>
  <c r="AT294" i="1" a="1"/>
  <c r="AT294" i="1" s="1"/>
  <c r="Z294" i="1"/>
  <c r="L294" i="1"/>
  <c r="T294" i="1" a="1"/>
  <c r="T294" i="1" s="1"/>
  <c r="U294" i="1" s="1"/>
  <c r="S294" i="1"/>
  <c r="O294" i="1"/>
  <c r="AO294" i="1"/>
  <c r="AS294" i="1" a="1"/>
  <c r="AS294" i="1" s="1"/>
  <c r="X294" i="1"/>
  <c r="BD294" i="1"/>
  <c r="AG294" i="1"/>
  <c r="AQ294" i="1"/>
  <c r="AR294" i="1" a="1"/>
  <c r="AR294" i="1" s="1"/>
  <c r="AA294" i="1"/>
  <c r="AI294" i="1"/>
  <c r="Q294" i="1" a="1"/>
  <c r="Q294" i="1" s="1"/>
  <c r="AE294" i="1"/>
  <c r="AB294" i="1"/>
  <c r="E294" i="1"/>
  <c r="AD294" i="1"/>
  <c r="AN294" i="1"/>
  <c r="R294" i="1" a="1"/>
  <c r="R294" i="1" s="1"/>
  <c r="D294" i="1"/>
  <c r="T286" i="1" a="1"/>
  <c r="T286" i="1" s="1"/>
  <c r="U286" i="1" s="1"/>
  <c r="R286" i="1" a="1"/>
  <c r="R286" i="1" s="1"/>
  <c r="AS286" i="1" a="1"/>
  <c r="AS286" i="1" s="1"/>
  <c r="AT286" i="1" a="1"/>
  <c r="AT286" i="1" s="1"/>
  <c r="AY286" i="1"/>
  <c r="L286" i="1"/>
  <c r="AQ286" i="1"/>
  <c r="D286" i="1"/>
  <c r="P286" i="1"/>
  <c r="O286" i="1"/>
  <c r="Q286" i="1" a="1"/>
  <c r="Q286" i="1" s="1"/>
  <c r="AN286" i="1"/>
  <c r="X286" i="1"/>
  <c r="Z286" i="1"/>
  <c r="AR286" i="1" a="1"/>
  <c r="AR286" i="1" s="1"/>
  <c r="BC278" i="1"/>
  <c r="AD278" i="1"/>
  <c r="Y278" i="1"/>
  <c r="AA278" i="1"/>
  <c r="AN278" i="1"/>
  <c r="C278" i="1"/>
  <c r="AR278" i="1" a="1"/>
  <c r="AR278" i="1" s="1"/>
  <c r="AY278" i="1"/>
  <c r="AZ278" i="1" a="1"/>
  <c r="AZ278" i="1" s="1"/>
  <c r="S278" i="1"/>
  <c r="M278" i="1"/>
  <c r="H278" i="1"/>
  <c r="F278" i="1"/>
  <c r="G278" i="1" s="1"/>
  <c r="BA278" i="1" s="1"/>
  <c r="L278" i="1"/>
  <c r="R278" i="1" a="1"/>
  <c r="R278" i="1" s="1"/>
  <c r="AS278" i="1" a="1"/>
  <c r="AS278" i="1" s="1"/>
  <c r="AQ278" i="1"/>
  <c r="T270" i="1" a="1"/>
  <c r="T270" i="1" s="1"/>
  <c r="U270" i="1" s="1"/>
  <c r="BD270" i="1"/>
  <c r="AG270" i="1"/>
  <c r="L270" i="1"/>
  <c r="AD270" i="1"/>
  <c r="AU270" i="1"/>
  <c r="N270" i="1"/>
  <c r="Y270" i="1"/>
  <c r="O270" i="1"/>
  <c r="AN270" i="1"/>
  <c r="AQ270" i="1"/>
  <c r="P270" i="1"/>
  <c r="X270" i="1"/>
  <c r="Z270" i="1"/>
  <c r="W270" i="1"/>
  <c r="R270" i="1" a="1"/>
  <c r="R270" i="1" s="1"/>
  <c r="V270" i="1"/>
  <c r="E270" i="1"/>
  <c r="AF254" i="1"/>
  <c r="Q254" i="1" a="1"/>
  <c r="Q254" i="1" s="1"/>
  <c r="R254" i="1" a="1"/>
  <c r="R254" i="1" s="1"/>
  <c r="C254" i="1"/>
  <c r="AT254" i="1" a="1"/>
  <c r="AT254" i="1" s="1"/>
  <c r="AV254" i="1"/>
  <c r="BC246" i="1"/>
  <c r="F246" i="1"/>
  <c r="G246" i="1" s="1"/>
  <c r="BB246" i="1" s="1"/>
  <c r="W246" i="1"/>
  <c r="V246" i="1"/>
  <c r="R246" i="1" a="1"/>
  <c r="R246" i="1" s="1"/>
  <c r="AQ246" i="1"/>
  <c r="D246" i="1"/>
  <c r="AU246" i="1"/>
  <c r="AR246" i="1" a="1"/>
  <c r="AR246" i="1" s="1"/>
  <c r="BD238" i="1"/>
  <c r="AS238" i="1" a="1"/>
  <c r="AS238" i="1" s="1"/>
  <c r="AQ238" i="1"/>
  <c r="AN238" i="1"/>
  <c r="AR238" i="1" a="1"/>
  <c r="AR238" i="1" s="1"/>
  <c r="Z238" i="1"/>
  <c r="V238" i="1"/>
  <c r="AV238" i="1"/>
  <c r="R271" i="5"/>
  <c r="S271" i="5"/>
  <c r="O263" i="5"/>
  <c r="Q263" i="5"/>
  <c r="S263" i="5"/>
  <c r="R255" i="5"/>
  <c r="K255" i="5"/>
  <c r="O239" i="5"/>
  <c r="S239" i="5"/>
  <c r="O626" i="5"/>
  <c r="R626" i="5"/>
  <c r="S626" i="5"/>
  <c r="P626" i="5"/>
  <c r="K618" i="5"/>
  <c r="P618" i="5"/>
  <c r="S618" i="5"/>
  <c r="O618" i="5"/>
  <c r="R610" i="5"/>
  <c r="P610" i="5"/>
  <c r="Q610" i="5"/>
  <c r="Q283" i="6"/>
  <c r="K283" i="6"/>
  <c r="Q275" i="6"/>
  <c r="P275" i="6"/>
  <c r="O275" i="6"/>
  <c r="K275" i="6"/>
  <c r="Q267" i="6"/>
  <c r="P267" i="6"/>
  <c r="O267" i="6"/>
  <c r="R267" i="6"/>
  <c r="Q251" i="6"/>
  <c r="K251" i="6"/>
  <c r="Q243" i="6"/>
  <c r="O243" i="6"/>
  <c r="R243" i="6"/>
  <c r="AB286" i="1"/>
  <c r="AR310" i="1" a="1"/>
  <c r="AR310" i="1" s="1"/>
  <c r="N278" i="1"/>
  <c r="Q310" i="1" a="1"/>
  <c r="Q310" i="1" s="1"/>
  <c r="P293" i="1"/>
  <c r="E293" i="1"/>
  <c r="Y285" i="1"/>
  <c r="M285" i="1"/>
  <c r="AV285" i="1"/>
  <c r="AU285" i="1"/>
  <c r="F253" i="1"/>
  <c r="G253" i="1" s="1"/>
  <c r="BA253" i="1" s="1"/>
  <c r="Y253" i="1"/>
  <c r="AP253" i="1"/>
  <c r="AO253" i="1"/>
  <c r="C253" i="1"/>
  <c r="AG253" i="1"/>
  <c r="Q253" i="1" a="1"/>
  <c r="Q253" i="1" s="1"/>
  <c r="X237" i="1"/>
  <c r="R237" i="1" a="1"/>
  <c r="R237" i="1" s="1"/>
  <c r="Z237" i="1"/>
  <c r="O270" i="5"/>
  <c r="Q270" i="5"/>
  <c r="P270" i="5"/>
  <c r="S270" i="5"/>
  <c r="O254" i="5"/>
  <c r="P254" i="5"/>
  <c r="O623" i="5"/>
  <c r="S623" i="5"/>
  <c r="S598" i="5"/>
  <c r="K598" i="5"/>
  <c r="O594" i="5"/>
  <c r="K594" i="5"/>
  <c r="Q594" i="5"/>
  <c r="S594" i="5"/>
  <c r="P594" i="5"/>
  <c r="R590" i="5"/>
  <c r="K590" i="5"/>
  <c r="P590" i="5"/>
  <c r="Q590" i="5"/>
  <c r="S590" i="5"/>
  <c r="O586" i="5"/>
  <c r="Q586" i="5"/>
  <c r="R582" i="5"/>
  <c r="P582" i="5"/>
  <c r="O582" i="5"/>
  <c r="S582" i="5"/>
  <c r="P578" i="5"/>
  <c r="Q578" i="5"/>
  <c r="R574" i="5"/>
  <c r="Q574" i="5"/>
  <c r="O574" i="5"/>
  <c r="K574" i="5"/>
  <c r="Q570" i="5"/>
  <c r="P570" i="5"/>
  <c r="S570" i="5"/>
  <c r="K570" i="5"/>
  <c r="R562" i="5"/>
  <c r="Q562" i="5"/>
  <c r="P562" i="5"/>
  <c r="S562" i="5"/>
  <c r="K562" i="5"/>
  <c r="O558" i="5"/>
  <c r="Q558" i="5"/>
  <c r="P558" i="5"/>
  <c r="K558" i="5"/>
  <c r="P554" i="5"/>
  <c r="K554" i="5"/>
  <c r="K550" i="5"/>
  <c r="Q550" i="5"/>
  <c r="P550" i="5"/>
  <c r="W286" i="1"/>
  <c r="M286" i="1"/>
  <c r="AU294" i="1"/>
  <c r="AY261" i="1"/>
  <c r="X261" i="1"/>
  <c r="F261" i="1"/>
  <c r="G261" i="1" s="1"/>
  <c r="BA261" i="1" s="1"/>
  <c r="W261" i="1"/>
  <c r="AS261" i="1" a="1"/>
  <c r="AS261" i="1" s="1"/>
  <c r="E261" i="1"/>
  <c r="AF261" i="1"/>
  <c r="BC261" i="1"/>
  <c r="L261" i="1"/>
  <c r="AA261" i="1"/>
  <c r="AQ261" i="1"/>
  <c r="C261" i="1"/>
  <c r="AN261" i="1"/>
  <c r="AT261" i="1" a="1"/>
  <c r="AT261" i="1" s="1"/>
  <c r="R245" i="1" a="1"/>
  <c r="R245" i="1" s="1"/>
  <c r="AD245" i="1"/>
  <c r="Z245" i="1"/>
  <c r="V245" i="1"/>
  <c r="AQ245" i="1"/>
  <c r="AV246" i="1"/>
  <c r="K238" i="5"/>
  <c r="K262" i="5"/>
  <c r="AS254" i="1" a="1"/>
  <c r="AS254" i="1" s="1"/>
  <c r="Z278" i="1"/>
  <c r="AA286" i="1"/>
  <c r="M294" i="1"/>
  <c r="Y261" i="1"/>
  <c r="Y286" i="1"/>
  <c r="V294" i="1"/>
  <c r="S238" i="1"/>
  <c r="K298" i="6"/>
  <c r="K626" i="5"/>
  <c r="AB270" i="1"/>
  <c r="M238" i="1"/>
  <c r="L310" i="1"/>
  <c r="Y294" i="1"/>
  <c r="AA310" i="1"/>
  <c r="Q554" i="5"/>
  <c r="Q246" i="5"/>
  <c r="P574" i="5"/>
  <c r="Q582" i="5"/>
  <c r="P586" i="5"/>
  <c r="AE278" i="1"/>
  <c r="AF270" i="1"/>
  <c r="N294" i="1"/>
  <c r="S270" i="1"/>
  <c r="AZ253" i="1" a="1"/>
  <c r="AZ253" i="1" s="1"/>
  <c r="AB248" i="1"/>
  <c r="AP296" i="1"/>
  <c r="AA296" i="1"/>
  <c r="AS296" i="1" a="1"/>
  <c r="AS296" i="1" s="1"/>
  <c r="S296" i="1"/>
  <c r="AZ296" i="1" a="1"/>
  <c r="AZ296" i="1" s="1"/>
  <c r="Q303" i="1" a="1"/>
  <c r="Q303" i="1" s="1"/>
  <c r="AA248" i="1"/>
  <c r="Z296" i="1"/>
  <c r="AB296" i="1"/>
  <c r="AR296" i="1" a="1"/>
  <c r="AR296" i="1" s="1"/>
  <c r="AY303" i="1"/>
  <c r="AT296" i="1" a="1"/>
  <c r="AT296" i="1" s="1"/>
  <c r="AI303" i="1"/>
  <c r="X252" i="1"/>
  <c r="V252" i="1"/>
  <c r="D252" i="1"/>
  <c r="AP267" i="1"/>
  <c r="E267" i="1"/>
  <c r="E251" i="1"/>
  <c r="AU243" i="1"/>
  <c r="O251" i="1"/>
  <c r="S251" i="1"/>
  <c r="F2" i="1"/>
  <c r="P298" i="1"/>
  <c r="L298" i="1"/>
  <c r="E298" i="1"/>
  <c r="D298" i="1"/>
  <c r="AE298" i="1"/>
  <c r="O298" i="1"/>
  <c r="BD298" i="1"/>
  <c r="BD266" i="1"/>
  <c r="Q266" i="1" a="1"/>
  <c r="Q266" i="1" s="1"/>
  <c r="C266" i="1"/>
  <c r="BC266" i="1"/>
  <c r="AF266" i="1"/>
  <c r="AU266" i="1"/>
  <c r="M266" i="1"/>
  <c r="W266" i="1"/>
  <c r="AY266" i="1"/>
  <c r="N266" i="1"/>
  <c r="AE266" i="1"/>
  <c r="L266" i="1"/>
  <c r="AP266" i="1"/>
  <c r="Z266" i="1"/>
  <c r="R266" i="1" a="1"/>
  <c r="R266" i="1" s="1"/>
  <c r="AT266" i="1" a="1"/>
  <c r="AT266" i="1" s="1"/>
  <c r="AR266" i="1" a="1"/>
  <c r="AR266" i="1" s="1"/>
  <c r="F258" i="1"/>
  <c r="G258" i="1" s="1"/>
  <c r="BB258" i="1" s="1"/>
  <c r="H258" i="1"/>
  <c r="P258" i="1"/>
  <c r="AE258" i="1"/>
  <c r="X258" i="1"/>
  <c r="V258" i="1"/>
  <c r="AS258" i="1" a="1"/>
  <c r="AS258" i="1" s="1"/>
  <c r="AV258" i="1"/>
  <c r="AI258" i="1"/>
  <c r="S258" i="1"/>
  <c r="AD258" i="1"/>
  <c r="L258" i="1"/>
  <c r="T258" i="1" a="1"/>
  <c r="T258" i="1" s="1"/>
  <c r="U258" i="1" s="1"/>
  <c r="Q258" i="1" a="1"/>
  <c r="Q258" i="1" s="1"/>
  <c r="BD258" i="1"/>
  <c r="Y258" i="1"/>
  <c r="AA258" i="1"/>
  <c r="R258" i="1" a="1"/>
  <c r="R258" i="1" s="1"/>
  <c r="AQ258" i="1"/>
  <c r="D258" i="1"/>
  <c r="H243" i="1"/>
  <c r="BD243" i="1"/>
  <c r="N243" i="1"/>
  <c r="AZ243" i="1" a="1"/>
  <c r="AZ243" i="1" s="1"/>
  <c r="P243" i="1"/>
  <c r="AE243" i="1"/>
  <c r="AA243" i="1"/>
  <c r="Z243" i="1"/>
  <c r="V243" i="1"/>
  <c r="AQ243" i="1"/>
  <c r="T243" i="1" a="1"/>
  <c r="T243" i="1" s="1"/>
  <c r="U243" i="1" s="1"/>
  <c r="AY243" i="1"/>
  <c r="S243" i="1"/>
  <c r="O243" i="1"/>
  <c r="AD243" i="1"/>
  <c r="L243" i="1"/>
  <c r="AB243" i="1"/>
  <c r="Q243" i="1" a="1"/>
  <c r="Q243" i="1" s="1"/>
  <c r="F243" i="1"/>
  <c r="G243" i="1" s="1"/>
  <c r="BA243" i="1" s="1"/>
  <c r="BC243" i="1"/>
  <c r="Y243" i="1"/>
  <c r="D243" i="1"/>
  <c r="AP283" i="1"/>
  <c r="N251" i="1"/>
  <c r="F251" i="1"/>
  <c r="G251" i="1" s="1"/>
  <c r="BA251" i="1" s="1"/>
  <c r="AS313" i="1" a="1"/>
  <c r="AS313" i="1" s="1"/>
  <c r="L313" i="1"/>
  <c r="AQ313" i="1"/>
  <c r="R313" i="1" a="1"/>
  <c r="R313" i="1" s="1"/>
  <c r="AR305" i="1" a="1"/>
  <c r="AR305" i="1" s="1"/>
  <c r="Q305" i="1" a="1"/>
  <c r="Q305" i="1" s="1"/>
  <c r="S305" i="1"/>
  <c r="E305" i="1"/>
  <c r="AQ260" i="1"/>
  <c r="AB275" i="1"/>
  <c r="W275" i="1"/>
  <c r="C275" i="1"/>
  <c r="Z275" i="1"/>
  <c r="AS275" i="1" a="1"/>
  <c r="AS275" i="1" s="1"/>
  <c r="AY251" i="1"/>
  <c r="BC251" i="1"/>
  <c r="Y251" i="1"/>
  <c r="Z251" i="1"/>
  <c r="W251" i="1"/>
  <c r="V251" i="1"/>
  <c r="D251" i="1"/>
  <c r="C251" i="1"/>
  <c r="AU251" i="1"/>
  <c r="AA251" i="1"/>
  <c r="AN251" i="1"/>
  <c r="P251" i="1"/>
  <c r="H251" i="1"/>
  <c r="AI251" i="1"/>
  <c r="AF251" i="1"/>
  <c r="AE251" i="1"/>
  <c r="R251" i="1" a="1"/>
  <c r="R251" i="1" s="1"/>
  <c r="AT251" i="1" a="1"/>
  <c r="AT251" i="1" s="1"/>
  <c r="AT283" i="1" a="1"/>
  <c r="AT283" i="1" s="1"/>
  <c r="AV267" i="1"/>
  <c r="X243" i="1"/>
  <c r="AZ251" i="1" a="1"/>
  <c r="AZ251" i="1" s="1"/>
  <c r="BD251" i="1"/>
  <c r="AR267" i="1" a="1"/>
  <c r="AR267" i="1" s="1"/>
  <c r="D305" i="1"/>
  <c r="E260" i="1"/>
  <c r="E243" i="1"/>
  <c r="AN252" i="1"/>
  <c r="X251" i="1"/>
  <c r="M243" i="1"/>
  <c r="AV305" i="1"/>
  <c r="AG251" i="1"/>
  <c r="AF243" i="1"/>
  <c r="T251" i="1" a="1"/>
  <c r="T251" i="1" s="1"/>
  <c r="U251" i="1" s="1"/>
  <c r="AI266" i="1"/>
  <c r="Z260" i="1"/>
  <c r="AR260" i="1" a="1"/>
  <c r="AR260" i="1" s="1"/>
  <c r="AN283" i="1"/>
  <c r="R283" i="1" a="1"/>
  <c r="R283" i="1" s="1"/>
  <c r="W283" i="1"/>
  <c r="D267" i="1"/>
  <c r="C243" i="1"/>
  <c r="X260" i="1"/>
  <c r="AV243" i="1"/>
  <c r="AV251" i="1"/>
  <c r="AN243" i="1"/>
  <c r="AQ251" i="1"/>
  <c r="AS251" i="1" a="1"/>
  <c r="AS251" i="1" s="1"/>
  <c r="AS267" i="1" a="1"/>
  <c r="AS267" i="1" s="1"/>
  <c r="R252" i="1" a="1"/>
  <c r="R252" i="1" s="1"/>
  <c r="M251" i="1"/>
  <c r="L251" i="1"/>
  <c r="AG258" i="1"/>
  <c r="AE267" i="1"/>
  <c r="AD251" i="1"/>
  <c r="S266" i="1"/>
  <c r="BD242" i="1"/>
  <c r="H266" i="1"/>
  <c r="V263" i="1"/>
  <c r="Z247" i="1"/>
  <c r="W310" i="1"/>
  <c r="X263" i="1"/>
  <c r="X248" i="1"/>
  <c r="Y248" i="1"/>
  <c r="Y240" i="1"/>
  <c r="AQ303" i="1"/>
  <c r="AE240" i="1"/>
  <c r="AO296" i="1"/>
  <c r="AE263" i="1"/>
  <c r="AE303" i="1"/>
  <c r="O240" i="1"/>
  <c r="AY240" i="1"/>
  <c r="F286" i="1"/>
  <c r="G286" i="1" s="1"/>
  <c r="BB286" i="1" s="1"/>
  <c r="F263" i="1"/>
  <c r="G263" i="1" s="1"/>
  <c r="BB263" i="1" s="1"/>
  <c r="T263" i="1" a="1"/>
  <c r="T263" i="1" s="1"/>
  <c r="U263" i="1" s="1"/>
  <c r="Q240" i="1" a="1"/>
  <c r="Q240" i="1" s="1"/>
  <c r="AI273" i="1"/>
  <c r="BC273" i="1"/>
  <c r="AY273" i="1"/>
  <c r="N273" i="1"/>
  <c r="P310" i="1"/>
  <c r="N310" i="1"/>
  <c r="AG310" i="1"/>
  <c r="BC303" i="1"/>
  <c r="F303" i="1"/>
  <c r="G303" i="1" s="1"/>
  <c r="BA303" i="1" s="1"/>
  <c r="N303" i="1"/>
  <c r="BC240" i="1"/>
  <c r="R313" i="6"/>
  <c r="Q313" i="6"/>
  <c r="P313" i="6"/>
  <c r="R305" i="6"/>
  <c r="Q305" i="6"/>
  <c r="K305" i="6"/>
  <c r="O305" i="6"/>
  <c r="P305" i="6"/>
  <c r="P300" i="6"/>
  <c r="R300" i="6"/>
  <c r="Q300" i="6"/>
  <c r="K300" i="6"/>
  <c r="AE248" i="1"/>
  <c r="O296" i="1"/>
  <c r="O263" i="1"/>
  <c r="F248" i="1"/>
  <c r="G248" i="1" s="1"/>
  <c r="BB248" i="1" s="1"/>
  <c r="T303" i="1" a="1"/>
  <c r="T303" i="1" s="1"/>
  <c r="U303" i="1" s="1"/>
  <c r="Q248" i="1" a="1"/>
  <c r="Q248" i="1" s="1"/>
  <c r="F294" i="1"/>
  <c r="G294" i="1" s="1"/>
  <c r="BA294" i="1" s="1"/>
  <c r="T278" i="1" a="1"/>
  <c r="T278" i="1" s="1"/>
  <c r="U278" i="1" s="1"/>
  <c r="AF278" i="1"/>
  <c r="AG278" i="1"/>
  <c r="AI270" i="1"/>
  <c r="AY270" i="1"/>
  <c r="W263" i="1"/>
  <c r="AP279" i="1"/>
  <c r="AP303" i="1"/>
  <c r="M240" i="1"/>
  <c r="X296" i="1"/>
  <c r="L263" i="1"/>
  <c r="Y296" i="1"/>
  <c r="Y310" i="1"/>
  <c r="AB303" i="1"/>
  <c r="AV303" i="1"/>
  <c r="V296" i="1"/>
  <c r="Q268" i="5"/>
  <c r="AO248" i="1"/>
  <c r="AG286" i="1"/>
  <c r="AE281" i="1"/>
  <c r="AD310" i="1"/>
  <c r="AO278" i="1"/>
  <c r="AF303" i="1"/>
  <c r="N296" i="1"/>
  <c r="O303" i="1"/>
  <c r="O278" i="1"/>
  <c r="N263" i="1"/>
  <c r="P273" i="1"/>
  <c r="P278" i="1"/>
  <c r="AZ248" i="1" a="1"/>
  <c r="AZ248" i="1" s="1"/>
  <c r="AZ270" i="1" a="1"/>
  <c r="AZ270" i="1" s="1"/>
  <c r="F310" i="1"/>
  <c r="G310" i="1" s="1"/>
  <c r="BB310" i="1" s="1"/>
  <c r="BC294" i="1"/>
  <c r="BD296" i="1"/>
  <c r="Q278" i="1" a="1"/>
  <c r="Q278" i="1" s="1"/>
  <c r="AI263" i="1"/>
  <c r="H294" i="1"/>
  <c r="AI293" i="1"/>
  <c r="AE293" i="1"/>
  <c r="Q290" i="5"/>
  <c r="R290" i="5"/>
  <c r="AY265" i="1"/>
  <c r="M265" i="1"/>
  <c r="V265" i="1"/>
  <c r="AT250" i="1" a="1"/>
  <c r="AT250" i="1" s="1"/>
  <c r="Q288" i="5"/>
  <c r="S288" i="5"/>
  <c r="O621" i="5"/>
  <c r="R621" i="5"/>
  <c r="K599" i="5"/>
  <c r="P599" i="5"/>
  <c r="Q591" i="5"/>
  <c r="S591" i="5"/>
  <c r="P583" i="5"/>
  <c r="Q583" i="5"/>
  <c r="S583" i="5"/>
  <c r="Q579" i="5"/>
  <c r="S579" i="5"/>
  <c r="S575" i="5"/>
  <c r="K575" i="5"/>
  <c r="P551" i="5"/>
  <c r="Q551" i="5"/>
  <c r="K551" i="5"/>
  <c r="S551" i="5"/>
  <c r="O242" i="1"/>
  <c r="AR275" i="1" a="1"/>
  <c r="AR275" i="1" s="1"/>
  <c r="AV283" i="1"/>
  <c r="AS242" i="1" a="1"/>
  <c r="AS242" i="1" s="1"/>
  <c r="R260" i="1" a="1"/>
  <c r="R260" i="1" s="1"/>
  <c r="R280" i="1" a="1"/>
  <c r="R280" i="1" s="1"/>
  <c r="AA260" i="1"/>
  <c r="AA252" i="1"/>
  <c r="AP265" i="1"/>
  <c r="AB242" i="1"/>
  <c r="X267" i="1"/>
  <c r="P288" i="5"/>
  <c r="AO250" i="1"/>
  <c r="AD275" i="1"/>
  <c r="Q288" i="1" a="1"/>
  <c r="Q288" i="1" s="1"/>
  <c r="T288" i="1" a="1"/>
  <c r="T288" i="1" s="1"/>
  <c r="U288" i="1" s="1"/>
  <c r="AY288" i="1"/>
  <c r="X257" i="1"/>
  <c r="AT257" i="1" a="1"/>
  <c r="AT257" i="1" s="1"/>
  <c r="W309" i="1"/>
  <c r="AU309" i="1"/>
  <c r="O295" i="1"/>
  <c r="BD295" i="1"/>
  <c r="D265" i="1"/>
  <c r="D250" i="1"/>
  <c r="S302" i="1"/>
  <c r="AY242" i="1"/>
  <c r="D309" i="1"/>
  <c r="AV257" i="1"/>
  <c r="AR265" i="1" a="1"/>
  <c r="AR265" i="1" s="1"/>
  <c r="C267" i="1"/>
  <c r="AT275" i="1" a="1"/>
  <c r="AT275" i="1" s="1"/>
  <c r="Z252" i="1"/>
  <c r="S555" i="5"/>
  <c r="BC272" i="1"/>
  <c r="AI242" i="1"/>
  <c r="AO242" i="1"/>
  <c r="D242" i="1"/>
  <c r="C272" i="1"/>
  <c r="AS250" i="1" a="1"/>
  <c r="AS250" i="1" s="1"/>
  <c r="BC257" i="1"/>
  <c r="AE283" i="1"/>
  <c r="Z283" i="1"/>
  <c r="AA283" i="1"/>
  <c r="V283" i="1"/>
  <c r="AY275" i="1"/>
  <c r="R275" i="1" a="1"/>
  <c r="R275" i="1" s="1"/>
  <c r="AV275" i="1"/>
  <c r="AA275" i="1"/>
  <c r="F275" i="1"/>
  <c r="G275" i="1" s="1"/>
  <c r="BA275" i="1" s="1"/>
  <c r="AP275" i="1"/>
  <c r="BD267" i="1"/>
  <c r="AU267" i="1"/>
  <c r="W267" i="1"/>
  <c r="AO267" i="1"/>
  <c r="Y267" i="1"/>
  <c r="Z267" i="1"/>
  <c r="V267" i="1"/>
  <c r="AN267" i="1"/>
  <c r="AU260" i="1"/>
  <c r="AP260" i="1"/>
  <c r="AO260" i="1"/>
  <c r="W260" i="1"/>
  <c r="AS260" i="1" a="1"/>
  <c r="AS260" i="1" s="1"/>
  <c r="BC252" i="1"/>
  <c r="AE252" i="1"/>
  <c r="AP252" i="1"/>
  <c r="AT252" i="1" a="1"/>
  <c r="AT252" i="1" s="1"/>
  <c r="AQ252" i="1"/>
  <c r="AO252" i="1"/>
  <c r="P245" i="1"/>
  <c r="AG245" i="1"/>
  <c r="L245" i="1"/>
  <c r="AP245" i="1"/>
  <c r="AN245" i="1"/>
  <c r="E245" i="1"/>
  <c r="N245" i="1"/>
  <c r="Y245" i="1"/>
  <c r="AS245" i="1" a="1"/>
  <c r="AS245" i="1" s="1"/>
  <c r="AT245" i="1" a="1"/>
  <c r="AT245" i="1" s="1"/>
  <c r="AA237" i="1"/>
  <c r="C237" i="1"/>
  <c r="R285" i="5"/>
  <c r="O285" i="5"/>
  <c r="P285" i="5"/>
  <c r="K285" i="5"/>
  <c r="P277" i="5"/>
  <c r="O277" i="5"/>
  <c r="Q277" i="5"/>
  <c r="O269" i="5"/>
  <c r="P269" i="5"/>
  <c r="S269" i="5"/>
  <c r="R269" i="5"/>
  <c r="P261" i="5"/>
  <c r="R261" i="5"/>
  <c r="K261" i="5"/>
  <c r="Q261" i="5"/>
  <c r="R253" i="5"/>
  <c r="S253" i="5"/>
  <c r="O253" i="5"/>
  <c r="Q253" i="5"/>
  <c r="Q245" i="5"/>
  <c r="P245" i="5"/>
  <c r="S245" i="5"/>
  <c r="O245" i="5"/>
  <c r="O237" i="5"/>
  <c r="P237" i="5"/>
  <c r="S237" i="5"/>
  <c r="Q237" i="5"/>
  <c r="R237" i="5"/>
  <c r="R620" i="5"/>
  <c r="O620" i="5"/>
  <c r="K620" i="5"/>
  <c r="P620" i="5"/>
  <c r="Q620" i="5"/>
  <c r="P612" i="5"/>
  <c r="S612" i="5"/>
  <c r="O612" i="5"/>
  <c r="K612" i="5"/>
  <c r="R612" i="5"/>
  <c r="Q604" i="5"/>
  <c r="K604" i="5"/>
  <c r="S604" i="5"/>
  <c r="R604" i="5"/>
  <c r="AU280" i="1"/>
  <c r="AA280" i="1"/>
  <c r="AE280" i="1"/>
  <c r="H280" i="1"/>
  <c r="H302" i="1"/>
  <c r="V302" i="1"/>
  <c r="AU302" i="1"/>
  <c r="AV302" i="1"/>
  <c r="AA302" i="1"/>
  <c r="Z312" i="1"/>
  <c r="AP312" i="1"/>
  <c r="X312" i="1"/>
  <c r="L312" i="1"/>
  <c r="AY312" i="1"/>
  <c r="AY304" i="1"/>
  <c r="O304" i="1"/>
  <c r="T304" i="1" a="1"/>
  <c r="T304" i="1" s="1"/>
  <c r="U304" i="1" s="1"/>
  <c r="W304" i="1"/>
  <c r="BD304" i="1"/>
  <c r="AD304" i="1"/>
  <c r="V304" i="1"/>
  <c r="AQ304" i="1"/>
  <c r="C304" i="1"/>
  <c r="H297" i="1"/>
  <c r="T297" i="1" a="1"/>
  <c r="T297" i="1" s="1"/>
  <c r="U297" i="1" s="1"/>
  <c r="BC297" i="1"/>
  <c r="F297" i="1"/>
  <c r="G297" i="1" s="1"/>
  <c r="BA297" i="1" s="1"/>
  <c r="P604" i="5"/>
  <c r="R245" i="5"/>
  <c r="AR280" i="1" a="1"/>
  <c r="AR280" i="1" s="1"/>
  <c r="C280" i="1"/>
  <c r="X302" i="1"/>
  <c r="F295" i="1"/>
  <c r="G295" i="1" s="1"/>
  <c r="O261" i="5"/>
  <c r="P261" i="6"/>
  <c r="P269" i="6"/>
  <c r="K293" i="6"/>
  <c r="O269" i="6"/>
  <c r="R253" i="6"/>
  <c r="O255" i="5"/>
  <c r="P253" i="6"/>
  <c r="K292" i="5"/>
  <c r="S292" i="5"/>
  <c r="Q292" i="5"/>
  <c r="O292" i="5"/>
  <c r="O284" i="5"/>
  <c r="P284" i="5"/>
  <c r="R284" i="5"/>
  <c r="Q284" i="5"/>
  <c r="O276" i="5"/>
  <c r="P276" i="5"/>
  <c r="R260" i="5"/>
  <c r="Q260" i="5"/>
  <c r="P260" i="5"/>
  <c r="R252" i="5"/>
  <c r="Q252" i="5"/>
  <c r="O244" i="5"/>
  <c r="P244" i="5"/>
  <c r="R625" i="5"/>
  <c r="O625" i="5"/>
  <c r="Q625" i="5"/>
  <c r="S625" i="5"/>
  <c r="O617" i="5"/>
  <c r="R617" i="5"/>
  <c r="S617" i="5"/>
  <c r="S569" i="5"/>
  <c r="Q569" i="5"/>
  <c r="Q549" i="5"/>
  <c r="P549" i="5"/>
  <c r="P289" i="6"/>
  <c r="R289" i="6"/>
  <c r="Q289" i="6"/>
  <c r="K289" i="6"/>
  <c r="Q273" i="6"/>
  <c r="P273" i="6"/>
  <c r="O252" i="1"/>
  <c r="Q267" i="1" a="1"/>
  <c r="Q267" i="1" s="1"/>
  <c r="S312" i="1"/>
  <c r="AD312" i="1"/>
  <c r="AB312" i="1"/>
  <c r="W312" i="1"/>
  <c r="AA312" i="1"/>
  <c r="M312" i="1"/>
  <c r="AU312" i="1"/>
  <c r="AT312" i="1" a="1"/>
  <c r="AT312" i="1" s="1"/>
  <c r="N312" i="1"/>
  <c r="BC312" i="1"/>
  <c r="AZ312" i="1" a="1"/>
  <c r="AZ312" i="1" s="1"/>
  <c r="O312" i="1"/>
  <c r="Y312" i="1"/>
  <c r="H304" i="1"/>
  <c r="BC304" i="1"/>
  <c r="F304" i="1"/>
  <c r="G304" i="1" s="1"/>
  <c r="BA304" i="1" s="1"/>
  <c r="AV304" i="1"/>
  <c r="Y304" i="1"/>
  <c r="AZ304" i="1" a="1"/>
  <c r="AZ304" i="1" s="1"/>
  <c r="S304" i="1"/>
  <c r="AO304" i="1"/>
  <c r="AE304" i="1"/>
  <c r="AR304" i="1" a="1"/>
  <c r="AR304" i="1" s="1"/>
  <c r="N297" i="1"/>
  <c r="AG297" i="1"/>
  <c r="R297" i="1" a="1"/>
  <c r="R297" i="1" s="1"/>
  <c r="O297" i="1"/>
  <c r="AS297" i="1" a="1"/>
  <c r="AS297" i="1" s="1"/>
  <c r="X297" i="1"/>
  <c r="AU297" i="1"/>
  <c r="AQ297" i="1"/>
  <c r="L297" i="1"/>
  <c r="AI297" i="1"/>
  <c r="Q297" i="1" a="1"/>
  <c r="Q297" i="1" s="1"/>
  <c r="AZ297" i="1" a="1"/>
  <c r="AZ297" i="1" s="1"/>
  <c r="S297" i="1"/>
  <c r="AF297" i="1"/>
  <c r="BD297" i="1"/>
  <c r="AY297" i="1"/>
  <c r="AO297" i="1"/>
  <c r="AN297" i="1"/>
  <c r="AA297" i="1"/>
  <c r="BC283" i="1"/>
  <c r="P283" i="1"/>
  <c r="S283" i="1"/>
  <c r="N283" i="1"/>
  <c r="F283" i="1"/>
  <c r="G283" i="1" s="1"/>
  <c r="BB283" i="1" s="1"/>
  <c r="O283" i="1"/>
  <c r="AO283" i="1"/>
  <c r="AY283" i="1"/>
  <c r="AD283" i="1"/>
  <c r="T283" i="1" a="1"/>
  <c r="T283" i="1" s="1"/>
  <c r="U283" i="1" s="1"/>
  <c r="AG283" i="1"/>
  <c r="AI275" i="1"/>
  <c r="N275" i="1"/>
  <c r="M275" i="1"/>
  <c r="T275" i="1" a="1"/>
  <c r="T275" i="1" s="1"/>
  <c r="U275" i="1" s="1"/>
  <c r="O275" i="1"/>
  <c r="AO275" i="1"/>
  <c r="Y275" i="1"/>
  <c r="BD275" i="1"/>
  <c r="P275" i="1"/>
  <c r="AE275" i="1"/>
  <c r="BC275" i="1"/>
  <c r="AG275" i="1"/>
  <c r="AZ275" i="1" a="1"/>
  <c r="AZ275" i="1" s="1"/>
  <c r="AU275" i="1"/>
  <c r="AY260" i="1"/>
  <c r="O260" i="1"/>
  <c r="Y260" i="1"/>
  <c r="AE260" i="1"/>
  <c r="AD260" i="1"/>
  <c r="L260" i="1"/>
  <c r="F245" i="1"/>
  <c r="G245" i="1" s="1"/>
  <c r="BA245" i="1" s="1"/>
  <c r="AY245" i="1"/>
  <c r="AU245" i="1"/>
  <c r="T245" i="1" a="1"/>
  <c r="T245" i="1" s="1"/>
  <c r="U245" i="1" s="1"/>
  <c r="Q245" i="1" a="1"/>
  <c r="Q245" i="1" s="1"/>
  <c r="AF245" i="1"/>
  <c r="AO245" i="1"/>
  <c r="H245" i="1"/>
  <c r="BC245" i="1"/>
  <c r="AE245" i="1"/>
  <c r="O252" i="5"/>
  <c r="K307" i="5"/>
  <c r="P307" i="5"/>
  <c r="R307" i="5"/>
  <c r="K299" i="5"/>
  <c r="R299" i="5"/>
  <c r="S299" i="5"/>
  <c r="P299" i="5"/>
  <c r="O299" i="5"/>
  <c r="P283" i="5"/>
  <c r="R283" i="5"/>
  <c r="O283" i="5"/>
  <c r="Q275" i="5"/>
  <c r="R275" i="5"/>
  <c r="O267" i="5"/>
  <c r="Q267" i="5"/>
  <c r="R267" i="5"/>
  <c r="O259" i="5"/>
  <c r="P259" i="5"/>
  <c r="R259" i="5"/>
  <c r="O243" i="5"/>
  <c r="P243" i="5"/>
  <c r="R307" i="6"/>
  <c r="O307" i="6"/>
  <c r="Q307" i="6"/>
  <c r="P294" i="6"/>
  <c r="K294" i="6"/>
  <c r="R294" i="6"/>
  <c r="Q288" i="6"/>
  <c r="O288" i="6"/>
  <c r="P288" i="6"/>
  <c r="S252" i="1"/>
  <c r="AF252" i="1"/>
  <c r="AD252" i="1"/>
  <c r="AU252" i="1"/>
  <c r="AZ252" i="1" a="1"/>
  <c r="AZ252" i="1" s="1"/>
  <c r="F252" i="1"/>
  <c r="G252" i="1" s="1"/>
  <c r="BB252" i="1" s="1"/>
  <c r="D312" i="1"/>
  <c r="D283" i="1"/>
  <c r="C260" i="1"/>
  <c r="E252" i="1"/>
  <c r="AQ267" i="1"/>
  <c r="AS283" i="1" a="1"/>
  <c r="AS283" i="1" s="1"/>
  <c r="AS252" i="1" a="1"/>
  <c r="AS252" i="1" s="1"/>
  <c r="AP237" i="1"/>
  <c r="X275" i="1"/>
  <c r="L275" i="1"/>
  <c r="Y283" i="1"/>
  <c r="AA304" i="1"/>
  <c r="AN304" i="1"/>
  <c r="AE312" i="1"/>
  <c r="AF275" i="1"/>
  <c r="P252" i="1"/>
  <c r="AZ283" i="1" a="1"/>
  <c r="AZ283" i="1" s="1"/>
  <c r="T252" i="1" a="1"/>
  <c r="T252" i="1" s="1"/>
  <c r="U252" i="1" s="1"/>
  <c r="BD237" i="1"/>
  <c r="H275" i="1"/>
  <c r="AS290" i="1" a="1"/>
  <c r="AS290" i="1" s="1"/>
  <c r="Z290" i="1"/>
  <c r="AB290" i="1"/>
  <c r="AA290" i="1"/>
  <c r="R290" i="1" a="1"/>
  <c r="R290" i="1" s="1"/>
  <c r="AZ282" i="1" a="1"/>
  <c r="AZ282" i="1" s="1"/>
  <c r="N274" i="1"/>
  <c r="AZ274" i="1" a="1"/>
  <c r="AZ274" i="1" s="1"/>
  <c r="BC274" i="1"/>
  <c r="AG274" i="1"/>
  <c r="AU274" i="1"/>
  <c r="F259" i="1"/>
  <c r="G259" i="1" s="1"/>
  <c r="BB259" i="1" s="1"/>
  <c r="BD259" i="1"/>
  <c r="AO259" i="1"/>
  <c r="AF244" i="1"/>
  <c r="AD244" i="1"/>
  <c r="Q236" i="1" a="1"/>
  <c r="Q236" i="1" s="1"/>
  <c r="AD236" i="1"/>
  <c r="AU236" i="1"/>
  <c r="AF236" i="1"/>
  <c r="P292" i="5"/>
  <c r="P307" i="6"/>
  <c r="H267" i="1"/>
  <c r="BC267" i="1"/>
  <c r="AF267" i="1"/>
  <c r="AD267" i="1"/>
  <c r="AI267" i="1"/>
  <c r="AG267" i="1"/>
  <c r="M267" i="1"/>
  <c r="P267" i="1"/>
  <c r="N267" i="1"/>
  <c r="L267" i="1"/>
  <c r="AZ267" i="1" a="1"/>
  <c r="AZ267" i="1" s="1"/>
  <c r="T267" i="1" a="1"/>
  <c r="T267" i="1" s="1"/>
  <c r="U267" i="1" s="1"/>
  <c r="AY267" i="1"/>
  <c r="AV245" i="1"/>
  <c r="AR283" i="1" a="1"/>
  <c r="AR283" i="1" s="1"/>
  <c r="V237" i="1"/>
  <c r="AN275" i="1"/>
  <c r="V260" i="1"/>
  <c r="W237" i="1"/>
  <c r="AB252" i="1"/>
  <c r="W245" i="1"/>
  <c r="AB245" i="1"/>
  <c r="AB237" i="1"/>
  <c r="M304" i="1"/>
  <c r="M245" i="1"/>
  <c r="M283" i="1"/>
  <c r="X245" i="1"/>
  <c r="AS312" i="1" a="1"/>
  <c r="AS312" i="1" s="1"/>
  <c r="AV312" i="1"/>
  <c r="AR245" i="1" a="1"/>
  <c r="AR245" i="1" s="1"/>
  <c r="AV252" i="1"/>
  <c r="E312" i="1"/>
  <c r="C297" i="1"/>
  <c r="E283" i="1"/>
  <c r="D260" i="1"/>
  <c r="AT267" i="1" a="1"/>
  <c r="AT267" i="1" s="1"/>
  <c r="K569" i="5"/>
  <c r="K573" i="5"/>
  <c r="K585" i="5"/>
  <c r="AQ275" i="1"/>
  <c r="AQ283" i="1"/>
  <c r="V275" i="1"/>
  <c r="AN260" i="1"/>
  <c r="W252" i="1"/>
  <c r="AB260" i="1"/>
  <c r="AA245" i="1"/>
  <c r="S243" i="5"/>
  <c r="S557" i="5"/>
  <c r="S267" i="5"/>
  <c r="S283" i="5"/>
  <c r="S276" i="5"/>
  <c r="S252" i="5"/>
  <c r="AB283" i="1"/>
  <c r="R304" i="1" a="1"/>
  <c r="R304" i="1" s="1"/>
  <c r="Z297" i="1"/>
  <c r="Z304" i="1"/>
  <c r="AR297" i="1" a="1"/>
  <c r="AR297" i="1" s="1"/>
  <c r="AS304" i="1" a="1"/>
  <c r="AS304" i="1" s="1"/>
  <c r="AU283" i="1"/>
  <c r="Q244" i="5"/>
  <c r="V297" i="1"/>
  <c r="Q567" i="5"/>
  <c r="P267" i="5"/>
  <c r="AO312" i="1"/>
  <c r="AD297" i="1"/>
  <c r="AE290" i="1"/>
  <c r="AZ245" i="1" a="1"/>
  <c r="AZ245" i="1" s="1"/>
  <c r="Q275" i="1" a="1"/>
  <c r="Q275" i="1" s="1"/>
  <c r="BD245" i="1"/>
  <c r="AI283" i="1"/>
  <c r="AE297" i="1"/>
  <c r="AF283" i="1"/>
  <c r="O267" i="1"/>
  <c r="P297" i="1"/>
  <c r="S267" i="1"/>
  <c r="F267" i="1"/>
  <c r="G267" i="1" s="1"/>
  <c r="BB267" i="1" s="1"/>
  <c r="Q283" i="1" a="1"/>
  <c r="Q283" i="1" s="1"/>
  <c r="K304" i="5"/>
  <c r="S304" i="5"/>
  <c r="Q613" i="5"/>
  <c r="K613" i="5"/>
  <c r="R599" i="5"/>
  <c r="Q599" i="5"/>
  <c r="O595" i="5"/>
  <c r="P595" i="5"/>
  <c r="R595" i="5"/>
  <c r="R591" i="5"/>
  <c r="P591" i="5"/>
  <c r="Q587" i="5"/>
  <c r="P587" i="5"/>
  <c r="Q575" i="5"/>
  <c r="P575" i="5"/>
  <c r="R571" i="5"/>
  <c r="Q571" i="5"/>
  <c r="P571" i="5"/>
  <c r="O563" i="5"/>
  <c r="Q563" i="5"/>
  <c r="R563" i="5"/>
  <c r="P563" i="5"/>
  <c r="P559" i="5"/>
  <c r="S559" i="5"/>
  <c r="Q559" i="5"/>
  <c r="Q314" i="6"/>
  <c r="P314" i="6"/>
  <c r="R293" i="6"/>
  <c r="O293" i="6"/>
  <c r="P293" i="6"/>
  <c r="P285" i="6"/>
  <c r="Q285" i="6"/>
  <c r="Q277" i="6"/>
  <c r="P277" i="6"/>
  <c r="AB267" i="1"/>
  <c r="X283" i="1"/>
  <c r="X304" i="1"/>
  <c r="W297" i="1"/>
  <c r="L283" i="1"/>
  <c r="AB297" i="1"/>
  <c r="AV297" i="1"/>
  <c r="O245" i="1"/>
  <c r="S245" i="1"/>
  <c r="BD283" i="1"/>
  <c r="P287" i="1"/>
  <c r="R243" i="5"/>
  <c r="O312" i="5"/>
  <c r="R251" i="5"/>
  <c r="O289" i="6"/>
  <c r="O294" i="6"/>
  <c r="P3" i="5"/>
  <c r="AR257" i="1" a="1"/>
  <c r="AR257" i="1" s="1"/>
  <c r="AV265" i="1"/>
  <c r="AR272" i="1" a="1"/>
  <c r="AR272" i="1" s="1"/>
  <c r="E309" i="1"/>
  <c r="C265" i="1"/>
  <c r="D257" i="1"/>
  <c r="E250" i="1"/>
  <c r="E242" i="1"/>
  <c r="AT272" i="1" a="1"/>
  <c r="AT272" i="1" s="1"/>
  <c r="K282" i="5"/>
  <c r="AS265" i="1" a="1"/>
  <c r="AS265" i="1" s="1"/>
  <c r="AN265" i="1"/>
  <c r="W265" i="1"/>
  <c r="AB250" i="1"/>
  <c r="Z280" i="1"/>
  <c r="AP250" i="1"/>
  <c r="AP280" i="1"/>
  <c r="AA242" i="1"/>
  <c r="AP302" i="1"/>
  <c r="M288" i="1"/>
  <c r="AP309" i="1"/>
  <c r="M302" i="1"/>
  <c r="Y257" i="1"/>
  <c r="AT302" i="1" a="1"/>
  <c r="AT302" i="1" s="1"/>
  <c r="AV295" i="1"/>
  <c r="AU295" i="1"/>
  <c r="AU265" i="1"/>
  <c r="AN288" i="1"/>
  <c r="AN295" i="1"/>
  <c r="V288" i="1"/>
  <c r="P250" i="5"/>
  <c r="AO280" i="1"/>
  <c r="AD302" i="1"/>
  <c r="AG265" i="1"/>
  <c r="AG309" i="1"/>
  <c r="N242" i="1"/>
  <c r="N295" i="1"/>
  <c r="P302" i="1"/>
  <c r="AZ265" i="1" a="1"/>
  <c r="AZ265" i="1" s="1"/>
  <c r="AZ250" i="1" a="1"/>
  <c r="AZ250" i="1" s="1"/>
  <c r="F302" i="1"/>
  <c r="G302" i="1" s="1"/>
  <c r="AZ295" i="1" a="1"/>
  <c r="AZ295" i="1" s="1"/>
  <c r="Q295" i="1" a="1"/>
  <c r="Q295" i="1" s="1"/>
  <c r="Q272" i="1" a="1"/>
  <c r="Q272" i="1" s="1"/>
  <c r="BC265" i="1"/>
  <c r="Q242" i="1" a="1"/>
  <c r="Q242" i="1" s="1"/>
  <c r="H288" i="1"/>
  <c r="H242" i="1"/>
  <c r="S290" i="5"/>
  <c r="O290" i="5"/>
  <c r="AQ302" i="1"/>
  <c r="AT295" i="1" a="1"/>
  <c r="AT295" i="1" s="1"/>
  <c r="AD265" i="1"/>
  <c r="T295" i="1" a="1"/>
  <c r="T295" i="1" s="1"/>
  <c r="U295" i="1" s="1"/>
  <c r="T242" i="1" a="1"/>
  <c r="T242" i="1" s="1"/>
  <c r="U242" i="1" s="1"/>
  <c r="H250" i="1"/>
  <c r="K290" i="5"/>
  <c r="O306" i="5"/>
  <c r="Y272" i="1"/>
  <c r="AE302" i="1"/>
  <c r="AD309" i="1"/>
  <c r="AF242" i="1"/>
  <c r="O250" i="1"/>
  <c r="AY272" i="1"/>
  <c r="F265" i="1"/>
  <c r="G265" i="1" s="1"/>
  <c r="BA265" i="1" s="1"/>
  <c r="F250" i="1"/>
  <c r="G250" i="1" s="1"/>
  <c r="BA250" i="1" s="1"/>
  <c r="AY302" i="1"/>
  <c r="BC280" i="1"/>
  <c r="BD265" i="1"/>
  <c r="AR242" i="1" a="1"/>
  <c r="AR242" i="1" s="1"/>
  <c r="D280" i="1"/>
  <c r="D272" i="1"/>
  <c r="E265" i="1"/>
  <c r="K242" i="5"/>
  <c r="AN280" i="1"/>
  <c r="V272" i="1"/>
  <c r="V257" i="1"/>
  <c r="R265" i="1" a="1"/>
  <c r="R265" i="1" s="1"/>
  <c r="W280" i="1"/>
  <c r="Z242" i="1"/>
  <c r="AB265" i="1"/>
  <c r="Z250" i="1"/>
  <c r="W295" i="1"/>
  <c r="X250" i="1"/>
  <c r="M272" i="1"/>
  <c r="R302" i="1" a="1"/>
  <c r="R302" i="1" s="1"/>
  <c r="Z295" i="1"/>
  <c r="AB295" i="1"/>
  <c r="AR309" i="1" a="1"/>
  <c r="AR309" i="1" s="1"/>
  <c r="AS302" i="1" a="1"/>
  <c r="AS302" i="1" s="1"/>
  <c r="S258" i="5"/>
  <c r="AG302" i="1"/>
  <c r="AE265" i="1"/>
  <c r="AE309" i="1"/>
  <c r="AG295" i="1"/>
  <c r="N250" i="1"/>
  <c r="S242" i="1"/>
  <c r="S295" i="1"/>
  <c r="F272" i="1"/>
  <c r="G272" i="1" s="1"/>
  <c r="BB272" i="1" s="1"/>
  <c r="AY250" i="1"/>
  <c r="AZ302" i="1" a="1"/>
  <c r="AZ302" i="1" s="1"/>
  <c r="BD280" i="1"/>
  <c r="Q265" i="1" a="1"/>
  <c r="Q265" i="1" s="1"/>
  <c r="Q302" i="1" a="1"/>
  <c r="Q302" i="1" s="1"/>
  <c r="BC250" i="1"/>
  <c r="AI295" i="1"/>
  <c r="V280" i="1"/>
  <c r="W242" i="1"/>
  <c r="AA265" i="1"/>
  <c r="AB272" i="1"/>
  <c r="M309" i="1"/>
  <c r="M295" i="1"/>
  <c r="L265" i="1"/>
  <c r="Y265" i="1"/>
  <c r="Y295" i="1"/>
  <c r="AA288" i="1"/>
  <c r="AB309" i="1"/>
  <c r="AA295" i="1"/>
  <c r="AR302" i="1" a="1"/>
  <c r="AR302" i="1" s="1"/>
  <c r="AD272" i="1"/>
  <c r="AO302" i="1"/>
  <c r="AO265" i="1"/>
  <c r="AO309" i="1"/>
  <c r="AD295" i="1"/>
  <c r="AF250" i="1"/>
  <c r="O272" i="1"/>
  <c r="O265" i="1"/>
  <c r="O309" i="1"/>
  <c r="P242" i="1"/>
  <c r="P295" i="1"/>
  <c r="AZ272" i="1" a="1"/>
  <c r="AZ272" i="1" s="1"/>
  <c r="T280" i="1" a="1"/>
  <c r="T280" i="1" s="1"/>
  <c r="U280" i="1" s="1"/>
  <c r="T265" i="1" a="1"/>
  <c r="T265" i="1" s="1"/>
  <c r="U265" i="1" s="1"/>
  <c r="BC302" i="1"/>
  <c r="BD250" i="1"/>
  <c r="Q309" i="1" a="1"/>
  <c r="Q309" i="1" s="1"/>
  <c r="X242" i="1"/>
  <c r="E272" i="1"/>
  <c r="AT280" i="1" a="1"/>
  <c r="AT280" i="1" s="1"/>
  <c r="AQ257" i="1"/>
  <c r="C302" i="1"/>
  <c r="C295" i="1"/>
  <c r="D288" i="1"/>
  <c r="K266" i="5"/>
  <c r="AN250" i="1"/>
  <c r="AP242" i="1"/>
  <c r="W272" i="1"/>
  <c r="Z265" i="1"/>
  <c r="R295" i="1" a="1"/>
  <c r="R295" i="1" s="1"/>
  <c r="AA272" i="1"/>
  <c r="M242" i="1"/>
  <c r="L309" i="1"/>
  <c r="Y250" i="1"/>
  <c r="Z309" i="1"/>
  <c r="AA309" i="1"/>
  <c r="AR288" i="1" a="1"/>
  <c r="AR288" i="1" s="1"/>
  <c r="AQ309" i="1"/>
  <c r="AV309" i="1"/>
  <c r="AU242" i="1"/>
  <c r="AN309" i="1"/>
  <c r="S242" i="5"/>
  <c r="V295" i="1"/>
  <c r="V309" i="1"/>
  <c r="AE272" i="1"/>
  <c r="AD250" i="1"/>
  <c r="AD242" i="1"/>
  <c r="AE295" i="1"/>
  <c r="O280" i="1"/>
  <c r="N265" i="1"/>
  <c r="N309" i="1"/>
  <c r="S272" i="1"/>
  <c r="S250" i="1"/>
  <c r="P309" i="1"/>
  <c r="F280" i="1"/>
  <c r="G280" i="1" s="1"/>
  <c r="AY309" i="1"/>
  <c r="BC288" i="1"/>
  <c r="BD302" i="1"/>
  <c r="Q250" i="1" a="1"/>
  <c r="Q250" i="1" s="1"/>
  <c r="BC309" i="1"/>
  <c r="AA250" i="1"/>
  <c r="E280" i="1"/>
  <c r="R250" i="1" a="1"/>
  <c r="R250" i="1" s="1"/>
  <c r="AV250" i="1"/>
  <c r="D302" i="1"/>
  <c r="D295" i="1"/>
  <c r="E288" i="1"/>
  <c r="AT265" i="1" a="1"/>
  <c r="AT265" i="1" s="1"/>
  <c r="V242" i="1"/>
  <c r="AQ265" i="1"/>
  <c r="AQ272" i="1"/>
  <c r="AS272" i="1" a="1"/>
  <c r="AS272" i="1" s="1"/>
  <c r="R242" i="1" a="1"/>
  <c r="R242" i="1" s="1"/>
  <c r="W250" i="1"/>
  <c r="Z272" i="1"/>
  <c r="K314" i="5"/>
  <c r="X295" i="1"/>
  <c r="M280" i="1"/>
  <c r="X265" i="1"/>
  <c r="M250" i="1"/>
  <c r="L242" i="1"/>
  <c r="X309" i="1"/>
  <c r="Y309" i="1"/>
  <c r="Z302" i="1"/>
  <c r="Z288" i="1"/>
  <c r="AQ295" i="1"/>
  <c r="AS309" i="1" a="1"/>
  <c r="AS309" i="1" s="1"/>
  <c r="AN302" i="1"/>
  <c r="P266" i="5"/>
  <c r="P282" i="5"/>
  <c r="AO272" i="1"/>
  <c r="AE250" i="1"/>
  <c r="AE242" i="1"/>
  <c r="AO295" i="1"/>
  <c r="AF302" i="1"/>
  <c r="AF295" i="1"/>
  <c r="N280" i="1"/>
  <c r="O302" i="1"/>
  <c r="S280" i="1"/>
  <c r="S265" i="1"/>
  <c r="P250" i="1"/>
  <c r="AY280" i="1"/>
  <c r="F242" i="1"/>
  <c r="G242" i="1" s="1"/>
  <c r="AZ309" i="1" a="1"/>
  <c r="AZ309" i="1" s="1"/>
  <c r="BD288" i="1"/>
  <c r="T302" i="1" a="1"/>
  <c r="T302" i="1" s="1"/>
  <c r="U302" i="1" s="1"/>
  <c r="T250" i="1" a="1"/>
  <c r="T250" i="1" s="1"/>
  <c r="U250" i="1" s="1"/>
  <c r="BD309" i="1"/>
  <c r="C288" i="1"/>
  <c r="V250" i="1"/>
  <c r="AT242" i="1" a="1"/>
  <c r="AT242" i="1" s="1"/>
  <c r="AR250" i="1" a="1"/>
  <c r="AR250" i="1" s="1"/>
  <c r="AV280" i="1"/>
  <c r="C309" i="1"/>
  <c r="E302" i="1"/>
  <c r="E295" i="1"/>
  <c r="C250" i="1"/>
  <c r="C242" i="1"/>
  <c r="AQ242" i="1"/>
  <c r="AN242" i="1"/>
  <c r="AQ250" i="1"/>
  <c r="AQ280" i="1"/>
  <c r="AS280" i="1" a="1"/>
  <c r="AS280" i="1" s="1"/>
  <c r="AP272" i="1"/>
  <c r="W302" i="1"/>
  <c r="AP295" i="1"/>
  <c r="AB280" i="1"/>
  <c r="R309" i="1" a="1"/>
  <c r="R309" i="1" s="1"/>
  <c r="L272" i="1"/>
  <c r="L295" i="1"/>
  <c r="L250" i="1"/>
  <c r="Y242" i="1"/>
  <c r="Y302" i="1"/>
  <c r="AB302" i="1"/>
  <c r="AR295" i="1" a="1"/>
  <c r="AR295" i="1" s="1"/>
  <c r="AS295" i="1" a="1"/>
  <c r="AS295" i="1" s="1"/>
  <c r="AT309" i="1" a="1"/>
  <c r="AT309" i="1" s="1"/>
  <c r="AU250" i="1"/>
  <c r="S274" i="5"/>
  <c r="AD280" i="1"/>
  <c r="AG250" i="1"/>
  <c r="AG242" i="1"/>
  <c r="AF265" i="1"/>
  <c r="AF309" i="1"/>
  <c r="N302" i="1"/>
  <c r="P280" i="1"/>
  <c r="P265" i="1"/>
  <c r="F288" i="1"/>
  <c r="G288" i="1" s="1"/>
  <c r="AZ242" i="1" a="1"/>
  <c r="AZ242" i="1" s="1"/>
  <c r="AY295" i="1"/>
  <c r="BC295" i="1"/>
  <c r="BC242" i="1"/>
  <c r="T309" i="1" a="1"/>
  <c r="T309" i="1" s="1"/>
  <c r="U309" i="1" s="1"/>
  <c r="H272" i="1"/>
  <c r="P290" i="5"/>
  <c r="BD308" i="1"/>
  <c r="AU308" i="1"/>
  <c r="AO308" i="1"/>
  <c r="Y308" i="1"/>
  <c r="AP308" i="1"/>
  <c r="AZ308" i="1" a="1"/>
  <c r="AZ308" i="1" s="1"/>
  <c r="O308" i="1"/>
  <c r="AD308" i="1"/>
  <c r="AQ308" i="1"/>
  <c r="X308" i="1"/>
  <c r="V308" i="1"/>
  <c r="C308" i="1"/>
  <c r="AF308" i="1"/>
  <c r="AR308" i="1" a="1"/>
  <c r="AR308" i="1" s="1"/>
  <c r="L308" i="1"/>
  <c r="BD287" i="1"/>
  <c r="S287" i="1"/>
  <c r="AF287" i="1"/>
  <c r="AN287" i="1"/>
  <c r="AQ287" i="1"/>
  <c r="C287" i="1"/>
  <c r="BC287" i="1"/>
  <c r="AT287" i="1" a="1"/>
  <c r="AT287" i="1" s="1"/>
  <c r="AI287" i="1"/>
  <c r="X287" i="1"/>
  <c r="AE287" i="1"/>
  <c r="AA287" i="1"/>
  <c r="R287" i="1" a="1"/>
  <c r="R287" i="1" s="1"/>
  <c r="AV287" i="1"/>
  <c r="AZ287" i="1" a="1"/>
  <c r="AZ287" i="1" s="1"/>
  <c r="T287" i="1" a="1"/>
  <c r="T287" i="1" s="1"/>
  <c r="U287" i="1" s="1"/>
  <c r="F287" i="1"/>
  <c r="G287" i="1" s="1"/>
  <c r="AG287" i="1"/>
  <c r="Y287" i="1"/>
  <c r="M287" i="1"/>
  <c r="E287" i="1"/>
  <c r="F279" i="1"/>
  <c r="G279" i="1" s="1"/>
  <c r="BB279" i="1" s="1"/>
  <c r="O279" i="1"/>
  <c r="Y279" i="1"/>
  <c r="L279" i="1"/>
  <c r="AV279" i="1"/>
  <c r="AZ279" i="1" a="1"/>
  <c r="AZ279" i="1" s="1"/>
  <c r="X279" i="1"/>
  <c r="R279" i="1" a="1"/>
  <c r="R279" i="1" s="1"/>
  <c r="BD279" i="1"/>
  <c r="AO279" i="1"/>
  <c r="AU279" i="1"/>
  <c r="AB279" i="1"/>
  <c r="H279" i="1"/>
  <c r="BC279" i="1"/>
  <c r="AE279" i="1"/>
  <c r="AS279" i="1" a="1"/>
  <c r="AS279" i="1" s="1"/>
  <c r="AN279" i="1"/>
  <c r="AQ279" i="1"/>
  <c r="D279" i="1"/>
  <c r="AI279" i="1"/>
  <c r="P279" i="1"/>
  <c r="AO271" i="1"/>
  <c r="M271" i="1"/>
  <c r="AA271" i="1"/>
  <c r="AP271" i="1"/>
  <c r="AS271" i="1" a="1"/>
  <c r="AS271" i="1" s="1"/>
  <c r="AT271" i="1" a="1"/>
  <c r="AT271" i="1" s="1"/>
  <c r="AN271" i="1"/>
  <c r="AV271" i="1"/>
  <c r="T264" i="1" a="1"/>
  <c r="T264" i="1" s="1"/>
  <c r="U264" i="1" s="1"/>
  <c r="AB264" i="1"/>
  <c r="E264" i="1"/>
  <c r="BD264" i="1"/>
  <c r="W264" i="1"/>
  <c r="AQ264" i="1"/>
  <c r="D264" i="1"/>
  <c r="AR264" i="1" a="1"/>
  <c r="AR264" i="1" s="1"/>
  <c r="AY264" i="1"/>
  <c r="P264" i="1"/>
  <c r="AO264" i="1"/>
  <c r="AS264" i="1" a="1"/>
  <c r="AS264" i="1" s="1"/>
  <c r="S264" i="1"/>
  <c r="AE264" i="1"/>
  <c r="X264" i="1"/>
  <c r="Z264" i="1"/>
  <c r="V264" i="1"/>
  <c r="AA249" i="1"/>
  <c r="AS249" i="1" a="1"/>
  <c r="AS249" i="1" s="1"/>
  <c r="X249" i="1"/>
  <c r="AN249" i="1"/>
  <c r="D308" i="1"/>
  <c r="D301" i="1"/>
  <c r="D287" i="1"/>
  <c r="E279" i="1"/>
  <c r="C271" i="1"/>
  <c r="C264" i="1"/>
  <c r="E256" i="1"/>
  <c r="AN264" i="1"/>
  <c r="AA264" i="1"/>
  <c r="AA279" i="1"/>
  <c r="AT308" i="1" a="1"/>
  <c r="AT308" i="1" s="1"/>
  <c r="AD279" i="1"/>
  <c r="T279" i="1" a="1"/>
  <c r="T279" i="1" s="1"/>
  <c r="U279" i="1" s="1"/>
  <c r="H287" i="1"/>
  <c r="E308" i="1"/>
  <c r="L287" i="1"/>
  <c r="AU264" i="1"/>
  <c r="AU287" i="1"/>
  <c r="AN308" i="1"/>
  <c r="AD264" i="1"/>
  <c r="AE308" i="1"/>
  <c r="AD287" i="1"/>
  <c r="F264" i="1"/>
  <c r="G264" i="1" s="1"/>
  <c r="BA264" i="1" s="1"/>
  <c r="AY287" i="1"/>
  <c r="Q287" i="1" a="1"/>
  <c r="Q287" i="1" s="1"/>
  <c r="AZ241" i="1" a="1"/>
  <c r="AZ241" i="1" s="1"/>
  <c r="M241" i="1"/>
  <c r="Z279" i="1"/>
  <c r="N279" i="1"/>
  <c r="O256" i="1"/>
  <c r="AB256" i="1"/>
  <c r="AV256" i="1"/>
  <c r="M256" i="1"/>
  <c r="BD256" i="1"/>
  <c r="BC256" i="1"/>
  <c r="AS256" i="1" a="1"/>
  <c r="AS256" i="1" s="1"/>
  <c r="D256" i="1"/>
  <c r="AR279" i="1" a="1"/>
  <c r="AR279" i="1" s="1"/>
  <c r="AV264" i="1"/>
  <c r="V287" i="1"/>
  <c r="W279" i="1"/>
  <c r="AP264" i="1"/>
  <c r="S308" i="1"/>
  <c r="BC264" i="1"/>
  <c r="AR287" i="1" a="1"/>
  <c r="AR287" i="1" s="1"/>
  <c r="AT279" i="1" a="1"/>
  <c r="AT279" i="1" s="1"/>
  <c r="AA256" i="1"/>
  <c r="X271" i="1"/>
  <c r="AB287" i="1"/>
  <c r="O287" i="1"/>
  <c r="AA311" i="1"/>
  <c r="R311" i="1" a="1"/>
  <c r="R311" i="1" s="1"/>
  <c r="M311" i="1"/>
  <c r="X311" i="1"/>
  <c r="BC290" i="1"/>
  <c r="S290" i="1"/>
  <c r="AO290" i="1"/>
  <c r="W290" i="1"/>
  <c r="C290" i="1"/>
  <c r="AY290" i="1"/>
  <c r="AG290" i="1"/>
  <c r="V290" i="1"/>
  <c r="F290" i="1"/>
  <c r="G290" i="1" s="1"/>
  <c r="BA290" i="1" s="1"/>
  <c r="AU290" i="1"/>
  <c r="AQ290" i="1"/>
  <c r="Y290" i="1"/>
  <c r="H290" i="1"/>
  <c r="O290" i="1"/>
  <c r="AV290" i="1"/>
  <c r="AT290" i="1" a="1"/>
  <c r="AT290" i="1" s="1"/>
  <c r="Q290" i="1" a="1"/>
  <c r="Q290" i="1" s="1"/>
  <c r="AR290" i="1" a="1"/>
  <c r="AR290" i="1" s="1"/>
  <c r="M290" i="1"/>
  <c r="AP290" i="1"/>
  <c r="E290" i="1"/>
  <c r="T282" i="1" a="1"/>
  <c r="T282" i="1" s="1"/>
  <c r="U282" i="1" s="1"/>
  <c r="P282" i="1"/>
  <c r="V282" i="1"/>
  <c r="BD282" i="1"/>
  <c r="AF282" i="1"/>
  <c r="AO282" i="1"/>
  <c r="AQ282" i="1"/>
  <c r="BC282" i="1"/>
  <c r="AY282" i="1"/>
  <c r="AG282" i="1"/>
  <c r="L282" i="1"/>
  <c r="X282" i="1"/>
  <c r="R282" i="1" a="1"/>
  <c r="R282" i="1" s="1"/>
  <c r="E282" i="1"/>
  <c r="AV282" i="1"/>
  <c r="O282" i="1"/>
  <c r="AD282" i="1"/>
  <c r="AB282" i="1"/>
  <c r="Z282" i="1"/>
  <c r="C282" i="1"/>
  <c r="F274" i="1"/>
  <c r="G274" i="1" s="1"/>
  <c r="O274" i="1"/>
  <c r="AE274" i="1"/>
  <c r="M274" i="1"/>
  <c r="AD274" i="1"/>
  <c r="Y274" i="1"/>
  <c r="Z274" i="1"/>
  <c r="E274" i="1"/>
  <c r="S274" i="1"/>
  <c r="AA274" i="1"/>
  <c r="AF274" i="1"/>
  <c r="L274" i="1"/>
  <c r="AB274" i="1"/>
  <c r="AS274" i="1" a="1"/>
  <c r="AS274" i="1" s="1"/>
  <c r="AV274" i="1"/>
  <c r="H274" i="1"/>
  <c r="Q274" i="1" a="1"/>
  <c r="Q274" i="1" s="1"/>
  <c r="BD274" i="1"/>
  <c r="AY274" i="1"/>
  <c r="AO274" i="1"/>
  <c r="R274" i="1" a="1"/>
  <c r="R274" i="1" s="1"/>
  <c r="V274" i="1"/>
  <c r="AQ274" i="1"/>
  <c r="AZ259" i="1" a="1"/>
  <c r="AZ259" i="1" s="1"/>
  <c r="AT259" i="1" a="1"/>
  <c r="AT259" i="1" s="1"/>
  <c r="AV259" i="1"/>
  <c r="T259" i="1" a="1"/>
  <c r="T259" i="1" s="1"/>
  <c r="U259" i="1" s="1"/>
  <c r="AY259" i="1"/>
  <c r="Y259" i="1"/>
  <c r="Q259" i="1" a="1"/>
  <c r="Q259" i="1" s="1"/>
  <c r="P259" i="1"/>
  <c r="AE259" i="1"/>
  <c r="AP259" i="1"/>
  <c r="Z259" i="1"/>
  <c r="AN259" i="1"/>
  <c r="BC259" i="1"/>
  <c r="S259" i="1"/>
  <c r="AD259" i="1"/>
  <c r="AA259" i="1"/>
  <c r="V259" i="1"/>
  <c r="E259" i="1"/>
  <c r="AI259" i="1"/>
  <c r="N259" i="1"/>
  <c r="L259" i="1"/>
  <c r="AQ259" i="1"/>
  <c r="C259" i="1"/>
  <c r="Y244" i="1"/>
  <c r="L244" i="1"/>
  <c r="AT244" i="1" a="1"/>
  <c r="AT244" i="1" s="1"/>
  <c r="AZ244" i="1" a="1"/>
  <c r="AZ244" i="1" s="1"/>
  <c r="AU244" i="1"/>
  <c r="R244" i="1" a="1"/>
  <c r="R244" i="1" s="1"/>
  <c r="V244" i="1"/>
  <c r="AS244" i="1" a="1"/>
  <c r="AS244" i="1" s="1"/>
  <c r="AQ244" i="1"/>
  <c r="AR244" i="1" a="1"/>
  <c r="AR244" i="1" s="1"/>
  <c r="Z244" i="1"/>
  <c r="C244" i="1"/>
  <c r="BC236" i="1"/>
  <c r="M236" i="1"/>
  <c r="R236" i="1" a="1"/>
  <c r="R236" i="1" s="1"/>
  <c r="W236" i="1"/>
  <c r="E236" i="1"/>
  <c r="X236" i="1"/>
  <c r="AN236" i="1"/>
  <c r="D236" i="1"/>
  <c r="AO236" i="1"/>
  <c r="AS236" i="1" a="1"/>
  <c r="AS236" i="1" s="1"/>
  <c r="AQ236" i="1"/>
  <c r="AE236" i="1"/>
  <c r="T236" i="1" a="1"/>
  <c r="T236" i="1" s="1"/>
  <c r="U236" i="1" s="1"/>
  <c r="S236" i="1"/>
  <c r="AT236" i="1" a="1"/>
  <c r="AT236" i="1" s="1"/>
  <c r="AR236" i="1" a="1"/>
  <c r="AR236" i="1" s="1"/>
  <c r="AA301" i="1"/>
  <c r="W301" i="1"/>
  <c r="L301" i="1"/>
  <c r="AV301" i="1"/>
  <c r="Z308" i="1"/>
  <c r="AS308" i="1" a="1"/>
  <c r="AS308" i="1" s="1"/>
  <c r="Z287" i="1"/>
  <c r="M264" i="1"/>
  <c r="Y264" i="1"/>
  <c r="AT264" i="1" a="1"/>
  <c r="AT264" i="1" s="1"/>
  <c r="AQ271" i="1"/>
  <c r="AS287" i="1" a="1"/>
  <c r="AS287" i="1" s="1"/>
  <c r="M279" i="1"/>
  <c r="L264" i="1"/>
  <c r="AA308" i="1"/>
  <c r="AS301" i="1" a="1"/>
  <c r="AS301" i="1" s="1"/>
  <c r="BD290" i="1"/>
  <c r="R303" i="5"/>
  <c r="O303" i="5"/>
  <c r="P303" i="5"/>
  <c r="K303" i="5"/>
  <c r="Q303" i="5"/>
  <c r="P295" i="5"/>
  <c r="K295" i="5"/>
  <c r="O287" i="5"/>
  <c r="R287" i="5"/>
  <c r="R279" i="5"/>
  <c r="O279" i="5"/>
  <c r="D293" i="1"/>
  <c r="K255" i="6"/>
  <c r="K279" i="6"/>
  <c r="K263" i="5"/>
  <c r="O279" i="6"/>
  <c r="AA247" i="1"/>
  <c r="O255" i="6"/>
  <c r="L285" i="1"/>
  <c r="P271" i="5"/>
  <c r="Q287" i="5"/>
  <c r="O271" i="5"/>
  <c r="R295" i="5"/>
  <c r="R282" i="5"/>
  <c r="Q306" i="5"/>
  <c r="R266" i="5"/>
  <c r="O257" i="5"/>
  <c r="O294" i="5"/>
  <c r="S294" i="5"/>
  <c r="R294" i="5"/>
  <c r="Q294" i="5"/>
  <c r="P294" i="5"/>
  <c r="O295" i="5"/>
  <c r="R301" i="5"/>
  <c r="K301" i="5"/>
  <c r="S301" i="5"/>
  <c r="P301" i="5"/>
  <c r="S303" i="5"/>
  <c r="K247" i="6"/>
  <c r="K271" i="6"/>
  <c r="K247" i="5"/>
  <c r="K258" i="5"/>
  <c r="K287" i="5"/>
  <c r="O271" i="6"/>
  <c r="W254" i="1"/>
  <c r="S282" i="5"/>
  <c r="Y254" i="1"/>
  <c r="Q239" i="5"/>
  <c r="Q247" i="5"/>
  <c r="Q250" i="5"/>
  <c r="P258" i="5"/>
  <c r="P271" i="6"/>
  <c r="AF285" i="1"/>
  <c r="AD2" i="1"/>
  <c r="BD254" i="1"/>
  <c r="O311" i="5"/>
  <c r="P289" i="5"/>
  <c r="R268" i="5"/>
  <c r="O268" i="5"/>
  <c r="K271" i="5"/>
  <c r="V247" i="1"/>
  <c r="R247" i="1" a="1"/>
  <c r="R247" i="1" s="1"/>
  <c r="W247" i="1"/>
  <c r="R299" i="1" a="1"/>
  <c r="R299" i="1" s="1"/>
  <c r="X239" i="1"/>
  <c r="R263" i="6"/>
  <c r="AB306" i="1"/>
  <c r="Q266" i="5"/>
  <c r="Q282" i="5"/>
  <c r="S287" i="5"/>
  <c r="AD299" i="1"/>
  <c r="S293" i="1"/>
  <c r="Q295" i="5"/>
  <c r="R239" i="5"/>
  <c r="O258" i="5"/>
  <c r="S291" i="5"/>
  <c r="K291" i="5"/>
  <c r="DJ22" i="1"/>
  <c r="DL23" i="1"/>
  <c r="DH25" i="1"/>
  <c r="DJ26" i="1"/>
  <c r="DL27" i="1"/>
  <c r="DF28" i="1"/>
  <c r="DH29" i="1"/>
  <c r="DB30" i="1"/>
  <c r="DJ30" i="1"/>
  <c r="DD31" i="1"/>
  <c r="DL31" i="1"/>
  <c r="DF32" i="1"/>
  <c r="CZ33" i="1"/>
  <c r="DH33" i="1"/>
  <c r="DB34" i="1"/>
  <c r="DJ34" i="1"/>
  <c r="DD35" i="1"/>
  <c r="DL35" i="1"/>
  <c r="CX36" i="1"/>
  <c r="DF36" i="1"/>
  <c r="CZ37" i="1"/>
  <c r="DL22" i="1"/>
  <c r="DH24" i="1"/>
  <c r="DJ25" i="1"/>
  <c r="DL26" i="1"/>
  <c r="DF27" i="1"/>
  <c r="DH28" i="1"/>
  <c r="DJ29" i="1"/>
  <c r="DD30" i="1"/>
  <c r="DL30" i="1"/>
  <c r="DF31" i="1"/>
  <c r="CZ32" i="1"/>
  <c r="DH32" i="1"/>
  <c r="DB33" i="1"/>
  <c r="DJ33" i="1"/>
  <c r="DD34" i="1"/>
  <c r="DL34" i="1"/>
  <c r="CX35" i="1"/>
  <c r="DF35" i="1"/>
  <c r="CZ36" i="1"/>
  <c r="DH36" i="1"/>
  <c r="DB37" i="1"/>
  <c r="DJ37" i="1"/>
  <c r="CV38" i="1"/>
  <c r="DD38" i="1"/>
  <c r="DL38" i="1"/>
  <c r="CX39" i="1"/>
  <c r="DF39" i="1"/>
  <c r="DK21" i="1"/>
  <c r="DM22" i="1"/>
  <c r="DI24" i="1"/>
  <c r="DK25" i="1"/>
  <c r="DM26" i="1"/>
  <c r="DG27" i="1"/>
  <c r="DI28" i="1"/>
  <c r="DC29" i="1"/>
  <c r="DK29" i="1"/>
  <c r="DE30" i="1"/>
  <c r="DM30" i="1"/>
  <c r="DG31" i="1"/>
  <c r="DA32" i="1"/>
  <c r="DI32" i="1"/>
  <c r="DC33" i="1"/>
  <c r="DK33" i="1"/>
  <c r="DE34" i="1"/>
  <c r="DM34" i="1"/>
  <c r="CY35" i="1"/>
  <c r="DG35" i="1"/>
  <c r="DA36" i="1"/>
  <c r="DI36" i="1"/>
  <c r="CU37" i="1"/>
  <c r="DC37" i="1"/>
  <c r="DK37" i="1"/>
  <c r="CW38" i="1"/>
  <c r="DE38" i="1"/>
  <c r="DM38" i="1"/>
  <c r="CY39" i="1"/>
  <c r="DG39" i="1"/>
  <c r="CQ41" i="1"/>
  <c r="DM21" i="1"/>
  <c r="DI23" i="1"/>
  <c r="DK24" i="1"/>
  <c r="DM25" i="1"/>
  <c r="DG26" i="1"/>
  <c r="DI27" i="1"/>
  <c r="DK28" i="1"/>
  <c r="DE29" i="1"/>
  <c r="DM29" i="1"/>
  <c r="DG30" i="1"/>
  <c r="DA31" i="1"/>
  <c r="DI31" i="1"/>
  <c r="DC32" i="1"/>
  <c r="DK32" i="1"/>
  <c r="DE33" i="1"/>
  <c r="DM33" i="1"/>
  <c r="CY34" i="1"/>
  <c r="DG34" i="1"/>
  <c r="DA35" i="1"/>
  <c r="DI35" i="1"/>
  <c r="DC36" i="1"/>
  <c r="DK36" i="1"/>
  <c r="CW37" i="1"/>
  <c r="DE37" i="1"/>
  <c r="DM37" i="1"/>
  <c r="CY38" i="1"/>
  <c r="DG38" i="1"/>
  <c r="CS39" i="1"/>
  <c r="DA39" i="1"/>
  <c r="K306" i="5"/>
  <c r="S306" i="5"/>
  <c r="R274" i="5"/>
  <c r="O274" i="5"/>
  <c r="R250" i="5"/>
  <c r="O250" i="5"/>
  <c r="O242" i="5"/>
  <c r="R242" i="5"/>
  <c r="AR254" i="1" a="1"/>
  <c r="AR254" i="1" s="1"/>
  <c r="AR285" i="1" a="1"/>
  <c r="AR285" i="1" s="1"/>
  <c r="D239" i="1"/>
  <c r="O247" i="6"/>
  <c r="S279" i="5"/>
  <c r="AA285" i="1"/>
  <c r="Y2" i="1"/>
  <c r="N315" i="5"/>
  <c r="Q315" i="5" s="1"/>
  <c r="P255" i="5"/>
  <c r="Q258" i="5"/>
  <c r="P263" i="6"/>
  <c r="Q271" i="5"/>
  <c r="P274" i="5"/>
  <c r="P279" i="5"/>
  <c r="N254" i="1"/>
  <c r="BC239" i="1"/>
  <c r="P311" i="5"/>
  <c r="R263" i="5"/>
  <c r="K311" i="5"/>
  <c r="K289" i="5"/>
  <c r="Q289" i="5"/>
  <c r="S289" i="5"/>
  <c r="O281" i="5"/>
  <c r="R281" i="5"/>
  <c r="R249" i="5"/>
  <c r="O249" i="5"/>
  <c r="R309" i="6"/>
  <c r="P309" i="6"/>
  <c r="K309" i="6"/>
  <c r="R304" i="6"/>
  <c r="K304" i="6"/>
  <c r="Q311" i="5"/>
  <c r="R247" i="5"/>
  <c r="R311" i="5"/>
  <c r="S298" i="5"/>
  <c r="O298" i="5"/>
  <c r="P298" i="5"/>
  <c r="Q298" i="5"/>
  <c r="K239" i="5"/>
  <c r="AN285" i="1"/>
  <c r="AA262" i="1"/>
  <c r="S247" i="5"/>
  <c r="P239" i="5"/>
  <c r="P247" i="5"/>
  <c r="Q255" i="5"/>
  <c r="Q279" i="5"/>
  <c r="F285" i="1"/>
  <c r="G285" i="1" s="1"/>
  <c r="BA285" i="1" s="1"/>
  <c r="K312" i="5"/>
  <c r="Q312" i="5"/>
  <c r="P312" i="5"/>
  <c r="R312" i="5"/>
  <c r="R304" i="5"/>
  <c r="Q304" i="5"/>
  <c r="O304" i="5"/>
  <c r="K296" i="5"/>
  <c r="Q296" i="5"/>
  <c r="R296" i="5"/>
  <c r="R288" i="5"/>
  <c r="O288" i="5"/>
  <c r="K610" i="5"/>
  <c r="Q617" i="5"/>
  <c r="K625" i="5"/>
  <c r="Q602" i="5"/>
  <c r="R618" i="5"/>
  <c r="K617" i="5"/>
  <c r="O610" i="5"/>
  <c r="Q618" i="5"/>
  <c r="T306" i="1" a="1"/>
  <c r="T306" i="1" s="1"/>
  <c r="U306" i="1" s="1"/>
  <c r="P306" i="1"/>
  <c r="AD306" i="1"/>
  <c r="AI306" i="1"/>
  <c r="AY306" i="1"/>
  <c r="AO306" i="1"/>
  <c r="R306" i="1" a="1"/>
  <c r="R306" i="1" s="1"/>
  <c r="Q306" i="1" a="1"/>
  <c r="Q306" i="1" s="1"/>
  <c r="AZ306" i="1" a="1"/>
  <c r="AZ306" i="1" s="1"/>
  <c r="AG306" i="1"/>
  <c r="BC306" i="1"/>
  <c r="N306" i="1"/>
  <c r="AN306" i="1"/>
  <c r="AS306" i="1" a="1"/>
  <c r="AS306" i="1" s="1"/>
  <c r="O306" i="1"/>
  <c r="V306" i="1"/>
  <c r="AU306" i="1"/>
  <c r="AQ306" i="1"/>
  <c r="AR306" i="1" a="1"/>
  <c r="AR306" i="1" s="1"/>
  <c r="AA306" i="1"/>
  <c r="Y306" i="1"/>
  <c r="AP306" i="1"/>
  <c r="S306" i="1"/>
  <c r="AF306" i="1"/>
  <c r="W277" i="1"/>
  <c r="M277" i="1"/>
  <c r="AE277" i="1"/>
  <c r="V277" i="1"/>
  <c r="BD247" i="1"/>
  <c r="AE247" i="1"/>
  <c r="AB247" i="1"/>
  <c r="AG247" i="1"/>
  <c r="AU247" i="1"/>
  <c r="AS247" i="1" a="1"/>
  <c r="AS247" i="1" s="1"/>
  <c r="F247" i="1"/>
  <c r="G247" i="1" s="1"/>
  <c r="P247" i="1"/>
  <c r="O247" i="1"/>
  <c r="M247" i="1"/>
  <c r="AP247" i="1"/>
  <c r="AZ247" i="1" a="1"/>
  <c r="AZ247" i="1" s="1"/>
  <c r="C2" i="1"/>
  <c r="D2" i="1"/>
  <c r="E306" i="1"/>
  <c r="AS239" i="1" a="1"/>
  <c r="AS239" i="1" s="1"/>
  <c r="C299" i="1"/>
  <c r="D285" i="1"/>
  <c r="AQ239" i="1"/>
  <c r="AN239" i="1"/>
  <c r="AQ247" i="1"/>
  <c r="AQ253" i="1"/>
  <c r="AQ285" i="1"/>
  <c r="V254" i="1"/>
  <c r="V253" i="1"/>
  <c r="W239" i="1"/>
  <c r="R239" i="1" a="1"/>
  <c r="R239" i="1" s="1"/>
  <c r="Z246" i="1"/>
  <c r="Z268" i="1"/>
  <c r="AP254" i="1"/>
  <c r="AB238" i="1"/>
  <c r="AP298" i="1"/>
  <c r="X253" i="1"/>
  <c r="AB293" i="1"/>
  <c r="AU298" i="1"/>
  <c r="AG238" i="1"/>
  <c r="AE285" i="1"/>
  <c r="AO254" i="1"/>
  <c r="AF246" i="1"/>
  <c r="O238" i="1"/>
  <c r="O268" i="1"/>
  <c r="P285" i="1"/>
  <c r="S298" i="1"/>
  <c r="S261" i="1"/>
  <c r="BC293" i="1"/>
  <c r="T293" i="1" a="1"/>
  <c r="T293" i="1" s="1"/>
  <c r="U293" i="1" s="1"/>
  <c r="AZ293" i="1" a="1"/>
  <c r="AZ293" i="1" s="1"/>
  <c r="N293" i="1"/>
  <c r="H293" i="1"/>
  <c r="Q293" i="1" a="1"/>
  <c r="Q293" i="1" s="1"/>
  <c r="F293" i="1"/>
  <c r="G293" i="1" s="1"/>
  <c r="BB293" i="1" s="1"/>
  <c r="O293" i="1"/>
  <c r="AF293" i="1"/>
  <c r="AR293" i="1" a="1"/>
  <c r="AR293" i="1" s="1"/>
  <c r="AP293" i="1"/>
  <c r="M293" i="1"/>
  <c r="AY293" i="1"/>
  <c r="AO293" i="1"/>
  <c r="AS293" i="1" a="1"/>
  <c r="AS293" i="1" s="1"/>
  <c r="W293" i="1"/>
  <c r="AD293" i="1"/>
  <c r="AU293" i="1"/>
  <c r="L293" i="1"/>
  <c r="AG293" i="1"/>
  <c r="AN293" i="1"/>
  <c r="AQ293" i="1"/>
  <c r="AA293" i="1"/>
  <c r="Y293" i="1"/>
  <c r="X293" i="1"/>
  <c r="C306" i="1"/>
  <c r="E247" i="1"/>
  <c r="V239" i="1"/>
  <c r="R277" i="1" a="1"/>
  <c r="R277" i="1" s="1"/>
  <c r="M306" i="1"/>
  <c r="M299" i="1"/>
  <c r="L247" i="1"/>
  <c r="Y239" i="1"/>
  <c r="D299" i="1"/>
  <c r="E285" i="1"/>
  <c r="D262" i="1"/>
  <c r="C239" i="1"/>
  <c r="AT247" i="1" a="1"/>
  <c r="AT247" i="1" s="1"/>
  <c r="AT285" i="1" a="1"/>
  <c r="AT285" i="1" s="1"/>
  <c r="AN268" i="1"/>
  <c r="V285" i="1"/>
  <c r="Z253" i="1"/>
  <c r="AP285" i="1"/>
  <c r="AA238" i="1"/>
  <c r="X268" i="1"/>
  <c r="X292" i="1"/>
  <c r="AB285" i="1"/>
  <c r="L253" i="1"/>
  <c r="L299" i="1"/>
  <c r="Y238" i="1"/>
  <c r="AA299" i="1"/>
  <c r="AA292" i="1"/>
  <c r="AB305" i="1"/>
  <c r="AS298" i="1" a="1"/>
  <c r="AS298" i="1" s="1"/>
  <c r="AQ298" i="1"/>
  <c r="AT293" i="1" a="1"/>
  <c r="AT293" i="1" s="1"/>
  <c r="AV306" i="1"/>
  <c r="V293" i="1"/>
  <c r="AO238" i="1"/>
  <c r="AF268" i="1"/>
  <c r="N238" i="1"/>
  <c r="BD293" i="1"/>
  <c r="S280" i="5"/>
  <c r="P280" i="5"/>
  <c r="K240" i="5"/>
  <c r="P240" i="5"/>
  <c r="AU2" i="1"/>
  <c r="L2" i="1"/>
  <c r="BQ2" i="1" s="1" a="1"/>
  <c r="BQ2" i="1" s="1"/>
  <c r="N3" i="6"/>
  <c r="N3" i="5"/>
  <c r="Q3" i="5" s="1"/>
  <c r="E2" i="1"/>
  <c r="P3" i="6"/>
  <c r="M2" i="1"/>
  <c r="S2" i="1" s="1"/>
  <c r="H254" i="1"/>
  <c r="T254" i="1" a="1"/>
  <c r="T254" i="1" s="1"/>
  <c r="U254" i="1" s="1"/>
  <c r="AY254" i="1"/>
  <c r="BC254" i="1"/>
  <c r="O254" i="1"/>
  <c r="AG254" i="1"/>
  <c r="AU254" i="1"/>
  <c r="AE254" i="1"/>
  <c r="Z254" i="1"/>
  <c r="AQ254" i="1"/>
  <c r="AI254" i="1"/>
  <c r="M254" i="1"/>
  <c r="AB254" i="1"/>
  <c r="L254" i="1"/>
  <c r="E254" i="1"/>
  <c r="C247" i="1"/>
  <c r="R285" i="1" a="1"/>
  <c r="R285" i="1" s="1"/>
  <c r="Z306" i="1"/>
  <c r="Z293" i="1"/>
  <c r="N285" i="1"/>
  <c r="F306" i="1"/>
  <c r="G306" i="1" s="1"/>
  <c r="AZ254" i="1" a="1"/>
  <c r="AZ254" i="1" s="1"/>
  <c r="Q247" i="1" a="1"/>
  <c r="Q247" i="1" s="1"/>
  <c r="BD306" i="1"/>
  <c r="O313" i="1"/>
  <c r="AN313" i="1"/>
  <c r="M313" i="1"/>
  <c r="Y313" i="1"/>
  <c r="AP313" i="1"/>
  <c r="F313" i="1"/>
  <c r="G313" i="1" s="1"/>
  <c r="BA313" i="1" s="1"/>
  <c r="X313" i="1"/>
  <c r="AY313" i="1"/>
  <c r="AB313" i="1"/>
  <c r="H305" i="1"/>
  <c r="W305" i="1"/>
  <c r="T305" i="1" a="1"/>
  <c r="T305" i="1" s="1"/>
  <c r="U305" i="1" s="1"/>
  <c r="P305" i="1"/>
  <c r="O305" i="1"/>
  <c r="Z305" i="1"/>
  <c r="R305" i="1" a="1"/>
  <c r="R305" i="1" s="1"/>
  <c r="BD305" i="1"/>
  <c r="AE305" i="1"/>
  <c r="AQ305" i="1"/>
  <c r="AG305" i="1"/>
  <c r="M305" i="1"/>
  <c r="AY298" i="1"/>
  <c r="AF298" i="1"/>
  <c r="H298" i="1"/>
  <c r="AO298" i="1"/>
  <c r="AT298" i="1" a="1"/>
  <c r="AT298" i="1" s="1"/>
  <c r="AB298" i="1"/>
  <c r="AA298" i="1"/>
  <c r="AI298" i="1"/>
  <c r="AG298" i="1"/>
  <c r="AZ298" i="1" a="1"/>
  <c r="AZ298" i="1" s="1"/>
  <c r="AD298" i="1"/>
  <c r="V298" i="1"/>
  <c r="R298" i="1" a="1"/>
  <c r="R298" i="1" s="1"/>
  <c r="X298" i="1"/>
  <c r="T298" i="1" a="1"/>
  <c r="T298" i="1" s="1"/>
  <c r="U298" i="1" s="1"/>
  <c r="F298" i="1"/>
  <c r="G298" i="1" s="1"/>
  <c r="BA298" i="1" s="1"/>
  <c r="AN298" i="1"/>
  <c r="AR298" i="1" a="1"/>
  <c r="AR298" i="1" s="1"/>
  <c r="W298" i="1"/>
  <c r="Q298" i="1" a="1"/>
  <c r="Q298" i="1" s="1"/>
  <c r="N298" i="1"/>
  <c r="AY292" i="1"/>
  <c r="Q292" i="1" a="1"/>
  <c r="Q292" i="1" s="1"/>
  <c r="AO292" i="1"/>
  <c r="AP292" i="1"/>
  <c r="AE292" i="1"/>
  <c r="M292" i="1"/>
  <c r="AS292" i="1" a="1"/>
  <c r="AS292" i="1" s="1"/>
  <c r="Z292" i="1"/>
  <c r="L292" i="1"/>
  <c r="V292" i="1"/>
  <c r="AU292" i="1"/>
  <c r="AQ292" i="1"/>
  <c r="O292" i="1"/>
  <c r="F284" i="1"/>
  <c r="G284" i="1" s="1"/>
  <c r="BB284" i="1" s="1"/>
  <c r="P284" i="1"/>
  <c r="AS284" i="1" a="1"/>
  <c r="AS284" i="1" s="1"/>
  <c r="Y284" i="1"/>
  <c r="AN284" i="1"/>
  <c r="BC268" i="1"/>
  <c r="AD268" i="1"/>
  <c r="L268" i="1"/>
  <c r="R268" i="1" a="1"/>
  <c r="R268" i="1" s="1"/>
  <c r="T268" i="1" a="1"/>
  <c r="T268" i="1" s="1"/>
  <c r="U268" i="1" s="1"/>
  <c r="AO268" i="1"/>
  <c r="Q268" i="1" a="1"/>
  <c r="Q268" i="1" s="1"/>
  <c r="F268" i="1"/>
  <c r="G268" i="1" s="1"/>
  <c r="BA268" i="1" s="1"/>
  <c r="S268" i="1"/>
  <c r="AP268" i="1"/>
  <c r="V268" i="1"/>
  <c r="T261" i="1" a="1"/>
  <c r="T261" i="1" s="1"/>
  <c r="U261" i="1" s="1"/>
  <c r="O261" i="1"/>
  <c r="AE261" i="1"/>
  <c r="AI261" i="1"/>
  <c r="H261" i="1"/>
  <c r="AB261" i="1"/>
  <c r="P261" i="1"/>
  <c r="N261" i="1"/>
  <c r="AO261" i="1"/>
  <c r="BD261" i="1"/>
  <c r="AZ261" i="1" a="1"/>
  <c r="AZ261" i="1" s="1"/>
  <c r="AD261" i="1"/>
  <c r="O253" i="1"/>
  <c r="T253" i="1" a="1"/>
  <c r="T253" i="1" s="1"/>
  <c r="U253" i="1" s="1"/>
  <c r="AY253" i="1"/>
  <c r="P253" i="1"/>
  <c r="AE253" i="1"/>
  <c r="M253" i="1"/>
  <c r="H253" i="1"/>
  <c r="BD253" i="1"/>
  <c r="S253" i="1"/>
  <c r="N253" i="1"/>
  <c r="AD253" i="1"/>
  <c r="AU253" i="1"/>
  <c r="AI253" i="1"/>
  <c r="BC253" i="1"/>
  <c r="AA253" i="1"/>
  <c r="W253" i="1"/>
  <c r="AF253" i="1"/>
  <c r="AB253" i="1"/>
  <c r="R253" i="1" a="1"/>
  <c r="R253" i="1" s="1"/>
  <c r="AN253" i="1"/>
  <c r="H246" i="1"/>
  <c r="Q246" i="1" a="1"/>
  <c r="Q246" i="1" s="1"/>
  <c r="P246" i="1"/>
  <c r="AD246" i="1"/>
  <c r="AI246" i="1"/>
  <c r="AZ246" i="1" a="1"/>
  <c r="AZ246" i="1" s="1"/>
  <c r="S246" i="1"/>
  <c r="N246" i="1"/>
  <c r="AG246" i="1"/>
  <c r="Y246" i="1"/>
  <c r="M246" i="1"/>
  <c r="X246" i="1"/>
  <c r="AP246" i="1"/>
  <c r="AA246" i="1"/>
  <c r="AY246" i="1"/>
  <c r="O246" i="1"/>
  <c r="AE246" i="1"/>
  <c r="L246" i="1"/>
  <c r="AB246" i="1"/>
  <c r="T246" i="1" a="1"/>
  <c r="T246" i="1" s="1"/>
  <c r="U246" i="1" s="1"/>
  <c r="AS246" i="1" a="1"/>
  <c r="AS246" i="1" s="1"/>
  <c r="BD246" i="1"/>
  <c r="Q238" i="1" a="1"/>
  <c r="Q238" i="1" s="1"/>
  <c r="AE238" i="1"/>
  <c r="L238" i="1"/>
  <c r="T238" i="1" a="1"/>
  <c r="T238" i="1" s="1"/>
  <c r="U238" i="1" s="1"/>
  <c r="P238" i="1"/>
  <c r="AF238" i="1"/>
  <c r="AD238" i="1"/>
  <c r="AP238" i="1"/>
  <c r="BC238" i="1"/>
  <c r="AZ238" i="1" a="1"/>
  <c r="AZ238" i="1" s="1"/>
  <c r="H238" i="1"/>
  <c r="AY238" i="1"/>
  <c r="AU238" i="1"/>
  <c r="X238" i="1"/>
  <c r="AI238" i="1"/>
  <c r="F238" i="1"/>
  <c r="G238" i="1" s="1"/>
  <c r="BA238" i="1" s="1"/>
  <c r="T299" i="1" a="1"/>
  <c r="T299" i="1" s="1"/>
  <c r="U299" i="1" s="1"/>
  <c r="AO299" i="1"/>
  <c r="AP299" i="1"/>
  <c r="AF299" i="1"/>
  <c r="AE299" i="1"/>
  <c r="V299" i="1"/>
  <c r="AN299" i="1"/>
  <c r="X299" i="1"/>
  <c r="BC299" i="1"/>
  <c r="P299" i="1"/>
  <c r="N299" i="1"/>
  <c r="AG299" i="1"/>
  <c r="AU299" i="1"/>
  <c r="AQ299" i="1"/>
  <c r="AR299" i="1" a="1"/>
  <c r="AR299" i="1" s="1"/>
  <c r="AB299" i="1"/>
  <c r="Z299" i="1"/>
  <c r="Y299" i="1"/>
  <c r="H299" i="1"/>
  <c r="Q299" i="1" a="1"/>
  <c r="Q299" i="1" s="1"/>
  <c r="S299" i="1"/>
  <c r="O299" i="1"/>
  <c r="AV299" i="1"/>
  <c r="AT299" i="1" a="1"/>
  <c r="AT299" i="1" s="1"/>
  <c r="AS299" i="1" a="1"/>
  <c r="AS299" i="1" s="1"/>
  <c r="AI299" i="1"/>
  <c r="AZ299" i="1" a="1"/>
  <c r="AZ299" i="1" s="1"/>
  <c r="N239" i="1"/>
  <c r="H239" i="1"/>
  <c r="M239" i="1"/>
  <c r="AB239" i="1"/>
  <c r="Z239" i="1"/>
  <c r="AI239" i="1"/>
  <c r="L239" i="1"/>
  <c r="T239" i="1" a="1"/>
  <c r="T239" i="1" s="1"/>
  <c r="U239" i="1" s="1"/>
  <c r="P239" i="1"/>
  <c r="AE239" i="1"/>
  <c r="Q239" i="1" a="1"/>
  <c r="Q239" i="1" s="1"/>
  <c r="S239" i="1"/>
  <c r="AF239" i="1"/>
  <c r="AD239" i="1"/>
  <c r="AP239" i="1"/>
  <c r="BD239" i="1"/>
  <c r="AZ239" i="1" a="1"/>
  <c r="AZ239" i="1" s="1"/>
  <c r="AG239" i="1"/>
  <c r="X2" i="1"/>
  <c r="D277" i="1"/>
  <c r="X306" i="1"/>
  <c r="W299" i="1"/>
  <c r="L306" i="1"/>
  <c r="D306" i="1"/>
  <c r="D247" i="1"/>
  <c r="AQ262" i="1"/>
  <c r="AB268" i="1"/>
  <c r="X254" i="1"/>
  <c r="X247" i="1"/>
  <c r="M261" i="1"/>
  <c r="M298" i="1"/>
  <c r="Y298" i="1"/>
  <c r="Y247" i="1"/>
  <c r="Z298" i="1"/>
  <c r="Z313" i="1"/>
  <c r="AT306" i="1" a="1"/>
  <c r="AT306" i="1" s="1"/>
  <c r="AV293" i="1"/>
  <c r="AU284" i="1"/>
  <c r="AO246" i="1"/>
  <c r="P268" i="1"/>
  <c r="S254" i="1"/>
  <c r="AY299" i="1"/>
  <c r="AY239" i="1"/>
  <c r="BC313" i="1"/>
  <c r="Q261" i="1" a="1"/>
  <c r="Q261" i="1" s="1"/>
  <c r="AI247" i="1"/>
  <c r="AI285" i="1"/>
  <c r="AO285" i="1"/>
  <c r="S285" i="1"/>
  <c r="AG285" i="1"/>
  <c r="W285" i="1"/>
  <c r="T285" i="1" a="1"/>
  <c r="T285" i="1" s="1"/>
  <c r="U285" i="1" s="1"/>
  <c r="Z285" i="1"/>
  <c r="AS285" i="1" a="1"/>
  <c r="AS285" i="1" s="1"/>
  <c r="Q285" i="1" a="1"/>
  <c r="Q285" i="1" s="1"/>
  <c r="AZ285" i="1" a="1"/>
  <c r="AZ285" i="1" s="1"/>
  <c r="O285" i="1"/>
  <c r="BC285" i="1"/>
  <c r="AY285" i="1"/>
  <c r="X285" i="1"/>
  <c r="AY269" i="1"/>
  <c r="AS269" i="1" a="1"/>
  <c r="AS269" i="1" s="1"/>
  <c r="AR239" i="1" a="1"/>
  <c r="AR239" i="1" s="1"/>
  <c r="C285" i="1"/>
  <c r="AN254" i="1"/>
  <c r="AD285" i="1"/>
  <c r="AD254" i="1"/>
  <c r="AO239" i="1"/>
  <c r="O239" i="1"/>
  <c r="P254" i="1"/>
  <c r="F239" i="1"/>
  <c r="G239" i="1" s="1"/>
  <c r="BB239" i="1" s="1"/>
  <c r="BD285" i="1"/>
  <c r="H285" i="1"/>
  <c r="T290" i="1" a="1"/>
  <c r="T290" i="1" s="1"/>
  <c r="U290" i="1" s="1"/>
  <c r="N290" i="1"/>
  <c r="AF290" i="1"/>
  <c r="AD290" i="1"/>
  <c r="AI282" i="1"/>
  <c r="H282" i="1"/>
  <c r="F282" i="1"/>
  <c r="G282" i="1" s="1"/>
  <c r="BB282" i="1" s="1"/>
  <c r="T274" i="1" a="1"/>
  <c r="T274" i="1" s="1"/>
  <c r="U274" i="1" s="1"/>
  <c r="P274" i="1"/>
  <c r="AI274" i="1"/>
  <c r="AG259" i="1"/>
  <c r="H259" i="1"/>
  <c r="F308" i="1"/>
  <c r="G308" i="1" s="1"/>
  <c r="BA308" i="1" s="1"/>
  <c r="N287" i="1"/>
  <c r="AO287" i="1"/>
  <c r="Q279" i="1" a="1"/>
  <c r="Q279" i="1" s="1"/>
  <c r="AY279" i="1"/>
  <c r="AG279" i="1"/>
  <c r="O264" i="1"/>
  <c r="S256" i="1"/>
  <c r="R270" i="5"/>
  <c r="P613" i="5"/>
  <c r="R613" i="5"/>
  <c r="S613" i="5"/>
  <c r="P605" i="5"/>
  <c r="R605" i="5"/>
  <c r="R587" i="5"/>
  <c r="O587" i="5"/>
  <c r="O579" i="5"/>
  <c r="R579" i="5"/>
  <c r="O575" i="5"/>
  <c r="R575" i="5"/>
  <c r="O555" i="5"/>
  <c r="R555" i="5"/>
  <c r="O605" i="5"/>
  <c r="O590" i="5"/>
  <c r="R558" i="5"/>
  <c r="O591" i="5"/>
  <c r="O613" i="5"/>
  <c r="S605" i="5"/>
  <c r="O599" i="5"/>
  <c r="O238" i="5"/>
  <c r="R238" i="5"/>
  <c r="Q623" i="5"/>
  <c r="K623" i="5"/>
  <c r="P623" i="5"/>
  <c r="R623" i="5"/>
  <c r="O615" i="5"/>
  <c r="K615" i="5"/>
  <c r="R615" i="5"/>
  <c r="Q615" i="5"/>
  <c r="O607" i="5"/>
  <c r="S607" i="5"/>
  <c r="K607" i="5"/>
  <c r="P607" i="5"/>
  <c r="R598" i="5"/>
  <c r="O598" i="5"/>
  <c r="O578" i="5"/>
  <c r="R578" i="5"/>
  <c r="O566" i="5"/>
  <c r="R566" i="5"/>
  <c r="R554" i="5"/>
  <c r="O554" i="5"/>
  <c r="O550" i="5"/>
  <c r="R550" i="5"/>
  <c r="P308" i="6"/>
  <c r="Q308" i="6"/>
  <c r="R308" i="6"/>
  <c r="K308" i="6"/>
  <c r="O308" i="6"/>
  <c r="R303" i="6"/>
  <c r="Q303" i="6"/>
  <c r="K303" i="6"/>
  <c r="O303" i="6"/>
  <c r="P303" i="6"/>
  <c r="O236" i="1"/>
  <c r="P236" i="1"/>
  <c r="S309" i="1"/>
  <c r="AZ236" i="1" a="1"/>
  <c r="AZ236" i="1" s="1"/>
  <c r="F309" i="1"/>
  <c r="G309" i="1" s="1"/>
  <c r="H295" i="1"/>
  <c r="H265" i="1"/>
  <c r="AI250" i="1"/>
  <c r="H283" i="1"/>
  <c r="S615" i="5"/>
  <c r="R594" i="5"/>
  <c r="Q605" i="5"/>
  <c r="P615" i="5"/>
  <c r="K605" i="5"/>
  <c r="K265" i="6"/>
  <c r="Q265" i="6"/>
  <c r="O265" i="6"/>
  <c r="R265" i="6"/>
  <c r="P265" i="6"/>
  <c r="R257" i="6"/>
  <c r="K257" i="6"/>
  <c r="Q257" i="6"/>
  <c r="P249" i="6"/>
  <c r="K249" i="6"/>
  <c r="O249" i="6"/>
  <c r="Q249" i="6"/>
  <c r="R249" i="6"/>
  <c r="P241" i="6"/>
  <c r="K241" i="6"/>
  <c r="Q241" i="6"/>
  <c r="R241" i="6"/>
  <c r="O257" i="6"/>
  <c r="AY255" i="1"/>
  <c r="AE255" i="1"/>
  <c r="T255" i="1" a="1"/>
  <c r="T255" i="1" s="1"/>
  <c r="U255" i="1" s="1"/>
  <c r="N255" i="1"/>
  <c r="AF255" i="1"/>
  <c r="AD255" i="1"/>
  <c r="Q255" i="1" a="1"/>
  <c r="Q255" i="1" s="1"/>
  <c r="O255" i="1"/>
  <c r="AG255" i="1"/>
  <c r="BD255" i="1"/>
  <c r="AR255" i="1" a="1"/>
  <c r="AR255" i="1" s="1"/>
  <c r="W255" i="1"/>
  <c r="E255" i="1"/>
  <c r="AV255" i="1"/>
  <c r="BC255" i="1"/>
  <c r="AU255" i="1"/>
  <c r="M255" i="1"/>
  <c r="AQ255" i="1"/>
  <c r="H255" i="1"/>
  <c r="F255" i="1"/>
  <c r="G255" i="1" s="1"/>
  <c r="BB255" i="1" s="1"/>
  <c r="X255" i="1"/>
  <c r="D255" i="1"/>
  <c r="AZ255" i="1" a="1"/>
  <c r="AZ255" i="1" s="1"/>
  <c r="S255" i="1"/>
  <c r="AO255" i="1"/>
  <c r="AA255" i="1"/>
  <c r="R255" i="1" a="1"/>
  <c r="R255" i="1" s="1"/>
  <c r="V255" i="1"/>
  <c r="AT255" i="1" a="1"/>
  <c r="AT255" i="1" s="1"/>
  <c r="P280" i="6"/>
  <c r="O280" i="6"/>
  <c r="Q280" i="6"/>
  <c r="K280" i="6"/>
  <c r="Q272" i="6"/>
  <c r="R272" i="6"/>
  <c r="Q277" i="1" a="1"/>
  <c r="Q277" i="1" s="1"/>
  <c r="F277" i="1"/>
  <c r="G277" i="1" s="1"/>
  <c r="O277" i="1"/>
  <c r="BC277" i="1"/>
  <c r="AY277" i="1"/>
  <c r="AF277" i="1"/>
  <c r="C277" i="1"/>
  <c r="Z277" i="1"/>
  <c r="P277" i="1"/>
  <c r="X277" i="1"/>
  <c r="S277" i="1"/>
  <c r="Y277" i="1"/>
  <c r="AA277" i="1"/>
  <c r="AR277" i="1" a="1"/>
  <c r="AR277" i="1" s="1"/>
  <c r="AQ277" i="1"/>
  <c r="AT277" i="1" a="1"/>
  <c r="AT277" i="1" s="1"/>
  <c r="AV277" i="1"/>
  <c r="AU277" i="1"/>
  <c r="AB277" i="1"/>
  <c r="AO277" i="1"/>
  <c r="L277" i="1"/>
  <c r="AP277" i="1"/>
  <c r="AI277" i="1"/>
  <c r="BD277" i="1"/>
  <c r="AZ277" i="1" a="1"/>
  <c r="AZ277" i="1" s="1"/>
  <c r="N277" i="1"/>
  <c r="AD277" i="1"/>
  <c r="AN277" i="1"/>
  <c r="E277" i="1"/>
  <c r="AG277" i="1"/>
  <c r="X269" i="1"/>
  <c r="AA269" i="1"/>
  <c r="Q269" i="1" a="1"/>
  <c r="Q269" i="1" s="1"/>
  <c r="Z269" i="1"/>
  <c r="AQ269" i="1"/>
  <c r="AT269" i="1" a="1"/>
  <c r="AT269" i="1" s="1"/>
  <c r="E269" i="1"/>
  <c r="V269" i="1"/>
  <c r="AE269" i="1"/>
  <c r="AU269" i="1"/>
  <c r="D269" i="1"/>
  <c r="AR269" i="1" a="1"/>
  <c r="AR269" i="1" s="1"/>
  <c r="M269" i="1"/>
  <c r="C262" i="1"/>
  <c r="X262" i="1"/>
  <c r="W262" i="1"/>
  <c r="AU262" i="1"/>
  <c r="AR262" i="1" a="1"/>
  <c r="AR262" i="1" s="1"/>
  <c r="V262" i="1"/>
  <c r="AV262" i="1"/>
  <c r="F262" i="1"/>
  <c r="G262" i="1" s="1"/>
  <c r="BA262" i="1" s="1"/>
  <c r="O262" i="1"/>
  <c r="R262" i="1" a="1"/>
  <c r="R262" i="1" s="1"/>
  <c r="AN262" i="1"/>
  <c r="AD262" i="1"/>
  <c r="M262" i="1"/>
  <c r="Z262" i="1"/>
  <c r="E262" i="1"/>
  <c r="K588" i="5"/>
  <c r="O588" i="5"/>
  <c r="S588" i="5"/>
  <c r="P588" i="5"/>
  <c r="R588" i="5"/>
  <c r="Q588" i="5"/>
  <c r="Q584" i="5"/>
  <c r="R584" i="5"/>
  <c r="O584" i="5"/>
  <c r="P584" i="5"/>
  <c r="S584" i="5"/>
  <c r="K584" i="5"/>
  <c r="R580" i="5"/>
  <c r="Q580" i="5"/>
  <c r="K580" i="5"/>
  <c r="O580" i="5"/>
  <c r="S580" i="5"/>
  <c r="P580" i="5"/>
  <c r="P576" i="5"/>
  <c r="R576" i="5"/>
  <c r="Q576" i="5"/>
  <c r="S576" i="5"/>
  <c r="K576" i="5"/>
  <c r="P572" i="5"/>
  <c r="K572" i="5"/>
  <c r="Q572" i="5"/>
  <c r="S572" i="5"/>
  <c r="R572" i="5"/>
  <c r="O572" i="5"/>
  <c r="O568" i="5"/>
  <c r="P568" i="5"/>
  <c r="S568" i="5"/>
  <c r="Q568" i="5"/>
  <c r="O564" i="5"/>
  <c r="K564" i="5"/>
  <c r="Q564" i="5"/>
  <c r="R564" i="5"/>
  <c r="P564" i="5"/>
  <c r="R560" i="5"/>
  <c r="O560" i="5"/>
  <c r="P560" i="5"/>
  <c r="S560" i="5"/>
  <c r="R556" i="5"/>
  <c r="S556" i="5"/>
  <c r="O556" i="5"/>
  <c r="Q556" i="5"/>
  <c r="K556" i="5"/>
  <c r="P552" i="5"/>
  <c r="R552" i="5"/>
  <c r="S552" i="5"/>
  <c r="K552" i="5"/>
  <c r="O552" i="5"/>
  <c r="Q552" i="5"/>
  <c r="P312" i="6"/>
  <c r="K312" i="6"/>
  <c r="R312" i="6"/>
  <c r="O312" i="6"/>
  <c r="Q312" i="6"/>
  <c r="R291" i="6"/>
  <c r="P291" i="6"/>
  <c r="K291" i="6"/>
  <c r="O291" i="6"/>
  <c r="Q291" i="6"/>
  <c r="R287" i="6"/>
  <c r="K287" i="6"/>
  <c r="P287" i="6"/>
  <c r="Q287" i="6"/>
  <c r="S241" i="1"/>
  <c r="X241" i="1"/>
  <c r="AS241" i="1" a="1"/>
  <c r="AS241" i="1" s="1"/>
  <c r="AT241" i="1" a="1"/>
  <c r="AT241" i="1" s="1"/>
  <c r="AO241" i="1"/>
  <c r="AA241" i="1"/>
  <c r="T241" i="1" a="1"/>
  <c r="T241" i="1" s="1"/>
  <c r="U241" i="1" s="1"/>
  <c r="N241" i="1"/>
  <c r="AE241" i="1"/>
  <c r="AB241" i="1"/>
  <c r="AN241" i="1"/>
  <c r="E241" i="1"/>
  <c r="AR241" i="1" a="1"/>
  <c r="AR241" i="1" s="1"/>
  <c r="AQ241" i="1"/>
  <c r="D241" i="1"/>
  <c r="AV241" i="1"/>
  <c r="H241" i="1"/>
  <c r="Q241" i="1" a="1"/>
  <c r="Q241" i="1" s="1"/>
  <c r="O241" i="1"/>
  <c r="AD241" i="1"/>
  <c r="V241" i="1"/>
  <c r="AI241" i="1"/>
  <c r="BD241" i="1"/>
  <c r="F241" i="1"/>
  <c r="G241" i="1" s="1"/>
  <c r="BA241" i="1" s="1"/>
  <c r="AG241" i="1"/>
  <c r="L241" i="1"/>
  <c r="C241" i="1"/>
  <c r="AY241" i="1"/>
  <c r="P241" i="1"/>
  <c r="AF241" i="1"/>
  <c r="AU241" i="1"/>
  <c r="AQ249" i="1"/>
  <c r="W241" i="1"/>
  <c r="R241" i="1" a="1"/>
  <c r="R241" i="1" s="1"/>
  <c r="L269" i="1"/>
  <c r="BC241" i="1"/>
  <c r="T284" i="1" a="1"/>
  <c r="T284" i="1" s="1"/>
  <c r="U284" i="1" s="1"/>
  <c r="AE284" i="1"/>
  <c r="Q284" i="1" a="1"/>
  <c r="Q284" i="1" s="1"/>
  <c r="AD284" i="1"/>
  <c r="X284" i="1"/>
  <c r="L284" i="1"/>
  <c r="AQ284" i="1"/>
  <c r="BC284" i="1"/>
  <c r="AA284" i="1"/>
  <c r="AF284" i="1"/>
  <c r="AB284" i="1"/>
  <c r="R284" i="1" a="1"/>
  <c r="R284" i="1" s="1"/>
  <c r="AR284" i="1" a="1"/>
  <c r="AR284" i="1" s="1"/>
  <c r="E284" i="1"/>
  <c r="AV284" i="1"/>
  <c r="H284" i="1"/>
  <c r="AZ284" i="1" a="1"/>
  <c r="AZ284" i="1" s="1"/>
  <c r="D284" i="1"/>
  <c r="S284" i="1"/>
  <c r="O284" i="1"/>
  <c r="AO284" i="1"/>
  <c r="AP284" i="1"/>
  <c r="V284" i="1"/>
  <c r="AT284" i="1" a="1"/>
  <c r="AT284" i="1" s="1"/>
  <c r="R17" i="5"/>
  <c r="K624" i="5"/>
  <c r="R624" i="5"/>
  <c r="K616" i="5"/>
  <c r="Q616" i="5"/>
  <c r="R616" i="5"/>
  <c r="O616" i="5"/>
  <c r="O608" i="5"/>
  <c r="K608" i="5"/>
  <c r="P608" i="5"/>
  <c r="S608" i="5"/>
  <c r="Q608" i="5"/>
  <c r="T249" i="1" a="1"/>
  <c r="T249" i="1" s="1"/>
  <c r="U249" i="1" s="1"/>
  <c r="N249" i="1"/>
  <c r="AP249" i="1"/>
  <c r="AB249" i="1"/>
  <c r="AT249" i="1" a="1"/>
  <c r="AT249" i="1" s="1"/>
  <c r="L249" i="1"/>
  <c r="H249" i="1"/>
  <c r="Q249" i="1" a="1"/>
  <c r="Q249" i="1" s="1"/>
  <c r="F249" i="1"/>
  <c r="G249" i="1" s="1"/>
  <c r="BA249" i="1" s="1"/>
  <c r="O249" i="1"/>
  <c r="AO249" i="1"/>
  <c r="E249" i="1"/>
  <c r="AI249" i="1"/>
  <c r="BD249" i="1"/>
  <c r="AZ249" i="1" a="1"/>
  <c r="AZ249" i="1" s="1"/>
  <c r="AF249" i="1"/>
  <c r="AE249" i="1"/>
  <c r="W249" i="1"/>
  <c r="D249" i="1"/>
  <c r="C249" i="1"/>
  <c r="BC249" i="1"/>
  <c r="AY249" i="1"/>
  <c r="AD249" i="1"/>
  <c r="Y249" i="1"/>
  <c r="M249" i="1"/>
  <c r="P249" i="1"/>
  <c r="AG249" i="1"/>
  <c r="V249" i="1"/>
  <c r="AU249" i="1"/>
  <c r="Z249" i="1"/>
  <c r="AR249" i="1" a="1"/>
  <c r="AR249" i="1" s="1"/>
  <c r="AV249" i="1"/>
  <c r="R249" i="1" a="1"/>
  <c r="R249" i="1" s="1"/>
  <c r="Z241" i="1"/>
  <c r="P257" i="6"/>
  <c r="Y291" i="1"/>
  <c r="AA291" i="1"/>
  <c r="AS291" i="1" a="1"/>
  <c r="AS291" i="1" s="1"/>
  <c r="S264" i="5"/>
  <c r="P264" i="5"/>
  <c r="S256" i="5"/>
  <c r="R256" i="5"/>
  <c r="K256" i="5"/>
  <c r="S248" i="5"/>
  <c r="P248" i="5"/>
  <c r="K248" i="5"/>
  <c r="S249" i="1"/>
  <c r="AP241" i="1"/>
  <c r="Y241" i="1"/>
  <c r="T277" i="1" a="1"/>
  <c r="T277" i="1" s="1"/>
  <c r="U277" i="1" s="1"/>
  <c r="H277" i="1"/>
  <c r="AZ311" i="1" a="1"/>
  <c r="AZ311" i="1" s="1"/>
  <c r="T311" i="1" a="1"/>
  <c r="T311" i="1" s="1"/>
  <c r="U311" i="1" s="1"/>
  <c r="AY311" i="1"/>
  <c r="AV311" i="1"/>
  <c r="AT311" i="1" a="1"/>
  <c r="AT311" i="1" s="1"/>
  <c r="AS311" i="1" a="1"/>
  <c r="AS311" i="1" s="1"/>
  <c r="AB311" i="1"/>
  <c r="L311" i="1"/>
  <c r="C311" i="1"/>
  <c r="AN311" i="1"/>
  <c r="Q311" i="1" a="1"/>
  <c r="Q311" i="1" s="1"/>
  <c r="P311" i="1"/>
  <c r="AO311" i="1"/>
  <c r="V311" i="1"/>
  <c r="AQ311" i="1"/>
  <c r="BD311" i="1"/>
  <c r="S311" i="1"/>
  <c r="AE311" i="1"/>
  <c r="W311" i="1"/>
  <c r="BC311" i="1"/>
  <c r="N311" i="1"/>
  <c r="AD311" i="1"/>
  <c r="Y311" i="1"/>
  <c r="O311" i="1"/>
  <c r="AF311" i="1"/>
  <c r="AG311" i="1"/>
  <c r="AU311" i="1"/>
  <c r="Z311" i="1"/>
  <c r="F311" i="1"/>
  <c r="G311" i="1" s="1"/>
  <c r="AP311" i="1"/>
  <c r="E311" i="1"/>
  <c r="R568" i="5"/>
  <c r="R244" i="5"/>
  <c r="K298" i="5"/>
  <c r="P315" i="5"/>
  <c r="Q291" i="5"/>
  <c r="O260" i="5"/>
  <c r="O291" i="5"/>
  <c r="R306" i="5"/>
  <c r="P291" i="5"/>
  <c r="R298" i="5"/>
  <c r="R276" i="5"/>
  <c r="L276" i="1"/>
  <c r="AA276" i="1"/>
  <c r="V276" i="1"/>
  <c r="AF276" i="1"/>
  <c r="BD276" i="1"/>
  <c r="AE276" i="1"/>
  <c r="AY276" i="1"/>
  <c r="Z276" i="1"/>
  <c r="AR276" i="1" a="1"/>
  <c r="AR276" i="1" s="1"/>
  <c r="S276" i="1"/>
  <c r="O611" i="5"/>
  <c r="P611" i="5"/>
  <c r="O600" i="5"/>
  <c r="Q600" i="5"/>
  <c r="P600" i="5"/>
  <c r="K600" i="5"/>
  <c r="S600" i="5"/>
  <c r="O596" i="5"/>
  <c r="R596" i="5"/>
  <c r="Q596" i="5"/>
  <c r="P596" i="5"/>
  <c r="O592" i="5"/>
  <c r="S592" i="5"/>
  <c r="AV276" i="1"/>
  <c r="E301" i="1"/>
  <c r="E276" i="1"/>
  <c r="AP301" i="1"/>
  <c r="AD289" i="1"/>
  <c r="Y289" i="1"/>
  <c r="E289" i="1"/>
  <c r="T289" i="1" a="1"/>
  <c r="T289" i="1" s="1"/>
  <c r="U289" i="1" s="1"/>
  <c r="P289" i="1"/>
  <c r="AF289" i="1"/>
  <c r="AG289" i="1"/>
  <c r="Q289" i="1" a="1"/>
  <c r="Q289" i="1" s="1"/>
  <c r="S289" i="1"/>
  <c r="N289" i="1"/>
  <c r="BD289" i="1"/>
  <c r="F289" i="1"/>
  <c r="G289" i="1" s="1"/>
  <c r="O289" i="1"/>
  <c r="AI289" i="1"/>
  <c r="AY289" i="1"/>
  <c r="W289" i="1"/>
  <c r="AO289" i="1"/>
  <c r="Q310" i="5"/>
  <c r="P310" i="5"/>
  <c r="K310" i="5"/>
  <c r="S310" i="5"/>
  <c r="O310" i="5"/>
  <c r="K302" i="5"/>
  <c r="R302" i="5"/>
  <c r="R280" i="5"/>
  <c r="Q280" i="5"/>
  <c r="K280" i="5"/>
  <c r="R272" i="5"/>
  <c r="P272" i="5"/>
  <c r="Q272" i="5"/>
  <c r="R264" i="5"/>
  <c r="Q264" i="5"/>
  <c r="O256" i="5"/>
  <c r="P256" i="5"/>
  <c r="O240" i="5"/>
  <c r="R240" i="5"/>
  <c r="S240" i="5"/>
  <c r="Q240" i="5"/>
  <c r="T301" i="1" a="1"/>
  <c r="T301" i="1" s="1"/>
  <c r="U301" i="1" s="1"/>
  <c r="P301" i="1"/>
  <c r="AQ301" i="1"/>
  <c r="AR301" i="1" a="1"/>
  <c r="AR301" i="1" s="1"/>
  <c r="H301" i="1"/>
  <c r="S301" i="1"/>
  <c r="AI301" i="1"/>
  <c r="BD301" i="1"/>
  <c r="F301" i="1"/>
  <c r="G301" i="1" s="1"/>
  <c r="BB301" i="1" s="1"/>
  <c r="AO301" i="1"/>
  <c r="AT301" i="1" a="1"/>
  <c r="AT301" i="1" s="1"/>
  <c r="BC301" i="1"/>
  <c r="N301" i="1"/>
  <c r="AF301" i="1"/>
  <c r="AE301" i="1"/>
  <c r="AY301" i="1"/>
  <c r="AG301" i="1"/>
  <c r="AB301" i="1"/>
  <c r="X301" i="1"/>
  <c r="M301" i="1"/>
  <c r="P592" i="5"/>
  <c r="AZ301" i="1" a="1"/>
  <c r="AZ301" i="1" s="1"/>
  <c r="T307" i="1" a="1"/>
  <c r="T307" i="1" s="1"/>
  <c r="U307" i="1" s="1"/>
  <c r="AY307" i="1"/>
  <c r="P307" i="1"/>
  <c r="N307" i="1"/>
  <c r="AE307" i="1"/>
  <c r="AN307" i="1"/>
  <c r="L307" i="1"/>
  <c r="X307" i="1"/>
  <c r="S307" i="1"/>
  <c r="BD307" i="1"/>
  <c r="F307" i="1"/>
  <c r="G307" i="1" s="1"/>
  <c r="O307" i="1"/>
  <c r="BC307" i="1"/>
  <c r="AZ307" i="1" a="1"/>
  <c r="AZ307" i="1" s="1"/>
  <c r="AF307" i="1"/>
  <c r="AG307" i="1"/>
  <c r="AQ307" i="1"/>
  <c r="AR307" i="1" a="1"/>
  <c r="AR307" i="1" s="1"/>
  <c r="Q307" i="1" a="1"/>
  <c r="Q307" i="1" s="1"/>
  <c r="V307" i="1"/>
  <c r="Z307" i="1"/>
  <c r="D307" i="1"/>
  <c r="AY237" i="1"/>
  <c r="AN237" i="1"/>
  <c r="AS237" i="1" a="1"/>
  <c r="AS237" i="1" s="1"/>
  <c r="AQ237" i="1"/>
  <c r="E237" i="1"/>
  <c r="P237" i="1"/>
  <c r="T237" i="1" a="1"/>
  <c r="T237" i="1" s="1"/>
  <c r="U237" i="1" s="1"/>
  <c r="BC237" i="1"/>
  <c r="AE237" i="1"/>
  <c r="AG237" i="1"/>
  <c r="R592" i="5"/>
  <c r="AB276" i="1"/>
  <c r="Z301" i="1"/>
  <c r="AU301" i="1"/>
  <c r="AD307" i="1"/>
  <c r="T244" i="1" a="1"/>
  <c r="T244" i="1" s="1"/>
  <c r="U244" i="1" s="1"/>
  <c r="N244" i="1"/>
  <c r="AB244" i="1"/>
  <c r="O244" i="1"/>
  <c r="BC244" i="1"/>
  <c r="S244" i="1"/>
  <c r="AO244" i="1"/>
  <c r="X244" i="1"/>
  <c r="E244" i="1"/>
  <c r="AY244" i="1"/>
  <c r="AE244" i="1"/>
  <c r="K592" i="5"/>
  <c r="AS276" i="1" a="1"/>
  <c r="AS276" i="1" s="1"/>
  <c r="AN276" i="1"/>
  <c r="H313" i="1"/>
  <c r="AO313" i="1"/>
  <c r="AV313" i="1"/>
  <c r="W313" i="1"/>
  <c r="C313" i="1"/>
  <c r="AI313" i="1"/>
  <c r="T313" i="1" a="1"/>
  <c r="T313" i="1" s="1"/>
  <c r="U313" i="1" s="1"/>
  <c r="AE313" i="1"/>
  <c r="Q313" i="1" a="1"/>
  <c r="Q313" i="1" s="1"/>
  <c r="AD313" i="1"/>
  <c r="V313" i="1"/>
  <c r="AU313" i="1"/>
  <c r="AT313" i="1" a="1"/>
  <c r="AT313" i="1" s="1"/>
  <c r="AA313" i="1"/>
  <c r="BD313" i="1"/>
  <c r="AG313" i="1"/>
  <c r="P313" i="1"/>
  <c r="AR313" i="1" a="1"/>
  <c r="AR313" i="1" s="1"/>
  <c r="AZ313" i="1" a="1"/>
  <c r="AZ313" i="1" s="1"/>
  <c r="S313" i="1"/>
  <c r="N313" i="1"/>
  <c r="AF313" i="1"/>
  <c r="Q245" i="6"/>
  <c r="P245" i="6"/>
  <c r="Q237" i="6"/>
  <c r="O237" i="6"/>
  <c r="Y301" i="1"/>
  <c r="AO276" i="1"/>
  <c r="AT276" i="1" a="1"/>
  <c r="AT276" i="1" s="1"/>
  <c r="AQ276" i="1"/>
  <c r="W276" i="1"/>
  <c r="V301" i="1"/>
  <c r="AO237" i="1"/>
  <c r="O237" i="1"/>
  <c r="Q301" i="1" a="1"/>
  <c r="Q301" i="1" s="1"/>
  <c r="P292" i="6"/>
  <c r="K292" i="6"/>
  <c r="Q292" i="6"/>
  <c r="O292" i="6"/>
  <c r="R292" i="6"/>
  <c r="O282" i="6"/>
  <c r="Q282" i="6"/>
  <c r="O260" i="6"/>
  <c r="P260" i="6"/>
  <c r="Q260" i="6"/>
  <c r="X276" i="1"/>
  <c r="Q592" i="5"/>
  <c r="C301" i="1"/>
  <c r="C276" i="1"/>
  <c r="R301" i="1" a="1"/>
  <c r="R301" i="1" s="1"/>
  <c r="AD301" i="1"/>
  <c r="O276" i="1"/>
  <c r="O301" i="1"/>
  <c r="H289" i="1"/>
  <c r="AZ269" i="1" a="1"/>
  <c r="AZ269" i="1" s="1"/>
  <c r="P269" i="1"/>
  <c r="AO269" i="1"/>
  <c r="AB269" i="1"/>
  <c r="C269" i="1"/>
  <c r="H269" i="1"/>
  <c r="S269" i="1"/>
  <c r="AI269" i="1"/>
  <c r="T269" i="1" a="1"/>
  <c r="T269" i="1" s="1"/>
  <c r="U269" i="1" s="1"/>
  <c r="N269" i="1"/>
  <c r="AD269" i="1"/>
  <c r="Y269" i="1"/>
  <c r="BD269" i="1"/>
  <c r="O269" i="1"/>
  <c r="AF269" i="1"/>
  <c r="AG269" i="1"/>
  <c r="BC269" i="1"/>
  <c r="AP269" i="1"/>
  <c r="W269" i="1"/>
  <c r="R269" i="1" a="1"/>
  <c r="R269" i="1" s="1"/>
  <c r="AN269" i="1"/>
  <c r="F269" i="1"/>
  <c r="G269" i="1" s="1"/>
  <c r="AF262" i="1"/>
  <c r="Y262" i="1"/>
  <c r="Q262" i="1" a="1"/>
  <c r="Q262" i="1" s="1"/>
  <c r="P262" i="1"/>
  <c r="BD262" i="1"/>
  <c r="AY262" i="1"/>
  <c r="AO262" i="1"/>
  <c r="AP262" i="1"/>
  <c r="AB262" i="1"/>
  <c r="AS262" i="1" a="1"/>
  <c r="AS262" i="1" s="1"/>
  <c r="AT262" i="1" a="1"/>
  <c r="AT262" i="1" s="1"/>
  <c r="AZ262" i="1" a="1"/>
  <c r="AZ262" i="1" s="1"/>
  <c r="AG262" i="1"/>
  <c r="O310" i="6"/>
  <c r="Q310" i="6"/>
  <c r="P310" i="6"/>
  <c r="R310" i="6"/>
  <c r="K310" i="6"/>
  <c r="R297" i="6"/>
  <c r="O297" i="6"/>
  <c r="Q297" i="6"/>
  <c r="P297" i="6"/>
  <c r="K297" i="6"/>
  <c r="H311" i="1"/>
  <c r="AI278" i="1"/>
  <c r="AI245" i="1"/>
  <c r="H309" i="1"/>
  <c r="P291" i="1"/>
  <c r="AD291" i="1"/>
  <c r="AU291" i="1"/>
  <c r="AR291" i="1" a="1"/>
  <c r="AR291" i="1" s="1"/>
  <c r="BD291" i="1"/>
  <c r="H291" i="1"/>
  <c r="AI291" i="1"/>
  <c r="Q291" i="1" a="1"/>
  <c r="Q291" i="1" s="1"/>
  <c r="AV291" i="1"/>
  <c r="AQ291" i="1"/>
  <c r="F291" i="1"/>
  <c r="G291" i="1" s="1"/>
  <c r="AF291" i="1"/>
  <c r="AO291" i="1"/>
  <c r="AB291" i="1"/>
  <c r="Z291" i="1"/>
  <c r="T271" i="1" a="1"/>
  <c r="T271" i="1" s="1"/>
  <c r="U271" i="1" s="1"/>
  <c r="H271" i="1"/>
  <c r="BC271" i="1"/>
  <c r="AZ271" i="1" a="1"/>
  <c r="AZ271" i="1" s="1"/>
  <c r="N271" i="1"/>
  <c r="AD271" i="1"/>
  <c r="L271" i="1"/>
  <c r="AE257" i="1"/>
  <c r="AI257" i="1"/>
  <c r="BD257" i="1"/>
  <c r="N257" i="1"/>
  <c r="P257" i="1"/>
  <c r="AF257" i="1"/>
  <c r="AO257" i="1"/>
  <c r="Q609" i="5"/>
  <c r="R609" i="5"/>
  <c r="O609" i="5"/>
  <c r="S609" i="5"/>
  <c r="K609" i="5"/>
  <c r="P601" i="5"/>
  <c r="Q601" i="5"/>
  <c r="S601" i="5"/>
  <c r="R601" i="5"/>
  <c r="O601" i="5"/>
  <c r="R597" i="5"/>
  <c r="O597" i="5"/>
  <c r="Q593" i="5"/>
  <c r="R593" i="5"/>
  <c r="O593" i="5"/>
  <c r="P589" i="5"/>
  <c r="R589" i="5"/>
  <c r="E291" i="1"/>
  <c r="AP257" i="1"/>
  <c r="AB271" i="1"/>
  <c r="AP291" i="1"/>
  <c r="AN291" i="1"/>
  <c r="P597" i="5"/>
  <c r="AG291" i="1"/>
  <c r="S257" i="1"/>
  <c r="AY291" i="1"/>
  <c r="Q257" i="1" a="1"/>
  <c r="Q257" i="1" s="1"/>
  <c r="BC291" i="1"/>
  <c r="AI271" i="1"/>
  <c r="O26" i="5"/>
  <c r="O31" i="5"/>
  <c r="O21" i="5"/>
  <c r="O35" i="5"/>
  <c r="P622" i="5"/>
  <c r="Q622" i="5"/>
  <c r="R622" i="5"/>
  <c r="S622" i="5"/>
  <c r="O622" i="5"/>
  <c r="AE291" i="1"/>
  <c r="AZ291" i="1" a="1"/>
  <c r="AZ291" i="1" s="1"/>
  <c r="T291" i="1" a="1"/>
  <c r="T291" i="1" s="1"/>
  <c r="U291" i="1" s="1"/>
  <c r="H276" i="1"/>
  <c r="BC276" i="1"/>
  <c r="N276" i="1"/>
  <c r="AZ276" i="1" a="1"/>
  <c r="AZ276" i="1" s="1"/>
  <c r="AD276" i="1"/>
  <c r="AU276" i="1"/>
  <c r="H262" i="1"/>
  <c r="BC262" i="1"/>
  <c r="S262" i="1"/>
  <c r="N262" i="1"/>
  <c r="AE262" i="1"/>
  <c r="T262" i="1" a="1"/>
  <c r="T262" i="1" s="1"/>
  <c r="U262" i="1" s="1"/>
  <c r="Q237" i="1" a="1"/>
  <c r="Q237" i="1" s="1"/>
  <c r="N237" i="1"/>
  <c r="AF237" i="1"/>
  <c r="F237" i="1"/>
  <c r="G237" i="1" s="1"/>
  <c r="S237" i="1"/>
  <c r="AD237" i="1"/>
  <c r="H237" i="1"/>
  <c r="AI237" i="1"/>
  <c r="AZ237" i="1" a="1"/>
  <c r="AZ237" i="1" s="1"/>
  <c r="AU237" i="1"/>
  <c r="Y237" i="1"/>
  <c r="L237" i="1"/>
  <c r="M237" i="1"/>
  <c r="K601" i="5"/>
  <c r="O257" i="1"/>
  <c r="S271" i="1"/>
  <c r="AY271" i="1"/>
  <c r="T257" i="1" a="1"/>
  <c r="T257" i="1" s="1"/>
  <c r="U257" i="1" s="1"/>
  <c r="H257" i="1"/>
  <c r="AY300" i="1"/>
  <c r="AF300" i="1"/>
  <c r="AE300" i="1"/>
  <c r="AR300" i="1" a="1"/>
  <c r="AR300" i="1" s="1"/>
  <c r="F300" i="1"/>
  <c r="G300" i="1" s="1"/>
  <c r="P300" i="1"/>
  <c r="Q259" i="6"/>
  <c r="P259" i="6"/>
  <c r="Q244" i="6"/>
  <c r="R244" i="6"/>
  <c r="D271" i="1"/>
  <c r="AN257" i="1"/>
  <c r="W271" i="1"/>
  <c r="AB257" i="1"/>
  <c r="R291" i="1" a="1"/>
  <c r="R291" i="1" s="1"/>
  <c r="AU271" i="1"/>
  <c r="Q597" i="5"/>
  <c r="P271" i="1"/>
  <c r="AY257" i="1"/>
  <c r="F271" i="1"/>
  <c r="G271" i="1" s="1"/>
  <c r="AZ281" i="1" a="1"/>
  <c r="AZ281" i="1" s="1"/>
  <c r="AD281" i="1"/>
  <c r="AI281" i="1"/>
  <c r="P281" i="1"/>
  <c r="AO281" i="1"/>
  <c r="L281" i="1"/>
  <c r="CZ8" i="1"/>
  <c r="Q308" i="5"/>
  <c r="O308" i="5"/>
  <c r="R300" i="5"/>
  <c r="Q300" i="5"/>
  <c r="K293" i="5"/>
  <c r="S293" i="5"/>
  <c r="Q293" i="5"/>
  <c r="P293" i="5"/>
  <c r="O293" i="5"/>
  <c r="R293" i="5"/>
  <c r="O286" i="5"/>
  <c r="R286" i="5"/>
  <c r="Q286" i="5"/>
  <c r="R278" i="5"/>
  <c r="O278" i="5"/>
  <c r="P278" i="5"/>
  <c r="P262" i="5"/>
  <c r="O262" i="5"/>
  <c r="R262" i="5"/>
  <c r="S254" i="5"/>
  <c r="R254" i="5"/>
  <c r="Q254" i="5"/>
  <c r="O246" i="5"/>
  <c r="R246" i="5"/>
  <c r="P246" i="5"/>
  <c r="Q266" i="6"/>
  <c r="O266" i="6"/>
  <c r="E271" i="1"/>
  <c r="C257" i="1"/>
  <c r="V271" i="1"/>
  <c r="R257" i="1" a="1"/>
  <c r="R257" i="1" s="1"/>
  <c r="AA257" i="1"/>
  <c r="M257" i="1"/>
  <c r="L291" i="1"/>
  <c r="AT291" i="1" a="1"/>
  <c r="AT291" i="1" s="1"/>
  <c r="AU257" i="1"/>
  <c r="V291" i="1"/>
  <c r="AD257" i="1"/>
  <c r="S291" i="1"/>
  <c r="AZ257" i="1" a="1"/>
  <c r="AZ257" i="1" s="1"/>
  <c r="AY305" i="1"/>
  <c r="N305" i="1"/>
  <c r="AD305" i="1"/>
  <c r="V305" i="1"/>
  <c r="AT305" i="1" a="1"/>
  <c r="AT305" i="1" s="1"/>
  <c r="AS305" i="1" a="1"/>
  <c r="AS305" i="1" s="1"/>
  <c r="AA305" i="1"/>
  <c r="L305" i="1"/>
  <c r="F305" i="1"/>
  <c r="G305" i="1" s="1"/>
  <c r="AN305" i="1"/>
  <c r="AU305" i="1"/>
  <c r="AI305" i="1"/>
  <c r="BC305" i="1"/>
  <c r="AZ305" i="1" a="1"/>
  <c r="AZ305" i="1" s="1"/>
  <c r="AF305" i="1"/>
  <c r="AO305" i="1"/>
  <c r="AI286" i="1"/>
  <c r="AZ286" i="1" a="1"/>
  <c r="AZ286" i="1" s="1"/>
  <c r="N286" i="1"/>
  <c r="BD286" i="1"/>
  <c r="AE286" i="1"/>
  <c r="BC286" i="1"/>
  <c r="S286" i="1"/>
  <c r="AF286" i="1"/>
  <c r="R296" i="6"/>
  <c r="P296" i="6"/>
  <c r="Q296" i="6"/>
  <c r="K296" i="6"/>
  <c r="R271" i="1" a="1"/>
  <c r="R271" i="1" s="1"/>
  <c r="Z257" i="1"/>
  <c r="S589" i="5"/>
  <c r="W291" i="1"/>
  <c r="L257" i="1"/>
  <c r="Y271" i="1"/>
  <c r="AG257" i="1"/>
  <c r="AG271" i="1"/>
  <c r="O291" i="1"/>
  <c r="F257" i="1"/>
  <c r="G257" i="1" s="1"/>
  <c r="BA257" i="1" s="1"/>
  <c r="BD271" i="1"/>
  <c r="H310" i="1"/>
  <c r="S310" i="1"/>
  <c r="O310" i="1"/>
  <c r="AE310" i="1"/>
  <c r="AN310" i="1"/>
  <c r="AT310" i="1" a="1"/>
  <c r="AT310" i="1" s="1"/>
  <c r="AB310" i="1"/>
  <c r="M310" i="1"/>
  <c r="AI310" i="1"/>
  <c r="BC310" i="1"/>
  <c r="AY310" i="1"/>
  <c r="AO310" i="1"/>
  <c r="AV310" i="1"/>
  <c r="Z310" i="1"/>
  <c r="T247" i="1" a="1"/>
  <c r="T247" i="1" s="1"/>
  <c r="U247" i="1" s="1"/>
  <c r="AD247" i="1"/>
  <c r="H247" i="1"/>
  <c r="BC247" i="1"/>
  <c r="AY247" i="1"/>
  <c r="N247" i="1"/>
  <c r="S247" i="1"/>
  <c r="AF247" i="1"/>
  <c r="AO247" i="1"/>
  <c r="O103" i="5"/>
  <c r="O589" i="5"/>
  <c r="K306" i="6"/>
  <c r="R306" i="6"/>
  <c r="R301" i="6"/>
  <c r="P301" i="6"/>
  <c r="K301" i="6"/>
  <c r="O301" i="6"/>
  <c r="C291" i="1"/>
  <c r="E257" i="1"/>
  <c r="K597" i="5"/>
  <c r="W257" i="1"/>
  <c r="Z271" i="1"/>
  <c r="S593" i="5"/>
  <c r="M291" i="1"/>
  <c r="AE271" i="1"/>
  <c r="N291" i="1"/>
  <c r="O271" i="1"/>
  <c r="Q271" i="1" a="1"/>
  <c r="Q271" i="1" s="1"/>
  <c r="AI290" i="1"/>
  <c r="H270" i="1"/>
  <c r="AI307" i="1"/>
  <c r="O175" i="5"/>
  <c r="O154" i="5"/>
  <c r="O449" i="5"/>
  <c r="O421" i="5"/>
  <c r="O233" i="5"/>
  <c r="AI265" i="1"/>
  <c r="N288" i="1"/>
  <c r="AF288" i="1"/>
  <c r="X288" i="1"/>
  <c r="AI288" i="1"/>
  <c r="P288" i="1"/>
  <c r="AG288" i="1"/>
  <c r="AU288" i="1"/>
  <c r="AO288" i="1"/>
  <c r="AS288" i="1" a="1"/>
  <c r="AS288" i="1" s="1"/>
  <c r="AP288" i="1"/>
  <c r="O288" i="1"/>
  <c r="AE288" i="1"/>
  <c r="AV288" i="1"/>
  <c r="AQ288" i="1"/>
  <c r="L288" i="1"/>
  <c r="W288" i="1"/>
  <c r="AD288" i="1"/>
  <c r="AT288" i="1" a="1"/>
  <c r="AT288" i="1" s="1"/>
  <c r="Y288" i="1"/>
  <c r="R288" i="1" a="1"/>
  <c r="R288" i="1" s="1"/>
  <c r="AZ288" i="1" a="1"/>
  <c r="AZ288" i="1" s="1"/>
  <c r="AB288" i="1"/>
  <c r="J5" i="2"/>
  <c r="AC5" i="2" s="1"/>
  <c r="L5" i="2"/>
  <c r="AE5" i="2" s="1"/>
  <c r="O5" i="2"/>
  <c r="H256" i="1"/>
  <c r="Q256" i="1" a="1"/>
  <c r="Q256" i="1" s="1"/>
  <c r="N256" i="1"/>
  <c r="AF256" i="1"/>
  <c r="Y256" i="1"/>
  <c r="AZ256" i="1" a="1"/>
  <c r="AZ256" i="1" s="1"/>
  <c r="P256" i="1"/>
  <c r="AG256" i="1"/>
  <c r="AU256" i="1"/>
  <c r="AY256" i="1"/>
  <c r="AO256" i="1"/>
  <c r="L256" i="1"/>
  <c r="R256" i="1" a="1"/>
  <c r="R256" i="1" s="1"/>
  <c r="V256" i="1"/>
  <c r="F256" i="1"/>
  <c r="G256" i="1" s="1"/>
  <c r="AE256" i="1"/>
  <c r="W256" i="1"/>
  <c r="AN256" i="1"/>
  <c r="AQ256" i="1"/>
  <c r="AI256" i="1"/>
  <c r="AD256" i="1"/>
  <c r="T256" i="1" a="1"/>
  <c r="T256" i="1" s="1"/>
  <c r="U256" i="1" s="1"/>
  <c r="X256" i="1"/>
  <c r="AP256" i="1"/>
  <c r="Z256" i="1"/>
  <c r="BC292" i="1"/>
  <c r="AZ292" i="1" a="1"/>
  <c r="AZ292" i="1" s="1"/>
  <c r="AG292" i="1"/>
  <c r="AR292" i="1" a="1"/>
  <c r="AR292" i="1" s="1"/>
  <c r="P292" i="1"/>
  <c r="AB292" i="1"/>
  <c r="R292" i="1" a="1"/>
  <c r="R292" i="1" s="1"/>
  <c r="AI292" i="1"/>
  <c r="AI260" i="1"/>
  <c r="T260" i="1" a="1"/>
  <c r="T260" i="1" s="1"/>
  <c r="U260" i="1" s="1"/>
  <c r="AG260" i="1"/>
  <c r="M260" i="1"/>
  <c r="AZ260" i="1" a="1"/>
  <c r="AZ260" i="1" s="1"/>
  <c r="P260" i="1"/>
  <c r="AF260" i="1"/>
  <c r="N292" i="1"/>
  <c r="S292" i="1"/>
  <c r="F260" i="1"/>
  <c r="G260" i="1" s="1"/>
  <c r="BC296" i="1"/>
  <c r="AN296" i="1"/>
  <c r="L296" i="1"/>
  <c r="W296" i="1"/>
  <c r="H296" i="1"/>
  <c r="AY296" i="1"/>
  <c r="AF296" i="1"/>
  <c r="AG296" i="1"/>
  <c r="AZ264" i="1" a="1"/>
  <c r="AZ264" i="1" s="1"/>
  <c r="AF264" i="1"/>
  <c r="AG264" i="1"/>
  <c r="AG300" i="1"/>
  <c r="AS300" i="1" a="1"/>
  <c r="AS300" i="1" s="1"/>
  <c r="Z300" i="1"/>
  <c r="BC300" i="1"/>
  <c r="N300" i="1"/>
  <c r="V300" i="1"/>
  <c r="L300" i="1"/>
  <c r="M300" i="1"/>
  <c r="AY268" i="1"/>
  <c r="AG268" i="1"/>
  <c r="N268" i="1"/>
  <c r="M268" i="1"/>
  <c r="BD236" i="1"/>
  <c r="F236" i="1"/>
  <c r="G236" i="1" s="1"/>
  <c r="AG236" i="1"/>
  <c r="Y236" i="1"/>
  <c r="AA236" i="1"/>
  <c r="N236" i="1"/>
  <c r="L236" i="1"/>
  <c r="E3" i="3"/>
  <c r="A1" i="2"/>
  <c r="A1" i="7"/>
  <c r="A1" i="5"/>
  <c r="A1" i="4"/>
  <c r="A1" i="6"/>
  <c r="A25" i="2"/>
  <c r="N260" i="1"/>
  <c r="S260" i="1"/>
  <c r="BC260" i="1"/>
  <c r="BD292" i="1"/>
  <c r="Q304" i="1" a="1"/>
  <c r="Q304" i="1" s="1"/>
  <c r="P304" i="1"/>
  <c r="AF304" i="1"/>
  <c r="AU304" i="1"/>
  <c r="AB304" i="1"/>
  <c r="N304" i="1"/>
  <c r="AG304" i="1"/>
  <c r="AT304" i="1" a="1"/>
  <c r="AT304" i="1" s="1"/>
  <c r="AP304" i="1"/>
  <c r="BD272" i="1"/>
  <c r="P272" i="1"/>
  <c r="AF272" i="1"/>
  <c r="AU272" i="1"/>
  <c r="X272" i="1"/>
  <c r="T272" i="1" a="1"/>
  <c r="T272" i="1" s="1"/>
  <c r="U272" i="1" s="1"/>
  <c r="N272" i="1"/>
  <c r="AG272" i="1"/>
  <c r="P240" i="1"/>
  <c r="AF240" i="1"/>
  <c r="AU240" i="1"/>
  <c r="BD240" i="1"/>
  <c r="N240" i="1"/>
  <c r="AG240" i="1"/>
  <c r="L240" i="1"/>
  <c r="AB240" i="1"/>
  <c r="O57" i="5"/>
  <c r="R57" i="5"/>
  <c r="R10" i="5"/>
  <c r="O10" i="5"/>
  <c r="O472" i="5"/>
  <c r="O456" i="5"/>
  <c r="O440" i="5"/>
  <c r="O471" i="5"/>
  <c r="O234" i="5"/>
  <c r="O218" i="5"/>
  <c r="O170" i="5"/>
  <c r="O162" i="5"/>
  <c r="O138" i="5"/>
  <c r="O122" i="5"/>
  <c r="O106" i="5"/>
  <c r="O74" i="5"/>
  <c r="O66" i="5"/>
  <c r="O58" i="5"/>
  <c r="O42" i="5"/>
  <c r="O83" i="5"/>
  <c r="O28" i="5"/>
  <c r="O394" i="5"/>
  <c r="O424" i="5"/>
  <c r="O408" i="5"/>
  <c r="O392" i="5"/>
  <c r="O376" i="5"/>
  <c r="O360" i="5"/>
  <c r="O344" i="5"/>
  <c r="O328" i="5"/>
  <c r="O516" i="5"/>
  <c r="O391" i="5"/>
  <c r="O319" i="5"/>
  <c r="O183" i="5"/>
  <c r="O111" i="5"/>
  <c r="O39" i="5"/>
  <c r="O315" i="5"/>
  <c r="R315" i="5"/>
  <c r="K614" i="5"/>
  <c r="P614" i="5"/>
  <c r="Q606" i="5"/>
  <c r="S606" i="5"/>
  <c r="O585" i="5"/>
  <c r="Q585" i="5"/>
  <c r="R585" i="5"/>
  <c r="O581" i="5"/>
  <c r="Q581" i="5"/>
  <c r="R581" i="5"/>
  <c r="R577" i="5"/>
  <c r="P577" i="5"/>
  <c r="O577" i="5"/>
  <c r="R569" i="5"/>
  <c r="O569" i="5"/>
  <c r="P565" i="5"/>
  <c r="O565" i="5"/>
  <c r="R553" i="5"/>
  <c r="O553" i="5"/>
  <c r="R545" i="5"/>
  <c r="O545" i="5"/>
  <c r="O513" i="5"/>
  <c r="R513" i="5"/>
  <c r="R489" i="5"/>
  <c r="O489" i="5"/>
  <c r="O481" i="5"/>
  <c r="O453" i="5"/>
  <c r="O401" i="5"/>
  <c r="O385" i="5"/>
  <c r="O381" i="5"/>
  <c r="O357" i="5"/>
  <c r="Q258" i="6"/>
  <c r="R258" i="6"/>
  <c r="AN292" i="1"/>
  <c r="Q264" i="1" a="1"/>
  <c r="Q264" i="1" s="1"/>
  <c r="Q280" i="1" a="1"/>
  <c r="Q280" i="1" s="1"/>
  <c r="Q312" i="1" a="1"/>
  <c r="Q312" i="1" s="1"/>
  <c r="Q260" i="1" a="1"/>
  <c r="Q260" i="1" s="1"/>
  <c r="H264" i="1"/>
  <c r="Q308" i="1" a="1"/>
  <c r="Q308" i="1" s="1"/>
  <c r="P308" i="1"/>
  <c r="AG308" i="1"/>
  <c r="AB308" i="1"/>
  <c r="R308" i="1" a="1"/>
  <c r="R308" i="1" s="1"/>
  <c r="H308" i="1"/>
  <c r="T308" i="1" a="1"/>
  <c r="T308" i="1" s="1"/>
  <c r="U308" i="1" s="1"/>
  <c r="AY308" i="1"/>
  <c r="AV308" i="1"/>
  <c r="Q276" i="1" a="1"/>
  <c r="Q276" i="1" s="1"/>
  <c r="P276" i="1"/>
  <c r="AG276" i="1"/>
  <c r="F276" i="1"/>
  <c r="G276" i="1" s="1"/>
  <c r="Y276" i="1"/>
  <c r="M276" i="1"/>
  <c r="F244" i="1"/>
  <c r="G244" i="1" s="1"/>
  <c r="P244" i="1"/>
  <c r="AG244" i="1"/>
  <c r="M244" i="1"/>
  <c r="H244" i="1"/>
  <c r="BD244" i="1"/>
  <c r="O383" i="5"/>
  <c r="S314" i="5"/>
  <c r="O314" i="5"/>
  <c r="R314" i="5"/>
  <c r="O468" i="5"/>
  <c r="O185" i="5"/>
  <c r="O169" i="5"/>
  <c r="O153" i="5"/>
  <c r="O121" i="5"/>
  <c r="O89" i="5"/>
  <c r="O204" i="5"/>
  <c r="O548" i="5"/>
  <c r="O544" i="5"/>
  <c r="O540" i="5"/>
  <c r="O532" i="5"/>
  <c r="O528" i="5"/>
  <c r="O520" i="5"/>
  <c r="AF292" i="1"/>
  <c r="F292" i="1"/>
  <c r="G292" i="1" s="1"/>
  <c r="BD260" i="1"/>
  <c r="T292" i="1" a="1"/>
  <c r="T292" i="1" s="1"/>
  <c r="U292" i="1" s="1"/>
  <c r="T312" i="1" a="1"/>
  <c r="T312" i="1" s="1"/>
  <c r="U312" i="1" s="1"/>
  <c r="AN312" i="1"/>
  <c r="AQ312" i="1"/>
  <c r="AR312" i="1" a="1"/>
  <c r="AR312" i="1" s="1"/>
  <c r="AI312" i="1"/>
  <c r="BD312" i="1"/>
  <c r="F312" i="1"/>
  <c r="G312" i="1" s="1"/>
  <c r="AF312" i="1"/>
  <c r="AG312" i="1"/>
  <c r="R312" i="1" a="1"/>
  <c r="R312" i="1" s="1"/>
  <c r="AZ280" i="1" a="1"/>
  <c r="AZ280" i="1" s="1"/>
  <c r="X280" i="1"/>
  <c r="AF280" i="1"/>
  <c r="AG280" i="1"/>
  <c r="Y280" i="1"/>
  <c r="BC248" i="1"/>
  <c r="AY248" i="1"/>
  <c r="H248" i="1"/>
  <c r="T248" i="1" a="1"/>
  <c r="T248" i="1" s="1"/>
  <c r="U248" i="1" s="1"/>
  <c r="AF248" i="1"/>
  <c r="AG248" i="1"/>
  <c r="O455" i="5"/>
  <c r="O354" i="5"/>
  <c r="O546" i="5"/>
  <c r="O206" i="5"/>
  <c r="AY284" i="1"/>
  <c r="N284" i="1"/>
  <c r="AG284" i="1"/>
  <c r="BD284" i="1"/>
  <c r="M284" i="1"/>
  <c r="Q252" i="1" a="1"/>
  <c r="Q252" i="1" s="1"/>
  <c r="N252" i="1"/>
  <c r="AG252" i="1"/>
  <c r="Y252" i="1"/>
  <c r="L252" i="1"/>
  <c r="H252" i="1"/>
  <c r="AY252" i="1"/>
  <c r="M252" i="1"/>
  <c r="O512" i="5"/>
  <c r="O533" i="5"/>
  <c r="S614" i="5"/>
  <c r="O47" i="5"/>
  <c r="O119" i="5"/>
  <c r="O191" i="5"/>
  <c r="O327" i="5"/>
  <c r="O407" i="5"/>
  <c r="O479" i="5"/>
  <c r="O624" i="5"/>
  <c r="R600" i="5"/>
  <c r="S616" i="5"/>
  <c r="Q624" i="5"/>
  <c r="O402" i="5"/>
  <c r="Q603" i="5"/>
  <c r="O60" i="5"/>
  <c r="O188" i="5"/>
  <c r="O272" i="5"/>
  <c r="O163" i="5"/>
  <c r="O25" i="5"/>
  <c r="P621" i="5"/>
  <c r="Q621" i="5"/>
  <c r="S621" i="5"/>
  <c r="R295" i="6"/>
  <c r="K295" i="6"/>
  <c r="O295" i="6"/>
  <c r="P295" i="6"/>
  <c r="O55" i="5"/>
  <c r="O127" i="5"/>
  <c r="O199" i="5"/>
  <c r="O343" i="5"/>
  <c r="O415" i="5"/>
  <c r="O484" i="5"/>
  <c r="O316" i="5"/>
  <c r="O332" i="5"/>
  <c r="O348" i="5"/>
  <c r="O364" i="5"/>
  <c r="O380" i="5"/>
  <c r="O396" i="5"/>
  <c r="O412" i="5"/>
  <c r="O428" i="5"/>
  <c r="O444" i="5"/>
  <c r="O460" i="5"/>
  <c r="O476" i="5"/>
  <c r="P616" i="5"/>
  <c r="S624" i="5"/>
  <c r="O202" i="5"/>
  <c r="O434" i="5"/>
  <c r="S603" i="5"/>
  <c r="O124" i="5"/>
  <c r="O211" i="5"/>
  <c r="O85" i="5"/>
  <c r="O301" i="5"/>
  <c r="Q290" i="6"/>
  <c r="K290" i="6"/>
  <c r="R290" i="6"/>
  <c r="O63" i="5"/>
  <c r="O135" i="5"/>
  <c r="O215" i="5"/>
  <c r="O351" i="5"/>
  <c r="O423" i="5"/>
  <c r="O492" i="5"/>
  <c r="P624" i="5"/>
  <c r="O458" i="5"/>
  <c r="R603" i="5"/>
  <c r="Q611" i="5"/>
  <c r="O227" i="5"/>
  <c r="O482" i="5"/>
  <c r="O141" i="5"/>
  <c r="O14" i="5"/>
  <c r="P302" i="5"/>
  <c r="Q302" i="5"/>
  <c r="O217" i="5"/>
  <c r="R302" i="6"/>
  <c r="K302" i="6"/>
  <c r="O302" i="6"/>
  <c r="P302" i="6"/>
  <c r="Q302" i="6"/>
  <c r="O71" i="5"/>
  <c r="O151" i="5"/>
  <c r="O223" i="5"/>
  <c r="O359" i="5"/>
  <c r="O431" i="5"/>
  <c r="O496" i="5"/>
  <c r="O320" i="5"/>
  <c r="O336" i="5"/>
  <c r="O352" i="5"/>
  <c r="O368" i="5"/>
  <c r="O384" i="5"/>
  <c r="O400" i="5"/>
  <c r="O416" i="5"/>
  <c r="O432" i="5"/>
  <c r="O448" i="5"/>
  <c r="O464" i="5"/>
  <c r="O480" i="5"/>
  <c r="K603" i="5"/>
  <c r="S611" i="5"/>
  <c r="O280" i="5"/>
  <c r="O514" i="5"/>
  <c r="O134" i="5"/>
  <c r="AI309" i="1"/>
  <c r="AI302" i="1"/>
  <c r="O7" i="5"/>
  <c r="O87" i="5"/>
  <c r="O159" i="5"/>
  <c r="O231" i="5"/>
  <c r="O367" i="5"/>
  <c r="O439" i="5"/>
  <c r="O500" i="5"/>
  <c r="R9" i="5"/>
  <c r="P603" i="5"/>
  <c r="R611" i="5"/>
  <c r="O44" i="5"/>
  <c r="O108" i="5"/>
  <c r="O264" i="5"/>
  <c r="O5" i="5"/>
  <c r="O241" i="5"/>
  <c r="K621" i="5"/>
  <c r="R311" i="6"/>
  <c r="Q311" i="6"/>
  <c r="K311" i="6"/>
  <c r="O311" i="6"/>
  <c r="P311" i="6"/>
  <c r="R299" i="6"/>
  <c r="P299" i="6"/>
  <c r="Q299" i="6"/>
  <c r="K299" i="6"/>
  <c r="O23" i="5"/>
  <c r="O95" i="5"/>
  <c r="O167" i="5"/>
  <c r="O375" i="5"/>
  <c r="O447" i="5"/>
  <c r="O508" i="5"/>
  <c r="O324" i="5"/>
  <c r="O340" i="5"/>
  <c r="O356" i="5"/>
  <c r="O372" i="5"/>
  <c r="O388" i="5"/>
  <c r="O404" i="5"/>
  <c r="O420" i="5"/>
  <c r="O436" i="5"/>
  <c r="O452" i="5"/>
  <c r="O330" i="5"/>
  <c r="K611" i="5"/>
  <c r="O302" i="5"/>
  <c r="O547" i="5"/>
  <c r="O491" i="5"/>
  <c r="O306" i="6"/>
  <c r="P306" i="6"/>
  <c r="Q306" i="6"/>
  <c r="O98" i="5"/>
  <c r="O229" i="5"/>
  <c r="O165" i="5"/>
  <c r="O69" i="5"/>
  <c r="O158" i="5"/>
  <c r="O524" i="5"/>
  <c r="O510" i="5"/>
  <c r="O477" i="5"/>
  <c r="O187" i="5"/>
  <c r="AJ5" i="2"/>
  <c r="Q29" i="2"/>
  <c r="K5" i="2"/>
  <c r="I5" i="2"/>
  <c r="S5" i="2"/>
  <c r="G5" i="2"/>
  <c r="H5" i="2"/>
  <c r="M5" i="2"/>
  <c r="R5" i="2"/>
  <c r="N5" i="2"/>
  <c r="P5" i="2"/>
  <c r="AM312" i="1"/>
  <c r="AW312" i="1"/>
  <c r="AX312" i="1" s="1"/>
  <c r="H312" i="1"/>
  <c r="AW308" i="1"/>
  <c r="AX308" i="1" s="1"/>
  <c r="AM308" i="1"/>
  <c r="BC308" i="1"/>
  <c r="AI308" i="1"/>
  <c r="AM304" i="1"/>
  <c r="AW304" i="1"/>
  <c r="AX304" i="1" s="1"/>
  <c r="AI304" i="1"/>
  <c r="AW300" i="1"/>
  <c r="AX300" i="1" s="1"/>
  <c r="AM300" i="1"/>
  <c r="Q300" i="1" a="1"/>
  <c r="Q300" i="1" s="1"/>
  <c r="H300" i="1"/>
  <c r="AI300" i="1"/>
  <c r="AM296" i="1"/>
  <c r="AW296" i="1"/>
  <c r="AX296" i="1" s="1"/>
  <c r="AI296" i="1"/>
  <c r="AW292" i="1"/>
  <c r="AX292" i="1" s="1"/>
  <c r="AM292" i="1"/>
  <c r="H292" i="1"/>
  <c r="AM288" i="1"/>
  <c r="AW288" i="1"/>
  <c r="AX288" i="1" s="1"/>
  <c r="AW284" i="1"/>
  <c r="AX284" i="1" s="1"/>
  <c r="AM284" i="1"/>
  <c r="AI284" i="1"/>
  <c r="AM280" i="1"/>
  <c r="AW280" i="1"/>
  <c r="AX280" i="1" s="1"/>
  <c r="AI280" i="1"/>
  <c r="AW276" i="1"/>
  <c r="AX276" i="1" s="1"/>
  <c r="AM276" i="1"/>
  <c r="T276" i="1" a="1"/>
  <c r="T276" i="1" s="1"/>
  <c r="U276" i="1" s="1"/>
  <c r="AI276" i="1"/>
  <c r="AM272" i="1"/>
  <c r="AW272" i="1"/>
  <c r="AX272" i="1" s="1"/>
  <c r="AI272" i="1"/>
  <c r="AW268" i="1"/>
  <c r="AX268" i="1" s="1"/>
  <c r="AM268" i="1"/>
  <c r="H268" i="1"/>
  <c r="AI268" i="1"/>
  <c r="AM264" i="1"/>
  <c r="AW264" i="1"/>
  <c r="AX264" i="1" s="1"/>
  <c r="AI264" i="1"/>
  <c r="AW260" i="1"/>
  <c r="AX260" i="1" s="1"/>
  <c r="AM260" i="1"/>
  <c r="H260" i="1"/>
  <c r="AM256" i="1"/>
  <c r="AW256" i="1"/>
  <c r="AX256" i="1" s="1"/>
  <c r="AW252" i="1"/>
  <c r="AX252" i="1" s="1"/>
  <c r="AM252" i="1"/>
  <c r="AI252" i="1"/>
  <c r="BD252" i="1"/>
  <c r="AM248" i="1"/>
  <c r="AW248" i="1"/>
  <c r="AX248" i="1" s="1"/>
  <c r="AI248" i="1"/>
  <c r="AW244" i="1"/>
  <c r="AX244" i="1" s="1"/>
  <c r="AM244" i="1"/>
  <c r="Q244" i="1" a="1"/>
  <c r="Q244" i="1" s="1"/>
  <c r="AI244" i="1"/>
  <c r="AM240" i="1"/>
  <c r="AW240" i="1"/>
  <c r="AX240" i="1" s="1"/>
  <c r="AI240" i="1"/>
  <c r="AW236" i="1"/>
  <c r="AX236" i="1" s="1"/>
  <c r="AM236" i="1"/>
  <c r="H236" i="1"/>
  <c r="AI236" i="1"/>
  <c r="O59" i="5"/>
  <c r="O101" i="5"/>
  <c r="O6" i="5"/>
  <c r="O467" i="5"/>
  <c r="O498" i="5"/>
  <c r="AM311" i="1"/>
  <c r="AW311" i="1"/>
  <c r="AX311" i="1" s="1"/>
  <c r="AW307" i="1"/>
  <c r="AX307" i="1" s="1"/>
  <c r="AM307" i="1"/>
  <c r="AM303" i="1"/>
  <c r="AW303" i="1"/>
  <c r="AX303" i="1" s="1"/>
  <c r="AW299" i="1"/>
  <c r="AX299" i="1" s="1"/>
  <c r="AM299" i="1"/>
  <c r="AM295" i="1"/>
  <c r="AW295" i="1"/>
  <c r="AX295" i="1" s="1"/>
  <c r="AW291" i="1"/>
  <c r="AX291" i="1" s="1"/>
  <c r="AM291" i="1"/>
  <c r="AM287" i="1"/>
  <c r="AW287" i="1"/>
  <c r="AX287" i="1" s="1"/>
  <c r="AW283" i="1"/>
  <c r="AX283" i="1" s="1"/>
  <c r="AM283" i="1"/>
  <c r="AM279" i="1"/>
  <c r="AW279" i="1"/>
  <c r="AX279" i="1" s="1"/>
  <c r="AW275" i="1"/>
  <c r="AX275" i="1" s="1"/>
  <c r="AM275" i="1"/>
  <c r="AM271" i="1"/>
  <c r="AW271" i="1"/>
  <c r="AX271" i="1" s="1"/>
  <c r="AW267" i="1"/>
  <c r="AX267" i="1" s="1"/>
  <c r="AM267" i="1"/>
  <c r="AM263" i="1"/>
  <c r="AW263" i="1"/>
  <c r="AX263" i="1" s="1"/>
  <c r="AW259" i="1"/>
  <c r="AX259" i="1" s="1"/>
  <c r="AM259" i="1"/>
  <c r="AM255" i="1"/>
  <c r="AW255" i="1"/>
  <c r="AX255" i="1" s="1"/>
  <c r="AW251" i="1"/>
  <c r="AX251" i="1" s="1"/>
  <c r="AM251" i="1"/>
  <c r="AM247" i="1"/>
  <c r="AW247" i="1"/>
  <c r="AX247" i="1" s="1"/>
  <c r="AW243" i="1"/>
  <c r="AX243" i="1" s="1"/>
  <c r="AM243" i="1"/>
  <c r="AM239" i="1"/>
  <c r="AW239" i="1"/>
  <c r="AX239" i="1" s="1"/>
  <c r="O150" i="5"/>
  <c r="R150" i="5"/>
  <c r="O143" i="5"/>
  <c r="R81" i="5"/>
  <c r="O81" i="5"/>
  <c r="O73" i="5"/>
  <c r="O50" i="5"/>
  <c r="O11" i="5"/>
  <c r="R11" i="5"/>
  <c r="O379" i="5"/>
  <c r="O331" i="5"/>
  <c r="O86" i="5"/>
  <c r="O22" i="5"/>
  <c r="O17" i="5"/>
  <c r="O224" i="5"/>
  <c r="O112" i="5"/>
  <c r="O96" i="5"/>
  <c r="O80" i="5"/>
  <c r="O48" i="5"/>
  <c r="O32" i="5"/>
  <c r="O16" i="5"/>
  <c r="O410" i="5"/>
  <c r="O82" i="5"/>
  <c r="O406" i="5"/>
  <c r="O409" i="5"/>
  <c r="O393" i="5"/>
  <c r="O377" i="5"/>
  <c r="O361" i="5"/>
  <c r="O329" i="5"/>
  <c r="O190" i="5"/>
  <c r="O62" i="5"/>
  <c r="O201" i="5"/>
  <c r="O137" i="5"/>
  <c r="O9" i="5"/>
  <c r="O443" i="5"/>
  <c r="O118" i="5"/>
  <c r="O113" i="5"/>
  <c r="O49" i="5"/>
  <c r="O184" i="5"/>
  <c r="O152" i="5"/>
  <c r="O136" i="5"/>
  <c r="O120" i="5"/>
  <c r="O40" i="5"/>
  <c r="O24" i="5"/>
  <c r="O8" i="5"/>
  <c r="O378" i="5"/>
  <c r="O114" i="5"/>
  <c r="O395" i="5"/>
  <c r="O355" i="5"/>
  <c r="O326" i="5"/>
  <c r="O166" i="5"/>
  <c r="O65" i="5"/>
  <c r="O228" i="5"/>
  <c r="O148" i="5"/>
  <c r="O132" i="5"/>
  <c r="O116" i="5"/>
  <c r="O100" i="5"/>
  <c r="O84" i="5"/>
  <c r="O4" i="5"/>
  <c r="O390" i="5"/>
  <c r="O371" i="5"/>
  <c r="O433" i="5"/>
  <c r="O397" i="5"/>
  <c r="O341" i="5"/>
  <c r="O222" i="5"/>
  <c r="O94" i="5"/>
  <c r="O149" i="5"/>
  <c r="O41" i="5"/>
  <c r="O76" i="5"/>
  <c r="O535" i="5"/>
  <c r="O358" i="5"/>
  <c r="O334" i="5"/>
  <c r="O465" i="5"/>
  <c r="O429" i="5"/>
  <c r="O373" i="5"/>
  <c r="O337" i="5"/>
  <c r="O342" i="5"/>
  <c r="O318" i="5"/>
  <c r="O389" i="5"/>
  <c r="O353" i="5"/>
  <c r="O317" i="5"/>
  <c r="O46" i="5"/>
  <c r="O97" i="5"/>
  <c r="O172" i="5"/>
  <c r="O12" i="5"/>
  <c r="O338" i="5"/>
  <c r="O186" i="5"/>
  <c r="O18" i="5"/>
  <c r="O536" i="5"/>
  <c r="O463" i="5"/>
  <c r="O335" i="5"/>
  <c r="O15" i="5"/>
  <c r="O339" i="5"/>
  <c r="O323" i="5"/>
  <c r="O461" i="5"/>
  <c r="O405" i="5"/>
  <c r="O369" i="5"/>
  <c r="O333" i="5"/>
  <c r="O30" i="5"/>
  <c r="O220" i="5"/>
  <c r="O235" i="5"/>
  <c r="O219" i="5"/>
  <c r="O203" i="5"/>
  <c r="O195" i="5"/>
  <c r="O171" i="5"/>
  <c r="O155" i="5"/>
  <c r="O147" i="5"/>
  <c r="O139" i="5"/>
  <c r="O131" i="5"/>
  <c r="O115" i="5"/>
  <c r="O107" i="5"/>
  <c r="O67" i="5"/>
  <c r="O51" i="5"/>
  <c r="O43" i="5"/>
  <c r="O27" i="5"/>
  <c r="O19" i="5"/>
  <c r="H307" i="1"/>
  <c r="R143" i="5"/>
  <c r="O90" i="5"/>
  <c r="O194" i="5"/>
  <c r="O370" i="5"/>
  <c r="O501" i="5"/>
  <c r="O156" i="5"/>
  <c r="O99" i="5"/>
  <c r="O530" i="5"/>
  <c r="O77" i="5"/>
  <c r="O205" i="5"/>
  <c r="O78" i="5"/>
  <c r="O365" i="5"/>
  <c r="O413" i="5"/>
  <c r="O398" i="5"/>
  <c r="O537" i="5"/>
  <c r="O445" i="5"/>
  <c r="AW310" i="1"/>
  <c r="AX310" i="1" s="1"/>
  <c r="AM310" i="1"/>
  <c r="AW306" i="1"/>
  <c r="AX306" i="1" s="1"/>
  <c r="AM306" i="1"/>
  <c r="AW302" i="1"/>
  <c r="AX302" i="1" s="1"/>
  <c r="AM302" i="1"/>
  <c r="AW298" i="1"/>
  <c r="AX298" i="1" s="1"/>
  <c r="AM298" i="1"/>
  <c r="AW294" i="1"/>
  <c r="AX294" i="1" s="1"/>
  <c r="AM294" i="1"/>
  <c r="AW290" i="1"/>
  <c r="AX290" i="1" s="1"/>
  <c r="AM290" i="1"/>
  <c r="AW286" i="1"/>
  <c r="AX286" i="1" s="1"/>
  <c r="AM286" i="1"/>
  <c r="AW282" i="1"/>
  <c r="AX282" i="1" s="1"/>
  <c r="AM282" i="1"/>
  <c r="AW278" i="1"/>
  <c r="AX278" i="1" s="1"/>
  <c r="AM278" i="1"/>
  <c r="AW274" i="1"/>
  <c r="AX274" i="1" s="1"/>
  <c r="AM274" i="1"/>
  <c r="AW270" i="1"/>
  <c r="AX270" i="1" s="1"/>
  <c r="AM270" i="1"/>
  <c r="AW266" i="1"/>
  <c r="AX266" i="1" s="1"/>
  <c r="AM266" i="1"/>
  <c r="AW262" i="1"/>
  <c r="AX262" i="1" s="1"/>
  <c r="AM262" i="1"/>
  <c r="AW258" i="1"/>
  <c r="AX258" i="1" s="1"/>
  <c r="AM258" i="1"/>
  <c r="AW254" i="1"/>
  <c r="AX254" i="1" s="1"/>
  <c r="AM254" i="1"/>
  <c r="AW250" i="1"/>
  <c r="AX250" i="1" s="1"/>
  <c r="AM250" i="1"/>
  <c r="AW246" i="1"/>
  <c r="AX246" i="1" s="1"/>
  <c r="AM246" i="1"/>
  <c r="AW242" i="1"/>
  <c r="AX242" i="1" s="1"/>
  <c r="AM242" i="1"/>
  <c r="AW238" i="1"/>
  <c r="AX238" i="1" s="1"/>
  <c r="AM238" i="1"/>
  <c r="O505" i="5"/>
  <c r="O123" i="5"/>
  <c r="O542" i="5"/>
  <c r="O37" i="5"/>
  <c r="O110" i="5"/>
  <c r="O321" i="5"/>
  <c r="O437" i="5"/>
  <c r="O374" i="5"/>
  <c r="O382" i="5"/>
  <c r="O347" i="5"/>
  <c r="O209" i="5"/>
  <c r="O145" i="5"/>
  <c r="O208" i="5"/>
  <c r="O192" i="5"/>
  <c r="O176" i="5"/>
  <c r="O160" i="5"/>
  <c r="O144" i="5"/>
  <c r="O128" i="5"/>
  <c r="O346" i="5"/>
  <c r="O210" i="5"/>
  <c r="O146" i="5"/>
  <c r="O366" i="5"/>
  <c r="O345" i="5"/>
  <c r="O126" i="5"/>
  <c r="O386" i="5"/>
  <c r="O363" i="5"/>
  <c r="O182" i="5"/>
  <c r="O54" i="5"/>
  <c r="O177" i="5"/>
  <c r="O216" i="5"/>
  <c r="O200" i="5"/>
  <c r="O104" i="5"/>
  <c r="O88" i="5"/>
  <c r="O72" i="5"/>
  <c r="O178" i="5"/>
  <c r="O435" i="5"/>
  <c r="O230" i="5"/>
  <c r="O102" i="5"/>
  <c r="O38" i="5"/>
  <c r="O193" i="5"/>
  <c r="O212" i="5"/>
  <c r="O196" i="5"/>
  <c r="O180" i="5"/>
  <c r="O68" i="5"/>
  <c r="O36" i="5"/>
  <c r="O20" i="5"/>
  <c r="O362" i="5"/>
  <c r="O469" i="5"/>
  <c r="O213" i="5"/>
  <c r="O105" i="5"/>
  <c r="O522" i="5"/>
  <c r="O236" i="5"/>
  <c r="O487" i="5"/>
  <c r="O470" i="5"/>
  <c r="O438" i="5"/>
  <c r="O350" i="5"/>
  <c r="O198" i="5"/>
  <c r="O70" i="5"/>
  <c r="O174" i="5"/>
  <c r="O33" i="5"/>
  <c r="O92" i="5"/>
  <c r="O466" i="5"/>
  <c r="O504" i="5"/>
  <c r="O399" i="5"/>
  <c r="O207" i="5"/>
  <c r="O519" i="5"/>
  <c r="O414" i="5"/>
  <c r="O3" i="5"/>
  <c r="O197" i="5"/>
  <c r="O161" i="5"/>
  <c r="O490" i="5"/>
  <c r="O140" i="5"/>
  <c r="O507" i="5"/>
  <c r="R308" i="5"/>
  <c r="P308" i="5"/>
  <c r="S308" i="5"/>
  <c r="K308" i="5"/>
  <c r="R225" i="5"/>
  <c r="O225" i="5"/>
  <c r="O179" i="5"/>
  <c r="O164" i="5"/>
  <c r="R164" i="5"/>
  <c r="R133" i="5"/>
  <c r="O133" i="5"/>
  <c r="O79" i="5"/>
  <c r="O64" i="5"/>
  <c r="R64" i="5"/>
  <c r="R56" i="5"/>
  <c r="O56" i="5"/>
  <c r="O349" i="5"/>
  <c r="O417" i="5"/>
  <c r="O411" i="5"/>
  <c r="AI262" i="1"/>
  <c r="H286" i="1"/>
  <c r="AI311" i="1"/>
  <c r="AW313" i="1"/>
  <c r="AX313" i="1" s="1"/>
  <c r="AM313" i="1"/>
  <c r="AW309" i="1"/>
  <c r="AX309" i="1" s="1"/>
  <c r="AM309" i="1"/>
  <c r="AW305" i="1"/>
  <c r="AX305" i="1" s="1"/>
  <c r="AM305" i="1"/>
  <c r="AW301" i="1"/>
  <c r="AX301" i="1" s="1"/>
  <c r="AM301" i="1"/>
  <c r="AW297" i="1"/>
  <c r="AX297" i="1" s="1"/>
  <c r="AM297" i="1"/>
  <c r="AW293" i="1"/>
  <c r="AX293" i="1" s="1"/>
  <c r="AM293" i="1"/>
  <c r="AW289" i="1"/>
  <c r="AX289" i="1" s="1"/>
  <c r="AM289" i="1"/>
  <c r="AW285" i="1"/>
  <c r="AX285" i="1" s="1"/>
  <c r="AM285" i="1"/>
  <c r="AW281" i="1"/>
  <c r="AX281" i="1" s="1"/>
  <c r="AM281" i="1"/>
  <c r="AW277" i="1"/>
  <c r="AX277" i="1" s="1"/>
  <c r="AM277" i="1"/>
  <c r="AW273" i="1"/>
  <c r="AX273" i="1" s="1"/>
  <c r="AM273" i="1"/>
  <c r="AW269" i="1"/>
  <c r="AX269" i="1" s="1"/>
  <c r="AM269" i="1"/>
  <c r="AW265" i="1"/>
  <c r="AX265" i="1" s="1"/>
  <c r="AM265" i="1"/>
  <c r="AW261" i="1"/>
  <c r="AX261" i="1" s="1"/>
  <c r="AM261" i="1"/>
  <c r="AW257" i="1"/>
  <c r="AX257" i="1" s="1"/>
  <c r="AM257" i="1"/>
  <c r="AW253" i="1"/>
  <c r="AX253" i="1" s="1"/>
  <c r="AM253" i="1"/>
  <c r="AW249" i="1"/>
  <c r="AX249" i="1" s="1"/>
  <c r="AM249" i="1"/>
  <c r="AW245" i="1"/>
  <c r="AX245" i="1" s="1"/>
  <c r="AM245" i="1"/>
  <c r="AW241" i="1"/>
  <c r="AX241" i="1" s="1"/>
  <c r="AM241" i="1"/>
  <c r="AW237" i="1"/>
  <c r="AX237" i="1" s="1"/>
  <c r="AM237" i="1"/>
  <c r="O488" i="5"/>
  <c r="O34" i="5"/>
  <c r="O130" i="5"/>
  <c r="O226" i="5"/>
  <c r="O418" i="5"/>
  <c r="O521" i="5"/>
  <c r="O13" i="5"/>
  <c r="O142" i="5"/>
  <c r="O325" i="5"/>
  <c r="O322" i="5"/>
  <c r="K309" i="5"/>
  <c r="S309" i="5"/>
  <c r="P309" i="5"/>
  <c r="R273" i="5"/>
  <c r="O273" i="5"/>
  <c r="P619" i="5"/>
  <c r="K619" i="5"/>
  <c r="O619" i="5"/>
  <c r="S619" i="5"/>
  <c r="O614" i="5"/>
  <c r="Q614" i="5"/>
  <c r="R614" i="5"/>
  <c r="K606" i="5"/>
  <c r="P606" i="5"/>
  <c r="R606" i="5"/>
  <c r="R573" i="5"/>
  <c r="O573" i="5"/>
  <c r="R561" i="5"/>
  <c r="O561" i="5"/>
  <c r="R557" i="5"/>
  <c r="O557" i="5"/>
  <c r="R549" i="5"/>
  <c r="O549" i="5"/>
  <c r="R541" i="5"/>
  <c r="O541" i="5"/>
  <c r="R529" i="5"/>
  <c r="O529" i="5"/>
  <c r="R525" i="5"/>
  <c r="O525" i="5"/>
  <c r="R517" i="5"/>
  <c r="O517" i="5"/>
  <c r="R509" i="5"/>
  <c r="O509" i="5"/>
  <c r="R497" i="5"/>
  <c r="O497" i="5"/>
  <c r="R493" i="5"/>
  <c r="O493" i="5"/>
  <c r="R485" i="5"/>
  <c r="O485" i="5"/>
  <c r="O473" i="5"/>
  <c r="O457" i="5"/>
  <c r="O441" i="5"/>
  <c r="O425" i="5"/>
  <c r="O309" i="5"/>
  <c r="R537" i="5"/>
  <c r="S307" i="5"/>
  <c r="O307" i="5"/>
  <c r="Q307" i="5"/>
  <c r="S300" i="5"/>
  <c r="P300" i="5"/>
  <c r="O300" i="5"/>
  <c r="R248" i="5"/>
  <c r="O248" i="5"/>
  <c r="R232" i="5"/>
  <c r="O232" i="5"/>
  <c r="R309" i="5"/>
  <c r="S302" i="5"/>
  <c r="Q619" i="5"/>
  <c r="O562" i="5"/>
  <c r="O606" i="5"/>
  <c r="Q309" i="5"/>
  <c r="O571" i="5"/>
  <c r="S313" i="5"/>
  <c r="O313" i="5"/>
  <c r="Q313" i="5"/>
  <c r="Q305" i="5"/>
  <c r="P305" i="5"/>
  <c r="O214" i="5"/>
  <c r="K602" i="5"/>
  <c r="R602" i="5"/>
  <c r="O602" i="5"/>
  <c r="S602" i="5"/>
  <c r="O583" i="5"/>
  <c r="R583" i="5"/>
  <c r="O567" i="5"/>
  <c r="R567" i="5"/>
  <c r="O559" i="5"/>
  <c r="R559" i="5"/>
  <c r="O551" i="5"/>
  <c r="R551" i="5"/>
  <c r="O543" i="5"/>
  <c r="O539" i="5"/>
  <c r="R539" i="5"/>
  <c r="O531" i="5"/>
  <c r="O527" i="5"/>
  <c r="R527" i="5"/>
  <c r="O523" i="5"/>
  <c r="O515" i="5"/>
  <c r="O511" i="5"/>
  <c r="O503" i="5"/>
  <c r="R503" i="5"/>
  <c r="O499" i="5"/>
  <c r="O495" i="5"/>
  <c r="R495" i="5"/>
  <c r="O483" i="5"/>
  <c r="O475" i="5"/>
  <c r="O459" i="5"/>
  <c r="O451" i="5"/>
  <c r="R168" i="5"/>
  <c r="O168" i="5"/>
  <c r="R129" i="5"/>
  <c r="O129" i="5"/>
  <c r="R91" i="5"/>
  <c r="O91" i="5"/>
  <c r="O75" i="5"/>
  <c r="R75" i="5"/>
  <c r="O52" i="5"/>
  <c r="O221" i="5"/>
  <c r="O189" i="5"/>
  <c r="O181" i="5"/>
  <c r="O173" i="5"/>
  <c r="O157" i="5"/>
  <c r="O125" i="5"/>
  <c r="O117" i="5"/>
  <c r="O109" i="5"/>
  <c r="O93" i="5"/>
  <c r="O61" i="5"/>
  <c r="O53" i="5"/>
  <c r="O45" i="5"/>
  <c r="O29" i="5"/>
  <c r="P296" i="5"/>
  <c r="S296" i="5"/>
  <c r="O570" i="5"/>
  <c r="R570" i="5"/>
  <c r="O538" i="5"/>
  <c r="R538" i="5"/>
  <c r="O534" i="5"/>
  <c r="O526" i="5"/>
  <c r="O518" i="5"/>
  <c r="R506" i="5"/>
  <c r="O506" i="5"/>
  <c r="R502" i="5"/>
  <c r="O502" i="5"/>
  <c r="R494" i="5"/>
  <c r="O494" i="5"/>
  <c r="O486" i="5"/>
  <c r="O478" i="5"/>
  <c r="O474" i="5"/>
  <c r="O462" i="5"/>
  <c r="O454" i="5"/>
  <c r="O450" i="5"/>
  <c r="O446" i="5"/>
  <c r="O442" i="5"/>
  <c r="O430" i="5"/>
  <c r="O426" i="5"/>
  <c r="O422" i="5"/>
  <c r="R214" i="5"/>
  <c r="CZ5" i="1"/>
  <c r="CZ14" i="1"/>
  <c r="O427" i="5"/>
  <c r="O419" i="5"/>
  <c r="O403" i="5"/>
  <c r="O387" i="5"/>
  <c r="BV3" i="1" l="1" a="1"/>
  <c r="BV3" i="1" s="1"/>
  <c r="BY3" i="1"/>
  <c r="CB3" i="1"/>
  <c r="BZ3" i="1"/>
  <c r="CE3" i="1"/>
  <c r="CC3" i="1"/>
  <c r="CA3" i="1"/>
  <c r="BX3" i="1"/>
  <c r="CF3" i="1" s="1"/>
  <c r="BW3" i="1" a="1"/>
  <c r="BW3" i="1" s="1"/>
  <c r="CD3" i="1"/>
  <c r="A4" i="1"/>
  <c r="O29" i="2"/>
  <c r="X131" i="9"/>
  <c r="W138" i="9"/>
  <c r="BA299" i="1"/>
  <c r="W113" i="9"/>
  <c r="X106" i="9"/>
  <c r="X81" i="9"/>
  <c r="W88" i="9"/>
  <c r="X56" i="9"/>
  <c r="X63" i="9" s="1"/>
  <c r="BA254" i="1"/>
  <c r="BA246" i="1"/>
  <c r="C25" i="3"/>
  <c r="B26" i="3" s="1"/>
  <c r="AJ262" i="1"/>
  <c r="AK262" i="1" s="1"/>
  <c r="AJ280" i="1"/>
  <c r="AK280" i="1" s="1"/>
  <c r="AJ286" i="1"/>
  <c r="AK286" i="1" s="1"/>
  <c r="AJ241" i="1"/>
  <c r="AK241" i="1" s="1"/>
  <c r="AJ247" i="1"/>
  <c r="AK247" i="1" s="1"/>
  <c r="AJ238" i="1"/>
  <c r="AK238" i="1" s="1"/>
  <c r="AJ295" i="1"/>
  <c r="AK295" i="1" s="1"/>
  <c r="AJ275" i="1"/>
  <c r="AK275" i="1" s="1"/>
  <c r="AJ272" i="1"/>
  <c r="AK272" i="1" s="1"/>
  <c r="AJ288" i="1"/>
  <c r="AK288" i="1" s="1"/>
  <c r="AJ237" i="1"/>
  <c r="AK237" i="1" s="1"/>
  <c r="AJ313" i="1"/>
  <c r="AK313" i="1" s="1"/>
  <c r="AJ274" i="1"/>
  <c r="AK274" i="1" s="1"/>
  <c r="AJ246" i="1"/>
  <c r="AK246" i="1" s="1"/>
  <c r="AJ283" i="1"/>
  <c r="AK283" i="1" s="1"/>
  <c r="AJ263" i="1"/>
  <c r="AK263" i="1" s="1"/>
  <c r="AJ294" i="1"/>
  <c r="AK294" i="1" s="1"/>
  <c r="AJ244" i="1"/>
  <c r="AK244" i="1" s="1"/>
  <c r="AJ252" i="1"/>
  <c r="AK252" i="1" s="1"/>
  <c r="AJ264" i="1"/>
  <c r="AK264" i="1" s="1"/>
  <c r="AJ312" i="1"/>
  <c r="AK312" i="1" s="1"/>
  <c r="AJ256" i="1"/>
  <c r="AK256" i="1" s="1"/>
  <c r="AJ307" i="1"/>
  <c r="AK307" i="1" s="1"/>
  <c r="AJ271" i="1"/>
  <c r="AK271" i="1" s="1"/>
  <c r="AJ299" i="1"/>
  <c r="AK299" i="1" s="1"/>
  <c r="AJ306" i="1"/>
  <c r="AK306" i="1" s="1"/>
  <c r="AJ267" i="1"/>
  <c r="AK267" i="1" s="1"/>
  <c r="AJ273" i="1"/>
  <c r="AK273" i="1" s="1"/>
  <c r="AJ236" i="1"/>
  <c r="AK236" i="1" s="1"/>
  <c r="AJ284" i="1"/>
  <c r="AK284" i="1" s="1"/>
  <c r="AJ296" i="1"/>
  <c r="AK296" i="1" s="1"/>
  <c r="AJ304" i="1"/>
  <c r="AK304" i="1" s="1"/>
  <c r="AJ302" i="1"/>
  <c r="AK302" i="1" s="1"/>
  <c r="AJ239" i="1"/>
  <c r="AK239" i="1" s="1"/>
  <c r="AJ254" i="1"/>
  <c r="AK254" i="1" s="1"/>
  <c r="AJ276" i="1"/>
  <c r="AK276" i="1" s="1"/>
  <c r="AJ309" i="1"/>
  <c r="AK309" i="1" s="1"/>
  <c r="AJ260" i="1"/>
  <c r="AK260" i="1" s="1"/>
  <c r="AJ265" i="1"/>
  <c r="AK265" i="1" s="1"/>
  <c r="AJ290" i="1"/>
  <c r="AK290" i="1" s="1"/>
  <c r="AJ259" i="1"/>
  <c r="AK259" i="1" s="1"/>
  <c r="AJ270" i="1"/>
  <c r="AK270" i="1" s="1"/>
  <c r="AJ251" i="1"/>
  <c r="AK251" i="1" s="1"/>
  <c r="AJ268" i="1"/>
  <c r="AK268" i="1" s="1"/>
  <c r="AJ292" i="1"/>
  <c r="AK292" i="1" s="1"/>
  <c r="AJ305" i="1"/>
  <c r="AK305" i="1" s="1"/>
  <c r="AJ281" i="1"/>
  <c r="AK281" i="1" s="1"/>
  <c r="AJ257" i="1"/>
  <c r="AK257" i="1" s="1"/>
  <c r="AJ279" i="1"/>
  <c r="AK279" i="1" s="1"/>
  <c r="AJ303" i="1"/>
  <c r="AK303" i="1" s="1"/>
  <c r="AJ311" i="1"/>
  <c r="AK311" i="1" s="1"/>
  <c r="AJ248" i="1"/>
  <c r="AK248" i="1" s="1"/>
  <c r="AJ300" i="1"/>
  <c r="AK300" i="1" s="1"/>
  <c r="AJ308" i="1"/>
  <c r="AK308" i="1" s="1"/>
  <c r="AJ291" i="1"/>
  <c r="AK291" i="1" s="1"/>
  <c r="AJ245" i="1"/>
  <c r="AK245" i="1" s="1"/>
  <c r="AJ249" i="1"/>
  <c r="AK249" i="1" s="1"/>
  <c r="AJ250" i="1"/>
  <c r="AK250" i="1" s="1"/>
  <c r="AJ282" i="1"/>
  <c r="AK282" i="1" s="1"/>
  <c r="AJ261" i="1"/>
  <c r="AK261" i="1" s="1"/>
  <c r="AJ298" i="1"/>
  <c r="AK298" i="1" s="1"/>
  <c r="AJ242" i="1"/>
  <c r="AK242" i="1" s="1"/>
  <c r="AJ258" i="1"/>
  <c r="AK258" i="1" s="1"/>
  <c r="AJ255" i="1"/>
  <c r="AK255" i="1" s="1"/>
  <c r="AJ240" i="1"/>
  <c r="AK240" i="1" s="1"/>
  <c r="AJ310" i="1"/>
  <c r="AK310" i="1" s="1"/>
  <c r="AJ278" i="1"/>
  <c r="AK278" i="1" s="1"/>
  <c r="AJ269" i="1"/>
  <c r="AK269" i="1" s="1"/>
  <c r="AJ301" i="1"/>
  <c r="AK301" i="1" s="1"/>
  <c r="AJ289" i="1"/>
  <c r="AK289" i="1" s="1"/>
  <c r="AJ277" i="1"/>
  <c r="AK277" i="1" s="1"/>
  <c r="AJ285" i="1"/>
  <c r="AK285" i="1" s="1"/>
  <c r="AJ253" i="1"/>
  <c r="AK253" i="1" s="1"/>
  <c r="AJ287" i="1"/>
  <c r="AK287" i="1" s="1"/>
  <c r="AJ297" i="1"/>
  <c r="AK297" i="1" s="1"/>
  <c r="AJ293" i="1"/>
  <c r="AK293" i="1" s="1"/>
  <c r="AJ266" i="1"/>
  <c r="AK266" i="1" s="1"/>
  <c r="BA273" i="1"/>
  <c r="A34" i="8"/>
  <c r="BB262" i="1"/>
  <c r="BA248" i="1"/>
  <c r="BB261" i="1"/>
  <c r="N4" i="5"/>
  <c r="Q4" i="5" s="1"/>
  <c r="BA266" i="1"/>
  <c r="BA259" i="1"/>
  <c r="BB281" i="1"/>
  <c r="BA240" i="1"/>
  <c r="BB298" i="1"/>
  <c r="BB297" i="1"/>
  <c r="BA263" i="1"/>
  <c r="BB278" i="1"/>
  <c r="AO2" i="1"/>
  <c r="AP2" i="1" s="1"/>
  <c r="BB251" i="1"/>
  <c r="N4" i="6"/>
  <c r="P316" i="5"/>
  <c r="D3" i="1"/>
  <c r="E3" i="1"/>
  <c r="C3" i="1"/>
  <c r="M3" i="1"/>
  <c r="X3" i="1"/>
  <c r="AA3" i="1" s="1"/>
  <c r="AB3" i="1" s="1"/>
  <c r="BB275" i="1"/>
  <c r="L3" i="1"/>
  <c r="BQ3" i="1" s="1" a="1"/>
  <c r="BQ3" i="1" s="1"/>
  <c r="Y3" i="1"/>
  <c r="P4" i="5"/>
  <c r="AU3" i="1"/>
  <c r="P4" i="6"/>
  <c r="AD3" i="1"/>
  <c r="F3" i="1"/>
  <c r="N316" i="5"/>
  <c r="Q316" i="5" s="1"/>
  <c r="BB294" i="1"/>
  <c r="BB265" i="1"/>
  <c r="BB253" i="1"/>
  <c r="BA296" i="1"/>
  <c r="BA258" i="1"/>
  <c r="BB270" i="1"/>
  <c r="BA270" i="1"/>
  <c r="BB245" i="1"/>
  <c r="BA310" i="1"/>
  <c r="BB303" i="1"/>
  <c r="BB250" i="1"/>
  <c r="BA283" i="1"/>
  <c r="BB290" i="1"/>
  <c r="BB243" i="1"/>
  <c r="G2" i="1"/>
  <c r="BA2" i="1" s="1"/>
  <c r="BA286" i="1"/>
  <c r="BA252" i="1"/>
  <c r="BA295" i="1"/>
  <c r="BB295" i="1"/>
  <c r="BA293" i="1"/>
  <c r="S3" i="5"/>
  <c r="O2" i="1"/>
  <c r="BB313" i="1"/>
  <c r="BA272" i="1"/>
  <c r="BA282" i="1"/>
  <c r="BA279" i="1"/>
  <c r="BB241" i="1"/>
  <c r="BA267" i="1"/>
  <c r="BB304" i="1"/>
  <c r="BB285" i="1"/>
  <c r="BB264" i="1"/>
  <c r="BB238" i="1"/>
  <c r="BB288" i="1"/>
  <c r="BA288" i="1"/>
  <c r="BA302" i="1"/>
  <c r="BB302" i="1"/>
  <c r="BB242" i="1"/>
  <c r="BA242" i="1"/>
  <c r="BB280" i="1"/>
  <c r="BA280" i="1"/>
  <c r="BA284" i="1"/>
  <c r="BB274" i="1"/>
  <c r="BA274" i="1"/>
  <c r="AH5" i="2"/>
  <c r="BB249" i="1"/>
  <c r="BA287" i="1"/>
  <c r="BB287" i="1"/>
  <c r="BA255" i="1"/>
  <c r="BB268" i="1"/>
  <c r="BB309" i="1"/>
  <c r="BA309" i="1"/>
  <c r="BA247" i="1"/>
  <c r="BB247" i="1"/>
  <c r="AF2" i="1"/>
  <c r="AG2" i="1" s="1"/>
  <c r="BB306" i="1"/>
  <c r="BA306" i="1"/>
  <c r="M3" i="6"/>
  <c r="AA2" i="1"/>
  <c r="AB2" i="1" s="1"/>
  <c r="BA301" i="1"/>
  <c r="BA239" i="1"/>
  <c r="BB308" i="1"/>
  <c r="BB277" i="1"/>
  <c r="BA277" i="1"/>
  <c r="BA311" i="1"/>
  <c r="BB311" i="1"/>
  <c r="BA307" i="1"/>
  <c r="BB307" i="1"/>
  <c r="L29" i="2"/>
  <c r="BA269" i="1"/>
  <c r="BB269" i="1"/>
  <c r="BB289" i="1"/>
  <c r="BA289" i="1"/>
  <c r="BB257" i="1"/>
  <c r="BA237" i="1"/>
  <c r="BB237" i="1"/>
  <c r="BB291" i="1"/>
  <c r="BA291" i="1"/>
  <c r="BA271" i="1"/>
  <c r="BB271" i="1"/>
  <c r="BA300" i="1"/>
  <c r="BB300" i="1"/>
  <c r="BB305" i="1"/>
  <c r="BA305" i="1"/>
  <c r="BB236" i="1"/>
  <c r="BA236" i="1"/>
  <c r="BB312" i="1"/>
  <c r="BA312" i="1"/>
  <c r="BB260" i="1"/>
  <c r="BA260" i="1"/>
  <c r="BA292" i="1"/>
  <c r="BB292" i="1"/>
  <c r="S315" i="5"/>
  <c r="J29" i="2"/>
  <c r="BA244" i="1"/>
  <c r="BB244" i="1"/>
  <c r="BB276" i="1"/>
  <c r="BA276" i="1"/>
  <c r="BB256" i="1"/>
  <c r="BA256" i="1"/>
  <c r="R29" i="2"/>
  <c r="AK5" i="2"/>
  <c r="AK6" i="2" s="1"/>
  <c r="AF5" i="2"/>
  <c r="M29" i="2"/>
  <c r="N29" i="2"/>
  <c r="AG5" i="2"/>
  <c r="AD5" i="2"/>
  <c r="K29" i="2"/>
  <c r="AA5" i="2"/>
  <c r="H29" i="2"/>
  <c r="Z5" i="2"/>
  <c r="G29" i="2"/>
  <c r="E5" i="7"/>
  <c r="M5" i="7"/>
  <c r="AL5" i="2"/>
  <c r="AL6" i="2" s="1"/>
  <c r="S29" i="2"/>
  <c r="AI5" i="2"/>
  <c r="P29" i="2"/>
  <c r="I29" i="2"/>
  <c r="AB5" i="2"/>
  <c r="A5" i="1" l="1"/>
  <c r="B4" i="1"/>
  <c r="AO3" i="1"/>
  <c r="AP3" i="1" s="1"/>
  <c r="Y131" i="9"/>
  <c r="V133" i="9" s="1"/>
  <c r="X138" i="9"/>
  <c r="Y106" i="9"/>
  <c r="T108" i="9" s="1"/>
  <c r="X113" i="9"/>
  <c r="Y81" i="9"/>
  <c r="X82" i="9" s="1"/>
  <c r="X88" i="9"/>
  <c r="Y56" i="9"/>
  <c r="C26" i="3"/>
  <c r="B27" i="3" s="1"/>
  <c r="A35" i="8"/>
  <c r="G3" i="1"/>
  <c r="BB3" i="1" s="1"/>
  <c r="S4" i="5"/>
  <c r="S316" i="5"/>
  <c r="M4" i="6"/>
  <c r="AF3" i="1"/>
  <c r="AG3" i="1" s="1"/>
  <c r="O3" i="1"/>
  <c r="S3" i="1"/>
  <c r="BB2" i="1"/>
  <c r="E6" i="7"/>
  <c r="E7" i="7"/>
  <c r="M6" i="7"/>
  <c r="M7" i="7"/>
  <c r="CG4" i="1" l="1"/>
  <c r="CB4" i="1"/>
  <c r="CE4" i="1"/>
  <c r="CD4" i="1"/>
  <c r="BZ4" i="1"/>
  <c r="CC4" i="1"/>
  <c r="BW4" i="1" a="1"/>
  <c r="BW4" i="1" s="1"/>
  <c r="BV4" i="1" a="1"/>
  <c r="BV4" i="1" s="1"/>
  <c r="CA4" i="1"/>
  <c r="BY4" i="1"/>
  <c r="BX4" i="1"/>
  <c r="CF4" i="1" s="1"/>
  <c r="M4" i="1"/>
  <c r="N5" i="5"/>
  <c r="Q5" i="5" s="1"/>
  <c r="AU4" i="1"/>
  <c r="C4" i="1"/>
  <c r="P5" i="6"/>
  <c r="F4" i="1"/>
  <c r="Y4" i="1"/>
  <c r="E4" i="1"/>
  <c r="N317" i="5"/>
  <c r="Q317" i="5" s="1"/>
  <c r="X4" i="1"/>
  <c r="AA4" i="1" s="1"/>
  <c r="AB4" i="1" s="1"/>
  <c r="P5" i="5"/>
  <c r="D4" i="1"/>
  <c r="P317" i="5"/>
  <c r="L4" i="1"/>
  <c r="AD4" i="1"/>
  <c r="N5" i="6"/>
  <c r="A6" i="1"/>
  <c r="B5" i="1"/>
  <c r="CG5" i="1" s="1"/>
  <c r="V132" i="9"/>
  <c r="Q132" i="9"/>
  <c r="S132" i="9"/>
  <c r="T133" i="9"/>
  <c r="W133" i="9"/>
  <c r="T132" i="9"/>
  <c r="X132" i="9"/>
  <c r="X133" i="9"/>
  <c r="Y138" i="9"/>
  <c r="Y133" i="9"/>
  <c r="Y132" i="9"/>
  <c r="F132" i="9"/>
  <c r="E133" i="9"/>
  <c r="F133" i="9"/>
  <c r="K132" i="9"/>
  <c r="E132" i="9"/>
  <c r="G133" i="9"/>
  <c r="G132" i="9"/>
  <c r="J133" i="9"/>
  <c r="I132" i="9"/>
  <c r="H133" i="9"/>
  <c r="H132" i="9"/>
  <c r="I133" i="9"/>
  <c r="J132" i="9"/>
  <c r="K133" i="9"/>
  <c r="M133" i="9"/>
  <c r="L132" i="9"/>
  <c r="L133" i="9"/>
  <c r="N132" i="9"/>
  <c r="M132" i="9"/>
  <c r="P132" i="9"/>
  <c r="O133" i="9"/>
  <c r="N133" i="9"/>
  <c r="O132" i="9"/>
  <c r="R133" i="9"/>
  <c r="P133" i="9"/>
  <c r="S133" i="9"/>
  <c r="R132" i="9"/>
  <c r="Q133" i="9"/>
  <c r="U133" i="9"/>
  <c r="U132" i="9"/>
  <c r="W132" i="9"/>
  <c r="Y107" i="9"/>
  <c r="Y113" i="9"/>
  <c r="Y108" i="9"/>
  <c r="G108" i="9"/>
  <c r="E108" i="9"/>
  <c r="F108" i="9"/>
  <c r="F107" i="9"/>
  <c r="G107" i="9"/>
  <c r="E107" i="9"/>
  <c r="H107" i="9"/>
  <c r="H108" i="9"/>
  <c r="J107" i="9"/>
  <c r="K107" i="9"/>
  <c r="I108" i="9"/>
  <c r="I107" i="9"/>
  <c r="M107" i="9"/>
  <c r="K108" i="9"/>
  <c r="J108" i="9"/>
  <c r="L107" i="9"/>
  <c r="L108" i="9"/>
  <c r="M108" i="9"/>
  <c r="N107" i="9"/>
  <c r="Q107" i="9"/>
  <c r="N108" i="9"/>
  <c r="O108" i="9"/>
  <c r="O107" i="9"/>
  <c r="S107" i="9"/>
  <c r="W108" i="9"/>
  <c r="P107" i="9"/>
  <c r="R107" i="9"/>
  <c r="U107" i="9"/>
  <c r="T107" i="9"/>
  <c r="W107" i="9"/>
  <c r="R108" i="9"/>
  <c r="U108" i="9"/>
  <c r="V107" i="9"/>
  <c r="Q108" i="9"/>
  <c r="S108" i="9"/>
  <c r="V108" i="9"/>
  <c r="P108" i="9"/>
  <c r="X108" i="9"/>
  <c r="X107" i="9"/>
  <c r="W82" i="9"/>
  <c r="W83" i="9"/>
  <c r="R82" i="9"/>
  <c r="T83" i="9"/>
  <c r="T82" i="9"/>
  <c r="Q83" i="9"/>
  <c r="Y83" i="9"/>
  <c r="Y88" i="9"/>
  <c r="Y82" i="9"/>
  <c r="E83" i="9"/>
  <c r="F83" i="9"/>
  <c r="H83" i="9"/>
  <c r="G82" i="9"/>
  <c r="F82" i="9"/>
  <c r="E82" i="9"/>
  <c r="H82" i="9"/>
  <c r="G83" i="9"/>
  <c r="J82" i="9"/>
  <c r="M82" i="9"/>
  <c r="K83" i="9"/>
  <c r="I82" i="9"/>
  <c r="J83" i="9"/>
  <c r="I83" i="9"/>
  <c r="K82" i="9"/>
  <c r="L83" i="9"/>
  <c r="M83" i="9"/>
  <c r="N83" i="9"/>
  <c r="L82" i="9"/>
  <c r="O83" i="9"/>
  <c r="N82" i="9"/>
  <c r="O82" i="9"/>
  <c r="P83" i="9"/>
  <c r="P82" i="9"/>
  <c r="U82" i="9"/>
  <c r="S82" i="9"/>
  <c r="Q82" i="9"/>
  <c r="R83" i="9"/>
  <c r="X83" i="9"/>
  <c r="V82" i="9"/>
  <c r="V83" i="9"/>
  <c r="S83" i="9"/>
  <c r="U83" i="9"/>
  <c r="V58" i="9"/>
  <c r="Y63" i="9"/>
  <c r="V57" i="9"/>
  <c r="T58" i="9"/>
  <c r="E58" i="9"/>
  <c r="Y58" i="9"/>
  <c r="F58" i="9"/>
  <c r="G58" i="9"/>
  <c r="H58" i="9"/>
  <c r="I58" i="9"/>
  <c r="J58" i="9"/>
  <c r="L58" i="9"/>
  <c r="K58" i="9"/>
  <c r="M58" i="9"/>
  <c r="N58" i="9"/>
  <c r="O58" i="9"/>
  <c r="P58" i="9"/>
  <c r="Q58" i="9"/>
  <c r="R58" i="9"/>
  <c r="S58" i="9"/>
  <c r="W58" i="9"/>
  <c r="U58" i="9"/>
  <c r="X58" i="9"/>
  <c r="Y57" i="9"/>
  <c r="F57" i="9"/>
  <c r="G57" i="9"/>
  <c r="H57" i="9"/>
  <c r="J57" i="9"/>
  <c r="I57" i="9"/>
  <c r="K57" i="9"/>
  <c r="L57" i="9"/>
  <c r="N57" i="9"/>
  <c r="M57" i="9"/>
  <c r="O57" i="9"/>
  <c r="S57" i="9"/>
  <c r="P57" i="9"/>
  <c r="R57" i="9"/>
  <c r="U57" i="9"/>
  <c r="Q57" i="9"/>
  <c r="W57" i="9"/>
  <c r="T57" i="9"/>
  <c r="X57" i="9"/>
  <c r="E57" i="9"/>
  <c r="C27" i="3"/>
  <c r="B28" i="3" s="1"/>
  <c r="A36" i="8"/>
  <c r="BA3" i="1"/>
  <c r="CC5" i="1" l="1"/>
  <c r="BZ5" i="1"/>
  <c r="BW5" i="1" a="1"/>
  <c r="BW5" i="1" s="1"/>
  <c r="CA5" i="1"/>
  <c r="BX5" i="1"/>
  <c r="CF5" i="1" s="1"/>
  <c r="BV5" i="1" a="1"/>
  <c r="BV5" i="1" s="1"/>
  <c r="CE5" i="1"/>
  <c r="BY5" i="1"/>
  <c r="CD5" i="1"/>
  <c r="CB5" i="1"/>
  <c r="S4" i="1"/>
  <c r="O4" i="1"/>
  <c r="AF4" i="1"/>
  <c r="AG4" i="1" s="1"/>
  <c r="A7" i="1"/>
  <c r="B6" i="1"/>
  <c r="S5" i="5"/>
  <c r="BQ4" i="1" a="1"/>
  <c r="BQ4" i="1" s="1"/>
  <c r="AO4" i="1"/>
  <c r="AP4" i="1" s="1"/>
  <c r="M5" i="6"/>
  <c r="G4" i="1"/>
  <c r="P6" i="6"/>
  <c r="F5" i="1"/>
  <c r="E5" i="1"/>
  <c r="N318" i="5"/>
  <c r="Q318" i="5" s="1"/>
  <c r="L5" i="1"/>
  <c r="AO5" i="1" s="1"/>
  <c r="AP5" i="1" s="1"/>
  <c r="N6" i="5"/>
  <c r="Q6" i="5" s="1"/>
  <c r="M5" i="1"/>
  <c r="S5" i="1" s="1"/>
  <c r="N6" i="6"/>
  <c r="AD5" i="1"/>
  <c r="C5" i="1"/>
  <c r="AU5" i="1"/>
  <c r="Y5" i="1"/>
  <c r="P318" i="5"/>
  <c r="D5" i="1"/>
  <c r="X5" i="1"/>
  <c r="AA5" i="1" s="1"/>
  <c r="AB5" i="1" s="1"/>
  <c r="P6" i="5"/>
  <c r="S317" i="5"/>
  <c r="B131" i="9"/>
  <c r="B132" i="9"/>
  <c r="B107" i="9"/>
  <c r="B106" i="9"/>
  <c r="B82" i="9"/>
  <c r="B81" i="9"/>
  <c r="B57" i="9"/>
  <c r="B56" i="9"/>
  <c r="C28" i="3"/>
  <c r="B29" i="3" s="1"/>
  <c r="A37" i="8"/>
  <c r="CG6" i="1" l="1"/>
  <c r="S6" i="5"/>
  <c r="BZ6" i="1"/>
  <c r="BW6" i="1" a="1"/>
  <c r="BW6" i="1" s="1"/>
  <c r="CE6" i="1"/>
  <c r="CA6" i="1"/>
  <c r="BX6" i="1"/>
  <c r="CF6" i="1" s="1"/>
  <c r="CD6" i="1"/>
  <c r="CB6" i="1"/>
  <c r="BV6" i="1" a="1"/>
  <c r="BV6" i="1" s="1"/>
  <c r="CC6" i="1"/>
  <c r="BY6" i="1"/>
  <c r="O5" i="1"/>
  <c r="S318" i="5"/>
  <c r="AF5" i="1"/>
  <c r="AG5" i="1" s="1"/>
  <c r="BB4" i="1"/>
  <c r="BA4" i="1"/>
  <c r="P7" i="6"/>
  <c r="F6" i="1"/>
  <c r="C6" i="1"/>
  <c r="L6" i="1"/>
  <c r="X6" i="1"/>
  <c r="AA6" i="1" s="1"/>
  <c r="AB6" i="1" s="1"/>
  <c r="P7" i="5"/>
  <c r="D6" i="1"/>
  <c r="N7" i="5"/>
  <c r="Q7" i="5" s="1"/>
  <c r="Y6" i="1"/>
  <c r="N319" i="5"/>
  <c r="Q319" i="5" s="1"/>
  <c r="AD6" i="1"/>
  <c r="N7" i="6"/>
  <c r="M6" i="1"/>
  <c r="S6" i="1" s="1"/>
  <c r="P319" i="5"/>
  <c r="AU6" i="1"/>
  <c r="E6" i="1"/>
  <c r="AO6" i="1"/>
  <c r="AP6" i="1" s="1"/>
  <c r="A8" i="1"/>
  <c r="B7" i="1"/>
  <c r="CG7" i="1" s="1"/>
  <c r="BQ5" i="1" a="1"/>
  <c r="BQ5" i="1" s="1"/>
  <c r="M6" i="6"/>
  <c r="G5" i="1"/>
  <c r="B133" i="9"/>
  <c r="B130" i="9" s="1"/>
  <c r="B108" i="9"/>
  <c r="B105" i="9" s="1"/>
  <c r="B83" i="9"/>
  <c r="B80" i="9" s="1"/>
  <c r="X87" i="9" s="1"/>
  <c r="B58" i="9"/>
  <c r="B55" i="9" s="1"/>
  <c r="C29" i="3"/>
  <c r="B30" i="3" s="1"/>
  <c r="A38" i="8"/>
  <c r="CE7" i="1" l="1"/>
  <c r="CD7" i="1"/>
  <c r="BW7" i="1" a="1"/>
  <c r="BW7" i="1" s="1"/>
  <c r="CC7" i="1"/>
  <c r="CA7" i="1"/>
  <c r="BX7" i="1"/>
  <c r="CF7" i="1" s="1"/>
  <c r="BV7" i="1" a="1"/>
  <c r="BV7" i="1" s="1"/>
  <c r="BY7" i="1"/>
  <c r="CB7" i="1"/>
  <c r="BZ7" i="1"/>
  <c r="AF6" i="1"/>
  <c r="AG6" i="1" s="1"/>
  <c r="O6" i="1"/>
  <c r="G6" i="1"/>
  <c r="BA6" i="1" s="1"/>
  <c r="A9" i="1"/>
  <c r="B8" i="1"/>
  <c r="S319" i="5"/>
  <c r="BQ6" i="1" a="1"/>
  <c r="BQ6" i="1" s="1"/>
  <c r="M7" i="6"/>
  <c r="Y7" i="1"/>
  <c r="M7" i="1"/>
  <c r="S7" i="1" s="1"/>
  <c r="N8" i="6"/>
  <c r="X7" i="1"/>
  <c r="AA7" i="1" s="1"/>
  <c r="AB7" i="1" s="1"/>
  <c r="AD7" i="1"/>
  <c r="L7" i="1"/>
  <c r="C7" i="1"/>
  <c r="D7" i="1"/>
  <c r="AU7" i="1"/>
  <c r="N8" i="5"/>
  <c r="Q8" i="5" s="1"/>
  <c r="E7" i="1"/>
  <c r="N320" i="5"/>
  <c r="Q320" i="5" s="1"/>
  <c r="F7" i="1"/>
  <c r="P8" i="5"/>
  <c r="P320" i="5"/>
  <c r="P8" i="6"/>
  <c r="BA5" i="1"/>
  <c r="BB5" i="1"/>
  <c r="S7" i="5"/>
  <c r="H136" i="9"/>
  <c r="P136" i="9"/>
  <c r="F137" i="9"/>
  <c r="E136" i="9"/>
  <c r="E140" i="9" s="1"/>
  <c r="E142" i="9" s="1"/>
  <c r="J136" i="9"/>
  <c r="L136" i="9"/>
  <c r="R136" i="9"/>
  <c r="M136" i="9"/>
  <c r="M140" i="9" s="1"/>
  <c r="M142" i="9" s="1"/>
  <c r="I136" i="9"/>
  <c r="I140" i="9" s="1"/>
  <c r="I142" i="9" s="1"/>
  <c r="Q136" i="9"/>
  <c r="Q140" i="9" s="1"/>
  <c r="Q142" i="9" s="1"/>
  <c r="F136" i="9"/>
  <c r="T136" i="9"/>
  <c r="G136" i="9"/>
  <c r="G140" i="9" s="1"/>
  <c r="G142" i="9" s="1"/>
  <c r="K136" i="9"/>
  <c r="K140" i="9" s="1"/>
  <c r="K142" i="9" s="1"/>
  <c r="N136" i="9"/>
  <c r="F139" i="9"/>
  <c r="F140" i="9" s="1"/>
  <c r="F142" i="9" s="1"/>
  <c r="O136" i="9"/>
  <c r="O140" i="9" s="1"/>
  <c r="O142" i="9" s="1"/>
  <c r="S136" i="9"/>
  <c r="S140" i="9" s="1"/>
  <c r="S142" i="9" s="1"/>
  <c r="Y136" i="9"/>
  <c r="Y140" i="9" s="1"/>
  <c r="Y142" i="9" s="1"/>
  <c r="U136" i="9"/>
  <c r="U140" i="9" s="1"/>
  <c r="U142" i="9" s="1"/>
  <c r="W136" i="9"/>
  <c r="W140" i="9" s="1"/>
  <c r="W142" i="9" s="1"/>
  <c r="X136" i="9"/>
  <c r="V136" i="9"/>
  <c r="V139" i="9"/>
  <c r="J64" i="9"/>
  <c r="J65" i="9" s="1"/>
  <c r="J67" i="9" s="1"/>
  <c r="R64" i="9"/>
  <c r="R65" i="9" s="1"/>
  <c r="R67" i="9" s="1"/>
  <c r="G61" i="9"/>
  <c r="G65" i="9" s="1"/>
  <c r="G67" i="9" s="1"/>
  <c r="M61" i="9"/>
  <c r="M65" i="9" s="1"/>
  <c r="M67" i="9" s="1"/>
  <c r="N61" i="9"/>
  <c r="K61" i="9"/>
  <c r="K65" i="9" s="1"/>
  <c r="K67" i="9" s="1"/>
  <c r="P64" i="9"/>
  <c r="P65" i="9" s="1"/>
  <c r="P67" i="9" s="1"/>
  <c r="E61" i="9"/>
  <c r="E65" i="9" s="1"/>
  <c r="E67" i="9" s="1"/>
  <c r="N62" i="9"/>
  <c r="F62" i="9"/>
  <c r="I61" i="9"/>
  <c r="I65" i="9" s="1"/>
  <c r="I67" i="9" s="1"/>
  <c r="P61" i="9"/>
  <c r="N64" i="9"/>
  <c r="N65" i="9" s="1"/>
  <c r="N67" i="9" s="1"/>
  <c r="L61" i="9"/>
  <c r="O61" i="9"/>
  <c r="O65" i="9" s="1"/>
  <c r="O67" i="9" s="1"/>
  <c r="P62" i="9"/>
  <c r="H62" i="9"/>
  <c r="H61" i="9"/>
  <c r="R61" i="9"/>
  <c r="H64" i="9"/>
  <c r="H65" i="9" s="1"/>
  <c r="H67" i="9" s="1"/>
  <c r="L64" i="9"/>
  <c r="L65" i="9" s="1"/>
  <c r="L67" i="9" s="1"/>
  <c r="F61" i="9"/>
  <c r="L62" i="9"/>
  <c r="R62" i="9"/>
  <c r="F64" i="9"/>
  <c r="F65" i="9" s="1"/>
  <c r="F67" i="9" s="1"/>
  <c r="Q61" i="9"/>
  <c r="Q65" i="9" s="1"/>
  <c r="Q67" i="9" s="1"/>
  <c r="Q70" i="9" s="1"/>
  <c r="J62" i="9"/>
  <c r="J61" i="9"/>
  <c r="V112" i="9"/>
  <c r="U111" i="9"/>
  <c r="U115" i="9" s="1"/>
  <c r="U117" i="9" s="1"/>
  <c r="V111" i="9"/>
  <c r="X112" i="9"/>
  <c r="W111" i="9"/>
  <c r="W115" i="9" s="1"/>
  <c r="W117" i="9" s="1"/>
  <c r="X111" i="9"/>
  <c r="Y111" i="9"/>
  <c r="Y115" i="9" s="1"/>
  <c r="Y117" i="9" s="1"/>
  <c r="W86" i="9"/>
  <c r="W90" i="9" s="1"/>
  <c r="W92" i="9" s="1"/>
  <c r="X86" i="9"/>
  <c r="Y86" i="9"/>
  <c r="Y90" i="9" s="1"/>
  <c r="Y92" i="9" s="1"/>
  <c r="S61" i="9"/>
  <c r="S65" i="9" s="1"/>
  <c r="S67" i="9" s="1"/>
  <c r="T61" i="9"/>
  <c r="T62" i="9" s="1"/>
  <c r="U61" i="9"/>
  <c r="U65" i="9" s="1"/>
  <c r="U67" i="9" s="1"/>
  <c r="V64" i="9"/>
  <c r="V61" i="9"/>
  <c r="C30" i="3"/>
  <c r="B31" i="3" s="1"/>
  <c r="A39" i="8"/>
  <c r="CG8" i="1" l="1"/>
  <c r="BW8" i="1" a="1"/>
  <c r="BW8" i="1" s="1"/>
  <c r="CA8" i="1"/>
  <c r="BX8" i="1"/>
  <c r="CF8" i="1" s="1"/>
  <c r="BV8" i="1" a="1"/>
  <c r="BV8" i="1" s="1"/>
  <c r="BY8" i="1"/>
  <c r="CB8" i="1"/>
  <c r="CD8" i="1"/>
  <c r="BZ8" i="1"/>
  <c r="CC8" i="1"/>
  <c r="CE8" i="1"/>
  <c r="AF7" i="1"/>
  <c r="AG7" i="1" s="1"/>
  <c r="G7" i="1"/>
  <c r="BA7" i="1" s="1"/>
  <c r="BB6" i="1"/>
  <c r="BQ7" i="1" a="1"/>
  <c r="BQ7" i="1" s="1"/>
  <c r="M8" i="6"/>
  <c r="O7" i="1"/>
  <c r="M8" i="1"/>
  <c r="S8" i="1" s="1"/>
  <c r="N321" i="5"/>
  <c r="Q321" i="5" s="1"/>
  <c r="AU8" i="1"/>
  <c r="N9" i="5"/>
  <c r="Q9" i="5" s="1"/>
  <c r="C8" i="1"/>
  <c r="Y8" i="1"/>
  <c r="D8" i="1"/>
  <c r="P321" i="5"/>
  <c r="F8" i="1"/>
  <c r="AD8" i="1"/>
  <c r="E8" i="1"/>
  <c r="P9" i="5"/>
  <c r="P9" i="6"/>
  <c r="L8" i="1"/>
  <c r="AO8" i="1" s="1"/>
  <c r="AP8" i="1" s="1"/>
  <c r="X8" i="1"/>
  <c r="AA8" i="1" s="1"/>
  <c r="AB8" i="1" s="1"/>
  <c r="N9" i="6"/>
  <c r="AO7" i="1"/>
  <c r="AP7" i="1" s="1"/>
  <c r="S320" i="5"/>
  <c r="A10" i="1"/>
  <c r="B9" i="1"/>
  <c r="CG9" i="1" s="1"/>
  <c r="S8" i="5"/>
  <c r="N139" i="9"/>
  <c r="J139" i="9"/>
  <c r="R139" i="9"/>
  <c r="J137" i="9"/>
  <c r="L139" i="9"/>
  <c r="H139" i="9"/>
  <c r="L137" i="9"/>
  <c r="X137" i="9"/>
  <c r="T139" i="9"/>
  <c r="P139" i="9"/>
  <c r="T137" i="9"/>
  <c r="V137" i="9"/>
  <c r="V140" i="9" s="1"/>
  <c r="V142" i="9" s="1"/>
  <c r="R137" i="9"/>
  <c r="P137" i="9"/>
  <c r="H137" i="9"/>
  <c r="N137" i="9"/>
  <c r="E145" i="9"/>
  <c r="X139" i="9"/>
  <c r="E68" i="9"/>
  <c r="E69" i="9" s="1"/>
  <c r="E70" i="9"/>
  <c r="K70" i="9"/>
  <c r="K68" i="9"/>
  <c r="O70" i="9"/>
  <c r="O68" i="9"/>
  <c r="I68" i="9"/>
  <c r="I70" i="9"/>
  <c r="G70" i="9"/>
  <c r="G68" i="9"/>
  <c r="M68" i="9"/>
  <c r="M70" i="9"/>
  <c r="X114" i="9"/>
  <c r="X115" i="9" s="1"/>
  <c r="X117" i="9" s="1"/>
  <c r="W120" i="9" s="1"/>
  <c r="V114" i="9"/>
  <c r="V115" i="9" s="1"/>
  <c r="V117" i="9" s="1"/>
  <c r="U120" i="9" s="1"/>
  <c r="S118" i="9"/>
  <c r="S119" i="9" s="1"/>
  <c r="X89" i="9"/>
  <c r="X90" i="9" s="1"/>
  <c r="X92" i="9" s="1"/>
  <c r="U93" i="9" s="1"/>
  <c r="U94" i="9" s="1"/>
  <c r="T64" i="9"/>
  <c r="T65" i="9" s="1"/>
  <c r="T67" i="9" s="1"/>
  <c r="S70" i="9" s="1"/>
  <c r="V62" i="9"/>
  <c r="V65" i="9" s="1"/>
  <c r="V67" i="9" s="1"/>
  <c r="U70" i="9" s="1"/>
  <c r="W61" i="9"/>
  <c r="X61" i="9"/>
  <c r="Y61" i="9"/>
  <c r="Y65" i="9" s="1"/>
  <c r="Y67" i="9" s="1"/>
  <c r="C31" i="3"/>
  <c r="B32" i="3" s="1"/>
  <c r="A40" i="8"/>
  <c r="S9" i="5" l="1"/>
  <c r="CA9" i="1"/>
  <c r="BX9" i="1"/>
  <c r="CF9" i="1" s="1"/>
  <c r="BV9" i="1" a="1"/>
  <c r="BV9" i="1" s="1"/>
  <c r="CE9" i="1"/>
  <c r="BY9" i="1"/>
  <c r="CD9" i="1"/>
  <c r="CB9" i="1"/>
  <c r="CC9" i="1"/>
  <c r="BW9" i="1" a="1"/>
  <c r="BW9" i="1" s="1"/>
  <c r="BZ9" i="1"/>
  <c r="S321" i="5"/>
  <c r="BB7" i="1"/>
  <c r="AF8" i="1"/>
  <c r="AG8" i="1" s="1"/>
  <c r="O8" i="1"/>
  <c r="C9" i="1"/>
  <c r="E9" i="1"/>
  <c r="Y9" i="1"/>
  <c r="M9" i="1"/>
  <c r="S9" i="1" s="1"/>
  <c r="N10" i="5"/>
  <c r="Q10" i="5" s="1"/>
  <c r="N322" i="5"/>
  <c r="Q322" i="5" s="1"/>
  <c r="D9" i="1"/>
  <c r="P10" i="5"/>
  <c r="N10" i="6"/>
  <c r="P322" i="5"/>
  <c r="AU9" i="1"/>
  <c r="F9" i="1"/>
  <c r="X9" i="1"/>
  <c r="AA9" i="1" s="1"/>
  <c r="AB9" i="1" s="1"/>
  <c r="AD9" i="1"/>
  <c r="L9" i="1"/>
  <c r="P10" i="6"/>
  <c r="G8" i="1"/>
  <c r="A11" i="1"/>
  <c r="B10" i="1"/>
  <c r="CG10" i="1" s="1"/>
  <c r="BQ8" i="1" a="1"/>
  <c r="BQ8" i="1" s="1"/>
  <c r="M9" i="6"/>
  <c r="N140" i="9"/>
  <c r="N142" i="9" s="1"/>
  <c r="H140" i="9"/>
  <c r="H142" i="9" s="1"/>
  <c r="G145" i="9" s="1"/>
  <c r="J140" i="9"/>
  <c r="J142" i="9" s="1"/>
  <c r="I145" i="9" s="1"/>
  <c r="L140" i="9"/>
  <c r="L142" i="9" s="1"/>
  <c r="K143" i="9" s="1"/>
  <c r="R140" i="9"/>
  <c r="R142" i="9" s="1"/>
  <c r="Q145" i="9" s="1"/>
  <c r="X140" i="9"/>
  <c r="X142" i="9" s="1"/>
  <c r="W145" i="9" s="1"/>
  <c r="T140" i="9"/>
  <c r="T142" i="9" s="1"/>
  <c r="S145" i="9" s="1"/>
  <c r="P140" i="9"/>
  <c r="P142" i="9" s="1"/>
  <c r="O143" i="9" s="1"/>
  <c r="M143" i="9"/>
  <c r="M145" i="9"/>
  <c r="E143" i="9"/>
  <c r="E144" i="9" s="1"/>
  <c r="U143" i="9"/>
  <c r="U145" i="9"/>
  <c r="G69" i="9"/>
  <c r="I69" i="9" s="1"/>
  <c r="K69" i="9" s="1"/>
  <c r="M69" i="9" s="1"/>
  <c r="O69" i="9" s="1"/>
  <c r="W118" i="9"/>
  <c r="U118" i="9"/>
  <c r="U119" i="9" s="1"/>
  <c r="W95" i="9"/>
  <c r="W93" i="9"/>
  <c r="W94" i="9" s="1"/>
  <c r="B87" i="9" s="1"/>
  <c r="Q68" i="9"/>
  <c r="X62" i="9"/>
  <c r="X64" i="9"/>
  <c r="W65" i="9"/>
  <c r="W67" i="9" s="1"/>
  <c r="S68" i="9" s="1"/>
  <c r="C32" i="3"/>
  <c r="B33" i="3" s="1"/>
  <c r="A41" i="8"/>
  <c r="G9" i="1" l="1"/>
  <c r="CD10" i="1"/>
  <c r="CC10" i="1"/>
  <c r="BY10" i="1"/>
  <c r="CB10" i="1"/>
  <c r="BZ10" i="1"/>
  <c r="BW10" i="1" a="1"/>
  <c r="BW10" i="1" s="1"/>
  <c r="CA10" i="1"/>
  <c r="BX10" i="1"/>
  <c r="CF10" i="1" s="1"/>
  <c r="CE10" i="1"/>
  <c r="BV10" i="1" a="1"/>
  <c r="BV10" i="1" s="1"/>
  <c r="AF9" i="1"/>
  <c r="AG9" i="1" s="1"/>
  <c r="S10" i="5"/>
  <c r="A12" i="1"/>
  <c r="B11" i="1"/>
  <c r="CG11" i="1" s="1"/>
  <c r="N11" i="5"/>
  <c r="Q11" i="5" s="1"/>
  <c r="D10" i="1"/>
  <c r="M10" i="1"/>
  <c r="S10" i="1" s="1"/>
  <c r="P323" i="5"/>
  <c r="P11" i="5"/>
  <c r="AU10" i="1"/>
  <c r="N323" i="5"/>
  <c r="Q323" i="5" s="1"/>
  <c r="F10" i="1"/>
  <c r="Y10" i="1"/>
  <c r="L10" i="1"/>
  <c r="E10" i="1"/>
  <c r="X10" i="1"/>
  <c r="AA10" i="1" s="1"/>
  <c r="AB10" i="1" s="1"/>
  <c r="N11" i="6"/>
  <c r="AD10" i="1"/>
  <c r="P11" i="6"/>
  <c r="C10" i="1"/>
  <c r="AO10" i="1"/>
  <c r="AP10" i="1" s="1"/>
  <c r="BQ9" i="1" a="1"/>
  <c r="BQ9" i="1" s="1"/>
  <c r="M10" i="6"/>
  <c r="BA8" i="1"/>
  <c r="BB8" i="1"/>
  <c r="BB9" i="1"/>
  <c r="BA9" i="1"/>
  <c r="AO9" i="1"/>
  <c r="AP9" i="1" s="1"/>
  <c r="O9" i="1"/>
  <c r="S322" i="5"/>
  <c r="I143" i="9"/>
  <c r="G143" i="9"/>
  <c r="G144" i="9" s="1"/>
  <c r="W143" i="9"/>
  <c r="Q143" i="9"/>
  <c r="O145" i="9"/>
  <c r="S143" i="9"/>
  <c r="K145" i="9"/>
  <c r="Q69" i="9"/>
  <c r="S69" i="9" s="1"/>
  <c r="W119" i="9"/>
  <c r="B112" i="9" s="1"/>
  <c r="X65" i="9"/>
  <c r="X67" i="9" s="1"/>
  <c r="W68" i="9" s="1"/>
  <c r="C33" i="3"/>
  <c r="B34" i="3" s="1"/>
  <c r="A42" i="8"/>
  <c r="S11" i="5" l="1"/>
  <c r="BY11" i="1"/>
  <c r="CB11" i="1"/>
  <c r="BZ11" i="1"/>
  <c r="CE11" i="1"/>
  <c r="CC11" i="1"/>
  <c r="CA11" i="1"/>
  <c r="BX11" i="1"/>
  <c r="CF11" i="1" s="1"/>
  <c r="BW11" i="1" a="1"/>
  <c r="BW11" i="1" s="1"/>
  <c r="CD11" i="1"/>
  <c r="BV11" i="1" a="1"/>
  <c r="BV11" i="1" s="1"/>
  <c r="G10" i="1"/>
  <c r="BB10" i="1" s="1"/>
  <c r="O10" i="1"/>
  <c r="BQ10" i="1" a="1"/>
  <c r="BQ10" i="1" s="1"/>
  <c r="M11" i="6"/>
  <c r="BA10" i="1"/>
  <c r="L11" i="1"/>
  <c r="E11" i="1"/>
  <c r="AU11" i="1"/>
  <c r="N12" i="6"/>
  <c r="P12" i="6"/>
  <c r="X11" i="1"/>
  <c r="AA11" i="1" s="1"/>
  <c r="AB11" i="1" s="1"/>
  <c r="Y11" i="1"/>
  <c r="P12" i="5"/>
  <c r="D11" i="1"/>
  <c r="P324" i="5"/>
  <c r="M11" i="1"/>
  <c r="S11" i="1" s="1"/>
  <c r="N12" i="5"/>
  <c r="Q12" i="5" s="1"/>
  <c r="AD11" i="1"/>
  <c r="F11" i="1"/>
  <c r="N324" i="5"/>
  <c r="Q324" i="5" s="1"/>
  <c r="C11" i="1"/>
  <c r="AO11" i="1"/>
  <c r="AP11" i="1" s="1"/>
  <c r="S323" i="5"/>
  <c r="A13" i="1"/>
  <c r="B12" i="1"/>
  <c r="CG12" i="1" s="1"/>
  <c r="AF10" i="1"/>
  <c r="AG10" i="1" s="1"/>
  <c r="I144" i="9"/>
  <c r="K144" i="9" s="1"/>
  <c r="M144" i="9" s="1"/>
  <c r="O144" i="9" s="1"/>
  <c r="Q144" i="9" s="1"/>
  <c r="S144" i="9" s="1"/>
  <c r="U144" i="9" s="1"/>
  <c r="W144" i="9" s="1"/>
  <c r="B137" i="9" s="1"/>
  <c r="W70" i="9"/>
  <c r="U68" i="9"/>
  <c r="U69" i="9" s="1"/>
  <c r="W69" i="9" s="1"/>
  <c r="B62" i="9" s="1"/>
  <c r="C34" i="3"/>
  <c r="B35" i="3" s="1"/>
  <c r="A43" i="8"/>
  <c r="CB12" i="1" l="1"/>
  <c r="CE12" i="1"/>
  <c r="CD12" i="1"/>
  <c r="BZ12" i="1"/>
  <c r="CC12" i="1"/>
  <c r="BV12" i="1" a="1"/>
  <c r="BV12" i="1" s="1"/>
  <c r="BW12" i="1" a="1"/>
  <c r="BW12" i="1" s="1"/>
  <c r="CA12" i="1"/>
  <c r="BY12" i="1"/>
  <c r="BX12" i="1"/>
  <c r="CF12" i="1" s="1"/>
  <c r="AF11" i="1"/>
  <c r="AG11" i="1" s="1"/>
  <c r="O11" i="1"/>
  <c r="G11" i="1"/>
  <c r="BA11" i="1" s="1"/>
  <c r="S12" i="5"/>
  <c r="BQ11" i="1" a="1"/>
  <c r="BQ11" i="1" s="1"/>
  <c r="M12" i="6"/>
  <c r="S324" i="5"/>
  <c r="P13" i="5"/>
  <c r="N13" i="5"/>
  <c r="Q13" i="5" s="1"/>
  <c r="F12" i="1"/>
  <c r="P13" i="6"/>
  <c r="D12" i="1"/>
  <c r="P325" i="5"/>
  <c r="Y12" i="1"/>
  <c r="X12" i="1"/>
  <c r="AA12" i="1" s="1"/>
  <c r="AB12" i="1" s="1"/>
  <c r="E12" i="1"/>
  <c r="L12" i="1"/>
  <c r="AO12" i="1" s="1"/>
  <c r="AP12" i="1" s="1"/>
  <c r="N325" i="5"/>
  <c r="Q325" i="5" s="1"/>
  <c r="N13" i="6"/>
  <c r="AU12" i="1"/>
  <c r="AD12" i="1"/>
  <c r="M12" i="1"/>
  <c r="S12" i="1" s="1"/>
  <c r="C12" i="1"/>
  <c r="A14" i="1"/>
  <c r="B13" i="1"/>
  <c r="C35" i="3"/>
  <c r="B36" i="3" s="1"/>
  <c r="AL13" i="1" l="1"/>
  <c r="CG13" i="1"/>
  <c r="BB11" i="1"/>
  <c r="CC13" i="1"/>
  <c r="BZ13" i="1"/>
  <c r="BV13" i="1" a="1"/>
  <c r="BV13" i="1" s="1"/>
  <c r="BW13" i="1" a="1"/>
  <c r="BW13" i="1" s="1"/>
  <c r="CA13" i="1"/>
  <c r="BX13" i="1"/>
  <c r="CF13" i="1" s="1"/>
  <c r="CE13" i="1"/>
  <c r="BY13" i="1"/>
  <c r="CB13" i="1"/>
  <c r="CD13" i="1"/>
  <c r="AF12" i="1"/>
  <c r="AG12" i="1" s="1"/>
  <c r="O12" i="1"/>
  <c r="N14" i="5"/>
  <c r="Q14" i="5" s="1"/>
  <c r="E13" i="1"/>
  <c r="X13" i="1"/>
  <c r="AA13" i="1" s="1"/>
  <c r="AB13" i="1" s="1"/>
  <c r="AD13" i="1"/>
  <c r="C13" i="1"/>
  <c r="Y13" i="1"/>
  <c r="P326" i="5"/>
  <c r="N14" i="6"/>
  <c r="N326" i="5"/>
  <c r="Q326" i="5" s="1"/>
  <c r="P14" i="6"/>
  <c r="AU13" i="1"/>
  <c r="F13" i="1"/>
  <c r="M13" i="1"/>
  <c r="AF13" i="1" s="1"/>
  <c r="AG13" i="1" s="1"/>
  <c r="L13" i="1"/>
  <c r="AO13" i="1" s="1"/>
  <c r="AP13" i="1" s="1"/>
  <c r="D13" i="1"/>
  <c r="P14" i="5"/>
  <c r="O13" i="1"/>
  <c r="BQ12" i="1" a="1"/>
  <c r="BQ12" i="1" s="1"/>
  <c r="M13" i="6"/>
  <c r="A15" i="1"/>
  <c r="B14" i="1"/>
  <c r="G12" i="1"/>
  <c r="S13" i="5"/>
  <c r="S325" i="5"/>
  <c r="C36" i="3"/>
  <c r="B37" i="3" s="1"/>
  <c r="AL14" i="1" l="1"/>
  <c r="CG14" i="1"/>
  <c r="BZ14" i="1"/>
  <c r="BV14" i="1" a="1"/>
  <c r="BV14" i="1" s="1"/>
  <c r="BW14" i="1" a="1"/>
  <c r="BW14" i="1" s="1"/>
  <c r="CE14" i="1"/>
  <c r="CA14" i="1"/>
  <c r="BX14" i="1"/>
  <c r="CF14" i="1" s="1"/>
  <c r="CD14" i="1"/>
  <c r="CB14" i="1"/>
  <c r="BY14" i="1"/>
  <c r="CC14" i="1"/>
  <c r="S14" i="5"/>
  <c r="S326" i="5"/>
  <c r="AH13" i="1"/>
  <c r="BQ13" i="1" a="1"/>
  <c r="BQ13" i="1" s="1"/>
  <c r="M14" i="6"/>
  <c r="A16" i="1"/>
  <c r="B15" i="1"/>
  <c r="BA12" i="1"/>
  <c r="BB12" i="1"/>
  <c r="S13" i="1"/>
  <c r="P327" i="5"/>
  <c r="P15" i="6"/>
  <c r="D14" i="1"/>
  <c r="E14" i="1"/>
  <c r="F14" i="1"/>
  <c r="C14" i="1"/>
  <c r="N327" i="5"/>
  <c r="Q327" i="5" s="1"/>
  <c r="N15" i="5"/>
  <c r="Q15" i="5" s="1"/>
  <c r="M14" i="1"/>
  <c r="S14" i="1" s="1"/>
  <c r="L14" i="1"/>
  <c r="AO14" i="1" s="1"/>
  <c r="AP14" i="1" s="1"/>
  <c r="X14" i="1"/>
  <c r="AA14" i="1" s="1"/>
  <c r="AB14" i="1" s="1"/>
  <c r="AU14" i="1"/>
  <c r="N15" i="6"/>
  <c r="P15" i="5"/>
  <c r="AD14" i="1"/>
  <c r="Y14" i="1"/>
  <c r="G13" i="1"/>
  <c r="C37" i="3"/>
  <c r="B38" i="3" s="1"/>
  <c r="AL15" i="1" l="1"/>
  <c r="CG15" i="1"/>
  <c r="CE15" i="1"/>
  <c r="BV15" i="1" a="1"/>
  <c r="BV15" i="1" s="1"/>
  <c r="CD15" i="1"/>
  <c r="BW15" i="1" a="1"/>
  <c r="BW15" i="1" s="1"/>
  <c r="CC15" i="1"/>
  <c r="CA15" i="1"/>
  <c r="BX15" i="1"/>
  <c r="CF15" i="1" s="1"/>
  <c r="BY15" i="1"/>
  <c r="CB15" i="1"/>
  <c r="BZ15" i="1"/>
  <c r="AF14" i="1"/>
  <c r="AG14" i="1" s="1"/>
  <c r="S327" i="5"/>
  <c r="O14" i="1"/>
  <c r="G14" i="1"/>
  <c r="C15" i="1"/>
  <c r="L15" i="1"/>
  <c r="AO15" i="1" s="1"/>
  <c r="AP15" i="1" s="1"/>
  <c r="M15" i="1"/>
  <c r="S15" i="1" s="1"/>
  <c r="N16" i="5"/>
  <c r="Q16" i="5" s="1"/>
  <c r="P16" i="6"/>
  <c r="D15" i="1"/>
  <c r="P16" i="5"/>
  <c r="E15" i="1"/>
  <c r="N16" i="6"/>
  <c r="AU15" i="1"/>
  <c r="F15" i="1"/>
  <c r="Y15" i="1"/>
  <c r="P328" i="5"/>
  <c r="X15" i="1"/>
  <c r="AA15" i="1" s="1"/>
  <c r="AB15" i="1" s="1"/>
  <c r="AD15" i="1"/>
  <c r="N328" i="5"/>
  <c r="Q328" i="5" s="1"/>
  <c r="AH14" i="1"/>
  <c r="A17" i="1"/>
  <c r="B16" i="1"/>
  <c r="BQ14" i="1" a="1"/>
  <c r="BQ14" i="1" s="1"/>
  <c r="M15" i="6"/>
  <c r="BA13" i="1"/>
  <c r="BB13" i="1"/>
  <c r="S15" i="5"/>
  <c r="C38" i="3"/>
  <c r="B39" i="3" s="1"/>
  <c r="AL16" i="1" l="1"/>
  <c r="CG16" i="1"/>
  <c r="BV16" i="1" a="1"/>
  <c r="BV16" i="1" s="1"/>
  <c r="BW16" i="1" a="1"/>
  <c r="BW16" i="1" s="1"/>
  <c r="CA16" i="1"/>
  <c r="BX16" i="1"/>
  <c r="CF16" i="1" s="1"/>
  <c r="BY16" i="1"/>
  <c r="CB16" i="1"/>
  <c r="CD16" i="1"/>
  <c r="BZ16" i="1"/>
  <c r="CE16" i="1"/>
  <c r="CC16" i="1"/>
  <c r="AF15" i="1"/>
  <c r="AG15" i="1" s="1"/>
  <c r="O15" i="1"/>
  <c r="S16" i="5"/>
  <c r="AH15" i="1"/>
  <c r="S328" i="5"/>
  <c r="A18" i="1"/>
  <c r="B17" i="1"/>
  <c r="M16" i="1"/>
  <c r="O16" i="1" s="1"/>
  <c r="AU16" i="1"/>
  <c r="P17" i="6"/>
  <c r="L16" i="1"/>
  <c r="AO16" i="1" s="1"/>
  <c r="AP16" i="1" s="1"/>
  <c r="N17" i="6"/>
  <c r="N17" i="5"/>
  <c r="Q17" i="5" s="1"/>
  <c r="C16" i="1"/>
  <c r="N329" i="5"/>
  <c r="Q329" i="5" s="1"/>
  <c r="F16" i="1"/>
  <c r="Y16" i="1"/>
  <c r="D16" i="1"/>
  <c r="AD16" i="1"/>
  <c r="P17" i="5"/>
  <c r="P329" i="5"/>
  <c r="X16" i="1"/>
  <c r="AA16" i="1" s="1"/>
  <c r="AB16" i="1" s="1"/>
  <c r="E16" i="1"/>
  <c r="AF16" i="1"/>
  <c r="AG16" i="1" s="1"/>
  <c r="BQ15" i="1" a="1"/>
  <c r="BQ15" i="1" s="1"/>
  <c r="M16" i="6"/>
  <c r="G15" i="1"/>
  <c r="BB14" i="1"/>
  <c r="BA14" i="1"/>
  <c r="C39" i="3"/>
  <c r="B40" i="3" s="1"/>
  <c r="AL17" i="1" l="1"/>
  <c r="CG17" i="1"/>
  <c r="CA17" i="1"/>
  <c r="BX17" i="1"/>
  <c r="CF17" i="1" s="1"/>
  <c r="CE17" i="1"/>
  <c r="BY17" i="1"/>
  <c r="CD17" i="1"/>
  <c r="CB17" i="1"/>
  <c r="CC17" i="1"/>
  <c r="BZ17" i="1"/>
  <c r="BV17" i="1" a="1"/>
  <c r="BV17" i="1" s="1"/>
  <c r="BW17" i="1" a="1"/>
  <c r="BW17" i="1" s="1"/>
  <c r="S16" i="1"/>
  <c r="G16" i="1"/>
  <c r="BB16" i="1" s="1"/>
  <c r="S329" i="5"/>
  <c r="BQ16" i="1" a="1"/>
  <c r="BQ16" i="1" s="1"/>
  <c r="M17" i="6"/>
  <c r="S17" i="5"/>
  <c r="AH16" i="1"/>
  <c r="BB15" i="1"/>
  <c r="BA15" i="1"/>
  <c r="P18" i="6"/>
  <c r="M17" i="1"/>
  <c r="S17" i="1" s="1"/>
  <c r="AU17" i="1"/>
  <c r="C17" i="1"/>
  <c r="AD17" i="1"/>
  <c r="F17" i="1"/>
  <c r="D17" i="1"/>
  <c r="N18" i="6"/>
  <c r="L17" i="1"/>
  <c r="AO17" i="1" s="1"/>
  <c r="AP17" i="1" s="1"/>
  <c r="P330" i="5"/>
  <c r="E17" i="1"/>
  <c r="X17" i="1"/>
  <c r="AA17" i="1" s="1"/>
  <c r="AB17" i="1" s="1"/>
  <c r="N330" i="5"/>
  <c r="Q330" i="5" s="1"/>
  <c r="P18" i="5"/>
  <c r="N18" i="5"/>
  <c r="Q18" i="5" s="1"/>
  <c r="Y17" i="1"/>
  <c r="BA16" i="1"/>
  <c r="A19" i="1"/>
  <c r="B18" i="1"/>
  <c r="C40" i="3"/>
  <c r="B41" i="3" s="1"/>
  <c r="AL18" i="1" l="1"/>
  <c r="CG18" i="1"/>
  <c r="O17" i="1"/>
  <c r="AF17" i="1"/>
  <c r="AG17" i="1" s="1"/>
  <c r="CD18" i="1"/>
  <c r="CC18" i="1"/>
  <c r="BY18" i="1"/>
  <c r="CB18" i="1"/>
  <c r="BZ18" i="1"/>
  <c r="BV18" i="1" a="1"/>
  <c r="BV18" i="1" s="1"/>
  <c r="BW18" i="1" a="1"/>
  <c r="BW18" i="1" s="1"/>
  <c r="CE18" i="1"/>
  <c r="CA18" i="1"/>
  <c r="BX18" i="1"/>
  <c r="CF18" i="1" s="1"/>
  <c r="S18" i="5"/>
  <c r="G17" i="1"/>
  <c r="BB17" i="1" s="1"/>
  <c r="S330" i="5"/>
  <c r="AH17" i="1"/>
  <c r="F18" i="1"/>
  <c r="D18" i="1"/>
  <c r="N331" i="5"/>
  <c r="Q331" i="5" s="1"/>
  <c r="E18" i="1"/>
  <c r="AU18" i="1"/>
  <c r="N19" i="5"/>
  <c r="Q19" i="5" s="1"/>
  <c r="M18" i="1"/>
  <c r="AH18" i="1" s="1"/>
  <c r="N19" i="6"/>
  <c r="P19" i="5"/>
  <c r="Y18" i="1"/>
  <c r="C18" i="1"/>
  <c r="AD18" i="1"/>
  <c r="P19" i="6"/>
  <c r="L18" i="1"/>
  <c r="AO18" i="1" s="1"/>
  <c r="AP18" i="1" s="1"/>
  <c r="X18" i="1"/>
  <c r="AA18" i="1" s="1"/>
  <c r="AB18" i="1" s="1"/>
  <c r="P331" i="5"/>
  <c r="A20" i="1"/>
  <c r="B19" i="1"/>
  <c r="BQ17" i="1" a="1"/>
  <c r="BQ17" i="1" s="1"/>
  <c r="M18" i="6"/>
  <c r="C41" i="3"/>
  <c r="B42" i="3" s="1"/>
  <c r="AL19" i="1" l="1"/>
  <c r="CG19" i="1"/>
  <c r="BY19" i="1"/>
  <c r="CB19" i="1"/>
  <c r="BZ19" i="1"/>
  <c r="BV19" i="1" a="1"/>
  <c r="BV19" i="1" s="1"/>
  <c r="CE19" i="1"/>
  <c r="CC19" i="1"/>
  <c r="CA19" i="1"/>
  <c r="BX19" i="1"/>
  <c r="CF19" i="1" s="1"/>
  <c r="BW19" i="1" a="1"/>
  <c r="BW19" i="1" s="1"/>
  <c r="CD19" i="1"/>
  <c r="O18" i="1"/>
  <c r="BA17" i="1"/>
  <c r="AF18" i="1"/>
  <c r="AG18" i="1" s="1"/>
  <c r="S18" i="1"/>
  <c r="S19" i="5"/>
  <c r="BQ18" i="1" a="1"/>
  <c r="BQ18" i="1" s="1"/>
  <c r="M19" i="6"/>
  <c r="A21" i="1"/>
  <c r="B20" i="1"/>
  <c r="G18" i="1"/>
  <c r="S331" i="5"/>
  <c r="N20" i="5"/>
  <c r="Q20" i="5" s="1"/>
  <c r="Y19" i="1"/>
  <c r="X19" i="1"/>
  <c r="AA19" i="1" s="1"/>
  <c r="AB19" i="1" s="1"/>
  <c r="C19" i="1"/>
  <c r="P20" i="6"/>
  <c r="F19" i="1"/>
  <c r="P332" i="5"/>
  <c r="D19" i="1"/>
  <c r="AD19" i="1"/>
  <c r="L19" i="1"/>
  <c r="M19" i="1"/>
  <c r="AH19" i="1" s="1"/>
  <c r="P20" i="5"/>
  <c r="N332" i="5"/>
  <c r="Q332" i="5" s="1"/>
  <c r="AU19" i="1"/>
  <c r="N20" i="6"/>
  <c r="E19" i="1"/>
  <c r="AO19" i="1"/>
  <c r="AP19" i="1" s="1"/>
  <c r="C42" i="3"/>
  <c r="B43" i="3" s="1"/>
  <c r="AF19" i="1" l="1"/>
  <c r="AG19" i="1" s="1"/>
  <c r="S19" i="1"/>
  <c r="O19" i="1"/>
  <c r="S20" i="5"/>
  <c r="G19" i="1"/>
  <c r="BB19" i="1" s="1"/>
  <c r="S332" i="5"/>
  <c r="E20" i="1"/>
  <c r="L20" i="1"/>
  <c r="AO20" i="1" s="1"/>
  <c r="AP20" i="1" s="1"/>
  <c r="N21" i="5"/>
  <c r="Q21" i="5" s="1"/>
  <c r="P21" i="5"/>
  <c r="P21" i="6"/>
  <c r="Y20" i="1"/>
  <c r="AU20" i="1"/>
  <c r="N21" i="6"/>
  <c r="D20" i="1"/>
  <c r="M20" i="1"/>
  <c r="S20" i="1" s="1"/>
  <c r="F20" i="1"/>
  <c r="N333" i="5"/>
  <c r="Q333" i="5" s="1"/>
  <c r="AD20" i="1"/>
  <c r="C20" i="1"/>
  <c r="P333" i="5"/>
  <c r="X20" i="1"/>
  <c r="AA20" i="1" s="1"/>
  <c r="AB20" i="1" s="1"/>
  <c r="A22" i="1"/>
  <c r="B21" i="1"/>
  <c r="BB18" i="1"/>
  <c r="BA18" i="1"/>
  <c r="BQ19" i="1" a="1"/>
  <c r="BQ19" i="1" s="1"/>
  <c r="M20" i="6"/>
  <c r="C43" i="3"/>
  <c r="B44" i="3" s="1"/>
  <c r="O20" i="1" l="1"/>
  <c r="G20" i="1"/>
  <c r="BB20" i="1" s="1"/>
  <c r="BA19" i="1"/>
  <c r="S21" i="5"/>
  <c r="N334" i="5"/>
  <c r="Q334" i="5" s="1"/>
  <c r="AD21" i="1"/>
  <c r="F21" i="1"/>
  <c r="P22" i="6"/>
  <c r="M21" i="1"/>
  <c r="S21" i="1" s="1"/>
  <c r="Y21" i="1"/>
  <c r="P22" i="5"/>
  <c r="E21" i="1"/>
  <c r="N22" i="6"/>
  <c r="D21" i="1"/>
  <c r="P334" i="5"/>
  <c r="C21" i="1"/>
  <c r="AU21" i="1"/>
  <c r="L21" i="1"/>
  <c r="N22" i="5"/>
  <c r="Q22" i="5" s="1"/>
  <c r="X21" i="1"/>
  <c r="AA21" i="1" s="1"/>
  <c r="AB21" i="1" s="1"/>
  <c r="S333" i="5"/>
  <c r="A23" i="1"/>
  <c r="B22" i="1"/>
  <c r="M21" i="6"/>
  <c r="AF20" i="1"/>
  <c r="AG20" i="1" s="1"/>
  <c r="C44" i="3"/>
  <c r="B45" i="3" s="1"/>
  <c r="S334" i="5" l="1"/>
  <c r="BA20" i="1"/>
  <c r="G21" i="1"/>
  <c r="BB21" i="1" s="1"/>
  <c r="O21" i="1"/>
  <c r="L22" i="1"/>
  <c r="C22" i="1"/>
  <c r="Y22" i="1"/>
  <c r="AD22" i="1"/>
  <c r="P335" i="5"/>
  <c r="X22" i="1"/>
  <c r="AA22" i="1" s="1"/>
  <c r="AB22" i="1" s="1"/>
  <c r="P23" i="6"/>
  <c r="N23" i="5"/>
  <c r="Q23" i="5" s="1"/>
  <c r="M22" i="1"/>
  <c r="S22" i="1" s="1"/>
  <c r="F22" i="1"/>
  <c r="D22" i="1"/>
  <c r="P23" i="5"/>
  <c r="S23" i="5" s="1"/>
  <c r="E22" i="1"/>
  <c r="N335" i="5"/>
  <c r="Q335" i="5" s="1"/>
  <c r="N23" i="6"/>
  <c r="AU22" i="1"/>
  <c r="O22" i="1"/>
  <c r="AO22" i="1"/>
  <c r="AP22" i="1" s="1"/>
  <c r="S22" i="5"/>
  <c r="M22" i="6"/>
  <c r="A24" i="1"/>
  <c r="B23" i="1"/>
  <c r="AF21" i="1"/>
  <c r="AG21" i="1" s="1"/>
  <c r="AO21" i="1"/>
  <c r="AP21" i="1" s="1"/>
  <c r="C45" i="3"/>
  <c r="B46" i="3" s="1"/>
  <c r="BA21" i="1" l="1"/>
  <c r="A25" i="1"/>
  <c r="B24" i="1"/>
  <c r="S335" i="5"/>
  <c r="G22" i="1"/>
  <c r="C23" i="1"/>
  <c r="N24" i="6"/>
  <c r="X23" i="1"/>
  <c r="AA23" i="1" s="1"/>
  <c r="AB23" i="1" s="1"/>
  <c r="P336" i="5"/>
  <c r="M23" i="1"/>
  <c r="S23" i="1" s="1"/>
  <c r="Y23" i="1"/>
  <c r="AD23" i="1"/>
  <c r="E23" i="1"/>
  <c r="AU23" i="1"/>
  <c r="N336" i="5"/>
  <c r="Q336" i="5" s="1"/>
  <c r="N24" i="5"/>
  <c r="Q24" i="5" s="1"/>
  <c r="P24" i="6"/>
  <c r="F23" i="1"/>
  <c r="D23" i="1"/>
  <c r="L23" i="1"/>
  <c r="P24" i="5"/>
  <c r="AF22" i="1"/>
  <c r="AG22" i="1" s="1"/>
  <c r="M23" i="6"/>
  <c r="C46" i="3"/>
  <c r="B47" i="3" s="1"/>
  <c r="S336" i="5" l="1"/>
  <c r="G23" i="1"/>
  <c r="BA23" i="1" s="1"/>
  <c r="M24" i="6"/>
  <c r="D24" i="1"/>
  <c r="P25" i="5"/>
  <c r="N25" i="5"/>
  <c r="Q25" i="5" s="1"/>
  <c r="X24" i="1"/>
  <c r="AA24" i="1" s="1"/>
  <c r="AB24" i="1" s="1"/>
  <c r="Y24" i="1"/>
  <c r="AD24" i="1"/>
  <c r="F24" i="1"/>
  <c r="C24" i="1"/>
  <c r="M24" i="1"/>
  <c r="S24" i="1" s="1"/>
  <c r="P337" i="5"/>
  <c r="AU24" i="1"/>
  <c r="L24" i="1"/>
  <c r="AO24" i="1" s="1"/>
  <c r="AP24" i="1" s="1"/>
  <c r="P25" i="6"/>
  <c r="E24" i="1"/>
  <c r="N337" i="5"/>
  <c r="Q337" i="5" s="1"/>
  <c r="N25" i="6"/>
  <c r="O23" i="1"/>
  <c r="AF23" i="1"/>
  <c r="AG23" i="1" s="1"/>
  <c r="BB22" i="1"/>
  <c r="BA22" i="1"/>
  <c r="A26" i="1"/>
  <c r="B25" i="1"/>
  <c r="AO23" i="1"/>
  <c r="AP23" i="1" s="1"/>
  <c r="S24" i="5"/>
  <c r="C47" i="3"/>
  <c r="B48" i="3" s="1"/>
  <c r="BB23" i="1" l="1"/>
  <c r="G24" i="1"/>
  <c r="BA24" i="1" s="1"/>
  <c r="M25" i="6"/>
  <c r="N26" i="6"/>
  <c r="Y25" i="1"/>
  <c r="P26" i="6"/>
  <c r="C25" i="1"/>
  <c r="P26" i="5"/>
  <c r="N338" i="5"/>
  <c r="Q338" i="5" s="1"/>
  <c r="F25" i="1"/>
  <c r="M25" i="1"/>
  <c r="S25" i="1" s="1"/>
  <c r="N26" i="5"/>
  <c r="Q26" i="5" s="1"/>
  <c r="AU25" i="1"/>
  <c r="P338" i="5"/>
  <c r="L25" i="1"/>
  <c r="X25" i="1"/>
  <c r="AA25" i="1" s="1"/>
  <c r="AB25" i="1" s="1"/>
  <c r="D25" i="1"/>
  <c r="AD25" i="1"/>
  <c r="E25" i="1"/>
  <c r="O24" i="1"/>
  <c r="S337" i="5"/>
  <c r="S25" i="5"/>
  <c r="B26" i="1"/>
  <c r="A27" i="1"/>
  <c r="AF24" i="1"/>
  <c r="AG24" i="1" s="1"/>
  <c r="C48" i="3"/>
  <c r="B49" i="3" s="1"/>
  <c r="O25" i="1" l="1"/>
  <c r="BB24" i="1"/>
  <c r="AO25" i="1"/>
  <c r="AP25" i="1" s="1"/>
  <c r="AF25" i="1"/>
  <c r="AG25" i="1" s="1"/>
  <c r="G25" i="1"/>
  <c r="BA25" i="1" s="1"/>
  <c r="S338" i="5"/>
  <c r="A28" i="1"/>
  <c r="B27" i="1"/>
  <c r="AD26" i="1"/>
  <c r="D26" i="1"/>
  <c r="L26" i="1"/>
  <c r="N339" i="5"/>
  <c r="Q339" i="5" s="1"/>
  <c r="N27" i="6"/>
  <c r="C26" i="1"/>
  <c r="AU26" i="1"/>
  <c r="X26" i="1"/>
  <c r="AA26" i="1" s="1"/>
  <c r="AB26" i="1" s="1"/>
  <c r="P27" i="6"/>
  <c r="P339" i="5"/>
  <c r="E26" i="1"/>
  <c r="F26" i="1"/>
  <c r="P27" i="5"/>
  <c r="N27" i="5"/>
  <c r="Q27" i="5" s="1"/>
  <c r="Y26" i="1"/>
  <c r="M26" i="1"/>
  <c r="S26" i="1" s="1"/>
  <c r="AO26" i="1"/>
  <c r="AP26" i="1" s="1"/>
  <c r="S26" i="5"/>
  <c r="M26" i="6"/>
  <c r="C49" i="3"/>
  <c r="B50" i="3" s="1"/>
  <c r="BB25" i="1" l="1"/>
  <c r="AF26" i="1"/>
  <c r="AG26" i="1" s="1"/>
  <c r="S339" i="5"/>
  <c r="G26" i="1"/>
  <c r="BA26" i="1" s="1"/>
  <c r="A29" i="1"/>
  <c r="B28" i="1"/>
  <c r="AD27" i="1"/>
  <c r="N28" i="5"/>
  <c r="Q28" i="5" s="1"/>
  <c r="C27" i="1"/>
  <c r="Y27" i="1"/>
  <c r="P340" i="5"/>
  <c r="N28" i="6"/>
  <c r="X27" i="1"/>
  <c r="AA27" i="1" s="1"/>
  <c r="AB27" i="1" s="1"/>
  <c r="AU27" i="1"/>
  <c r="D27" i="1"/>
  <c r="M27" i="1"/>
  <c r="S27" i="1" s="1"/>
  <c r="E27" i="1"/>
  <c r="L27" i="1"/>
  <c r="F27" i="1"/>
  <c r="P28" i="6"/>
  <c r="N340" i="5"/>
  <c r="Q340" i="5" s="1"/>
  <c r="P28" i="5"/>
  <c r="S27" i="5"/>
  <c r="O26" i="1"/>
  <c r="M27" i="6"/>
  <c r="C50" i="3"/>
  <c r="B51" i="3" s="1"/>
  <c r="S340" i="5" l="1"/>
  <c r="BB26" i="1"/>
  <c r="AF27" i="1"/>
  <c r="AG27" i="1" s="1"/>
  <c r="S28" i="5"/>
  <c r="N341" i="5"/>
  <c r="Q341" i="5" s="1"/>
  <c r="P341" i="5"/>
  <c r="N29" i="5"/>
  <c r="Q29" i="5" s="1"/>
  <c r="D28" i="1"/>
  <c r="C28" i="1"/>
  <c r="P29" i="5"/>
  <c r="AD28" i="1"/>
  <c r="Y28" i="1"/>
  <c r="M28" i="1"/>
  <c r="S28" i="1" s="1"/>
  <c r="P29" i="6"/>
  <c r="AU28" i="1"/>
  <c r="X28" i="1"/>
  <c r="AA28" i="1" s="1"/>
  <c r="AB28" i="1" s="1"/>
  <c r="F28" i="1"/>
  <c r="N29" i="6"/>
  <c r="L28" i="1"/>
  <c r="E28" i="1"/>
  <c r="M28" i="6"/>
  <c r="O27" i="1"/>
  <c r="B29" i="1"/>
  <c r="A30" i="1"/>
  <c r="AO27" i="1"/>
  <c r="AP27" i="1" s="1"/>
  <c r="G27" i="1"/>
  <c r="C51" i="3"/>
  <c r="B52" i="3" s="1"/>
  <c r="S29" i="5" l="1"/>
  <c r="S341" i="5"/>
  <c r="G28" i="1"/>
  <c r="M29" i="6"/>
  <c r="AO28" i="1"/>
  <c r="AP28" i="1" s="1"/>
  <c r="O28" i="1"/>
  <c r="B30" i="1"/>
  <c r="A31" i="1"/>
  <c r="BB27" i="1"/>
  <c r="BA27" i="1"/>
  <c r="AU29" i="1"/>
  <c r="M29" i="1"/>
  <c r="N342" i="5"/>
  <c r="Q342" i="5" s="1"/>
  <c r="D29" i="1"/>
  <c r="P30" i="6"/>
  <c r="E29" i="1"/>
  <c r="P30" i="5"/>
  <c r="N30" i="6"/>
  <c r="L29" i="1"/>
  <c r="F29" i="1"/>
  <c r="Y29" i="1"/>
  <c r="AD29" i="1"/>
  <c r="N30" i="5"/>
  <c r="Q30" i="5" s="1"/>
  <c r="C29" i="1"/>
  <c r="P342" i="5"/>
  <c r="X29" i="1"/>
  <c r="AA29" i="1" s="1"/>
  <c r="AB29" i="1" s="1"/>
  <c r="AO29" i="1"/>
  <c r="AP29" i="1" s="1"/>
  <c r="AF28" i="1"/>
  <c r="AG28" i="1" s="1"/>
  <c r="C52" i="3"/>
  <c r="B53" i="3" s="1"/>
  <c r="O29" i="1" l="1"/>
  <c r="AF29" i="1"/>
  <c r="AG29" i="1" s="1"/>
  <c r="S30" i="5"/>
  <c r="G29" i="1"/>
  <c r="P31" i="6"/>
  <c r="E30" i="1"/>
  <c r="F30" i="1"/>
  <c r="P31" i="5"/>
  <c r="D30" i="1"/>
  <c r="C30" i="1"/>
  <c r="AD30" i="1"/>
  <c r="AU30" i="1"/>
  <c r="M30" i="1"/>
  <c r="S30" i="1" s="1"/>
  <c r="X30" i="1"/>
  <c r="AA30" i="1" s="1"/>
  <c r="AB30" i="1" s="1"/>
  <c r="L30" i="1"/>
  <c r="AO30" i="1" s="1"/>
  <c r="AP30" i="1" s="1"/>
  <c r="N31" i="5"/>
  <c r="Q31" i="5" s="1"/>
  <c r="N31" i="6"/>
  <c r="P343" i="5"/>
  <c r="Y30" i="1"/>
  <c r="N343" i="5"/>
  <c r="Q343" i="5" s="1"/>
  <c r="S29" i="1"/>
  <c r="M30" i="6"/>
  <c r="BB29" i="1"/>
  <c r="BA29" i="1"/>
  <c r="S342" i="5"/>
  <c r="BA28" i="1"/>
  <c r="BB28" i="1"/>
  <c r="B31" i="1"/>
  <c r="A32" i="1"/>
  <c r="C53" i="3"/>
  <c r="B54" i="3" s="1"/>
  <c r="S343" i="5" l="1"/>
  <c r="G30" i="1"/>
  <c r="BA30" i="1" s="1"/>
  <c r="AF30" i="1"/>
  <c r="AG30" i="1" s="1"/>
  <c r="P32" i="6"/>
  <c r="C31" i="1"/>
  <c r="N32" i="6"/>
  <c r="P32" i="5"/>
  <c r="E31" i="1"/>
  <c r="F31" i="1"/>
  <c r="M31" i="1"/>
  <c r="AD31" i="1"/>
  <c r="N344" i="5"/>
  <c r="Q344" i="5" s="1"/>
  <c r="N32" i="5"/>
  <c r="Q32" i="5" s="1"/>
  <c r="Y31" i="1"/>
  <c r="X31" i="1"/>
  <c r="AA31" i="1" s="1"/>
  <c r="AB31" i="1" s="1"/>
  <c r="D31" i="1"/>
  <c r="L31" i="1"/>
  <c r="AO31" i="1" s="1"/>
  <c r="AP31" i="1" s="1"/>
  <c r="P344" i="5"/>
  <c r="AU31" i="1"/>
  <c r="S31" i="5"/>
  <c r="A33" i="1"/>
  <c r="B32" i="1"/>
  <c r="M31" i="6"/>
  <c r="O30" i="1"/>
  <c r="C54" i="3"/>
  <c r="B55" i="3" s="1"/>
  <c r="BB30" i="1" l="1"/>
  <c r="S32" i="5"/>
  <c r="S344" i="5"/>
  <c r="AF31" i="1"/>
  <c r="AG31" i="1" s="1"/>
  <c r="G31" i="1"/>
  <c r="BB31" i="1" s="1"/>
  <c r="S31" i="1"/>
  <c r="O31" i="1"/>
  <c r="M32" i="6"/>
  <c r="B33" i="1"/>
  <c r="A34" i="1"/>
  <c r="Y32" i="1"/>
  <c r="E32" i="1"/>
  <c r="P33" i="5"/>
  <c r="N345" i="5"/>
  <c r="Q345" i="5" s="1"/>
  <c r="F32" i="1"/>
  <c r="G32" i="1" s="1"/>
  <c r="AD32" i="1"/>
  <c r="P345" i="5"/>
  <c r="N33" i="5"/>
  <c r="Q33" i="5" s="1"/>
  <c r="M32" i="1"/>
  <c r="S32" i="1" s="1"/>
  <c r="AU32" i="1"/>
  <c r="C32" i="1"/>
  <c r="P33" i="6"/>
  <c r="N33" i="6"/>
  <c r="X32" i="1"/>
  <c r="AA32" i="1" s="1"/>
  <c r="AB32" i="1" s="1"/>
  <c r="L32" i="1"/>
  <c r="AO32" i="1" s="1"/>
  <c r="AP32" i="1" s="1"/>
  <c r="D32" i="1"/>
  <c r="C55" i="3"/>
  <c r="B56" i="3" s="1"/>
  <c r="BA31" i="1" l="1"/>
  <c r="O32" i="1"/>
  <c r="F33" i="1"/>
  <c r="P34" i="5"/>
  <c r="AD33" i="1"/>
  <c r="P34" i="6"/>
  <c r="N346" i="5"/>
  <c r="Q346" i="5" s="1"/>
  <c r="D33" i="1"/>
  <c r="C33" i="1"/>
  <c r="P346" i="5"/>
  <c r="X33" i="1"/>
  <c r="AA33" i="1" s="1"/>
  <c r="AB33" i="1" s="1"/>
  <c r="AU33" i="1"/>
  <c r="M33" i="1"/>
  <c r="E33" i="1"/>
  <c r="N34" i="5"/>
  <c r="Q34" i="5" s="1"/>
  <c r="N34" i="6"/>
  <c r="L33" i="1"/>
  <c r="Y33" i="1"/>
  <c r="BB32" i="1"/>
  <c r="BA32" i="1"/>
  <c r="B34" i="1"/>
  <c r="A35" i="1"/>
  <c r="S33" i="5"/>
  <c r="AF32" i="1"/>
  <c r="AG32" i="1" s="1"/>
  <c r="M33" i="6"/>
  <c r="S345" i="5"/>
  <c r="C56" i="3"/>
  <c r="B57" i="3" s="1"/>
  <c r="G33" i="1" l="1"/>
  <c r="BB33" i="1" s="1"/>
  <c r="M34" i="6"/>
  <c r="AO33" i="1"/>
  <c r="AP33" i="1" s="1"/>
  <c r="O33" i="1"/>
  <c r="S34" i="5"/>
  <c r="A36" i="1"/>
  <c r="B35" i="1"/>
  <c r="AF33" i="1"/>
  <c r="AG33" i="1" s="1"/>
  <c r="S33" i="1"/>
  <c r="P347" i="5"/>
  <c r="Y34" i="1"/>
  <c r="L34" i="1"/>
  <c r="AO34" i="1" s="1"/>
  <c r="AP34" i="1" s="1"/>
  <c r="N35" i="5"/>
  <c r="Q35" i="5" s="1"/>
  <c r="AU34" i="1"/>
  <c r="AD34" i="1"/>
  <c r="N35" i="6"/>
  <c r="E34" i="1"/>
  <c r="X34" i="1"/>
  <c r="AA34" i="1" s="1"/>
  <c r="AB34" i="1" s="1"/>
  <c r="N347" i="5"/>
  <c r="Q347" i="5" s="1"/>
  <c r="P35" i="6"/>
  <c r="F34" i="1"/>
  <c r="D34" i="1"/>
  <c r="P35" i="5"/>
  <c r="M34" i="1"/>
  <c r="S34" i="1" s="1"/>
  <c r="C34" i="1"/>
  <c r="S346" i="5"/>
  <c r="C57" i="3"/>
  <c r="B58" i="3" s="1"/>
  <c r="AL35" i="1" l="1"/>
  <c r="AF34" i="1"/>
  <c r="AG34" i="1" s="1"/>
  <c r="G34" i="1"/>
  <c r="BA33" i="1"/>
  <c r="S35" i="5"/>
  <c r="BB34" i="1"/>
  <c r="BA34" i="1"/>
  <c r="A37" i="1"/>
  <c r="B36" i="1"/>
  <c r="M35" i="6"/>
  <c r="O34" i="1"/>
  <c r="S347" i="5"/>
  <c r="P36" i="5"/>
  <c r="X35" i="1"/>
  <c r="AA35" i="1" s="1"/>
  <c r="AB35" i="1" s="1"/>
  <c r="AU35" i="1"/>
  <c r="N348" i="5"/>
  <c r="Q348" i="5" s="1"/>
  <c r="F35" i="1"/>
  <c r="N36" i="6"/>
  <c r="C35" i="1"/>
  <c r="E35" i="1"/>
  <c r="AD35" i="1"/>
  <c r="P348" i="5"/>
  <c r="D35" i="1"/>
  <c r="AI35" i="1"/>
  <c r="L35" i="1"/>
  <c r="N36" i="5"/>
  <c r="Q36" i="5" s="1"/>
  <c r="Y35" i="1"/>
  <c r="P36" i="6"/>
  <c r="M35" i="1"/>
  <c r="AH35" i="1" s="1"/>
  <c r="S35" i="1"/>
  <c r="C58" i="3"/>
  <c r="B59" i="3" s="1"/>
  <c r="AL36" i="1" l="1"/>
  <c r="N35" i="1"/>
  <c r="BC35" i="1" s="1"/>
  <c r="AF35" i="1"/>
  <c r="AG35" i="1" s="1"/>
  <c r="P35" i="1"/>
  <c r="T35" i="1" a="1"/>
  <c r="T35" i="1" s="1"/>
  <c r="U35" i="1" s="1"/>
  <c r="O35" i="1"/>
  <c r="S36" i="5"/>
  <c r="P37" i="6"/>
  <c r="X36" i="1"/>
  <c r="AA36" i="1" s="1"/>
  <c r="AB36" i="1" s="1"/>
  <c r="L36" i="1"/>
  <c r="AU36" i="1"/>
  <c r="AD36" i="1"/>
  <c r="Y36" i="1"/>
  <c r="P349" i="5"/>
  <c r="N349" i="5"/>
  <c r="Q349" i="5" s="1"/>
  <c r="E36" i="1"/>
  <c r="N37" i="5"/>
  <c r="Q37" i="5" s="1"/>
  <c r="D36" i="1"/>
  <c r="M36" i="1"/>
  <c r="O36" i="1" s="1"/>
  <c r="N37" i="6"/>
  <c r="C36" i="1"/>
  <c r="P37" i="5"/>
  <c r="F36" i="1"/>
  <c r="AO36" i="1"/>
  <c r="AP36" i="1" s="1"/>
  <c r="A38" i="1"/>
  <c r="B37" i="1"/>
  <c r="BQ35" i="1" a="1"/>
  <c r="BQ35" i="1" s="1"/>
  <c r="BK35" i="1"/>
  <c r="M36" i="6"/>
  <c r="O36" i="6" s="1"/>
  <c r="R36" i="6" s="1"/>
  <c r="BN35" i="1"/>
  <c r="G35" i="1"/>
  <c r="BD35" i="1"/>
  <c r="AO35" i="1"/>
  <c r="AP35" i="1" s="1"/>
  <c r="S348" i="5"/>
  <c r="C59" i="3"/>
  <c r="B60" i="3" s="1"/>
  <c r="C60" i="3" s="1"/>
  <c r="B61" i="3" s="1"/>
  <c r="AL37" i="1" l="1"/>
  <c r="S36" i="1"/>
  <c r="S37" i="5"/>
  <c r="N350" i="5"/>
  <c r="Q350" i="5" s="1"/>
  <c r="M37" i="1"/>
  <c r="AH37" i="1" s="1"/>
  <c r="P350" i="5"/>
  <c r="N38" i="5"/>
  <c r="Q38" i="5" s="1"/>
  <c r="P38" i="5"/>
  <c r="X37" i="1"/>
  <c r="AA37" i="1" s="1"/>
  <c r="AB37" i="1" s="1"/>
  <c r="D37" i="1"/>
  <c r="AD37" i="1"/>
  <c r="N38" i="6"/>
  <c r="P38" i="6"/>
  <c r="AU37" i="1"/>
  <c r="C37" i="1"/>
  <c r="L37" i="1"/>
  <c r="E37" i="1"/>
  <c r="Y37" i="1"/>
  <c r="F37" i="1"/>
  <c r="AO37" i="1"/>
  <c r="AP37" i="1" s="1"/>
  <c r="AF37" i="1"/>
  <c r="AG37" i="1" s="1"/>
  <c r="AF36" i="1"/>
  <c r="AG36" i="1" s="1"/>
  <c r="B38" i="1"/>
  <c r="A39" i="1"/>
  <c r="G36" i="1"/>
  <c r="AH36" i="1"/>
  <c r="BA35" i="1"/>
  <c r="BB35" i="1"/>
  <c r="S349" i="5"/>
  <c r="BQ36" i="1" a="1"/>
  <c r="BQ36" i="1" s="1"/>
  <c r="M37" i="6"/>
  <c r="C61" i="3"/>
  <c r="B62" i="3" s="1"/>
  <c r="S37" i="1" l="1"/>
  <c r="O37" i="1"/>
  <c r="G37" i="1"/>
  <c r="S350" i="5"/>
  <c r="P351" i="5"/>
  <c r="D38" i="1"/>
  <c r="N39" i="6"/>
  <c r="C38" i="1"/>
  <c r="N351" i="5"/>
  <c r="Q351" i="5" s="1"/>
  <c r="P39" i="5"/>
  <c r="AU38" i="1"/>
  <c r="X38" i="1"/>
  <c r="AA38" i="1" s="1"/>
  <c r="AB38" i="1" s="1"/>
  <c r="F38" i="1"/>
  <c r="L38" i="1"/>
  <c r="AD38" i="1"/>
  <c r="M38" i="1"/>
  <c r="S38" i="1" s="1"/>
  <c r="Y38" i="1"/>
  <c r="E38" i="1"/>
  <c r="N39" i="5"/>
  <c r="Q39" i="5" s="1"/>
  <c r="P39" i="6"/>
  <c r="AO38" i="1"/>
  <c r="AP38" i="1" s="1"/>
  <c r="BB37" i="1"/>
  <c r="BA37" i="1"/>
  <c r="BQ37" i="1" a="1"/>
  <c r="BQ37" i="1" s="1"/>
  <c r="M38" i="6"/>
  <c r="S38" i="5"/>
  <c r="BA36" i="1"/>
  <c r="BB36" i="1"/>
  <c r="A40" i="1"/>
  <c r="B39" i="1"/>
  <c r="C62" i="3"/>
  <c r="B63" i="3" s="1"/>
  <c r="G38" i="1" l="1"/>
  <c r="BA38" i="1" s="1"/>
  <c r="AF38" i="1"/>
  <c r="AG38" i="1" s="1"/>
  <c r="O38" i="1"/>
  <c r="S39" i="5"/>
  <c r="M39" i="6"/>
  <c r="AD39" i="1"/>
  <c r="N40" i="6"/>
  <c r="D39" i="1"/>
  <c r="N40" i="5"/>
  <c r="Q40" i="5" s="1"/>
  <c r="F39" i="1"/>
  <c r="P40" i="5"/>
  <c r="P352" i="5"/>
  <c r="M39" i="1"/>
  <c r="S39" i="1" s="1"/>
  <c r="L39" i="1"/>
  <c r="P40" i="6"/>
  <c r="AU39" i="1"/>
  <c r="C39" i="1"/>
  <c r="N352" i="5"/>
  <c r="Q352" i="5" s="1"/>
  <c r="X39" i="1"/>
  <c r="AA39" i="1" s="1"/>
  <c r="AB39" i="1" s="1"/>
  <c r="Y39" i="1"/>
  <c r="E39" i="1"/>
  <c r="A41" i="1"/>
  <c r="B40" i="1"/>
  <c r="S351" i="5"/>
  <c r="C63" i="3"/>
  <c r="B64" i="3" s="1"/>
  <c r="S40" i="5" l="1"/>
  <c r="BB38" i="1"/>
  <c r="G39" i="1"/>
  <c r="BB39" i="1" s="1"/>
  <c r="O39" i="1"/>
  <c r="P41" i="6"/>
  <c r="N41" i="6"/>
  <c r="AU40" i="1"/>
  <c r="L40" i="1"/>
  <c r="E40" i="1"/>
  <c r="N41" i="5"/>
  <c r="Q41" i="5" s="1"/>
  <c r="F40" i="1"/>
  <c r="Y40" i="1"/>
  <c r="P41" i="5"/>
  <c r="X40" i="1"/>
  <c r="AA40" i="1" s="1"/>
  <c r="AB40" i="1" s="1"/>
  <c r="N353" i="5"/>
  <c r="Q353" i="5" s="1"/>
  <c r="AD40" i="1"/>
  <c r="C40" i="1"/>
  <c r="P353" i="5"/>
  <c r="M40" i="1"/>
  <c r="D40" i="1"/>
  <c r="AO40" i="1"/>
  <c r="AP40" i="1" s="1"/>
  <c r="S352" i="5"/>
  <c r="M40" i="6"/>
  <c r="B41" i="1"/>
  <c r="A42" i="1"/>
  <c r="AF39" i="1"/>
  <c r="AG39" i="1" s="1"/>
  <c r="AO39" i="1"/>
  <c r="AP39" i="1" s="1"/>
  <c r="C64" i="3"/>
  <c r="B65" i="3" s="1"/>
  <c r="BA39" i="1" l="1"/>
  <c r="AF40" i="1"/>
  <c r="AG40" i="1" s="1"/>
  <c r="S353" i="5"/>
  <c r="S41" i="5"/>
  <c r="O40" i="1"/>
  <c r="S40" i="1"/>
  <c r="B42" i="1"/>
  <c r="A43" i="1"/>
  <c r="F41" i="1"/>
  <c r="L41" i="1"/>
  <c r="AO41" i="1" s="1"/>
  <c r="AP41" i="1" s="1"/>
  <c r="AD41" i="1"/>
  <c r="N42" i="5"/>
  <c r="Q42" i="5" s="1"/>
  <c r="E41" i="1"/>
  <c r="Y41" i="1"/>
  <c r="P354" i="5"/>
  <c r="AU41" i="1"/>
  <c r="N354" i="5"/>
  <c r="Q354" i="5" s="1"/>
  <c r="X41" i="1"/>
  <c r="AA41" i="1" s="1"/>
  <c r="AB41" i="1" s="1"/>
  <c r="N42" i="6"/>
  <c r="D41" i="1"/>
  <c r="M41" i="1"/>
  <c r="O41" i="1" s="1"/>
  <c r="P42" i="5"/>
  <c r="C41" i="1"/>
  <c r="P42" i="6"/>
  <c r="M41" i="6"/>
  <c r="G40" i="1"/>
  <c r="C65" i="3"/>
  <c r="B66" i="3" s="1"/>
  <c r="AF41" i="1" l="1"/>
  <c r="AG41" i="1" s="1"/>
  <c r="S41" i="1"/>
  <c r="A44" i="1"/>
  <c r="B43" i="1"/>
  <c r="F42" i="1"/>
  <c r="L42" i="1"/>
  <c r="AO42" i="1" s="1"/>
  <c r="AP42" i="1" s="1"/>
  <c r="N355" i="5"/>
  <c r="Q355" i="5" s="1"/>
  <c r="AU42" i="1"/>
  <c r="P43" i="6"/>
  <c r="AD42" i="1"/>
  <c r="P355" i="5"/>
  <c r="M42" i="1"/>
  <c r="S42" i="1" s="1"/>
  <c r="P43" i="5"/>
  <c r="Y42" i="1"/>
  <c r="C42" i="1"/>
  <c r="N43" i="6"/>
  <c r="D42" i="1"/>
  <c r="E42" i="1"/>
  <c r="N43" i="5"/>
  <c r="Q43" i="5" s="1"/>
  <c r="X42" i="1"/>
  <c r="AA42" i="1" s="1"/>
  <c r="AB42" i="1" s="1"/>
  <c r="BB40" i="1"/>
  <c r="BA40" i="1"/>
  <c r="S354" i="5"/>
  <c r="G41" i="1"/>
  <c r="S42" i="5"/>
  <c r="M42" i="6"/>
  <c r="C66" i="3"/>
  <c r="B67" i="3" s="1"/>
  <c r="S43" i="5" l="1"/>
  <c r="S355" i="5"/>
  <c r="AF42" i="1"/>
  <c r="AG42" i="1" s="1"/>
  <c r="O42" i="1"/>
  <c r="N44" i="5"/>
  <c r="Q44" i="5" s="1"/>
  <c r="C43" i="1"/>
  <c r="P356" i="5"/>
  <c r="S356" i="5" s="1"/>
  <c r="X43" i="1"/>
  <c r="AA43" i="1" s="1"/>
  <c r="AB43" i="1" s="1"/>
  <c r="N44" i="6"/>
  <c r="D43" i="1"/>
  <c r="L43" i="1"/>
  <c r="P44" i="5"/>
  <c r="M43" i="1"/>
  <c r="S43" i="1" s="1"/>
  <c r="AU43" i="1"/>
  <c r="P44" i="6"/>
  <c r="E43" i="1"/>
  <c r="N356" i="5"/>
  <c r="Q356" i="5" s="1"/>
  <c r="AD43" i="1"/>
  <c r="Y43" i="1"/>
  <c r="F43" i="1"/>
  <c r="AO43" i="1"/>
  <c r="AP43" i="1" s="1"/>
  <c r="B44" i="1"/>
  <c r="A45" i="1"/>
  <c r="M43" i="6"/>
  <c r="BA41" i="1"/>
  <c r="BB41" i="1"/>
  <c r="G42" i="1"/>
  <c r="C67" i="3"/>
  <c r="B68" i="3" s="1"/>
  <c r="S44" i="5" l="1"/>
  <c r="O43" i="1"/>
  <c r="AF43" i="1"/>
  <c r="AG43" i="1" s="1"/>
  <c r="G43" i="1"/>
  <c r="A46" i="1"/>
  <c r="B45" i="1"/>
  <c r="N45" i="6"/>
  <c r="X44" i="1"/>
  <c r="AA44" i="1" s="1"/>
  <c r="AB44" i="1" s="1"/>
  <c r="P357" i="5"/>
  <c r="D44" i="1"/>
  <c r="P45" i="6"/>
  <c r="F44" i="1"/>
  <c r="N357" i="5"/>
  <c r="Q357" i="5" s="1"/>
  <c r="E44" i="1"/>
  <c r="AD44" i="1"/>
  <c r="Y44" i="1"/>
  <c r="P45" i="5"/>
  <c r="M44" i="1"/>
  <c r="L44" i="1"/>
  <c r="AO44" i="1" s="1"/>
  <c r="AP44" i="1" s="1"/>
  <c r="C44" i="1"/>
  <c r="N45" i="5"/>
  <c r="Q45" i="5" s="1"/>
  <c r="AU44" i="1"/>
  <c r="BA42" i="1"/>
  <c r="BB42" i="1"/>
  <c r="M44" i="6"/>
  <c r="C68" i="3"/>
  <c r="B69" i="3" s="1"/>
  <c r="S357" i="5" l="1"/>
  <c r="AF44" i="1"/>
  <c r="AG44" i="1" s="1"/>
  <c r="O44" i="1"/>
  <c r="F45" i="1"/>
  <c r="AU45" i="1"/>
  <c r="P46" i="5"/>
  <c r="X45" i="1"/>
  <c r="AA45" i="1" s="1"/>
  <c r="AB45" i="1" s="1"/>
  <c r="Y45" i="1"/>
  <c r="N46" i="5"/>
  <c r="Q46" i="5" s="1"/>
  <c r="M45" i="1"/>
  <c r="S45" i="1" s="1"/>
  <c r="D45" i="1"/>
  <c r="N46" i="6"/>
  <c r="P46" i="6"/>
  <c r="C45" i="1"/>
  <c r="N358" i="5"/>
  <c r="Q358" i="5" s="1"/>
  <c r="AD45" i="1"/>
  <c r="P358" i="5"/>
  <c r="L45" i="1"/>
  <c r="E45" i="1"/>
  <c r="B46" i="1"/>
  <c r="A47" i="1"/>
  <c r="M45" i="6"/>
  <c r="BB43" i="1"/>
  <c r="BA43" i="1"/>
  <c r="S44" i="1"/>
  <c r="S45" i="5"/>
  <c r="G44" i="1"/>
  <c r="C69" i="3"/>
  <c r="B70" i="3" s="1"/>
  <c r="S358" i="5" l="1"/>
  <c r="AF45" i="1"/>
  <c r="AG45" i="1" s="1"/>
  <c r="M46" i="6"/>
  <c r="BB44" i="1"/>
  <c r="BA44" i="1"/>
  <c r="O45" i="1"/>
  <c r="AO45" i="1"/>
  <c r="AP45" i="1" s="1"/>
  <c r="S46" i="5"/>
  <c r="A48" i="1"/>
  <c r="B47" i="1"/>
  <c r="AD46" i="1"/>
  <c r="L46" i="1"/>
  <c r="AO46" i="1"/>
  <c r="AP46" i="1" s="1"/>
  <c r="F46" i="1"/>
  <c r="D46" i="1"/>
  <c r="N47" i="5"/>
  <c r="Q47" i="5" s="1"/>
  <c r="N359" i="5"/>
  <c r="Q359" i="5" s="1"/>
  <c r="P47" i="5"/>
  <c r="P359" i="5"/>
  <c r="S359" i="5" s="1"/>
  <c r="AU46" i="1"/>
  <c r="P47" i="6"/>
  <c r="M46" i="1"/>
  <c r="S46" i="1" s="1"/>
  <c r="Y46" i="1"/>
  <c r="X46" i="1"/>
  <c r="AA46" i="1" s="1"/>
  <c r="AB46" i="1" s="1"/>
  <c r="N47" i="6"/>
  <c r="C46" i="1"/>
  <c r="E46" i="1"/>
  <c r="G45" i="1"/>
  <c r="C70" i="3"/>
  <c r="B71" i="3" s="1"/>
  <c r="S47" i="5" l="1"/>
  <c r="O46" i="1"/>
  <c r="G46" i="1"/>
  <c r="M47" i="1"/>
  <c r="AF47" i="1" s="1"/>
  <c r="AG47" i="1" s="1"/>
  <c r="E47" i="1"/>
  <c r="AD47" i="1"/>
  <c r="AU47" i="1"/>
  <c r="P48" i="5"/>
  <c r="X47" i="1"/>
  <c r="AA47" i="1" s="1"/>
  <c r="AB47" i="1" s="1"/>
  <c r="L47" i="1"/>
  <c r="D47" i="1"/>
  <c r="N360" i="5"/>
  <c r="Q360" i="5" s="1"/>
  <c r="N48" i="5"/>
  <c r="Q48" i="5" s="1"/>
  <c r="C47" i="1"/>
  <c r="F47" i="1"/>
  <c r="N48" i="6"/>
  <c r="Y47" i="1"/>
  <c r="P48" i="6"/>
  <c r="P360" i="5"/>
  <c r="B48" i="1"/>
  <c r="A49" i="1"/>
  <c r="M47" i="6"/>
  <c r="BB45" i="1"/>
  <c r="BA45" i="1"/>
  <c r="AF46" i="1"/>
  <c r="AG46" i="1" s="1"/>
  <c r="C71" i="3"/>
  <c r="B72" i="3" s="1"/>
  <c r="S360" i="5" l="1"/>
  <c r="G47" i="1"/>
  <c r="O47" i="1"/>
  <c r="A50" i="1"/>
  <c r="B49" i="1"/>
  <c r="N49" i="6"/>
  <c r="E48" i="1"/>
  <c r="F48" i="1"/>
  <c r="N49" i="5"/>
  <c r="Q49" i="5" s="1"/>
  <c r="D48" i="1"/>
  <c r="AU48" i="1"/>
  <c r="C48" i="1"/>
  <c r="M48" i="1"/>
  <c r="S48" i="1" s="1"/>
  <c r="AD48" i="1"/>
  <c r="P361" i="5"/>
  <c r="P49" i="5"/>
  <c r="L48" i="1"/>
  <c r="N361" i="5"/>
  <c r="Q361" i="5" s="1"/>
  <c r="X48" i="1"/>
  <c r="AA48" i="1" s="1"/>
  <c r="AB48" i="1" s="1"/>
  <c r="P49" i="6"/>
  <c r="Y48" i="1"/>
  <c r="AO48" i="1"/>
  <c r="AP48" i="1" s="1"/>
  <c r="BA47" i="1"/>
  <c r="BB47" i="1"/>
  <c r="M48" i="6"/>
  <c r="S47" i="1"/>
  <c r="BB46" i="1"/>
  <c r="BA46" i="1"/>
  <c r="S48" i="5"/>
  <c r="AO47" i="1"/>
  <c r="AP47" i="1" s="1"/>
  <c r="C72" i="3"/>
  <c r="B73" i="3" s="1"/>
  <c r="AL49" i="1" l="1"/>
  <c r="S49" i="5"/>
  <c r="G48" i="1"/>
  <c r="O48" i="1"/>
  <c r="Y49" i="1"/>
  <c r="C49" i="1"/>
  <c r="AD49" i="1"/>
  <c r="L49" i="1"/>
  <c r="F49" i="1"/>
  <c r="N50" i="6"/>
  <c r="P50" i="6"/>
  <c r="AI49" i="1"/>
  <c r="AU49" i="1"/>
  <c r="E49" i="1"/>
  <c r="N362" i="5"/>
  <c r="Q362" i="5" s="1"/>
  <c r="P50" i="5"/>
  <c r="X49" i="1"/>
  <c r="AA49" i="1" s="1"/>
  <c r="AB49" i="1" s="1"/>
  <c r="N50" i="5"/>
  <c r="Q50" i="5" s="1"/>
  <c r="M49" i="1"/>
  <c r="S49" i="1" s="1"/>
  <c r="P362" i="5"/>
  <c r="D49" i="1"/>
  <c r="AO49" i="1"/>
  <c r="AP49" i="1" s="1"/>
  <c r="M49" i="6"/>
  <c r="B50" i="1"/>
  <c r="A51" i="1"/>
  <c r="BB48" i="1"/>
  <c r="BA48" i="1"/>
  <c r="AF48" i="1"/>
  <c r="AG48" i="1" s="1"/>
  <c r="S361" i="5"/>
  <c r="C73" i="3"/>
  <c r="B74" i="3" s="1"/>
  <c r="AL50" i="1" l="1"/>
  <c r="T49" i="1" a="1"/>
  <c r="T49" i="1" s="1"/>
  <c r="U49" i="1" s="1"/>
  <c r="N49" i="1"/>
  <c r="G49" i="1"/>
  <c r="AH49" i="1"/>
  <c r="B51" i="1"/>
  <c r="A52" i="1"/>
  <c r="AF49" i="1"/>
  <c r="AG49" i="1" s="1"/>
  <c r="S362" i="5"/>
  <c r="BQ49" i="1" a="1"/>
  <c r="BQ49" i="1" s="1"/>
  <c r="BN49" i="1"/>
  <c r="BK49" i="1"/>
  <c r="M50" i="6"/>
  <c r="O50" i="6" s="1"/>
  <c r="R50" i="6" s="1"/>
  <c r="O49" i="1"/>
  <c r="D50" i="1"/>
  <c r="AI50" i="1"/>
  <c r="AU50" i="1"/>
  <c r="E50" i="1"/>
  <c r="P363" i="5"/>
  <c r="F50" i="1"/>
  <c r="Y50" i="1"/>
  <c r="M50" i="1"/>
  <c r="O50" i="1" s="1"/>
  <c r="P51" i="6"/>
  <c r="N363" i="5"/>
  <c r="Q363" i="5" s="1"/>
  <c r="N51" i="6"/>
  <c r="X50" i="1"/>
  <c r="AA50" i="1" s="1"/>
  <c r="AB50" i="1" s="1"/>
  <c r="P51" i="5"/>
  <c r="AD50" i="1"/>
  <c r="N51" i="5"/>
  <c r="Q51" i="5" s="1"/>
  <c r="L50" i="1"/>
  <c r="AO50" i="1" s="1"/>
  <c r="AP50" i="1" s="1"/>
  <c r="C50" i="1"/>
  <c r="P49" i="1"/>
  <c r="S50" i="5"/>
  <c r="C74" i="3"/>
  <c r="B75" i="3" s="1"/>
  <c r="AL51" i="1" l="1"/>
  <c r="AF50" i="1"/>
  <c r="AG50" i="1" s="1"/>
  <c r="T50" i="1" a="1"/>
  <c r="T50" i="1" s="1"/>
  <c r="U50" i="1" s="1"/>
  <c r="N50" i="1"/>
  <c r="BD50" i="1" s="1"/>
  <c r="S363" i="5"/>
  <c r="S51" i="5"/>
  <c r="AH50" i="1"/>
  <c r="A53" i="1"/>
  <c r="B52" i="1"/>
  <c r="N364" i="5"/>
  <c r="Q364" i="5" s="1"/>
  <c r="X51" i="1"/>
  <c r="AA51" i="1" s="1"/>
  <c r="AB51" i="1" s="1"/>
  <c r="F51" i="1"/>
  <c r="AU51" i="1"/>
  <c r="P52" i="6"/>
  <c r="D51" i="1"/>
  <c r="Y51" i="1"/>
  <c r="C51" i="1"/>
  <c r="AD51" i="1"/>
  <c r="P364" i="5"/>
  <c r="P52" i="5"/>
  <c r="M51" i="1"/>
  <c r="P51" i="1" s="1"/>
  <c r="AI51" i="1"/>
  <c r="N52" i="6"/>
  <c r="E51" i="1"/>
  <c r="N52" i="5"/>
  <c r="Q52" i="5" s="1"/>
  <c r="L51" i="1"/>
  <c r="P50" i="1"/>
  <c r="BQ50" i="1" a="1"/>
  <c r="BQ50" i="1" s="1"/>
  <c r="BN50" i="1"/>
  <c r="BK50" i="1"/>
  <c r="M51" i="6"/>
  <c r="O51" i="6" s="1"/>
  <c r="R51" i="6" s="1"/>
  <c r="BA49" i="1"/>
  <c r="BB49" i="1"/>
  <c r="S50" i="1"/>
  <c r="G50" i="1"/>
  <c r="BD49" i="1"/>
  <c r="BC49" i="1"/>
  <c r="C75" i="3"/>
  <c r="B76" i="3" s="1"/>
  <c r="AL52" i="1" l="1"/>
  <c r="BC50" i="1"/>
  <c r="AO51" i="1"/>
  <c r="AP51" i="1" s="1"/>
  <c r="O51" i="1"/>
  <c r="S364" i="5"/>
  <c r="S51" i="1"/>
  <c r="AF51" i="1"/>
  <c r="AG51" i="1" s="1"/>
  <c r="T51" i="1" a="1"/>
  <c r="T51" i="1" s="1"/>
  <c r="U51" i="1" s="1"/>
  <c r="BQ51" i="1" a="1"/>
  <c r="BQ51" i="1" s="1"/>
  <c r="BN51" i="1"/>
  <c r="M52" i="6"/>
  <c r="O52" i="6" s="1"/>
  <c r="R52" i="6" s="1"/>
  <c r="BK51" i="1"/>
  <c r="AH51" i="1"/>
  <c r="A54" i="1"/>
  <c r="B53" i="1"/>
  <c r="G51" i="1"/>
  <c r="S52" i="5"/>
  <c r="N51" i="1"/>
  <c r="BA50" i="1"/>
  <c r="BB50" i="1"/>
  <c r="N53" i="6"/>
  <c r="L52" i="1"/>
  <c r="P53" i="5"/>
  <c r="AD52" i="1"/>
  <c r="Y52" i="1"/>
  <c r="X52" i="1"/>
  <c r="AA52" i="1" s="1"/>
  <c r="AB52" i="1" s="1"/>
  <c r="P53" i="6"/>
  <c r="N365" i="5"/>
  <c r="Q365" i="5" s="1"/>
  <c r="AI52" i="1"/>
  <c r="N53" i="5"/>
  <c r="Q53" i="5" s="1"/>
  <c r="F52" i="1"/>
  <c r="M52" i="1"/>
  <c r="S52" i="1" s="1"/>
  <c r="P365" i="5"/>
  <c r="E52" i="1"/>
  <c r="AU52" i="1"/>
  <c r="D52" i="1"/>
  <c r="C52" i="1"/>
  <c r="AO52" i="1"/>
  <c r="AP52" i="1" s="1"/>
  <c r="C76" i="3"/>
  <c r="B77" i="3" s="1"/>
  <c r="AL53" i="1" l="1"/>
  <c r="AF52" i="1"/>
  <c r="AG52" i="1" s="1"/>
  <c r="P52" i="1"/>
  <c r="O52" i="1"/>
  <c r="A55" i="1"/>
  <c r="B54" i="1"/>
  <c r="AH52" i="1"/>
  <c r="BC51" i="1"/>
  <c r="BD51" i="1"/>
  <c r="G52" i="1"/>
  <c r="BA51" i="1"/>
  <c r="BB51" i="1"/>
  <c r="T52" i="1" a="1"/>
  <c r="T52" i="1" s="1"/>
  <c r="U52" i="1" s="1"/>
  <c r="S53" i="5"/>
  <c r="N52" i="1"/>
  <c r="S365" i="5"/>
  <c r="BQ52" i="1" a="1"/>
  <c r="BQ52" i="1" s="1"/>
  <c r="BK52" i="1"/>
  <c r="BN52" i="1"/>
  <c r="M53" i="6"/>
  <c r="O53" i="6" s="1"/>
  <c r="R53" i="6" s="1"/>
  <c r="N54" i="6"/>
  <c r="D53" i="1"/>
  <c r="Y53" i="1"/>
  <c r="C53" i="1"/>
  <c r="F53" i="1"/>
  <c r="N54" i="5"/>
  <c r="Q54" i="5" s="1"/>
  <c r="M53" i="1"/>
  <c r="AH53" i="1" s="1"/>
  <c r="L53" i="1"/>
  <c r="P54" i="6"/>
  <c r="N366" i="5"/>
  <c r="Q366" i="5" s="1"/>
  <c r="E53" i="1"/>
  <c r="AD53" i="1"/>
  <c r="X53" i="1"/>
  <c r="AA53" i="1" s="1"/>
  <c r="AB53" i="1" s="1"/>
  <c r="AU53" i="1"/>
  <c r="P366" i="5"/>
  <c r="P54" i="5"/>
  <c r="C77" i="3"/>
  <c r="B78" i="3" s="1"/>
  <c r="AL54" i="1" l="1"/>
  <c r="O53" i="1"/>
  <c r="S53" i="1"/>
  <c r="S54" i="5"/>
  <c r="S366" i="5"/>
  <c r="AF53" i="1"/>
  <c r="AG53" i="1" s="1"/>
  <c r="BQ53" i="1" a="1"/>
  <c r="BQ53" i="1" s="1"/>
  <c r="M54" i="6"/>
  <c r="C54" i="1"/>
  <c r="AU54" i="1"/>
  <c r="E54" i="1"/>
  <c r="M54" i="1"/>
  <c r="AH54" i="1" s="1"/>
  <c r="D54" i="1"/>
  <c r="P55" i="6"/>
  <c r="N55" i="6"/>
  <c r="AD54" i="1"/>
  <c r="L54" i="1"/>
  <c r="P55" i="5"/>
  <c r="X54" i="1"/>
  <c r="AA54" i="1" s="1"/>
  <c r="AB54" i="1" s="1"/>
  <c r="N367" i="5"/>
  <c r="Q367" i="5" s="1"/>
  <c r="N55" i="5"/>
  <c r="Q55" i="5" s="1"/>
  <c r="P367" i="5"/>
  <c r="Y54" i="1"/>
  <c r="F54" i="1"/>
  <c r="AO54" i="1"/>
  <c r="AP54" i="1" s="1"/>
  <c r="AO53" i="1"/>
  <c r="AP53" i="1" s="1"/>
  <c r="BA52" i="1"/>
  <c r="BB52" i="1"/>
  <c r="A56" i="1"/>
  <c r="B55" i="1"/>
  <c r="G53" i="1"/>
  <c r="BC52" i="1"/>
  <c r="BD52" i="1"/>
  <c r="C78" i="3"/>
  <c r="B79" i="3" s="1"/>
  <c r="AL55" i="1" l="1"/>
  <c r="O54" i="1"/>
  <c r="S55" i="5"/>
  <c r="S367" i="5"/>
  <c r="BB53" i="1"/>
  <c r="BA53" i="1"/>
  <c r="G54" i="1"/>
  <c r="P56" i="6"/>
  <c r="X55" i="1"/>
  <c r="AA55" i="1" s="1"/>
  <c r="AB55" i="1" s="1"/>
  <c r="N368" i="5"/>
  <c r="Q368" i="5" s="1"/>
  <c r="C55" i="1"/>
  <c r="N56" i="5"/>
  <c r="Q56" i="5" s="1"/>
  <c r="M55" i="1"/>
  <c r="AH55" i="1" s="1"/>
  <c r="E55" i="1"/>
  <c r="N56" i="6"/>
  <c r="D55" i="1"/>
  <c r="F55" i="1"/>
  <c r="AU55" i="1"/>
  <c r="P368" i="5"/>
  <c r="L55" i="1"/>
  <c r="AD55" i="1"/>
  <c r="Y55" i="1"/>
  <c r="P56" i="5"/>
  <c r="AO55" i="1"/>
  <c r="AP55" i="1" s="1"/>
  <c r="S54" i="1"/>
  <c r="BQ54" i="1" a="1"/>
  <c r="BQ54" i="1" s="1"/>
  <c r="M55" i="6"/>
  <c r="A57" i="1"/>
  <c r="B56" i="1"/>
  <c r="AF54" i="1"/>
  <c r="AG54" i="1" s="1"/>
  <c r="C79" i="3"/>
  <c r="B80" i="3" s="1"/>
  <c r="AF55" i="1" l="1"/>
  <c r="AG55" i="1" s="1"/>
  <c r="S55" i="1"/>
  <c r="O55" i="1"/>
  <c r="S56" i="5"/>
  <c r="G55" i="1"/>
  <c r="BQ55" i="1" a="1"/>
  <c r="BQ55" i="1" s="1"/>
  <c r="M56" i="6"/>
  <c r="BA54" i="1"/>
  <c r="BB54" i="1"/>
  <c r="N57" i="5"/>
  <c r="Q57" i="5" s="1"/>
  <c r="X56" i="1"/>
  <c r="AA56" i="1" s="1"/>
  <c r="AB56" i="1" s="1"/>
  <c r="P57" i="6"/>
  <c r="N369" i="5"/>
  <c r="Q369" i="5" s="1"/>
  <c r="N57" i="6"/>
  <c r="D56" i="1"/>
  <c r="AU56" i="1"/>
  <c r="E56" i="1"/>
  <c r="M56" i="1"/>
  <c r="P57" i="5"/>
  <c r="P369" i="5"/>
  <c r="C56" i="1"/>
  <c r="AD56" i="1"/>
  <c r="L56" i="1"/>
  <c r="F56" i="1"/>
  <c r="Y56" i="1"/>
  <c r="AO56" i="1"/>
  <c r="AP56" i="1" s="1"/>
  <c r="S368" i="5"/>
  <c r="B57" i="1"/>
  <c r="A58" i="1"/>
  <c r="C80" i="3"/>
  <c r="B81" i="3" s="1"/>
  <c r="AF56" i="1" l="1"/>
  <c r="AG56" i="1" s="1"/>
  <c r="S57" i="5"/>
  <c r="O56" i="1"/>
  <c r="F57" i="1"/>
  <c r="L57" i="1"/>
  <c r="AO57" i="1" s="1"/>
  <c r="AP57" i="1" s="1"/>
  <c r="N58" i="5"/>
  <c r="Q58" i="5" s="1"/>
  <c r="Y57" i="1"/>
  <c r="P58" i="5"/>
  <c r="P370" i="5"/>
  <c r="M57" i="1"/>
  <c r="S57" i="1" s="1"/>
  <c r="N370" i="5"/>
  <c r="Q370" i="5" s="1"/>
  <c r="D57" i="1"/>
  <c r="E57" i="1"/>
  <c r="AD57" i="1"/>
  <c r="P58" i="6"/>
  <c r="X57" i="1"/>
  <c r="AA57" i="1" s="1"/>
  <c r="AB57" i="1" s="1"/>
  <c r="N58" i="6"/>
  <c r="C57" i="1"/>
  <c r="AU57" i="1"/>
  <c r="G56" i="1"/>
  <c r="M57" i="6"/>
  <c r="S56" i="1"/>
  <c r="S369" i="5"/>
  <c r="BB55" i="1"/>
  <c r="BA55" i="1"/>
  <c r="B58" i="1"/>
  <c r="A59" i="1"/>
  <c r="C81" i="3"/>
  <c r="B82" i="3" s="1"/>
  <c r="O57" i="1" l="1"/>
  <c r="AF57" i="1"/>
  <c r="AG57" i="1" s="1"/>
  <c r="N59" i="5"/>
  <c r="Q59" i="5" s="1"/>
  <c r="C58" i="1"/>
  <c r="AU58" i="1"/>
  <c r="E58" i="1"/>
  <c r="P59" i="5"/>
  <c r="D58" i="1"/>
  <c r="N371" i="5"/>
  <c r="Q371" i="5" s="1"/>
  <c r="Y58" i="1"/>
  <c r="P59" i="6"/>
  <c r="N59" i="6"/>
  <c r="M58" i="1"/>
  <c r="F58" i="1"/>
  <c r="L58" i="1"/>
  <c r="AO58" i="1"/>
  <c r="AP58" i="1" s="1"/>
  <c r="P371" i="5"/>
  <c r="AD58" i="1"/>
  <c r="X58" i="1"/>
  <c r="AA58" i="1" s="1"/>
  <c r="AB58" i="1" s="1"/>
  <c r="S58" i="5"/>
  <c r="A60" i="1"/>
  <c r="B59" i="1"/>
  <c r="M58" i="6"/>
  <c r="S370" i="5"/>
  <c r="G57" i="1"/>
  <c r="BB56" i="1"/>
  <c r="BA56" i="1"/>
  <c r="C82" i="3"/>
  <c r="B83" i="3" s="1"/>
  <c r="O58" i="1" l="1"/>
  <c r="S58" i="1"/>
  <c r="M59" i="6"/>
  <c r="F59" i="1"/>
  <c r="P372" i="5"/>
  <c r="N60" i="5"/>
  <c r="Q60" i="5" s="1"/>
  <c r="M59" i="1"/>
  <c r="Y59" i="1"/>
  <c r="N372" i="5"/>
  <c r="Q372" i="5" s="1"/>
  <c r="P60" i="6"/>
  <c r="E59" i="1"/>
  <c r="AU59" i="1"/>
  <c r="C59" i="1"/>
  <c r="AD59" i="1"/>
  <c r="N60" i="6"/>
  <c r="L59" i="1"/>
  <c r="D59" i="1"/>
  <c r="P60" i="5"/>
  <c r="X59" i="1"/>
  <c r="AA59" i="1" s="1"/>
  <c r="AB59" i="1" s="1"/>
  <c r="AO59" i="1"/>
  <c r="AP59" i="1" s="1"/>
  <c r="AF58" i="1"/>
  <c r="AG58" i="1" s="1"/>
  <c r="G58" i="1"/>
  <c r="BB57" i="1"/>
  <c r="BA57" i="1"/>
  <c r="S59" i="5"/>
  <c r="S371" i="5"/>
  <c r="B60" i="1"/>
  <c r="A61" i="1"/>
  <c r="C83" i="3"/>
  <c r="B84" i="3" s="1"/>
  <c r="S372" i="5" l="1"/>
  <c r="G59" i="1"/>
  <c r="B61" i="1"/>
  <c r="A62" i="1"/>
  <c r="BB58" i="1"/>
  <c r="BA58" i="1"/>
  <c r="S59" i="1"/>
  <c r="S60" i="5"/>
  <c r="AD60" i="1"/>
  <c r="Y60" i="1"/>
  <c r="X60" i="1"/>
  <c r="AA60" i="1" s="1"/>
  <c r="AB60" i="1" s="1"/>
  <c r="P61" i="6"/>
  <c r="L60" i="1"/>
  <c r="C60" i="1"/>
  <c r="AU60" i="1"/>
  <c r="E60" i="1"/>
  <c r="N61" i="6"/>
  <c r="N373" i="5"/>
  <c r="Q373" i="5" s="1"/>
  <c r="M60" i="1"/>
  <c r="S60" i="1" s="1"/>
  <c r="D60" i="1"/>
  <c r="N61" i="5"/>
  <c r="Q61" i="5" s="1"/>
  <c r="F60" i="1"/>
  <c r="P61" i="5"/>
  <c r="P373" i="5"/>
  <c r="AO60" i="1"/>
  <c r="AP60" i="1" s="1"/>
  <c r="AF59" i="1"/>
  <c r="AG59" i="1" s="1"/>
  <c r="M60" i="6"/>
  <c r="BA59" i="1"/>
  <c r="BB59" i="1"/>
  <c r="O59" i="1"/>
  <c r="C84" i="3"/>
  <c r="B85" i="3" s="1"/>
  <c r="S61" i="5" l="1"/>
  <c r="S373" i="5"/>
  <c r="G60" i="1"/>
  <c r="O60" i="1"/>
  <c r="M61" i="6"/>
  <c r="A63" i="1"/>
  <c r="B62" i="1"/>
  <c r="M61" i="1"/>
  <c r="D61" i="1"/>
  <c r="F61" i="1"/>
  <c r="AU61" i="1"/>
  <c r="C61" i="1"/>
  <c r="P62" i="6"/>
  <c r="L61" i="1"/>
  <c r="E61" i="1"/>
  <c r="P374" i="5"/>
  <c r="Y61" i="1"/>
  <c r="AD61" i="1"/>
  <c r="N62" i="6"/>
  <c r="P62" i="5"/>
  <c r="X61" i="1"/>
  <c r="AA61" i="1" s="1"/>
  <c r="AB61" i="1" s="1"/>
  <c r="N374" i="5"/>
  <c r="Q374" i="5" s="1"/>
  <c r="N62" i="5"/>
  <c r="Q62" i="5" s="1"/>
  <c r="AO61" i="1"/>
  <c r="AP61" i="1" s="1"/>
  <c r="BA60" i="1"/>
  <c r="BB60" i="1"/>
  <c r="AF60" i="1"/>
  <c r="AG60" i="1" s="1"/>
  <c r="C85" i="3"/>
  <c r="B86" i="3" s="1"/>
  <c r="G61" i="1" l="1"/>
  <c r="AF61" i="1"/>
  <c r="AG61" i="1" s="1"/>
  <c r="S61" i="1"/>
  <c r="AD62" i="1"/>
  <c r="X62" i="1"/>
  <c r="AA62" i="1" s="1"/>
  <c r="AB62" i="1" s="1"/>
  <c r="N375" i="5"/>
  <c r="Q375" i="5" s="1"/>
  <c r="Y62" i="1"/>
  <c r="P63" i="5"/>
  <c r="N63" i="5"/>
  <c r="Q63" i="5" s="1"/>
  <c r="F62" i="1"/>
  <c r="L62" i="1"/>
  <c r="N63" i="6"/>
  <c r="M62" i="1"/>
  <c r="S62" i="1" s="1"/>
  <c r="AU62" i="1"/>
  <c r="C62" i="1"/>
  <c r="P63" i="6"/>
  <c r="P375" i="5"/>
  <c r="D62" i="1"/>
  <c r="E62" i="1"/>
  <c r="AO62" i="1"/>
  <c r="AP62" i="1" s="1"/>
  <c r="A64" i="1"/>
  <c r="B63" i="1"/>
  <c r="BB61" i="1"/>
  <c r="BA61" i="1"/>
  <c r="O61" i="1"/>
  <c r="M62" i="6"/>
  <c r="S374" i="5"/>
  <c r="S62" i="5"/>
  <c r="C86" i="3"/>
  <c r="B87" i="3" s="1"/>
  <c r="C87" i="3" s="1"/>
  <c r="B88" i="3" s="1"/>
  <c r="S375" i="5" l="1"/>
  <c r="O62" i="1"/>
  <c r="S63" i="5"/>
  <c r="P64" i="5"/>
  <c r="E63" i="1"/>
  <c r="N64" i="5"/>
  <c r="Q64" i="5" s="1"/>
  <c r="M63" i="1"/>
  <c r="S63" i="1" s="1"/>
  <c r="N64" i="6"/>
  <c r="X63" i="1"/>
  <c r="AA63" i="1" s="1"/>
  <c r="AB63" i="1" s="1"/>
  <c r="N376" i="5"/>
  <c r="Q376" i="5" s="1"/>
  <c r="Y63" i="1"/>
  <c r="P64" i="6"/>
  <c r="D63" i="1"/>
  <c r="AD63" i="1"/>
  <c r="C63" i="1"/>
  <c r="F63" i="1"/>
  <c r="AU63" i="1"/>
  <c r="L63" i="1"/>
  <c r="P376" i="5"/>
  <c r="AO63" i="1"/>
  <c r="AP63" i="1" s="1"/>
  <c r="G62" i="1"/>
  <c r="B64" i="1"/>
  <c r="A65" i="1"/>
  <c r="M63" i="6"/>
  <c r="AF62" i="1"/>
  <c r="AG62" i="1" s="1"/>
  <c r="C88" i="3"/>
  <c r="B89" i="3" s="1"/>
  <c r="S376" i="5" l="1"/>
  <c r="AF63" i="1"/>
  <c r="AG63" i="1" s="1"/>
  <c r="O63" i="1"/>
  <c r="BB62" i="1"/>
  <c r="BA62" i="1"/>
  <c r="G63" i="1"/>
  <c r="B65" i="1"/>
  <c r="A66" i="1"/>
  <c r="M64" i="6"/>
  <c r="F64" i="1"/>
  <c r="P65" i="5"/>
  <c r="AD64" i="1"/>
  <c r="Y64" i="1"/>
  <c r="P377" i="5"/>
  <c r="N65" i="5"/>
  <c r="Q65" i="5" s="1"/>
  <c r="P65" i="6"/>
  <c r="X64" i="1"/>
  <c r="AA64" i="1" s="1"/>
  <c r="AB64" i="1" s="1"/>
  <c r="N65" i="6"/>
  <c r="C64" i="1"/>
  <c r="AU64" i="1"/>
  <c r="E64" i="1"/>
  <c r="L64" i="1"/>
  <c r="N377" i="5"/>
  <c r="Q377" i="5" s="1"/>
  <c r="M64" i="1"/>
  <c r="S64" i="1" s="1"/>
  <c r="D64" i="1"/>
  <c r="AO64" i="1"/>
  <c r="AP64" i="1" s="1"/>
  <c r="S64" i="5"/>
  <c r="C89" i="3"/>
  <c r="B90" i="3" s="1"/>
  <c r="O64" i="1" l="1"/>
  <c r="AF64" i="1"/>
  <c r="AG64" i="1" s="1"/>
  <c r="S65" i="5"/>
  <c r="B66" i="1"/>
  <c r="A67" i="1"/>
  <c r="AU65" i="1"/>
  <c r="E65" i="1"/>
  <c r="P66" i="6"/>
  <c r="X65" i="1"/>
  <c r="AA65" i="1" s="1"/>
  <c r="AB65" i="1" s="1"/>
  <c r="F65" i="1"/>
  <c r="Y65" i="1"/>
  <c r="AD65" i="1"/>
  <c r="N66" i="6"/>
  <c r="P66" i="5"/>
  <c r="M65" i="1"/>
  <c r="S65" i="1" s="1"/>
  <c r="P378" i="5"/>
  <c r="N378" i="5"/>
  <c r="Q378" i="5" s="1"/>
  <c r="L65" i="1"/>
  <c r="AO65" i="1" s="1"/>
  <c r="AP65" i="1" s="1"/>
  <c r="N66" i="5"/>
  <c r="Q66" i="5" s="1"/>
  <c r="D65" i="1"/>
  <c r="C65" i="1"/>
  <c r="M65" i="6"/>
  <c r="G64" i="1"/>
  <c r="BA63" i="1"/>
  <c r="BB63" i="1"/>
  <c r="S377" i="5"/>
  <c r="C90" i="3"/>
  <c r="B91" i="3" s="1"/>
  <c r="BB64" i="1" l="1"/>
  <c r="BA64" i="1"/>
  <c r="M66" i="6"/>
  <c r="S378" i="5"/>
  <c r="O65" i="1"/>
  <c r="G65" i="1"/>
  <c r="AF65" i="1"/>
  <c r="AG65" i="1" s="1"/>
  <c r="S66" i="5"/>
  <c r="A68" i="1"/>
  <c r="B67" i="1"/>
  <c r="N67" i="5"/>
  <c r="Q67" i="5" s="1"/>
  <c r="C66" i="1"/>
  <c r="AD66" i="1"/>
  <c r="AO66" i="1"/>
  <c r="AP66" i="1" s="1"/>
  <c r="L66" i="1"/>
  <c r="AU66" i="1"/>
  <c r="F66" i="1"/>
  <c r="X66" i="1"/>
  <c r="AA66" i="1" s="1"/>
  <c r="AB66" i="1" s="1"/>
  <c r="N379" i="5"/>
  <c r="Q379" i="5" s="1"/>
  <c r="P67" i="6"/>
  <c r="M66" i="1"/>
  <c r="S66" i="1" s="1"/>
  <c r="P379" i="5"/>
  <c r="P67" i="5"/>
  <c r="Y66" i="1"/>
  <c r="E66" i="1"/>
  <c r="N67" i="6"/>
  <c r="D66" i="1"/>
  <c r="C91" i="3"/>
  <c r="B92" i="3" s="1"/>
  <c r="S67" i="5" l="1"/>
  <c r="AF66" i="1"/>
  <c r="AG66" i="1" s="1"/>
  <c r="S379" i="5"/>
  <c r="O66" i="1"/>
  <c r="BB65" i="1"/>
  <c r="BA65" i="1"/>
  <c r="M67" i="6"/>
  <c r="N68" i="6"/>
  <c r="Y67" i="1"/>
  <c r="C67" i="1"/>
  <c r="F67" i="1"/>
  <c r="M67" i="1"/>
  <c r="S67" i="1" s="1"/>
  <c r="L67" i="1"/>
  <c r="N380" i="5"/>
  <c r="Q380" i="5" s="1"/>
  <c r="N68" i="5"/>
  <c r="Q68" i="5" s="1"/>
  <c r="AD67" i="1"/>
  <c r="X67" i="1"/>
  <c r="AA67" i="1" s="1"/>
  <c r="AB67" i="1" s="1"/>
  <c r="P68" i="6"/>
  <c r="D67" i="1"/>
  <c r="P68" i="5"/>
  <c r="E67" i="1"/>
  <c r="AU67" i="1"/>
  <c r="AO67" i="1"/>
  <c r="AP67" i="1" s="1"/>
  <c r="P380" i="5"/>
  <c r="O67" i="1"/>
  <c r="A69" i="1"/>
  <c r="B68" i="1"/>
  <c r="G66" i="1"/>
  <c r="C92" i="3"/>
  <c r="B93" i="3" s="1"/>
  <c r="S68" i="5" l="1"/>
  <c r="P69" i="6"/>
  <c r="C68" i="1"/>
  <c r="L68" i="1"/>
  <c r="Y68" i="1"/>
  <c r="F68" i="1"/>
  <c r="M68" i="1"/>
  <c r="P69" i="5"/>
  <c r="AD68" i="1"/>
  <c r="X68" i="1"/>
  <c r="AA68" i="1" s="1"/>
  <c r="AB68" i="1" s="1"/>
  <c r="N69" i="5"/>
  <c r="Q69" i="5" s="1"/>
  <c r="AU68" i="1"/>
  <c r="D68" i="1"/>
  <c r="P381" i="5"/>
  <c r="N381" i="5"/>
  <c r="Q381" i="5" s="1"/>
  <c r="N69" i="6"/>
  <c r="E68" i="1"/>
  <c r="AO68" i="1"/>
  <c r="AP68" i="1" s="1"/>
  <c r="B69" i="1"/>
  <c r="A70" i="1"/>
  <c r="BB66" i="1"/>
  <c r="BA66" i="1"/>
  <c r="AF67" i="1"/>
  <c r="AG67" i="1" s="1"/>
  <c r="M68" i="6"/>
  <c r="S380" i="5"/>
  <c r="G67" i="1"/>
  <c r="C93" i="3"/>
  <c r="B94" i="3" s="1"/>
  <c r="AF68" i="1" l="1"/>
  <c r="AG68" i="1" s="1"/>
  <c r="B70" i="1"/>
  <c r="A71" i="1"/>
  <c r="BA67" i="1"/>
  <c r="BB67" i="1"/>
  <c r="S68" i="1"/>
  <c r="G68" i="1"/>
  <c r="M69" i="6"/>
  <c r="AD69" i="1"/>
  <c r="Y69" i="1"/>
  <c r="N382" i="5"/>
  <c r="Q382" i="5" s="1"/>
  <c r="M69" i="1"/>
  <c r="P382" i="5"/>
  <c r="L69" i="1"/>
  <c r="O69" i="1" s="1"/>
  <c r="P70" i="5"/>
  <c r="C69" i="1"/>
  <c r="N70" i="6"/>
  <c r="P70" i="6"/>
  <c r="D69" i="1"/>
  <c r="N70" i="5"/>
  <c r="Q70" i="5" s="1"/>
  <c r="E69" i="1"/>
  <c r="F69" i="1"/>
  <c r="AU69" i="1"/>
  <c r="X69" i="1"/>
  <c r="AA69" i="1" s="1"/>
  <c r="AB69" i="1" s="1"/>
  <c r="AO69" i="1"/>
  <c r="AP69" i="1" s="1"/>
  <c r="S69" i="1"/>
  <c r="S381" i="5"/>
  <c r="S69" i="5"/>
  <c r="O68" i="1"/>
  <c r="C94" i="3"/>
  <c r="B95" i="3" s="1"/>
  <c r="AL70" i="1" l="1"/>
  <c r="G69" i="1"/>
  <c r="BB69" i="1" s="1"/>
  <c r="S382" i="5"/>
  <c r="BA69" i="1"/>
  <c r="S70" i="5"/>
  <c r="B71" i="1"/>
  <c r="A72" i="1"/>
  <c r="AF69" i="1"/>
  <c r="AG69" i="1" s="1"/>
  <c r="M70" i="6"/>
  <c r="BA68" i="1"/>
  <c r="BB68" i="1"/>
  <c r="N71" i="5"/>
  <c r="Q71" i="5" s="1"/>
  <c r="D70" i="1"/>
  <c r="X70" i="1"/>
  <c r="AA70" i="1" s="1"/>
  <c r="AB70" i="1" s="1"/>
  <c r="F70" i="1"/>
  <c r="P383" i="5"/>
  <c r="AD70" i="1"/>
  <c r="AU70" i="1"/>
  <c r="N383" i="5"/>
  <c r="Q383" i="5" s="1"/>
  <c r="P71" i="5"/>
  <c r="C70" i="1"/>
  <c r="L70" i="1"/>
  <c r="P71" i="6"/>
  <c r="M70" i="1"/>
  <c r="O70" i="1" s="1"/>
  <c r="Y70" i="1"/>
  <c r="E70" i="1"/>
  <c r="N71" i="6"/>
  <c r="AO70" i="1"/>
  <c r="AP70" i="1" s="1"/>
  <c r="C95" i="3"/>
  <c r="B96" i="3" s="1"/>
  <c r="AL71" i="1" l="1"/>
  <c r="S70" i="1"/>
  <c r="AF70" i="1"/>
  <c r="AG70" i="1" s="1"/>
  <c r="AH70" i="1"/>
  <c r="S71" i="5"/>
  <c r="F71" i="1"/>
  <c r="Y71" i="1"/>
  <c r="N72" i="5"/>
  <c r="Q72" i="5" s="1"/>
  <c r="L71" i="1"/>
  <c r="P384" i="5"/>
  <c r="X71" i="1"/>
  <c r="AA71" i="1" s="1"/>
  <c r="AB71" i="1" s="1"/>
  <c r="P72" i="6"/>
  <c r="D71" i="1"/>
  <c r="AD71" i="1"/>
  <c r="N72" i="6"/>
  <c r="M71" i="1"/>
  <c r="S71" i="1" s="1"/>
  <c r="AU71" i="1"/>
  <c r="N384" i="5"/>
  <c r="Q384" i="5" s="1"/>
  <c r="C71" i="1"/>
  <c r="P72" i="5"/>
  <c r="E71" i="1"/>
  <c r="BQ70" i="1" a="1"/>
  <c r="BQ70" i="1" s="1"/>
  <c r="M71" i="6"/>
  <c r="S383" i="5"/>
  <c r="G70" i="1"/>
  <c r="B72" i="1"/>
  <c r="A73" i="1"/>
  <c r="C96" i="3"/>
  <c r="B97" i="3" s="1"/>
  <c r="AL72" i="1" l="1"/>
  <c r="S72" i="5"/>
  <c r="O71" i="1"/>
  <c r="AF71" i="1"/>
  <c r="AG71" i="1" s="1"/>
  <c r="E72" i="1"/>
  <c r="D72" i="1"/>
  <c r="AU72" i="1"/>
  <c r="Y72" i="1"/>
  <c r="C72" i="1"/>
  <c r="F72" i="1"/>
  <c r="P73" i="6"/>
  <c r="N73" i="5"/>
  <c r="Q73" i="5" s="1"/>
  <c r="L72" i="1"/>
  <c r="AD72" i="1"/>
  <c r="P73" i="5"/>
  <c r="X72" i="1"/>
  <c r="AA72" i="1" s="1"/>
  <c r="AB72" i="1" s="1"/>
  <c r="N385" i="5"/>
  <c r="Q385" i="5" s="1"/>
  <c r="M72" i="1"/>
  <c r="S72" i="1" s="1"/>
  <c r="N73" i="6"/>
  <c r="P385" i="5"/>
  <c r="AO72" i="1"/>
  <c r="AP72" i="1" s="1"/>
  <c r="AF72" i="1"/>
  <c r="AG72" i="1" s="1"/>
  <c r="AH71" i="1"/>
  <c r="BB70" i="1"/>
  <c r="BA70" i="1"/>
  <c r="AO71" i="1"/>
  <c r="AP71" i="1" s="1"/>
  <c r="S384" i="5"/>
  <c r="BQ71" i="1" a="1"/>
  <c r="BQ71" i="1" s="1"/>
  <c r="M72" i="6"/>
  <c r="A74" i="1"/>
  <c r="B73" i="1"/>
  <c r="G71" i="1"/>
  <c r="C97" i="3"/>
  <c r="B98" i="3" s="1"/>
  <c r="AL73" i="1" l="1"/>
  <c r="S73" i="5"/>
  <c r="S385" i="5"/>
  <c r="AH72" i="1"/>
  <c r="O72" i="1"/>
  <c r="G72" i="1"/>
  <c r="X73" i="1"/>
  <c r="AA73" i="1" s="1"/>
  <c r="AB73" i="1" s="1"/>
  <c r="F73" i="1"/>
  <c r="N74" i="6"/>
  <c r="P386" i="5"/>
  <c r="Y73" i="1"/>
  <c r="P74" i="6"/>
  <c r="D73" i="1"/>
  <c r="C73" i="1"/>
  <c r="AU73" i="1"/>
  <c r="AD73" i="1"/>
  <c r="L73" i="1"/>
  <c r="N74" i="5"/>
  <c r="Q74" i="5" s="1"/>
  <c r="P74" i="5"/>
  <c r="N386" i="5"/>
  <c r="Q386" i="5" s="1"/>
  <c r="E73" i="1"/>
  <c r="M73" i="1"/>
  <c r="O73" i="1" s="1"/>
  <c r="AO73" i="1"/>
  <c r="AP73" i="1" s="1"/>
  <c r="B74" i="1"/>
  <c r="A75" i="1"/>
  <c r="BQ72" i="1" a="1"/>
  <c r="BQ72" i="1" s="1"/>
  <c r="M73" i="6"/>
  <c r="BB71" i="1"/>
  <c r="BA71" i="1"/>
  <c r="C98" i="3"/>
  <c r="B99" i="3" s="1"/>
  <c r="S74" i="5" l="1"/>
  <c r="G73" i="1"/>
  <c r="BA73" i="1" s="1"/>
  <c r="B75" i="1"/>
  <c r="A76" i="1"/>
  <c r="BB73" i="1"/>
  <c r="P75" i="6"/>
  <c r="D74" i="1"/>
  <c r="F74" i="1"/>
  <c r="P75" i="5"/>
  <c r="AD74" i="1"/>
  <c r="L74" i="1"/>
  <c r="E74" i="1"/>
  <c r="N75" i="5"/>
  <c r="Q75" i="5" s="1"/>
  <c r="C74" i="1"/>
  <c r="N387" i="5"/>
  <c r="Q387" i="5" s="1"/>
  <c r="Y74" i="1"/>
  <c r="P387" i="5"/>
  <c r="AU74" i="1"/>
  <c r="N75" i="6"/>
  <c r="X74" i="1"/>
  <c r="AA74" i="1" s="1"/>
  <c r="AB74" i="1" s="1"/>
  <c r="M74" i="1"/>
  <c r="AO74" i="1"/>
  <c r="AP74" i="1" s="1"/>
  <c r="S73" i="1"/>
  <c r="BB72" i="1"/>
  <c r="BA72" i="1"/>
  <c r="S386" i="5"/>
  <c r="AH73" i="1"/>
  <c r="AF73" i="1"/>
  <c r="AG73" i="1" s="1"/>
  <c r="BQ73" i="1" a="1"/>
  <c r="BQ73" i="1" s="1"/>
  <c r="M74" i="6"/>
  <c r="C99" i="3"/>
  <c r="B100" i="3" s="1"/>
  <c r="AF74" i="1" l="1"/>
  <c r="AG74" i="1" s="1"/>
  <c r="S387" i="5"/>
  <c r="O74" i="1"/>
  <c r="S74" i="1"/>
  <c r="S75" i="5"/>
  <c r="G74" i="1"/>
  <c r="BA74" i="1" s="1"/>
  <c r="M75" i="6"/>
  <c r="B76" i="1"/>
  <c r="A77" i="1"/>
  <c r="F75" i="1"/>
  <c r="M75" i="1"/>
  <c r="N76" i="5"/>
  <c r="Q76" i="5" s="1"/>
  <c r="L75" i="1"/>
  <c r="P76" i="5"/>
  <c r="X75" i="1"/>
  <c r="AA75" i="1" s="1"/>
  <c r="AB75" i="1" s="1"/>
  <c r="N388" i="5"/>
  <c r="Q388" i="5" s="1"/>
  <c r="P76" i="6"/>
  <c r="D75" i="1"/>
  <c r="N76" i="6"/>
  <c r="P388" i="5"/>
  <c r="E75" i="1"/>
  <c r="Y75" i="1"/>
  <c r="AD75" i="1"/>
  <c r="AU75" i="1"/>
  <c r="C75" i="1"/>
  <c r="AO75" i="1"/>
  <c r="AP75" i="1" s="1"/>
  <c r="C100" i="3"/>
  <c r="B101" i="3" s="1"/>
  <c r="S76" i="5" l="1"/>
  <c r="BB74" i="1"/>
  <c r="AF75" i="1"/>
  <c r="AG75" i="1" s="1"/>
  <c r="G75" i="1"/>
  <c r="BB75" i="1" s="1"/>
  <c r="O75" i="1"/>
  <c r="BA75" i="1"/>
  <c r="S75" i="1"/>
  <c r="P77" i="6"/>
  <c r="P389" i="5"/>
  <c r="N77" i="5"/>
  <c r="Q77" i="5" s="1"/>
  <c r="AU76" i="1"/>
  <c r="Y76" i="1"/>
  <c r="AO76" i="1"/>
  <c r="AP76" i="1" s="1"/>
  <c r="L76" i="1"/>
  <c r="D76" i="1"/>
  <c r="N77" i="6"/>
  <c r="N389" i="5"/>
  <c r="Q389" i="5" s="1"/>
  <c r="AD76" i="1"/>
  <c r="F76" i="1"/>
  <c r="M76" i="1"/>
  <c r="E76" i="1"/>
  <c r="P77" i="5"/>
  <c r="C76" i="1"/>
  <c r="X76" i="1"/>
  <c r="AA76" i="1" s="1"/>
  <c r="AB76" i="1" s="1"/>
  <c r="S388" i="5"/>
  <c r="M76" i="6"/>
  <c r="A78" i="1"/>
  <c r="B77" i="1"/>
  <c r="C101" i="3"/>
  <c r="B102" i="3" s="1"/>
  <c r="S389" i="5" l="1"/>
  <c r="O76" i="1"/>
  <c r="B78" i="1"/>
  <c r="A79" i="1"/>
  <c r="G76" i="1"/>
  <c r="M77" i="6"/>
  <c r="S76" i="1"/>
  <c r="AF76" i="1"/>
  <c r="AG76" i="1" s="1"/>
  <c r="N78" i="5"/>
  <c r="Q78" i="5" s="1"/>
  <c r="C77" i="1"/>
  <c r="AD77" i="1"/>
  <c r="Y77" i="1"/>
  <c r="N78" i="6"/>
  <c r="E77" i="1"/>
  <c r="N390" i="5"/>
  <c r="Q390" i="5" s="1"/>
  <c r="P390" i="5"/>
  <c r="X77" i="1"/>
  <c r="AA77" i="1" s="1"/>
  <c r="AB77" i="1" s="1"/>
  <c r="P78" i="5"/>
  <c r="M77" i="1"/>
  <c r="S77" i="1" s="1"/>
  <c r="P78" i="6"/>
  <c r="D77" i="1"/>
  <c r="L77" i="1"/>
  <c r="F77" i="1"/>
  <c r="AU77" i="1"/>
  <c r="AO77" i="1"/>
  <c r="AP77" i="1" s="1"/>
  <c r="S77" i="5"/>
  <c r="C102" i="3"/>
  <c r="B103" i="3" s="1"/>
  <c r="S78" i="5" l="1"/>
  <c r="M78" i="6"/>
  <c r="AF77" i="1"/>
  <c r="AG77" i="1" s="1"/>
  <c r="O77" i="1"/>
  <c r="A80" i="1"/>
  <c r="B79" i="1"/>
  <c r="N79" i="5"/>
  <c r="Q79" i="5" s="1"/>
  <c r="P79" i="6"/>
  <c r="Y78" i="1"/>
  <c r="P391" i="5"/>
  <c r="D78" i="1"/>
  <c r="M78" i="1"/>
  <c r="S78" i="1" s="1"/>
  <c r="AD78" i="1"/>
  <c r="AU78" i="1"/>
  <c r="F78" i="1"/>
  <c r="P79" i="5"/>
  <c r="X78" i="1"/>
  <c r="AA78" i="1" s="1"/>
  <c r="AB78" i="1" s="1"/>
  <c r="N391" i="5"/>
  <c r="Q391" i="5" s="1"/>
  <c r="L78" i="1"/>
  <c r="N79" i="6"/>
  <c r="E78" i="1"/>
  <c r="C78" i="1"/>
  <c r="AO78" i="1"/>
  <c r="AP78" i="1" s="1"/>
  <c r="BB76" i="1"/>
  <c r="BA76" i="1"/>
  <c r="G77" i="1"/>
  <c r="S390" i="5"/>
  <c r="C103" i="3"/>
  <c r="B104" i="3" s="1"/>
  <c r="G78" i="1" l="1"/>
  <c r="BB78" i="1" s="1"/>
  <c r="AF78" i="1"/>
  <c r="AG78" i="1" s="1"/>
  <c r="O78" i="1"/>
  <c r="B80" i="1"/>
  <c r="A81" i="1"/>
  <c r="BA77" i="1"/>
  <c r="BB77" i="1"/>
  <c r="M79" i="6"/>
  <c r="BA78" i="1"/>
  <c r="S79" i="5"/>
  <c r="S391" i="5"/>
  <c r="N80" i="6"/>
  <c r="P80" i="6"/>
  <c r="D79" i="1"/>
  <c r="P392" i="5"/>
  <c r="E79" i="1"/>
  <c r="AU79" i="1"/>
  <c r="P80" i="5"/>
  <c r="N80" i="5"/>
  <c r="Q80" i="5" s="1"/>
  <c r="Y79" i="1"/>
  <c r="C79" i="1"/>
  <c r="F79" i="1"/>
  <c r="M79" i="1"/>
  <c r="AD79" i="1"/>
  <c r="X79" i="1"/>
  <c r="AA79" i="1" s="1"/>
  <c r="AB79" i="1" s="1"/>
  <c r="N392" i="5"/>
  <c r="Q392" i="5" s="1"/>
  <c r="L79" i="1"/>
  <c r="C104" i="3"/>
  <c r="B105" i="3" s="1"/>
  <c r="O79" i="1" l="1"/>
  <c r="S80" i="5"/>
  <c r="G79" i="1"/>
  <c r="S392" i="5"/>
  <c r="AF79" i="1"/>
  <c r="AG79" i="1" s="1"/>
  <c r="S79" i="1"/>
  <c r="B81" i="1"/>
  <c r="A82" i="1"/>
  <c r="N393" i="5"/>
  <c r="Q393" i="5" s="1"/>
  <c r="M80" i="1"/>
  <c r="P81" i="6"/>
  <c r="N81" i="6"/>
  <c r="AO80" i="1"/>
  <c r="AP80" i="1" s="1"/>
  <c r="P393" i="5"/>
  <c r="AU80" i="1"/>
  <c r="E80" i="1"/>
  <c r="L80" i="1"/>
  <c r="O80" i="1" s="1"/>
  <c r="D80" i="1"/>
  <c r="F80" i="1"/>
  <c r="C80" i="1"/>
  <c r="AD80" i="1"/>
  <c r="P81" i="5"/>
  <c r="X80" i="1"/>
  <c r="AA80" i="1" s="1"/>
  <c r="AB80" i="1" s="1"/>
  <c r="N81" i="5"/>
  <c r="Q81" i="5" s="1"/>
  <c r="Y80" i="1"/>
  <c r="S80" i="1"/>
  <c r="M80" i="6"/>
  <c r="AO79" i="1"/>
  <c r="AP79" i="1" s="1"/>
  <c r="BB79" i="1"/>
  <c r="BA79" i="1"/>
  <c r="C105" i="3"/>
  <c r="B106" i="3" s="1"/>
  <c r="G80" i="1" l="1"/>
  <c r="BA80" i="1" s="1"/>
  <c r="S393" i="5"/>
  <c r="AF80" i="1"/>
  <c r="AG80" i="1" s="1"/>
  <c r="A83" i="1"/>
  <c r="B82" i="1"/>
  <c r="M81" i="6"/>
  <c r="N394" i="5"/>
  <c r="Q394" i="5" s="1"/>
  <c r="N82" i="6"/>
  <c r="D81" i="1"/>
  <c r="AD81" i="1"/>
  <c r="L81" i="1"/>
  <c r="P82" i="5"/>
  <c r="E81" i="1"/>
  <c r="F81" i="1"/>
  <c r="AU81" i="1"/>
  <c r="M81" i="1"/>
  <c r="Y81" i="1"/>
  <c r="P394" i="5"/>
  <c r="P82" i="6"/>
  <c r="X81" i="1"/>
  <c r="AA81" i="1" s="1"/>
  <c r="AB81" i="1" s="1"/>
  <c r="N82" i="5"/>
  <c r="Q82" i="5" s="1"/>
  <c r="C81" i="1"/>
  <c r="AO81" i="1"/>
  <c r="AP81" i="1" s="1"/>
  <c r="S81" i="5"/>
  <c r="C106" i="3"/>
  <c r="B107" i="3" s="1"/>
  <c r="O81" i="1" l="1"/>
  <c r="S82" i="5"/>
  <c r="BB80" i="1"/>
  <c r="AF81" i="1"/>
  <c r="AG81" i="1" s="1"/>
  <c r="S81" i="1"/>
  <c r="G81" i="1"/>
  <c r="A84" i="1"/>
  <c r="B83" i="1"/>
  <c r="M82" i="6"/>
  <c r="S394" i="5"/>
  <c r="N395" i="5"/>
  <c r="Q395" i="5" s="1"/>
  <c r="Y82" i="1"/>
  <c r="P83" i="5"/>
  <c r="N83" i="6"/>
  <c r="F82" i="1"/>
  <c r="X82" i="1"/>
  <c r="AA82" i="1" s="1"/>
  <c r="AB82" i="1" s="1"/>
  <c r="N83" i="5"/>
  <c r="Q83" i="5" s="1"/>
  <c r="D82" i="1"/>
  <c r="AU82" i="1"/>
  <c r="P395" i="5"/>
  <c r="E82" i="1"/>
  <c r="C82" i="1"/>
  <c r="AD82" i="1"/>
  <c r="M82" i="1"/>
  <c r="S82" i="1" s="1"/>
  <c r="P83" i="6"/>
  <c r="L82" i="1"/>
  <c r="AO82" i="1"/>
  <c r="AP82" i="1" s="1"/>
  <c r="C107" i="3"/>
  <c r="B108" i="3" s="1"/>
  <c r="S395" i="5" l="1"/>
  <c r="S83" i="5"/>
  <c r="P84" i="5"/>
  <c r="C83" i="1"/>
  <c r="F83" i="1"/>
  <c r="L83" i="1"/>
  <c r="Y83" i="1"/>
  <c r="AD83" i="1"/>
  <c r="M83" i="1"/>
  <c r="P396" i="5"/>
  <c r="AU83" i="1"/>
  <c r="N84" i="6"/>
  <c r="X83" i="1"/>
  <c r="AA83" i="1" s="1"/>
  <c r="AB83" i="1" s="1"/>
  <c r="N396" i="5"/>
  <c r="Q396" i="5" s="1"/>
  <c r="P84" i="6"/>
  <c r="D83" i="1"/>
  <c r="N84" i="5"/>
  <c r="Q84" i="5" s="1"/>
  <c r="E83" i="1"/>
  <c r="AO83" i="1"/>
  <c r="AP83" i="1" s="1"/>
  <c r="A85" i="1"/>
  <c r="B84" i="1"/>
  <c r="M83" i="6"/>
  <c r="O82" i="1"/>
  <c r="G82" i="1"/>
  <c r="AF82" i="1"/>
  <c r="AG82" i="1" s="1"/>
  <c r="BA81" i="1"/>
  <c r="BB81" i="1"/>
  <c r="C108" i="3"/>
  <c r="B109" i="3" s="1"/>
  <c r="S396" i="5" l="1"/>
  <c r="AF83" i="1"/>
  <c r="AG83" i="1" s="1"/>
  <c r="S83" i="1"/>
  <c r="O83" i="1"/>
  <c r="M84" i="6"/>
  <c r="G83" i="1"/>
  <c r="D84" i="1"/>
  <c r="AD84" i="1"/>
  <c r="P85" i="6"/>
  <c r="L84" i="1"/>
  <c r="P397" i="5"/>
  <c r="Y84" i="1"/>
  <c r="AU84" i="1"/>
  <c r="E84" i="1"/>
  <c r="F84" i="1"/>
  <c r="X84" i="1"/>
  <c r="AA84" i="1" s="1"/>
  <c r="AB84" i="1" s="1"/>
  <c r="P85" i="5"/>
  <c r="N85" i="5"/>
  <c r="Q85" i="5" s="1"/>
  <c r="N397" i="5"/>
  <c r="Q397" i="5" s="1"/>
  <c r="M84" i="1"/>
  <c r="S84" i="1" s="1"/>
  <c r="N85" i="6"/>
  <c r="C84" i="1"/>
  <c r="AO84" i="1"/>
  <c r="AP84" i="1" s="1"/>
  <c r="BA82" i="1"/>
  <c r="BB82" i="1"/>
  <c r="A86" i="1"/>
  <c r="B85" i="1"/>
  <c r="S84" i="5"/>
  <c r="C109" i="3"/>
  <c r="B110" i="3" s="1"/>
  <c r="G84" i="1" l="1"/>
  <c r="S85" i="5"/>
  <c r="F85" i="1"/>
  <c r="Y85" i="1"/>
  <c r="AD85" i="1"/>
  <c r="X85" i="1"/>
  <c r="AA85" i="1" s="1"/>
  <c r="AB85" i="1" s="1"/>
  <c r="N86" i="5"/>
  <c r="Q86" i="5" s="1"/>
  <c r="P398" i="5"/>
  <c r="AU85" i="1"/>
  <c r="L85" i="1"/>
  <c r="M85" i="1"/>
  <c r="S85" i="1" s="1"/>
  <c r="P86" i="6"/>
  <c r="N86" i="6"/>
  <c r="P86" i="5"/>
  <c r="E85" i="1"/>
  <c r="N398" i="5"/>
  <c r="Q398" i="5" s="1"/>
  <c r="D85" i="1"/>
  <c r="C85" i="1"/>
  <c r="AO85" i="1"/>
  <c r="AP85" i="1" s="1"/>
  <c r="A87" i="1"/>
  <c r="B86" i="1"/>
  <c r="M85" i="6"/>
  <c r="BA84" i="1"/>
  <c r="BB84" i="1"/>
  <c r="BA83" i="1"/>
  <c r="BB83" i="1"/>
  <c r="AF84" i="1"/>
  <c r="AG84" i="1" s="1"/>
  <c r="O84" i="1"/>
  <c r="S397" i="5"/>
  <c r="C110" i="3"/>
  <c r="B111" i="3" s="1"/>
  <c r="AL86" i="1" l="1"/>
  <c r="S86" i="5"/>
  <c r="N399" i="5"/>
  <c r="Q399" i="5" s="1"/>
  <c r="M86" i="1"/>
  <c r="T86" i="1" s="1" a="1"/>
  <c r="T86" i="1" s="1"/>
  <c r="U86" i="1" s="1"/>
  <c r="P399" i="5"/>
  <c r="X86" i="1"/>
  <c r="AA86" i="1" s="1"/>
  <c r="AB86" i="1" s="1"/>
  <c r="L86" i="1"/>
  <c r="AU86" i="1"/>
  <c r="D86" i="1"/>
  <c r="N87" i="5"/>
  <c r="Q87" i="5" s="1"/>
  <c r="P87" i="5"/>
  <c r="F86" i="1"/>
  <c r="P87" i="6"/>
  <c r="N87" i="6"/>
  <c r="C86" i="1"/>
  <c r="AI86" i="1"/>
  <c r="E86" i="1"/>
  <c r="AD86" i="1"/>
  <c r="Y86" i="1"/>
  <c r="AO86" i="1"/>
  <c r="AP86" i="1" s="1"/>
  <c r="AF86" i="1"/>
  <c r="AG86" i="1" s="1"/>
  <c r="M86" i="6"/>
  <c r="O85" i="1"/>
  <c r="S398" i="5"/>
  <c r="AF85" i="1"/>
  <c r="AG85" i="1" s="1"/>
  <c r="B87" i="1"/>
  <c r="A88" i="1"/>
  <c r="G85" i="1"/>
  <c r="C111" i="3"/>
  <c r="B112" i="3" s="1"/>
  <c r="AL87" i="1" l="1"/>
  <c r="S399" i="5"/>
  <c r="S86" i="1"/>
  <c r="N86" i="1"/>
  <c r="BC86" i="1" s="1"/>
  <c r="S87" i="5"/>
  <c r="O86" i="1"/>
  <c r="P86" i="1"/>
  <c r="AH86" i="1"/>
  <c r="BQ86" i="1" a="1"/>
  <c r="BQ86" i="1" s="1"/>
  <c r="BN86" i="1"/>
  <c r="M87" i="6"/>
  <c r="O87" i="6" s="1"/>
  <c r="R87" i="6" s="1"/>
  <c r="BK86" i="1"/>
  <c r="G86" i="1"/>
  <c r="A89" i="1"/>
  <c r="B88" i="1"/>
  <c r="E87" i="1"/>
  <c r="AD87" i="1"/>
  <c r="L87" i="1"/>
  <c r="F87" i="1"/>
  <c r="AU87" i="1"/>
  <c r="N88" i="5"/>
  <c r="Q88" i="5" s="1"/>
  <c r="M87" i="1"/>
  <c r="S87" i="1" s="1"/>
  <c r="D87" i="1"/>
  <c r="P400" i="5"/>
  <c r="Y87" i="1"/>
  <c r="N88" i="6"/>
  <c r="X87" i="1"/>
  <c r="P88" i="6"/>
  <c r="P88" i="5"/>
  <c r="N400" i="5"/>
  <c r="Q400" i="5" s="1"/>
  <c r="C87" i="1"/>
  <c r="AO87" i="1"/>
  <c r="AP87" i="1" s="1"/>
  <c r="BD86" i="1"/>
  <c r="BB85" i="1"/>
  <c r="BA85" i="1"/>
  <c r="C112" i="3"/>
  <c r="B113" i="3" s="1"/>
  <c r="AL88" i="1" l="1"/>
  <c r="S88" i="5"/>
  <c r="G87" i="1"/>
  <c r="O87" i="1"/>
  <c r="AD88" i="1"/>
  <c r="F88" i="1"/>
  <c r="P89" i="6"/>
  <c r="P401" i="5"/>
  <c r="P89" i="5"/>
  <c r="M88" i="1"/>
  <c r="AH88" i="1" s="1"/>
  <c r="N401" i="5"/>
  <c r="Q401" i="5" s="1"/>
  <c r="X88" i="1"/>
  <c r="N89" i="5"/>
  <c r="Q89" i="5" s="1"/>
  <c r="N89" i="6"/>
  <c r="D88" i="1"/>
  <c r="L88" i="1"/>
  <c r="Y88" i="1"/>
  <c r="E88" i="1"/>
  <c r="AU88" i="1"/>
  <c r="C88" i="1"/>
  <c r="O88" i="1"/>
  <c r="AO88" i="1"/>
  <c r="AP88" i="1" s="1"/>
  <c r="AH87" i="1"/>
  <c r="B89" i="1"/>
  <c r="A90" i="1"/>
  <c r="BA87" i="1"/>
  <c r="BB87" i="1"/>
  <c r="S400" i="5"/>
  <c r="BQ87" i="1" a="1"/>
  <c r="BQ87" i="1" s="1"/>
  <c r="M88" i="6"/>
  <c r="BB86" i="1"/>
  <c r="BA86" i="1"/>
  <c r="C113" i="3"/>
  <c r="B114" i="3" s="1"/>
  <c r="C114" i="3" s="1"/>
  <c r="B115" i="3" s="1"/>
  <c r="AL89" i="1" l="1"/>
  <c r="G88" i="1"/>
  <c r="BA88" i="1" s="1"/>
  <c r="S88" i="1"/>
  <c r="BQ88" i="1" a="1"/>
  <c r="BQ88" i="1" s="1"/>
  <c r="M89" i="6"/>
  <c r="S89" i="5"/>
  <c r="B90" i="1"/>
  <c r="A91" i="1"/>
  <c r="P90" i="5"/>
  <c r="M89" i="1"/>
  <c r="AH89" i="1" s="1"/>
  <c r="X89" i="1"/>
  <c r="AD89" i="1"/>
  <c r="L89" i="1"/>
  <c r="P90" i="6"/>
  <c r="P402" i="5"/>
  <c r="E89" i="1"/>
  <c r="N90" i="5"/>
  <c r="Q90" i="5" s="1"/>
  <c r="N90" i="6"/>
  <c r="D89" i="1"/>
  <c r="F89" i="1"/>
  <c r="AU89" i="1"/>
  <c r="N402" i="5"/>
  <c r="Q402" i="5" s="1"/>
  <c r="Y89" i="1"/>
  <c r="C89" i="1"/>
  <c r="AO89" i="1"/>
  <c r="AP89" i="1" s="1"/>
  <c r="S401" i="5"/>
  <c r="BB88" i="1"/>
  <c r="C115" i="3"/>
  <c r="B116" i="3" s="1"/>
  <c r="AL90" i="1" l="1"/>
  <c r="S90" i="5"/>
  <c r="O89" i="1"/>
  <c r="BQ89" i="1" a="1"/>
  <c r="BQ89" i="1" s="1"/>
  <c r="M90" i="6"/>
  <c r="A92" i="1"/>
  <c r="B91" i="1"/>
  <c r="P91" i="5"/>
  <c r="N91" i="6"/>
  <c r="N403" i="5"/>
  <c r="Q403" i="5" s="1"/>
  <c r="P91" i="6"/>
  <c r="AU90" i="1"/>
  <c r="X90" i="1"/>
  <c r="D90" i="1"/>
  <c r="C90" i="1"/>
  <c r="F90" i="1"/>
  <c r="L90" i="1"/>
  <c r="AD90" i="1"/>
  <c r="E90" i="1"/>
  <c r="P403" i="5"/>
  <c r="Y90" i="1"/>
  <c r="M90" i="1"/>
  <c r="O90" i="1" s="1"/>
  <c r="N91" i="5"/>
  <c r="Q91" i="5" s="1"/>
  <c r="AO90" i="1"/>
  <c r="AP90" i="1" s="1"/>
  <c r="S89" i="1"/>
  <c r="S402" i="5"/>
  <c r="G89" i="1"/>
  <c r="C116" i="3"/>
  <c r="B117" i="3" s="1"/>
  <c r="AL91" i="1" l="1"/>
  <c r="AH90" i="1"/>
  <c r="P92" i="6"/>
  <c r="E91" i="1"/>
  <c r="P92" i="5"/>
  <c r="D91" i="1"/>
  <c r="C91" i="1"/>
  <c r="N92" i="5"/>
  <c r="Q92" i="5" s="1"/>
  <c r="P404" i="5"/>
  <c r="F91" i="1"/>
  <c r="Y91" i="1"/>
  <c r="L91" i="1"/>
  <c r="X91" i="1"/>
  <c r="N92" i="6"/>
  <c r="M91" i="1"/>
  <c r="S91" i="1" s="1"/>
  <c r="N404" i="5"/>
  <c r="Q404" i="5" s="1"/>
  <c r="AO91" i="1"/>
  <c r="AP91" i="1" s="1"/>
  <c r="AD91" i="1"/>
  <c r="AU91" i="1"/>
  <c r="A93" i="1"/>
  <c r="B92" i="1"/>
  <c r="BB89" i="1"/>
  <c r="BA89" i="1"/>
  <c r="BQ90" i="1" a="1"/>
  <c r="BQ90" i="1" s="1"/>
  <c r="M91" i="6"/>
  <c r="G90" i="1"/>
  <c r="S91" i="5"/>
  <c r="S90" i="1"/>
  <c r="S403" i="5"/>
  <c r="C117" i="3"/>
  <c r="B118" i="3" s="1"/>
  <c r="S92" i="5" l="1"/>
  <c r="O91" i="1"/>
  <c r="AH91" i="1"/>
  <c r="G91" i="1"/>
  <c r="BB91" i="1" s="1"/>
  <c r="BQ91" i="1" a="1"/>
  <c r="BQ91" i="1" s="1"/>
  <c r="M92" i="6"/>
  <c r="BB90" i="1"/>
  <c r="BA90" i="1"/>
  <c r="AU92" i="1"/>
  <c r="E92" i="1"/>
  <c r="L92" i="1"/>
  <c r="P93" i="6"/>
  <c r="C92" i="1"/>
  <c r="F92" i="1"/>
  <c r="P405" i="5"/>
  <c r="D92" i="1"/>
  <c r="N93" i="5"/>
  <c r="Q93" i="5" s="1"/>
  <c r="P93" i="5"/>
  <c r="M92" i="1"/>
  <c r="S92" i="1" s="1"/>
  <c r="AD92" i="1"/>
  <c r="N93" i="6"/>
  <c r="Y92" i="1"/>
  <c r="N405" i="5"/>
  <c r="Q405" i="5" s="1"/>
  <c r="AO92" i="1"/>
  <c r="AP92" i="1" s="1"/>
  <c r="X92" i="1"/>
  <c r="S404" i="5"/>
  <c r="A94" i="1"/>
  <c r="B93" i="1"/>
  <c r="C118" i="3"/>
  <c r="B119" i="3" s="1"/>
  <c r="BA91" i="1" l="1"/>
  <c r="N94" i="5"/>
  <c r="Q94" i="5" s="1"/>
  <c r="X93" i="1"/>
  <c r="P406" i="5"/>
  <c r="P94" i="6"/>
  <c r="Y93" i="1"/>
  <c r="P94" i="5"/>
  <c r="E93" i="1"/>
  <c r="N406" i="5"/>
  <c r="Q406" i="5" s="1"/>
  <c r="C93" i="1"/>
  <c r="AU93" i="1"/>
  <c r="D93" i="1"/>
  <c r="AD93" i="1"/>
  <c r="L93" i="1"/>
  <c r="N94" i="6"/>
  <c r="F93" i="1"/>
  <c r="M93" i="1"/>
  <c r="AO93" i="1"/>
  <c r="AP93" i="1" s="1"/>
  <c r="M93" i="6"/>
  <c r="S405" i="5"/>
  <c r="G92" i="1"/>
  <c r="B94" i="1"/>
  <c r="A95" i="1"/>
  <c r="O92" i="1"/>
  <c r="S93" i="5"/>
  <c r="C119" i="3"/>
  <c r="B120" i="3" s="1"/>
  <c r="O93" i="1" l="1"/>
  <c r="S93" i="1"/>
  <c r="G93" i="1"/>
  <c r="BB93" i="1" s="1"/>
  <c r="A96" i="1"/>
  <c r="B95" i="1"/>
  <c r="F94" i="1"/>
  <c r="Y94" i="1"/>
  <c r="P407" i="5"/>
  <c r="L94" i="1"/>
  <c r="P95" i="5"/>
  <c r="AD94" i="1"/>
  <c r="M94" i="1"/>
  <c r="N95" i="6"/>
  <c r="X94" i="1"/>
  <c r="P95" i="6"/>
  <c r="E94" i="1"/>
  <c r="AU94" i="1"/>
  <c r="C94" i="1"/>
  <c r="N95" i="5"/>
  <c r="Q95" i="5" s="1"/>
  <c r="N407" i="5"/>
  <c r="Q407" i="5" s="1"/>
  <c r="D94" i="1"/>
  <c r="AO94" i="1"/>
  <c r="AP94" i="1" s="1"/>
  <c r="S406" i="5"/>
  <c r="BA92" i="1"/>
  <c r="BB92" i="1"/>
  <c r="M94" i="6"/>
  <c r="S94" i="5"/>
  <c r="C120" i="3"/>
  <c r="B121" i="3" s="1"/>
  <c r="BA93" i="1" l="1"/>
  <c r="G94" i="1"/>
  <c r="P408" i="5"/>
  <c r="D95" i="1"/>
  <c r="F95" i="1"/>
  <c r="Y95" i="1"/>
  <c r="N96" i="5"/>
  <c r="Q96" i="5" s="1"/>
  <c r="AD95" i="1"/>
  <c r="AU95" i="1"/>
  <c r="L95" i="1"/>
  <c r="P96" i="5"/>
  <c r="X95" i="1"/>
  <c r="P96" i="6"/>
  <c r="M95" i="1"/>
  <c r="S95" i="1" s="1"/>
  <c r="N96" i="6"/>
  <c r="E95" i="1"/>
  <c r="C95" i="1"/>
  <c r="N408" i="5"/>
  <c r="Q408" i="5" s="1"/>
  <c r="BB94" i="1"/>
  <c r="BA94" i="1"/>
  <c r="O94" i="1"/>
  <c r="S94" i="1"/>
  <c r="B96" i="1"/>
  <c r="A97" i="1"/>
  <c r="S95" i="5"/>
  <c r="M95" i="6"/>
  <c r="S407" i="5"/>
  <c r="C121" i="3"/>
  <c r="B122" i="3" s="1"/>
  <c r="O95" i="1" l="1"/>
  <c r="S96" i="5"/>
  <c r="AO95" i="1"/>
  <c r="AP95" i="1" s="1"/>
  <c r="B97" i="1"/>
  <c r="A98" i="1"/>
  <c r="AD96" i="1"/>
  <c r="Y96" i="1"/>
  <c r="M96" i="1"/>
  <c r="C96" i="1"/>
  <c r="N97" i="5"/>
  <c r="Q97" i="5" s="1"/>
  <c r="L96" i="1"/>
  <c r="X96" i="1"/>
  <c r="P409" i="5"/>
  <c r="P97" i="5"/>
  <c r="P97" i="6"/>
  <c r="D96" i="1"/>
  <c r="N409" i="5"/>
  <c r="Q409" i="5" s="1"/>
  <c r="AU96" i="1"/>
  <c r="E96" i="1"/>
  <c r="F96" i="1"/>
  <c r="N97" i="6"/>
  <c r="AO96" i="1"/>
  <c r="AP96" i="1" s="1"/>
  <c r="G95" i="1"/>
  <c r="M96" i="6"/>
  <c r="S408" i="5"/>
  <c r="C122" i="3"/>
  <c r="B123" i="3" s="1"/>
  <c r="S409" i="5" l="1"/>
  <c r="G96" i="1"/>
  <c r="S97" i="5"/>
  <c r="BB95" i="1"/>
  <c r="BA95" i="1"/>
  <c r="S96" i="1"/>
  <c r="M97" i="6"/>
  <c r="O96" i="1"/>
  <c r="A99" i="1"/>
  <c r="B98" i="1"/>
  <c r="BB96" i="1"/>
  <c r="BA96" i="1"/>
  <c r="F97" i="1"/>
  <c r="L97" i="1"/>
  <c r="C97" i="1"/>
  <c r="AD97" i="1"/>
  <c r="P410" i="5"/>
  <c r="E97" i="1"/>
  <c r="P98" i="6"/>
  <c r="P98" i="5"/>
  <c r="N98" i="5"/>
  <c r="Q98" i="5" s="1"/>
  <c r="N410" i="5"/>
  <c r="Q410" i="5" s="1"/>
  <c r="AU97" i="1"/>
  <c r="D97" i="1"/>
  <c r="M97" i="1"/>
  <c r="S97" i="1" s="1"/>
  <c r="N98" i="6"/>
  <c r="Y97" i="1"/>
  <c r="X97" i="1"/>
  <c r="AO97" i="1"/>
  <c r="AP97" i="1" s="1"/>
  <c r="C123" i="3"/>
  <c r="B124" i="3" s="1"/>
  <c r="O97" i="1" l="1"/>
  <c r="S410" i="5"/>
  <c r="M98" i="6"/>
  <c r="G97" i="1"/>
  <c r="F98" i="1"/>
  <c r="P99" i="6"/>
  <c r="AU98" i="1"/>
  <c r="P411" i="5"/>
  <c r="N99" i="6"/>
  <c r="D98" i="1"/>
  <c r="Y98" i="1"/>
  <c r="E98" i="1"/>
  <c r="L98" i="1"/>
  <c r="C98" i="1"/>
  <c r="AD98" i="1"/>
  <c r="M98" i="1"/>
  <c r="N411" i="5"/>
  <c r="Q411" i="5" s="1"/>
  <c r="N99" i="5"/>
  <c r="Q99" i="5" s="1"/>
  <c r="P99" i="5"/>
  <c r="X98" i="1"/>
  <c r="AO98" i="1"/>
  <c r="AP98" i="1" s="1"/>
  <c r="A100" i="1"/>
  <c r="B99" i="1"/>
  <c r="S98" i="5"/>
  <c r="C124" i="3"/>
  <c r="B125" i="3" s="1"/>
  <c r="O98" i="1" l="1"/>
  <c r="M99" i="6"/>
  <c r="S411" i="5"/>
  <c r="S99" i="5"/>
  <c r="G98" i="1"/>
  <c r="BB97" i="1"/>
  <c r="BA97" i="1"/>
  <c r="C99" i="1"/>
  <c r="L99" i="1"/>
  <c r="P100" i="5"/>
  <c r="P100" i="6"/>
  <c r="X99" i="1"/>
  <c r="F99" i="1"/>
  <c r="Y99" i="1"/>
  <c r="P412" i="5"/>
  <c r="AO99" i="1"/>
  <c r="AP99" i="1" s="1"/>
  <c r="N100" i="6"/>
  <c r="E99" i="1"/>
  <c r="AU99" i="1"/>
  <c r="D99" i="1"/>
  <c r="AD99" i="1"/>
  <c r="N412" i="5"/>
  <c r="Q412" i="5" s="1"/>
  <c r="N100" i="5"/>
  <c r="Q100" i="5" s="1"/>
  <c r="M99" i="1"/>
  <c r="B100" i="1"/>
  <c r="A101" i="1"/>
  <c r="S98" i="1"/>
  <c r="C125" i="3"/>
  <c r="B126" i="3" s="1"/>
  <c r="S100" i="5" l="1"/>
  <c r="S412" i="5"/>
  <c r="O99" i="1"/>
  <c r="G99" i="1"/>
  <c r="BA98" i="1"/>
  <c r="BB98" i="1"/>
  <c r="S99" i="1"/>
  <c r="A102" i="1"/>
  <c r="B101" i="1"/>
  <c r="N101" i="6"/>
  <c r="E100" i="1"/>
  <c r="P101" i="5"/>
  <c r="D100" i="1"/>
  <c r="M100" i="1"/>
  <c r="S100" i="1" s="1"/>
  <c r="N413" i="5"/>
  <c r="Q413" i="5" s="1"/>
  <c r="P101" i="6"/>
  <c r="X100" i="1"/>
  <c r="P413" i="5"/>
  <c r="Y100" i="1"/>
  <c r="AO100" i="1"/>
  <c r="AP100" i="1" s="1"/>
  <c r="L100" i="1"/>
  <c r="AD100" i="1"/>
  <c r="C100" i="1"/>
  <c r="F100" i="1"/>
  <c r="N101" i="5"/>
  <c r="Q101" i="5" s="1"/>
  <c r="AU100" i="1"/>
  <c r="M100" i="6"/>
  <c r="C126" i="3"/>
  <c r="B127" i="3" s="1"/>
  <c r="S413" i="5" l="1"/>
  <c r="O100" i="1"/>
  <c r="BB99" i="1"/>
  <c r="BA99" i="1"/>
  <c r="G100" i="1"/>
  <c r="B102" i="1"/>
  <c r="A103" i="1"/>
  <c r="AD101" i="1"/>
  <c r="Y101" i="1"/>
  <c r="D101" i="1"/>
  <c r="L101" i="1"/>
  <c r="X101" i="1"/>
  <c r="M101" i="1"/>
  <c r="C101" i="1"/>
  <c r="F101" i="1"/>
  <c r="P414" i="5"/>
  <c r="N102" i="5"/>
  <c r="Q102" i="5" s="1"/>
  <c r="P102" i="6"/>
  <c r="AO101" i="1"/>
  <c r="AP101" i="1" s="1"/>
  <c r="AU101" i="1"/>
  <c r="E101" i="1"/>
  <c r="N414" i="5"/>
  <c r="Q414" i="5" s="1"/>
  <c r="P102" i="5"/>
  <c r="N102" i="6"/>
  <c r="S101" i="1"/>
  <c r="M101" i="6"/>
  <c r="S101" i="5"/>
  <c r="C127" i="3"/>
  <c r="B128" i="3" s="1"/>
  <c r="G101" i="1" l="1"/>
  <c r="BB101" i="1" s="1"/>
  <c r="O101" i="1"/>
  <c r="A104" i="1"/>
  <c r="B103" i="1"/>
  <c r="P103" i="6"/>
  <c r="N103" i="6"/>
  <c r="M102" i="1"/>
  <c r="X102" i="1"/>
  <c r="P103" i="5"/>
  <c r="AD102" i="1"/>
  <c r="E102" i="1"/>
  <c r="N103" i="5"/>
  <c r="Q103" i="5" s="1"/>
  <c r="F102" i="1"/>
  <c r="P415" i="5"/>
  <c r="D102" i="1"/>
  <c r="AU102" i="1"/>
  <c r="N415" i="5"/>
  <c r="Q415" i="5" s="1"/>
  <c r="L102" i="1"/>
  <c r="Y102" i="1"/>
  <c r="C102" i="1"/>
  <c r="AO102" i="1"/>
  <c r="AP102" i="1" s="1"/>
  <c r="M102" i="6"/>
  <c r="BA100" i="1"/>
  <c r="BB100" i="1"/>
  <c r="S102" i="5"/>
  <c r="S414" i="5"/>
  <c r="C128" i="3"/>
  <c r="B129" i="3" s="1"/>
  <c r="G102" i="1" l="1"/>
  <c r="BA101" i="1"/>
  <c r="S415" i="5"/>
  <c r="O102" i="1"/>
  <c r="N416" i="5"/>
  <c r="Q416" i="5" s="1"/>
  <c r="C103" i="1"/>
  <c r="AD103" i="1"/>
  <c r="D103" i="1"/>
  <c r="N104" i="5"/>
  <c r="Q104" i="5" s="1"/>
  <c r="M103" i="1"/>
  <c r="F103" i="1"/>
  <c r="P416" i="5"/>
  <c r="E103" i="1"/>
  <c r="AU103" i="1"/>
  <c r="Y103" i="1"/>
  <c r="P104" i="5"/>
  <c r="P104" i="6"/>
  <c r="L103" i="1"/>
  <c r="O103" i="1" s="1"/>
  <c r="AO103" i="1"/>
  <c r="AP103" i="1" s="1"/>
  <c r="N104" i="6"/>
  <c r="X103" i="1"/>
  <c r="S103" i="1"/>
  <c r="S102" i="1"/>
  <c r="S103" i="5"/>
  <c r="B104" i="1"/>
  <c r="A105" i="1"/>
  <c r="M103" i="6"/>
  <c r="BA102" i="1"/>
  <c r="BB102" i="1"/>
  <c r="C129" i="3"/>
  <c r="B130" i="3" s="1"/>
  <c r="S416" i="5" l="1"/>
  <c r="G103" i="1"/>
  <c r="S104" i="5"/>
  <c r="A106" i="1"/>
  <c r="B105" i="1"/>
  <c r="P105" i="5"/>
  <c r="N417" i="5"/>
  <c r="Q417" i="5" s="1"/>
  <c r="F104" i="1"/>
  <c r="Y104" i="1"/>
  <c r="D104" i="1"/>
  <c r="P105" i="6"/>
  <c r="E104" i="1"/>
  <c r="AU104" i="1"/>
  <c r="C104" i="1"/>
  <c r="AD104" i="1"/>
  <c r="N105" i="6"/>
  <c r="X104" i="1"/>
  <c r="N105" i="5"/>
  <c r="Q105" i="5" s="1"/>
  <c r="M104" i="1"/>
  <c r="S104" i="1" s="1"/>
  <c r="P417" i="5"/>
  <c r="L104" i="1"/>
  <c r="AO104" i="1"/>
  <c r="AP104" i="1" s="1"/>
  <c r="M104" i="6"/>
  <c r="C130" i="3"/>
  <c r="B131" i="3" s="1"/>
  <c r="O104" i="1" l="1"/>
  <c r="S417" i="5"/>
  <c r="G104" i="1"/>
  <c r="F105" i="1"/>
  <c r="AU105" i="1"/>
  <c r="E105" i="1"/>
  <c r="AD105" i="1"/>
  <c r="L105" i="1"/>
  <c r="M106" i="6" s="1"/>
  <c r="N418" i="5"/>
  <c r="Q418" i="5" s="1"/>
  <c r="Y105" i="1"/>
  <c r="N106" i="5"/>
  <c r="Q106" i="5" s="1"/>
  <c r="X105" i="1"/>
  <c r="P106" i="5"/>
  <c r="N106" i="6"/>
  <c r="M105" i="1"/>
  <c r="S105" i="1" s="1"/>
  <c r="P418" i="5"/>
  <c r="D105" i="1"/>
  <c r="P106" i="6"/>
  <c r="C105" i="1"/>
  <c r="AO105" i="1"/>
  <c r="AP105" i="1" s="1"/>
  <c r="B106" i="1"/>
  <c r="A107" i="1"/>
  <c r="M105" i="6"/>
  <c r="BA103" i="1"/>
  <c r="BB103" i="1"/>
  <c r="BB104" i="1"/>
  <c r="BA104" i="1"/>
  <c r="S105" i="5"/>
  <c r="C131" i="3"/>
  <c r="B132" i="3" s="1"/>
  <c r="S418" i="5" l="1"/>
  <c r="G105" i="1"/>
  <c r="BB105" i="1" s="1"/>
  <c r="O105" i="1"/>
  <c r="S106" i="5"/>
  <c r="A108" i="1"/>
  <c r="B107" i="1"/>
  <c r="Y106" i="1"/>
  <c r="C106" i="1"/>
  <c r="F106" i="1"/>
  <c r="N107" i="5"/>
  <c r="Q107" i="5" s="1"/>
  <c r="AU106" i="1"/>
  <c r="P107" i="5"/>
  <c r="N107" i="6"/>
  <c r="AD106" i="1"/>
  <c r="X106" i="1"/>
  <c r="P107" i="6"/>
  <c r="L106" i="1"/>
  <c r="M106" i="1"/>
  <c r="S106" i="1" s="1"/>
  <c r="P419" i="5"/>
  <c r="D106" i="1"/>
  <c r="N419" i="5"/>
  <c r="Q419" i="5" s="1"/>
  <c r="E106" i="1"/>
  <c r="C132" i="3"/>
  <c r="B133" i="3" s="1"/>
  <c r="BA105" i="1" l="1"/>
  <c r="AL107" i="1"/>
  <c r="S419" i="5"/>
  <c r="M107" i="6"/>
  <c r="G106" i="1"/>
  <c r="A109" i="1"/>
  <c r="B108" i="1"/>
  <c r="AO106" i="1"/>
  <c r="AP106" i="1" s="1"/>
  <c r="S107" i="5"/>
  <c r="O106" i="1"/>
  <c r="AU107" i="1"/>
  <c r="D107" i="1"/>
  <c r="F107" i="1"/>
  <c r="L107" i="1"/>
  <c r="AD107" i="1"/>
  <c r="Y107" i="1"/>
  <c r="N420" i="5"/>
  <c r="Q420" i="5" s="1"/>
  <c r="N108" i="6"/>
  <c r="X107" i="1"/>
  <c r="P108" i="6"/>
  <c r="M107" i="1"/>
  <c r="AH107" i="1" s="1"/>
  <c r="N108" i="5"/>
  <c r="Q108" i="5" s="1"/>
  <c r="AO107" i="1"/>
  <c r="AP107" i="1" s="1"/>
  <c r="P420" i="5"/>
  <c r="C107" i="1"/>
  <c r="P108" i="5"/>
  <c r="E107" i="1"/>
  <c r="C133" i="3"/>
  <c r="B134" i="3" s="1"/>
  <c r="AL108" i="1" l="1"/>
  <c r="S107" i="1"/>
  <c r="O107" i="1"/>
  <c r="G107" i="1"/>
  <c r="S420" i="5"/>
  <c r="A110" i="1"/>
  <c r="B109" i="1"/>
  <c r="S108" i="5"/>
  <c r="BQ107" i="1" a="1"/>
  <c r="BQ107" i="1" s="1"/>
  <c r="M108" i="6"/>
  <c r="BA106" i="1"/>
  <c r="BB106" i="1"/>
  <c r="BB107" i="1"/>
  <c r="BA107" i="1"/>
  <c r="N421" i="5"/>
  <c r="Q421" i="5" s="1"/>
  <c r="L108" i="1"/>
  <c r="M108" i="1"/>
  <c r="AH108" i="1" s="1"/>
  <c r="P109" i="6"/>
  <c r="E108" i="1"/>
  <c r="N109" i="5"/>
  <c r="Q109" i="5" s="1"/>
  <c r="F108" i="1"/>
  <c r="Y108" i="1"/>
  <c r="AD108" i="1"/>
  <c r="AU108" i="1"/>
  <c r="N109" i="6"/>
  <c r="X108" i="1"/>
  <c r="P109" i="5"/>
  <c r="C108" i="1"/>
  <c r="P421" i="5"/>
  <c r="D108" i="1"/>
  <c r="AO108" i="1"/>
  <c r="AP108" i="1" s="1"/>
  <c r="C134" i="3"/>
  <c r="B135" i="3" s="1"/>
  <c r="AL109" i="1" l="1"/>
  <c r="S109" i="5"/>
  <c r="G108" i="1"/>
  <c r="BA108" i="1" s="1"/>
  <c r="S421" i="5"/>
  <c r="BQ108" i="1" a="1"/>
  <c r="BQ108" i="1" s="1"/>
  <c r="M109" i="6"/>
  <c r="S108" i="1"/>
  <c r="N110" i="5"/>
  <c r="Q110" i="5" s="1"/>
  <c r="D109" i="1"/>
  <c r="AD109" i="1"/>
  <c r="E109" i="1"/>
  <c r="Y109" i="1"/>
  <c r="P110" i="5"/>
  <c r="C109" i="1"/>
  <c r="F109" i="1"/>
  <c r="M109" i="1"/>
  <c r="N110" i="6"/>
  <c r="P422" i="5"/>
  <c r="P110" i="6"/>
  <c r="X109" i="1"/>
  <c r="N422" i="5"/>
  <c r="Q422" i="5" s="1"/>
  <c r="L109" i="1"/>
  <c r="AU109" i="1"/>
  <c r="O108" i="1"/>
  <c r="B110" i="1"/>
  <c r="A111" i="1"/>
  <c r="C135" i="3"/>
  <c r="B136" i="3" s="1"/>
  <c r="BB108" i="1" l="1"/>
  <c r="O109" i="1"/>
  <c r="S109" i="1"/>
  <c r="AO109" i="1"/>
  <c r="AP109" i="1" s="1"/>
  <c r="S422" i="5"/>
  <c r="S110" i="5"/>
  <c r="G109" i="1"/>
  <c r="A112" i="1"/>
  <c r="B111" i="1"/>
  <c r="AH109" i="1"/>
  <c r="BQ109" i="1" a="1"/>
  <c r="BQ109" i="1" s="1"/>
  <c r="M110" i="6"/>
  <c r="Y110" i="1"/>
  <c r="N423" i="5"/>
  <c r="Q423" i="5" s="1"/>
  <c r="X110" i="1"/>
  <c r="AA110" i="1" s="1"/>
  <c r="AB110" i="1" s="1"/>
  <c r="P423" i="5"/>
  <c r="E110" i="1"/>
  <c r="P111" i="5"/>
  <c r="D110" i="1"/>
  <c r="AD110" i="1"/>
  <c r="M110" i="1"/>
  <c r="N111" i="5"/>
  <c r="Q111" i="5" s="1"/>
  <c r="F110" i="1"/>
  <c r="AU110" i="1"/>
  <c r="C110" i="1"/>
  <c r="L110" i="1"/>
  <c r="N111" i="6"/>
  <c r="P111" i="6"/>
  <c r="AO110" i="1"/>
  <c r="AP110" i="1" s="1"/>
  <c r="C136" i="3"/>
  <c r="B137" i="3" s="1"/>
  <c r="G110" i="1" l="1"/>
  <c r="O110" i="1"/>
  <c r="S111" i="5"/>
  <c r="BB110" i="1"/>
  <c r="BA110" i="1"/>
  <c r="BA109" i="1"/>
  <c r="BB109" i="1"/>
  <c r="AF110" i="1"/>
  <c r="AG110" i="1" s="1"/>
  <c r="S423" i="5"/>
  <c r="M111" i="6"/>
  <c r="P112" i="6"/>
  <c r="C111" i="1"/>
  <c r="N112" i="6"/>
  <c r="AD111" i="1"/>
  <c r="AU111" i="1"/>
  <c r="P424" i="5"/>
  <c r="X111" i="1"/>
  <c r="AA111" i="1" s="1"/>
  <c r="AB111" i="1" s="1"/>
  <c r="D111" i="1"/>
  <c r="P112" i="5"/>
  <c r="E111" i="1"/>
  <c r="M111" i="1"/>
  <c r="S111" i="1" s="1"/>
  <c r="Y111" i="1"/>
  <c r="N424" i="5"/>
  <c r="Q424" i="5" s="1"/>
  <c r="N112" i="5"/>
  <c r="Q112" i="5" s="1"/>
  <c r="F111" i="1"/>
  <c r="L111" i="1"/>
  <c r="AO111" i="1"/>
  <c r="AP111" i="1" s="1"/>
  <c r="B112" i="1"/>
  <c r="A113" i="1"/>
  <c r="S110" i="1"/>
  <c r="C137" i="3"/>
  <c r="B138" i="3" s="1"/>
  <c r="AF111" i="1" l="1"/>
  <c r="AG111" i="1" s="1"/>
  <c r="S112" i="5"/>
  <c r="G111" i="1"/>
  <c r="O111" i="1"/>
  <c r="S424" i="5"/>
  <c r="M112" i="6"/>
  <c r="A114" i="1"/>
  <c r="B113" i="1"/>
  <c r="N113" i="5"/>
  <c r="Q113" i="5" s="1"/>
  <c r="X112" i="1"/>
  <c r="AA112" i="1" s="1"/>
  <c r="AB112" i="1" s="1"/>
  <c r="F112" i="1"/>
  <c r="AD112" i="1"/>
  <c r="D112" i="1"/>
  <c r="AU112" i="1"/>
  <c r="E112" i="1"/>
  <c r="Y112" i="1"/>
  <c r="P113" i="5"/>
  <c r="C112" i="1"/>
  <c r="L112" i="1"/>
  <c r="P113" i="6"/>
  <c r="P425" i="5"/>
  <c r="M112" i="1"/>
  <c r="N113" i="6"/>
  <c r="N425" i="5"/>
  <c r="Q425" i="5" s="1"/>
  <c r="AO112" i="1"/>
  <c r="AP112" i="1" s="1"/>
  <c r="BA111" i="1"/>
  <c r="BB111" i="1"/>
  <c r="C138" i="3"/>
  <c r="B139" i="3" s="1"/>
  <c r="AF112" i="1" l="1"/>
  <c r="AG112" i="1" s="1"/>
  <c r="S112" i="1"/>
  <c r="O112" i="1"/>
  <c r="G112" i="1"/>
  <c r="BA112" i="1" s="1"/>
  <c r="N114" i="6"/>
  <c r="AU113" i="1"/>
  <c r="X113" i="1"/>
  <c r="AA113" i="1" s="1"/>
  <c r="AB113" i="1" s="1"/>
  <c r="P114" i="5"/>
  <c r="M113" i="1"/>
  <c r="S113" i="1" s="1"/>
  <c r="P426" i="5"/>
  <c r="N426" i="5"/>
  <c r="Q426" i="5" s="1"/>
  <c r="C113" i="1"/>
  <c r="N114" i="5"/>
  <c r="Q114" i="5" s="1"/>
  <c r="F113" i="1"/>
  <c r="D113" i="1"/>
  <c r="P114" i="6"/>
  <c r="AD113" i="1"/>
  <c r="L113" i="1"/>
  <c r="AO113" i="1" s="1"/>
  <c r="AP113" i="1" s="1"/>
  <c r="E113" i="1"/>
  <c r="Y113" i="1"/>
  <c r="A115" i="1"/>
  <c r="B114" i="1"/>
  <c r="M113" i="6"/>
  <c r="S113" i="5"/>
  <c r="S425" i="5"/>
  <c r="C139" i="3"/>
  <c r="B140" i="3" s="1"/>
  <c r="BB112" i="1" l="1"/>
  <c r="AF113" i="1"/>
  <c r="AG113" i="1" s="1"/>
  <c r="O113" i="1"/>
  <c r="G113" i="1"/>
  <c r="S114" i="5"/>
  <c r="F114" i="1"/>
  <c r="AU114" i="1"/>
  <c r="P427" i="5"/>
  <c r="X114" i="1"/>
  <c r="AA114" i="1" s="1"/>
  <c r="AB114" i="1" s="1"/>
  <c r="N115" i="5"/>
  <c r="Q115" i="5" s="1"/>
  <c r="M114" i="1"/>
  <c r="N427" i="5"/>
  <c r="Q427" i="5" s="1"/>
  <c r="P115" i="6"/>
  <c r="D114" i="1"/>
  <c r="P115" i="5"/>
  <c r="S115" i="5" s="1"/>
  <c r="C114" i="1"/>
  <c r="E114" i="1"/>
  <c r="AD114" i="1"/>
  <c r="Y114" i="1"/>
  <c r="L114" i="1"/>
  <c r="AO114" i="1" s="1"/>
  <c r="AP114" i="1" s="1"/>
  <c r="N115" i="6"/>
  <c r="B115" i="1"/>
  <c r="A116" i="1"/>
  <c r="M114" i="6"/>
  <c r="S426" i="5"/>
  <c r="C140" i="3"/>
  <c r="B141" i="3" s="1"/>
  <c r="C141" i="3" s="1"/>
  <c r="B142" i="3" s="1"/>
  <c r="AF114" i="1" l="1"/>
  <c r="AG114" i="1" s="1"/>
  <c r="S427" i="5"/>
  <c r="S114" i="1"/>
  <c r="A117" i="1"/>
  <c r="B116" i="1"/>
  <c r="M115" i="6"/>
  <c r="G114" i="1"/>
  <c r="BB113" i="1"/>
  <c r="BA113" i="1"/>
  <c r="P116" i="6"/>
  <c r="E115" i="1"/>
  <c r="N116" i="6"/>
  <c r="L115" i="1"/>
  <c r="F115" i="1"/>
  <c r="M115" i="1"/>
  <c r="S115" i="1" s="1"/>
  <c r="P428" i="5"/>
  <c r="D115" i="1"/>
  <c r="AD115" i="1"/>
  <c r="Y115" i="1"/>
  <c r="P116" i="5"/>
  <c r="X115" i="1"/>
  <c r="AA115" i="1" s="1"/>
  <c r="AB115" i="1" s="1"/>
  <c r="N428" i="5"/>
  <c r="Q428" i="5" s="1"/>
  <c r="AU115" i="1"/>
  <c r="N116" i="5"/>
  <c r="Q116" i="5" s="1"/>
  <c r="C115" i="1"/>
  <c r="O114" i="1"/>
  <c r="C142" i="3"/>
  <c r="B143" i="3" s="1"/>
  <c r="S116" i="5" l="1"/>
  <c r="M116" i="6"/>
  <c r="AD116" i="1"/>
  <c r="AU116" i="1"/>
  <c r="N117" i="6"/>
  <c r="Y116" i="1"/>
  <c r="F116" i="1"/>
  <c r="L116" i="1"/>
  <c r="AO116" i="1" s="1"/>
  <c r="AP116" i="1" s="1"/>
  <c r="P429" i="5"/>
  <c r="X116" i="1"/>
  <c r="AA116" i="1" s="1"/>
  <c r="AB116" i="1" s="1"/>
  <c r="P117" i="6"/>
  <c r="M116" i="1"/>
  <c r="S116" i="1" s="1"/>
  <c r="N429" i="5"/>
  <c r="Q429" i="5" s="1"/>
  <c r="E116" i="1"/>
  <c r="N117" i="5"/>
  <c r="Q117" i="5" s="1"/>
  <c r="C116" i="1"/>
  <c r="P117" i="5"/>
  <c r="D116" i="1"/>
  <c r="A118" i="1"/>
  <c r="B117" i="1"/>
  <c r="AO115" i="1"/>
  <c r="AP115" i="1" s="1"/>
  <c r="S428" i="5"/>
  <c r="AF115" i="1"/>
  <c r="AG115" i="1" s="1"/>
  <c r="BB114" i="1"/>
  <c r="BA114" i="1"/>
  <c r="O115" i="1"/>
  <c r="G115" i="1"/>
  <c r="C143" i="3"/>
  <c r="B144" i="3" s="1"/>
  <c r="AF116" i="1" l="1"/>
  <c r="AG116" i="1" s="1"/>
  <c r="S117" i="5"/>
  <c r="P118" i="5"/>
  <c r="P118" i="6"/>
  <c r="P430" i="5"/>
  <c r="C117" i="1"/>
  <c r="X117" i="1"/>
  <c r="AA117" i="1" s="1"/>
  <c r="AB117" i="1" s="1"/>
  <c r="E117" i="1"/>
  <c r="F117" i="1"/>
  <c r="L117" i="1"/>
  <c r="N118" i="5"/>
  <c r="Q118" i="5" s="1"/>
  <c r="M117" i="1"/>
  <c r="S117" i="1" s="1"/>
  <c r="N118" i="6"/>
  <c r="Y117" i="1"/>
  <c r="AD117" i="1"/>
  <c r="AU117" i="1"/>
  <c r="N430" i="5"/>
  <c r="Q430" i="5" s="1"/>
  <c r="D117" i="1"/>
  <c r="AO117" i="1"/>
  <c r="AP117" i="1" s="1"/>
  <c r="BB115" i="1"/>
  <c r="BA115" i="1"/>
  <c r="B118" i="1"/>
  <c r="A119" i="1"/>
  <c r="S429" i="5"/>
  <c r="G116" i="1"/>
  <c r="M117" i="6"/>
  <c r="O116" i="1"/>
  <c r="C144" i="3"/>
  <c r="B145" i="3" s="1"/>
  <c r="AF117" i="1" l="1"/>
  <c r="AG117" i="1" s="1"/>
  <c r="G117" i="1"/>
  <c r="A120" i="1"/>
  <c r="B119" i="1"/>
  <c r="O117" i="1"/>
  <c r="N431" i="5"/>
  <c r="Q431" i="5" s="1"/>
  <c r="AO118" i="1"/>
  <c r="AP118" i="1" s="1"/>
  <c r="P431" i="5"/>
  <c r="E118" i="1"/>
  <c r="P119" i="5"/>
  <c r="D118" i="1"/>
  <c r="Y118" i="1"/>
  <c r="F118" i="1"/>
  <c r="C118" i="1"/>
  <c r="N119" i="6"/>
  <c r="AD118" i="1"/>
  <c r="M118" i="1"/>
  <c r="S118" i="1" s="1"/>
  <c r="L118" i="1"/>
  <c r="AU118" i="1"/>
  <c r="P119" i="6"/>
  <c r="X118" i="1"/>
  <c r="AA118" i="1" s="1"/>
  <c r="AB118" i="1" s="1"/>
  <c r="N119" i="5"/>
  <c r="Q119" i="5" s="1"/>
  <c r="BA117" i="1"/>
  <c r="BB117" i="1"/>
  <c r="S430" i="5"/>
  <c r="BB116" i="1"/>
  <c r="BA116" i="1"/>
  <c r="S118" i="5"/>
  <c r="M118" i="6"/>
  <c r="C145" i="3"/>
  <c r="B146" i="3" s="1"/>
  <c r="G118" i="1" l="1"/>
  <c r="S119" i="5"/>
  <c r="S431" i="5"/>
  <c r="AF118" i="1"/>
  <c r="AG118" i="1" s="1"/>
  <c r="M119" i="6"/>
  <c r="O118" i="1"/>
  <c r="P120" i="6"/>
  <c r="N432" i="5"/>
  <c r="Q432" i="5" s="1"/>
  <c r="AO119" i="1"/>
  <c r="AP119" i="1" s="1"/>
  <c r="C119" i="1"/>
  <c r="N120" i="5"/>
  <c r="Q120" i="5" s="1"/>
  <c r="Y119" i="1"/>
  <c r="F119" i="1"/>
  <c r="AU119" i="1"/>
  <c r="E119" i="1"/>
  <c r="N120" i="6"/>
  <c r="P432" i="5"/>
  <c r="D119" i="1"/>
  <c r="AD119" i="1"/>
  <c r="P120" i="5"/>
  <c r="S120" i="5" s="1"/>
  <c r="L119" i="1"/>
  <c r="X119" i="1"/>
  <c r="AA119" i="1" s="1"/>
  <c r="AB119" i="1" s="1"/>
  <c r="M119" i="1"/>
  <c r="S119" i="1" s="1"/>
  <c r="A121" i="1"/>
  <c r="B120" i="1"/>
  <c r="BB118" i="1"/>
  <c r="BA118" i="1"/>
  <c r="C146" i="3"/>
  <c r="B147" i="3" s="1"/>
  <c r="AF119" i="1" l="1"/>
  <c r="AG119" i="1" s="1"/>
  <c r="M120" i="6"/>
  <c r="F120" i="1"/>
  <c r="AU120" i="1"/>
  <c r="N121" i="6"/>
  <c r="L120" i="1"/>
  <c r="O120" i="1" s="1"/>
  <c r="AD120" i="1"/>
  <c r="Y120" i="1"/>
  <c r="P121" i="5"/>
  <c r="X120" i="1"/>
  <c r="AA120" i="1" s="1"/>
  <c r="AB120" i="1" s="1"/>
  <c r="M120" i="1"/>
  <c r="S120" i="1" s="1"/>
  <c r="N433" i="5"/>
  <c r="Q433" i="5" s="1"/>
  <c r="D120" i="1"/>
  <c r="P433" i="5"/>
  <c r="N121" i="5"/>
  <c r="Q121" i="5" s="1"/>
  <c r="E120" i="1"/>
  <c r="P121" i="6"/>
  <c r="C120" i="1"/>
  <c r="AO120" i="1"/>
  <c r="AP120" i="1" s="1"/>
  <c r="G119" i="1"/>
  <c r="O119" i="1"/>
  <c r="S432" i="5"/>
  <c r="B121" i="1"/>
  <c r="A122" i="1"/>
  <c r="C147" i="3"/>
  <c r="B148" i="3" s="1"/>
  <c r="AL121" i="1" l="1"/>
  <c r="S433" i="5"/>
  <c r="M121" i="6"/>
  <c r="BA119" i="1"/>
  <c r="BB119" i="1"/>
  <c r="S121" i="5"/>
  <c r="G120" i="1"/>
  <c r="AD121" i="1"/>
  <c r="M121" i="1"/>
  <c r="S121" i="1" s="1"/>
  <c r="X121" i="1"/>
  <c r="AA121" i="1" s="1"/>
  <c r="AB121" i="1" s="1"/>
  <c r="N434" i="5"/>
  <c r="Q434" i="5" s="1"/>
  <c r="P434" i="5"/>
  <c r="C121" i="1"/>
  <c r="P122" i="5"/>
  <c r="D121" i="1"/>
  <c r="E121" i="1"/>
  <c r="F121" i="1"/>
  <c r="Y121" i="1"/>
  <c r="P122" i="6"/>
  <c r="N122" i="5"/>
  <c r="Q122" i="5" s="1"/>
  <c r="L121" i="1"/>
  <c r="N122" i="6"/>
  <c r="AU121" i="1"/>
  <c r="AO121" i="1"/>
  <c r="AP121" i="1" s="1"/>
  <c r="O121" i="1"/>
  <c r="B122" i="1"/>
  <c r="A123" i="1"/>
  <c r="AF120" i="1"/>
  <c r="AG120" i="1" s="1"/>
  <c r="C148" i="3"/>
  <c r="B149" i="3" s="1"/>
  <c r="AL122" i="1" l="1"/>
  <c r="AH121" i="1"/>
  <c r="G121" i="1"/>
  <c r="AF121" i="1"/>
  <c r="AG121" i="1" s="1"/>
  <c r="S434" i="5"/>
  <c r="BA121" i="1"/>
  <c r="BB121" i="1"/>
  <c r="B123" i="1"/>
  <c r="A124" i="1"/>
  <c r="X122" i="1"/>
  <c r="AA122" i="1" s="1"/>
  <c r="AB122" i="1" s="1"/>
  <c r="N435" i="5"/>
  <c r="Q435" i="5" s="1"/>
  <c r="D122" i="1"/>
  <c r="L122" i="1"/>
  <c r="AD122" i="1"/>
  <c r="P123" i="5"/>
  <c r="E122" i="1"/>
  <c r="N123" i="6"/>
  <c r="Y122" i="1"/>
  <c r="M122" i="1"/>
  <c r="AH122" i="1" s="1"/>
  <c r="P435" i="5"/>
  <c r="C122" i="1"/>
  <c r="F122" i="1"/>
  <c r="AU122" i="1"/>
  <c r="P123" i="6"/>
  <c r="N123" i="5"/>
  <c r="Q123" i="5" s="1"/>
  <c r="AO122" i="1"/>
  <c r="AP122" i="1" s="1"/>
  <c r="BQ121" i="1" a="1"/>
  <c r="BQ121" i="1" s="1"/>
  <c r="M122" i="6"/>
  <c r="BA120" i="1"/>
  <c r="BB120" i="1"/>
  <c r="S122" i="5"/>
  <c r="C149" i="3"/>
  <c r="B150" i="3" s="1"/>
  <c r="S435" i="5" l="1"/>
  <c r="O122" i="1"/>
  <c r="AL123" i="1"/>
  <c r="AD123" i="1"/>
  <c r="F123" i="1"/>
  <c r="L123" i="1"/>
  <c r="P124" i="5"/>
  <c r="M123" i="1"/>
  <c r="AH123" i="1" s="1"/>
  <c r="AU123" i="1"/>
  <c r="D123" i="1"/>
  <c r="P124" i="6"/>
  <c r="X123" i="1"/>
  <c r="AA123" i="1" s="1"/>
  <c r="AB123" i="1" s="1"/>
  <c r="P436" i="5"/>
  <c r="AO123" i="1"/>
  <c r="AP123" i="1" s="1"/>
  <c r="N436" i="5"/>
  <c r="Q436" i="5" s="1"/>
  <c r="E123" i="1"/>
  <c r="Y123" i="1"/>
  <c r="N124" i="6"/>
  <c r="C123" i="1"/>
  <c r="N124" i="5"/>
  <c r="Q124" i="5" s="1"/>
  <c r="BQ122" i="1" a="1"/>
  <c r="BQ122" i="1" s="1"/>
  <c r="M123" i="6"/>
  <c r="S122" i="1"/>
  <c r="G122" i="1"/>
  <c r="AF122" i="1"/>
  <c r="AG122" i="1" s="1"/>
  <c r="S123" i="5"/>
  <c r="B124" i="1"/>
  <c r="A125" i="1"/>
  <c r="C150" i="3"/>
  <c r="B151" i="3" s="1"/>
  <c r="AL124" i="1" l="1"/>
  <c r="O123" i="1"/>
  <c r="S123" i="1"/>
  <c r="AF123" i="1"/>
  <c r="AG123" i="1" s="1"/>
  <c r="G123" i="1"/>
  <c r="BB122" i="1"/>
  <c r="BA122" i="1"/>
  <c r="S124" i="5"/>
  <c r="S436" i="5"/>
  <c r="B125" i="1"/>
  <c r="A126" i="1"/>
  <c r="BQ123" i="1" a="1"/>
  <c r="BQ123" i="1" s="1"/>
  <c r="M124" i="6"/>
  <c r="P125" i="5"/>
  <c r="D124" i="1"/>
  <c r="N125" i="6"/>
  <c r="L124" i="1"/>
  <c r="AD124" i="1"/>
  <c r="Y124" i="1"/>
  <c r="M124" i="1"/>
  <c r="AH124" i="1" s="1"/>
  <c r="X124" i="1"/>
  <c r="AA124" i="1" s="1"/>
  <c r="AB124" i="1" s="1"/>
  <c r="P125" i="6"/>
  <c r="P437" i="5"/>
  <c r="N437" i="5"/>
  <c r="Q437" i="5" s="1"/>
  <c r="E124" i="1"/>
  <c r="N125" i="5"/>
  <c r="Q125" i="5" s="1"/>
  <c r="C124" i="1"/>
  <c r="F124" i="1"/>
  <c r="AU124" i="1"/>
  <c r="AO124" i="1"/>
  <c r="AP124" i="1" s="1"/>
  <c r="BB123" i="1"/>
  <c r="BA123" i="1"/>
  <c r="C151" i="3"/>
  <c r="B152" i="3" s="1"/>
  <c r="AF124" i="1" l="1"/>
  <c r="AG124" i="1" s="1"/>
  <c r="AL125" i="1"/>
  <c r="O124" i="1"/>
  <c r="S124" i="1"/>
  <c r="G124" i="1"/>
  <c r="F125" i="1"/>
  <c r="AU125" i="1"/>
  <c r="AD125" i="1"/>
  <c r="Y125" i="1"/>
  <c r="L125" i="1"/>
  <c r="N126" i="6"/>
  <c r="N126" i="5"/>
  <c r="Q126" i="5" s="1"/>
  <c r="X125" i="1"/>
  <c r="AA125" i="1" s="1"/>
  <c r="AB125" i="1" s="1"/>
  <c r="M125" i="1"/>
  <c r="S125" i="1" s="1"/>
  <c r="P126" i="5"/>
  <c r="D125" i="1"/>
  <c r="P126" i="6"/>
  <c r="C125" i="1"/>
  <c r="P438" i="5"/>
  <c r="E125" i="1"/>
  <c r="N438" i="5"/>
  <c r="Q438" i="5" s="1"/>
  <c r="AF125" i="1"/>
  <c r="AG125" i="1" s="1"/>
  <c r="AO125" i="1"/>
  <c r="AP125" i="1" s="1"/>
  <c r="S125" i="5"/>
  <c r="S437" i="5"/>
  <c r="BQ124" i="1" a="1"/>
  <c r="BQ124" i="1" s="1"/>
  <c r="M125" i="6"/>
  <c r="B126" i="1"/>
  <c r="A127" i="1"/>
  <c r="C152" i="3"/>
  <c r="B153" i="3" s="1"/>
  <c r="AL126" i="1" l="1"/>
  <c r="S126" i="5"/>
  <c r="O125" i="1"/>
  <c r="BQ125" i="1" a="1"/>
  <c r="BQ125" i="1" s="1"/>
  <c r="M126" i="6"/>
  <c r="AH125" i="1"/>
  <c r="A128" i="1"/>
  <c r="B127" i="1"/>
  <c r="S438" i="5"/>
  <c r="G125" i="1"/>
  <c r="BA124" i="1"/>
  <c r="BB124" i="1"/>
  <c r="D126" i="1"/>
  <c r="N127" i="6"/>
  <c r="F126" i="1"/>
  <c r="Y126" i="1"/>
  <c r="P127" i="6"/>
  <c r="M126" i="1"/>
  <c r="S126" i="1" s="1"/>
  <c r="AD126" i="1"/>
  <c r="X126" i="1"/>
  <c r="AA126" i="1" s="1"/>
  <c r="AB126" i="1" s="1"/>
  <c r="N127" i="5"/>
  <c r="Q127" i="5" s="1"/>
  <c r="L126" i="1"/>
  <c r="P127" i="5"/>
  <c r="P439" i="5"/>
  <c r="AU126" i="1"/>
  <c r="C126" i="1"/>
  <c r="N439" i="5"/>
  <c r="Q439" i="5" s="1"/>
  <c r="AO126" i="1"/>
  <c r="AP126" i="1" s="1"/>
  <c r="E126" i="1"/>
  <c r="C153" i="3"/>
  <c r="B154" i="3" s="1"/>
  <c r="AL127" i="1" l="1"/>
  <c r="S127" i="5"/>
  <c r="N128" i="6"/>
  <c r="AU127" i="1"/>
  <c r="F127" i="1"/>
  <c r="L127" i="1"/>
  <c r="X127" i="1"/>
  <c r="AA127" i="1" s="1"/>
  <c r="AB127" i="1" s="1"/>
  <c r="AO127" i="1"/>
  <c r="AP127" i="1" s="1"/>
  <c r="D127" i="1"/>
  <c r="N128" i="5"/>
  <c r="Q128" i="5" s="1"/>
  <c r="P128" i="5"/>
  <c r="Y127" i="1"/>
  <c r="P128" i="6"/>
  <c r="P440" i="5"/>
  <c r="M127" i="1"/>
  <c r="AH127" i="1" s="1"/>
  <c r="E127" i="1"/>
  <c r="N440" i="5"/>
  <c r="Q440" i="5" s="1"/>
  <c r="AD127" i="1"/>
  <c r="C127" i="1"/>
  <c r="O126" i="1"/>
  <c r="B128" i="1"/>
  <c r="A129" i="1"/>
  <c r="BQ126" i="1" a="1"/>
  <c r="BQ126" i="1" s="1"/>
  <c r="M127" i="6"/>
  <c r="S439" i="5"/>
  <c r="BA125" i="1"/>
  <c r="BB125" i="1"/>
  <c r="AF126" i="1"/>
  <c r="AH126" i="1"/>
  <c r="G126" i="1"/>
  <c r="C154" i="3"/>
  <c r="B155" i="3" s="1"/>
  <c r="O127" i="1" l="1"/>
  <c r="S127" i="1"/>
  <c r="AF127" i="1"/>
  <c r="AG127" i="1" s="1"/>
  <c r="G127" i="1"/>
  <c r="S440" i="5"/>
  <c r="BB126" i="1"/>
  <c r="BA126" i="1"/>
  <c r="A130" i="1"/>
  <c r="B129" i="1"/>
  <c r="AD128" i="1"/>
  <c r="L128" i="1"/>
  <c r="N129" i="6"/>
  <c r="X128" i="1"/>
  <c r="AA128" i="1" s="1"/>
  <c r="AB128" i="1" s="1"/>
  <c r="P129" i="6"/>
  <c r="M128" i="1"/>
  <c r="S128" i="1" s="1"/>
  <c r="N441" i="5"/>
  <c r="Q441" i="5" s="1"/>
  <c r="P129" i="5"/>
  <c r="Y128" i="1"/>
  <c r="D128" i="1"/>
  <c r="N129" i="5"/>
  <c r="Q129" i="5" s="1"/>
  <c r="P441" i="5"/>
  <c r="E128" i="1"/>
  <c r="C128" i="1"/>
  <c r="F128" i="1"/>
  <c r="AU128" i="1"/>
  <c r="AO128" i="1"/>
  <c r="AP128" i="1" s="1"/>
  <c r="BQ127" i="1" a="1"/>
  <c r="BQ127" i="1" s="1"/>
  <c r="M128" i="6"/>
  <c r="BB127" i="1"/>
  <c r="BA127" i="1"/>
  <c r="S128" i="5"/>
  <c r="C155" i="3"/>
  <c r="B156" i="3" s="1"/>
  <c r="O128" i="1" l="1"/>
  <c r="AF128" i="1"/>
  <c r="AG128" i="1" s="1"/>
  <c r="G128" i="1"/>
  <c r="BB128" i="1" s="1"/>
  <c r="B130" i="1"/>
  <c r="A131" i="1"/>
  <c r="BA128" i="1"/>
  <c r="M129" i="6"/>
  <c r="N442" i="5"/>
  <c r="Q442" i="5" s="1"/>
  <c r="M129" i="1"/>
  <c r="S129" i="1" s="1"/>
  <c r="P130" i="6"/>
  <c r="D129" i="1"/>
  <c r="C129" i="1"/>
  <c r="E129" i="1"/>
  <c r="AU129" i="1"/>
  <c r="P130" i="5"/>
  <c r="P442" i="5"/>
  <c r="N130" i="6"/>
  <c r="F129" i="1"/>
  <c r="AD129" i="1"/>
  <c r="X129" i="1"/>
  <c r="AA129" i="1" s="1"/>
  <c r="AB129" i="1" s="1"/>
  <c r="N130" i="5"/>
  <c r="Q130" i="5" s="1"/>
  <c r="Y129" i="1"/>
  <c r="L129" i="1"/>
  <c r="AO129" i="1"/>
  <c r="AP129" i="1" s="1"/>
  <c r="S129" i="5"/>
  <c r="S441" i="5"/>
  <c r="C156" i="3"/>
  <c r="B157" i="3" s="1"/>
  <c r="O129" i="1" l="1"/>
  <c r="S442" i="5"/>
  <c r="B131" i="1"/>
  <c r="A132" i="1"/>
  <c r="N443" i="5"/>
  <c r="Q443" i="5" s="1"/>
  <c r="D130" i="1"/>
  <c r="P443" i="5"/>
  <c r="E130" i="1"/>
  <c r="P131" i="6"/>
  <c r="N131" i="5"/>
  <c r="Q131" i="5" s="1"/>
  <c r="C130" i="1"/>
  <c r="F130" i="1"/>
  <c r="Y130" i="1"/>
  <c r="AD130" i="1"/>
  <c r="L130" i="1"/>
  <c r="X130" i="1"/>
  <c r="AA130" i="1" s="1"/>
  <c r="AB130" i="1" s="1"/>
  <c r="N131" i="6"/>
  <c r="M130" i="1"/>
  <c r="S130" i="1" s="1"/>
  <c r="P131" i="5"/>
  <c r="AU130" i="1"/>
  <c r="AO130" i="1"/>
  <c r="AP130" i="1" s="1"/>
  <c r="G129" i="1"/>
  <c r="M130" i="6"/>
  <c r="S130" i="5"/>
  <c r="AF129" i="1"/>
  <c r="AG129" i="1" s="1"/>
  <c r="C157" i="3"/>
  <c r="B158" i="3" s="1"/>
  <c r="S131" i="5" l="1"/>
  <c r="S443" i="5"/>
  <c r="O130" i="1"/>
  <c r="M131" i="6"/>
  <c r="A133" i="1"/>
  <c r="B132" i="1"/>
  <c r="N444" i="5"/>
  <c r="Q444" i="5" s="1"/>
  <c r="X131" i="1"/>
  <c r="AA131" i="1" s="1"/>
  <c r="AB131" i="1" s="1"/>
  <c r="C131" i="1"/>
  <c r="P444" i="5"/>
  <c r="D131" i="1"/>
  <c r="M131" i="1"/>
  <c r="S131" i="1" s="1"/>
  <c r="AD131" i="1"/>
  <c r="P132" i="5"/>
  <c r="E131" i="1"/>
  <c r="F131" i="1"/>
  <c r="AU131" i="1"/>
  <c r="L131" i="1"/>
  <c r="N132" i="5"/>
  <c r="Q132" i="5" s="1"/>
  <c r="N132" i="6"/>
  <c r="Y131" i="1"/>
  <c r="P132" i="6"/>
  <c r="AF130" i="1"/>
  <c r="AG130" i="1" s="1"/>
  <c r="BA129" i="1"/>
  <c r="BB129" i="1"/>
  <c r="G130" i="1"/>
  <c r="C158" i="3"/>
  <c r="B159" i="3" s="1"/>
  <c r="S132" i="5" l="1"/>
  <c r="AF131" i="1"/>
  <c r="AG131" i="1" s="1"/>
  <c r="M132" i="6"/>
  <c r="O131" i="1"/>
  <c r="N133" i="6"/>
  <c r="X132" i="1"/>
  <c r="AA132" i="1" s="1"/>
  <c r="AB132" i="1" s="1"/>
  <c r="P133" i="5"/>
  <c r="E132" i="1"/>
  <c r="AD132" i="1"/>
  <c r="P133" i="6"/>
  <c r="C132" i="1"/>
  <c r="M132" i="1"/>
  <c r="S132" i="1" s="1"/>
  <c r="P445" i="5"/>
  <c r="D132" i="1"/>
  <c r="F132" i="1"/>
  <c r="Y132" i="1"/>
  <c r="L132" i="1"/>
  <c r="N133" i="5"/>
  <c r="Q133" i="5" s="1"/>
  <c r="AU132" i="1"/>
  <c r="N445" i="5"/>
  <c r="Q445" i="5" s="1"/>
  <c r="AO132" i="1"/>
  <c r="AP132" i="1" s="1"/>
  <c r="AO131" i="1"/>
  <c r="AP131" i="1" s="1"/>
  <c r="G131" i="1"/>
  <c r="S444" i="5"/>
  <c r="A134" i="1"/>
  <c r="B133" i="1"/>
  <c r="BB130" i="1"/>
  <c r="BA130" i="1"/>
  <c r="C159" i="3"/>
  <c r="B160" i="3" s="1"/>
  <c r="G132" i="1" l="1"/>
  <c r="BB131" i="1"/>
  <c r="BA131" i="1"/>
  <c r="M133" i="6"/>
  <c r="AF132" i="1"/>
  <c r="AG132" i="1" s="1"/>
  <c r="N134" i="6"/>
  <c r="D133" i="1"/>
  <c r="P134" i="6"/>
  <c r="P446" i="5"/>
  <c r="E133" i="1"/>
  <c r="AD133" i="1"/>
  <c r="Y133" i="1"/>
  <c r="AU133" i="1"/>
  <c r="F133" i="1"/>
  <c r="L133" i="1"/>
  <c r="N446" i="5"/>
  <c r="Q446" i="5" s="1"/>
  <c r="X133" i="1"/>
  <c r="AA133" i="1" s="1"/>
  <c r="AB133" i="1" s="1"/>
  <c r="N134" i="5"/>
  <c r="Q134" i="5" s="1"/>
  <c r="M133" i="1"/>
  <c r="S133" i="1" s="1"/>
  <c r="P134" i="5"/>
  <c r="C133" i="1"/>
  <c r="AO133" i="1"/>
  <c r="AP133" i="1" s="1"/>
  <c r="O132" i="1"/>
  <c r="BB132" i="1"/>
  <c r="BA132" i="1"/>
  <c r="A135" i="1"/>
  <c r="B134" i="1"/>
  <c r="S445" i="5"/>
  <c r="S133" i="5"/>
  <c r="C160" i="3"/>
  <c r="B161" i="3" s="1"/>
  <c r="O133" i="1" l="1"/>
  <c r="S134" i="5"/>
  <c r="G133" i="1"/>
  <c r="BB133" i="1" s="1"/>
  <c r="S446" i="5"/>
  <c r="L134" i="1"/>
  <c r="D134" i="1"/>
  <c r="P135" i="6"/>
  <c r="AO134" i="1"/>
  <c r="AP134" i="1" s="1"/>
  <c r="E134" i="1"/>
  <c r="F134" i="1"/>
  <c r="AU134" i="1"/>
  <c r="C134" i="1"/>
  <c r="N135" i="6"/>
  <c r="N447" i="5"/>
  <c r="Q447" i="5" s="1"/>
  <c r="AD134" i="1"/>
  <c r="X134" i="1"/>
  <c r="AA134" i="1" s="1"/>
  <c r="AB134" i="1" s="1"/>
  <c r="Y134" i="1"/>
  <c r="M134" i="1"/>
  <c r="P447" i="5"/>
  <c r="P135" i="5"/>
  <c r="N135" i="5"/>
  <c r="Q135" i="5" s="1"/>
  <c r="B135" i="1"/>
  <c r="A136" i="1"/>
  <c r="AF133" i="1"/>
  <c r="AG133" i="1" s="1"/>
  <c r="M134" i="6"/>
  <c r="C161" i="3"/>
  <c r="B162" i="3" s="1"/>
  <c r="BA133" i="1" l="1"/>
  <c r="O134" i="1"/>
  <c r="S447" i="5"/>
  <c r="S135" i="5"/>
  <c r="B136" i="1"/>
  <c r="A137" i="1"/>
  <c r="M135" i="6"/>
  <c r="P448" i="5"/>
  <c r="C135" i="1"/>
  <c r="AD135" i="1"/>
  <c r="AU135" i="1"/>
  <c r="Y135" i="1"/>
  <c r="N136" i="5"/>
  <c r="Q136" i="5" s="1"/>
  <c r="F135" i="1"/>
  <c r="M135" i="1"/>
  <c r="N448" i="5"/>
  <c r="Q448" i="5" s="1"/>
  <c r="X135" i="1"/>
  <c r="AA135" i="1" s="1"/>
  <c r="AB135" i="1" s="1"/>
  <c r="D135" i="1"/>
  <c r="N136" i="6"/>
  <c r="L135" i="1"/>
  <c r="P136" i="5"/>
  <c r="E135" i="1"/>
  <c r="P136" i="6"/>
  <c r="AO135" i="1"/>
  <c r="AP135" i="1" s="1"/>
  <c r="AF134" i="1"/>
  <c r="AG134" i="1" s="1"/>
  <c r="G134" i="1"/>
  <c r="S134" i="1"/>
  <c r="C162" i="3"/>
  <c r="B163" i="3" s="1"/>
  <c r="O135" i="1" l="1"/>
  <c r="G135" i="1"/>
  <c r="S135" i="1"/>
  <c r="B137" i="1"/>
  <c r="A138" i="1"/>
  <c r="BB134" i="1"/>
  <c r="BA134" i="1"/>
  <c r="S136" i="5"/>
  <c r="S448" i="5"/>
  <c r="N449" i="5"/>
  <c r="Q449" i="5" s="1"/>
  <c r="Y136" i="1"/>
  <c r="P137" i="6"/>
  <c r="P449" i="5"/>
  <c r="AD136" i="1"/>
  <c r="AU136" i="1"/>
  <c r="F136" i="1"/>
  <c r="N137" i="5"/>
  <c r="Q137" i="5" s="1"/>
  <c r="X136" i="1"/>
  <c r="AA136" i="1" s="1"/>
  <c r="AB136" i="1" s="1"/>
  <c r="N137" i="6"/>
  <c r="M136" i="1"/>
  <c r="S136" i="1" s="1"/>
  <c r="D136" i="1"/>
  <c r="E136" i="1"/>
  <c r="P137" i="5"/>
  <c r="C136" i="1"/>
  <c r="L136" i="1"/>
  <c r="AO136" i="1"/>
  <c r="AP136" i="1" s="1"/>
  <c r="BA135" i="1"/>
  <c r="BB135" i="1"/>
  <c r="M136" i="6"/>
  <c r="AF135" i="1"/>
  <c r="AG135" i="1" s="1"/>
  <c r="C163" i="3"/>
  <c r="B164" i="3" s="1"/>
  <c r="S449" i="5" l="1"/>
  <c r="O136" i="1"/>
  <c r="B138" i="1"/>
  <c r="A139" i="1"/>
  <c r="G136" i="1"/>
  <c r="N138" i="5"/>
  <c r="Q138" i="5" s="1"/>
  <c r="L137" i="1"/>
  <c r="P138" i="6"/>
  <c r="M137" i="1"/>
  <c r="P138" i="5"/>
  <c r="C137" i="1"/>
  <c r="E137" i="1"/>
  <c r="P450" i="5"/>
  <c r="D137" i="1"/>
  <c r="N450" i="5"/>
  <c r="Q450" i="5" s="1"/>
  <c r="AD137" i="1"/>
  <c r="X137" i="1"/>
  <c r="AA137" i="1" s="1"/>
  <c r="AB137" i="1" s="1"/>
  <c r="F137" i="1"/>
  <c r="AU137" i="1"/>
  <c r="N138" i="6"/>
  <c r="Y137" i="1"/>
  <c r="AO137" i="1"/>
  <c r="AP137" i="1" s="1"/>
  <c r="M137" i="6"/>
  <c r="S137" i="5"/>
  <c r="AF136" i="1"/>
  <c r="AG136" i="1" s="1"/>
  <c r="C164" i="3"/>
  <c r="B165" i="3" s="1"/>
  <c r="AF137" i="1" l="1"/>
  <c r="AG137" i="1" s="1"/>
  <c r="S137" i="1"/>
  <c r="S138" i="5"/>
  <c r="A140" i="1"/>
  <c r="B139" i="1"/>
  <c r="M138" i="6"/>
  <c r="N451" i="5"/>
  <c r="Q451" i="5" s="1"/>
  <c r="X138" i="1"/>
  <c r="AA138" i="1" s="1"/>
  <c r="AB138" i="1" s="1"/>
  <c r="N139" i="6"/>
  <c r="M138" i="1"/>
  <c r="S138" i="1" s="1"/>
  <c r="P139" i="6"/>
  <c r="N139" i="5"/>
  <c r="Q139" i="5" s="1"/>
  <c r="AU138" i="1"/>
  <c r="P139" i="5"/>
  <c r="F138" i="1"/>
  <c r="L138" i="1"/>
  <c r="P451" i="5"/>
  <c r="E138" i="1"/>
  <c r="C138" i="1"/>
  <c r="AD138" i="1"/>
  <c r="Y138" i="1"/>
  <c r="D138" i="1"/>
  <c r="AO138" i="1"/>
  <c r="AP138" i="1" s="1"/>
  <c r="O138" i="1"/>
  <c r="BA136" i="1"/>
  <c r="BB136" i="1"/>
  <c r="O137" i="1"/>
  <c r="G137" i="1"/>
  <c r="S450" i="5"/>
  <c r="C165" i="3"/>
  <c r="B166" i="3" s="1"/>
  <c r="S451" i="5" l="1"/>
  <c r="AF138" i="1"/>
  <c r="AG138" i="1" s="1"/>
  <c r="M139" i="6"/>
  <c r="BA137" i="1"/>
  <c r="BB137" i="1"/>
  <c r="G138" i="1"/>
  <c r="P452" i="5"/>
  <c r="C139" i="1"/>
  <c r="L139" i="1"/>
  <c r="D139" i="1"/>
  <c r="F139" i="1"/>
  <c r="Y139" i="1"/>
  <c r="AD139" i="1"/>
  <c r="P140" i="6"/>
  <c r="N452" i="5"/>
  <c r="Q452" i="5" s="1"/>
  <c r="E139" i="1"/>
  <c r="N140" i="6"/>
  <c r="M139" i="1"/>
  <c r="P140" i="5"/>
  <c r="X139" i="1"/>
  <c r="AA139" i="1" s="1"/>
  <c r="AB139" i="1" s="1"/>
  <c r="N140" i="5"/>
  <c r="Q140" i="5" s="1"/>
  <c r="AU139" i="1"/>
  <c r="AO139" i="1"/>
  <c r="AP139" i="1" s="1"/>
  <c r="B140" i="1"/>
  <c r="A141" i="1"/>
  <c r="S139" i="5"/>
  <c r="C166" i="3"/>
  <c r="B167" i="3" s="1"/>
  <c r="S140" i="5" l="1"/>
  <c r="AF139" i="1"/>
  <c r="AG139" i="1" s="1"/>
  <c r="S452" i="5"/>
  <c r="O139" i="1"/>
  <c r="F140" i="1"/>
  <c r="M140" i="1"/>
  <c r="S140" i="1" s="1"/>
  <c r="N141" i="5"/>
  <c r="Q141" i="5" s="1"/>
  <c r="X140" i="1"/>
  <c r="AA140" i="1" s="1"/>
  <c r="AB140" i="1" s="1"/>
  <c r="P141" i="6"/>
  <c r="C140" i="1"/>
  <c r="AD140" i="1"/>
  <c r="L140" i="1"/>
  <c r="P141" i="5"/>
  <c r="E140" i="1"/>
  <c r="AU140" i="1"/>
  <c r="Y140" i="1"/>
  <c r="D140" i="1"/>
  <c r="P453" i="5"/>
  <c r="N453" i="5"/>
  <c r="Q453" i="5" s="1"/>
  <c r="N141" i="6"/>
  <c r="AO140" i="1"/>
  <c r="AP140" i="1" s="1"/>
  <c r="BA138" i="1"/>
  <c r="BB138" i="1"/>
  <c r="G139" i="1"/>
  <c r="S139" i="1"/>
  <c r="M140" i="6"/>
  <c r="B141" i="1"/>
  <c r="A142" i="1"/>
  <c r="C167" i="3"/>
  <c r="B168" i="3" s="1"/>
  <c r="C168" i="3" s="1"/>
  <c r="B169" i="3" s="1"/>
  <c r="S141" i="5" l="1"/>
  <c r="S453" i="5"/>
  <c r="P142" i="5"/>
  <c r="E141" i="1"/>
  <c r="N454" i="5"/>
  <c r="Q454" i="5" s="1"/>
  <c r="D141" i="1"/>
  <c r="N142" i="5"/>
  <c r="Q142" i="5" s="1"/>
  <c r="F141" i="1"/>
  <c r="X141" i="1"/>
  <c r="AA141" i="1" s="1"/>
  <c r="AB141" i="1" s="1"/>
  <c r="AD141" i="1"/>
  <c r="M141" i="1"/>
  <c r="P142" i="6"/>
  <c r="AU141" i="1"/>
  <c r="P454" i="5"/>
  <c r="C141" i="1"/>
  <c r="L141" i="1"/>
  <c r="Y141" i="1"/>
  <c r="N142" i="6"/>
  <c r="AO141" i="1"/>
  <c r="AP141" i="1" s="1"/>
  <c r="AF140" i="1"/>
  <c r="AG140" i="1" s="1"/>
  <c r="O140" i="1"/>
  <c r="BA139" i="1"/>
  <c r="BB139" i="1"/>
  <c r="M141" i="6"/>
  <c r="B142" i="1"/>
  <c r="A143" i="1"/>
  <c r="G140" i="1"/>
  <c r="C169" i="3"/>
  <c r="B170" i="3" s="1"/>
  <c r="AL142" i="1" l="1"/>
  <c r="AF141" i="1"/>
  <c r="AG141" i="1" s="1"/>
  <c r="S454" i="5"/>
  <c r="O141" i="1"/>
  <c r="G141" i="1"/>
  <c r="BA141" i="1" s="1"/>
  <c r="S141" i="1"/>
  <c r="B143" i="1"/>
  <c r="A144" i="1"/>
  <c r="BB140" i="1"/>
  <c r="BA140" i="1"/>
  <c r="N455" i="5"/>
  <c r="Q455" i="5" s="1"/>
  <c r="L142" i="1"/>
  <c r="F142" i="1"/>
  <c r="X142" i="1"/>
  <c r="AA142" i="1" s="1"/>
  <c r="AB142" i="1" s="1"/>
  <c r="M142" i="1"/>
  <c r="O142" i="1" s="1"/>
  <c r="AO142" i="1"/>
  <c r="AP142" i="1" s="1"/>
  <c r="C142" i="1"/>
  <c r="AD142" i="1"/>
  <c r="P455" i="5"/>
  <c r="P143" i="6"/>
  <c r="P143" i="5"/>
  <c r="E142" i="1"/>
  <c r="N143" i="5"/>
  <c r="Q143" i="5" s="1"/>
  <c r="D142" i="1"/>
  <c r="N143" i="6"/>
  <c r="AU142" i="1"/>
  <c r="Y142" i="1"/>
  <c r="M142" i="6"/>
  <c r="S142" i="5"/>
  <c r="C170" i="3"/>
  <c r="B171" i="3" s="1"/>
  <c r="AL143" i="1" l="1"/>
  <c r="AF142" i="1"/>
  <c r="AG142" i="1" s="1"/>
  <c r="S142" i="1"/>
  <c r="S143" i="5"/>
  <c r="BB141" i="1"/>
  <c r="AH142" i="1"/>
  <c r="S455" i="5"/>
  <c r="G142" i="1"/>
  <c r="BB142" i="1" s="1"/>
  <c r="N456" i="5"/>
  <c r="Q456" i="5" s="1"/>
  <c r="L143" i="1"/>
  <c r="P456" i="5"/>
  <c r="D143" i="1"/>
  <c r="N144" i="6"/>
  <c r="P144" i="5"/>
  <c r="E143" i="1"/>
  <c r="C143" i="1"/>
  <c r="P144" i="6"/>
  <c r="Y143" i="1"/>
  <c r="X143" i="1"/>
  <c r="AA143" i="1" s="1"/>
  <c r="AB143" i="1" s="1"/>
  <c r="AD143" i="1"/>
  <c r="AU143" i="1"/>
  <c r="F143" i="1"/>
  <c r="N144" i="5"/>
  <c r="Q144" i="5" s="1"/>
  <c r="M143" i="1"/>
  <c r="S143" i="1" s="1"/>
  <c r="AO143" i="1"/>
  <c r="AP143" i="1" s="1"/>
  <c r="BQ142" i="1" a="1"/>
  <c r="BQ142" i="1" s="1"/>
  <c r="M143" i="6"/>
  <c r="A145" i="1"/>
  <c r="B144" i="1"/>
  <c r="C171" i="3"/>
  <c r="B172" i="3" s="1"/>
  <c r="AL144" i="1" l="1"/>
  <c r="BA142" i="1"/>
  <c r="G143" i="1"/>
  <c r="BB143" i="1" s="1"/>
  <c r="S456" i="5"/>
  <c r="O143" i="1"/>
  <c r="S144" i="5"/>
  <c r="AH143" i="1"/>
  <c r="AF143" i="1"/>
  <c r="AG143" i="1" s="1"/>
  <c r="P145" i="6"/>
  <c r="AO144" i="1"/>
  <c r="AP144" i="1" s="1"/>
  <c r="P457" i="5"/>
  <c r="E144" i="1"/>
  <c r="P145" i="5"/>
  <c r="C144" i="1"/>
  <c r="D144" i="1"/>
  <c r="N145" i="6"/>
  <c r="L144" i="1"/>
  <c r="M144" i="1"/>
  <c r="S144" i="1" s="1"/>
  <c r="N145" i="5"/>
  <c r="Q145" i="5" s="1"/>
  <c r="F144" i="1"/>
  <c r="AU144" i="1"/>
  <c r="N457" i="5"/>
  <c r="Q457" i="5" s="1"/>
  <c r="X144" i="1"/>
  <c r="AA144" i="1" s="1"/>
  <c r="AB144" i="1" s="1"/>
  <c r="AD144" i="1"/>
  <c r="Y144" i="1"/>
  <c r="BQ143" i="1" a="1"/>
  <c r="BQ143" i="1" s="1"/>
  <c r="M144" i="6"/>
  <c r="A146" i="1"/>
  <c r="B145" i="1"/>
  <c r="C172" i="3"/>
  <c r="B173" i="3" s="1"/>
  <c r="AL145" i="1" l="1"/>
  <c r="BA143" i="1"/>
  <c r="S457" i="5"/>
  <c r="AH144" i="1"/>
  <c r="BQ144" i="1" a="1"/>
  <c r="BQ144" i="1" s="1"/>
  <c r="M145" i="6"/>
  <c r="O144" i="1"/>
  <c r="AF144" i="1"/>
  <c r="AG144" i="1" s="1"/>
  <c r="N146" i="5"/>
  <c r="Q146" i="5" s="1"/>
  <c r="AU145" i="1"/>
  <c r="F145" i="1"/>
  <c r="M145" i="1"/>
  <c r="O145" i="1" s="1"/>
  <c r="AD145" i="1"/>
  <c r="L145" i="1"/>
  <c r="P146" i="6"/>
  <c r="X145" i="1"/>
  <c r="AA145" i="1" s="1"/>
  <c r="AB145" i="1" s="1"/>
  <c r="P146" i="5"/>
  <c r="C145" i="1"/>
  <c r="P458" i="5"/>
  <c r="D145" i="1"/>
  <c r="N458" i="5"/>
  <c r="Q458" i="5" s="1"/>
  <c r="Y145" i="1"/>
  <c r="N146" i="6"/>
  <c r="E145" i="1"/>
  <c r="AO145" i="1"/>
  <c r="AP145" i="1" s="1"/>
  <c r="S145" i="5"/>
  <c r="A147" i="1"/>
  <c r="B146" i="1"/>
  <c r="G144" i="1"/>
  <c r="C173" i="3"/>
  <c r="B174" i="3" s="1"/>
  <c r="S146" i="5" l="1"/>
  <c r="BA144" i="1"/>
  <c r="BB144" i="1"/>
  <c r="S145" i="1"/>
  <c r="G145" i="1"/>
  <c r="AH145" i="1"/>
  <c r="P459" i="5"/>
  <c r="M146" i="1"/>
  <c r="S146" i="1" s="1"/>
  <c r="AU146" i="1"/>
  <c r="AD146" i="1"/>
  <c r="C146" i="1"/>
  <c r="P147" i="5"/>
  <c r="D146" i="1"/>
  <c r="E146" i="1"/>
  <c r="N147" i="5"/>
  <c r="Q147" i="5" s="1"/>
  <c r="X146" i="1"/>
  <c r="AA146" i="1" s="1"/>
  <c r="AB146" i="1" s="1"/>
  <c r="P147" i="6"/>
  <c r="N459" i="5"/>
  <c r="Q459" i="5" s="1"/>
  <c r="N147" i="6"/>
  <c r="Y146" i="1"/>
  <c r="F146" i="1"/>
  <c r="L146" i="1"/>
  <c r="AO146" i="1"/>
  <c r="AP146" i="1" s="1"/>
  <c r="AF145" i="1"/>
  <c r="AG145" i="1" s="1"/>
  <c r="A148" i="1"/>
  <c r="B147" i="1"/>
  <c r="S458" i="5"/>
  <c r="BQ145" i="1" a="1"/>
  <c r="BQ145" i="1" s="1"/>
  <c r="M146" i="6"/>
  <c r="C174" i="3"/>
  <c r="B175" i="3" s="1"/>
  <c r="O146" i="1" l="1"/>
  <c r="G146" i="1"/>
  <c r="S459" i="5"/>
  <c r="B148" i="1"/>
  <c r="A149" i="1"/>
  <c r="BA146" i="1"/>
  <c r="BB146" i="1"/>
  <c r="S147" i="5"/>
  <c r="BB145" i="1"/>
  <c r="BA145" i="1"/>
  <c r="AF146" i="1"/>
  <c r="AG146" i="1" s="1"/>
  <c r="P148" i="5"/>
  <c r="E147" i="1"/>
  <c r="Y147" i="1"/>
  <c r="C147" i="1"/>
  <c r="F147" i="1"/>
  <c r="N148" i="5"/>
  <c r="Q148" i="5" s="1"/>
  <c r="N460" i="5"/>
  <c r="Q460" i="5" s="1"/>
  <c r="X147" i="1"/>
  <c r="AA147" i="1" s="1"/>
  <c r="AB147" i="1" s="1"/>
  <c r="N148" i="6"/>
  <c r="M147" i="1"/>
  <c r="S147" i="1" s="1"/>
  <c r="P460" i="5"/>
  <c r="L147" i="1"/>
  <c r="P148" i="6"/>
  <c r="D147" i="1"/>
  <c r="AD147" i="1"/>
  <c r="AU147" i="1"/>
  <c r="AO147" i="1"/>
  <c r="AP147" i="1" s="1"/>
  <c r="M147" i="6"/>
  <c r="C175" i="3"/>
  <c r="B176" i="3" s="1"/>
  <c r="S148" i="5" l="1"/>
  <c r="O147" i="1"/>
  <c r="AF147" i="1"/>
  <c r="AG147" i="1" s="1"/>
  <c r="M148" i="6"/>
  <c r="B149" i="1"/>
  <c r="A150" i="1"/>
  <c r="S460" i="5"/>
  <c r="P149" i="6"/>
  <c r="E148" i="1"/>
  <c r="N149" i="6"/>
  <c r="L148" i="1"/>
  <c r="Y148" i="1"/>
  <c r="F148" i="1"/>
  <c r="X148" i="1"/>
  <c r="AA148" i="1" s="1"/>
  <c r="AB148" i="1" s="1"/>
  <c r="P461" i="5"/>
  <c r="AD148" i="1"/>
  <c r="AU148" i="1"/>
  <c r="N149" i="5"/>
  <c r="Q149" i="5" s="1"/>
  <c r="M148" i="1"/>
  <c r="O148" i="1" s="1"/>
  <c r="P149" i="5"/>
  <c r="D148" i="1"/>
  <c r="N461" i="5"/>
  <c r="Q461" i="5" s="1"/>
  <c r="C148" i="1"/>
  <c r="AO148" i="1"/>
  <c r="AP148" i="1" s="1"/>
  <c r="S148" i="1"/>
  <c r="G147" i="1"/>
  <c r="C176" i="3"/>
  <c r="B177" i="3" s="1"/>
  <c r="S149" i="5" l="1"/>
  <c r="AF148" i="1"/>
  <c r="AG148" i="1" s="1"/>
  <c r="A151" i="1"/>
  <c r="B150" i="1"/>
  <c r="G148" i="1"/>
  <c r="N462" i="5"/>
  <c r="Q462" i="5" s="1"/>
  <c r="M149" i="1"/>
  <c r="S149" i="1" s="1"/>
  <c r="N150" i="6"/>
  <c r="AO149" i="1"/>
  <c r="AP149" i="1" s="1"/>
  <c r="P150" i="5"/>
  <c r="C149" i="1"/>
  <c r="N150" i="5"/>
  <c r="Q150" i="5" s="1"/>
  <c r="L149" i="1"/>
  <c r="AD149" i="1"/>
  <c r="AU149" i="1"/>
  <c r="P462" i="5"/>
  <c r="Y149" i="1"/>
  <c r="P150" i="6"/>
  <c r="E149" i="1"/>
  <c r="F149" i="1"/>
  <c r="X149" i="1"/>
  <c r="AA149" i="1" s="1"/>
  <c r="AB149" i="1" s="1"/>
  <c r="D149" i="1"/>
  <c r="M149" i="6"/>
  <c r="S461" i="5"/>
  <c r="BA147" i="1"/>
  <c r="BB147" i="1"/>
  <c r="C177" i="3"/>
  <c r="B178" i="3" s="1"/>
  <c r="O149" i="1" l="1"/>
  <c r="S150" i="5"/>
  <c r="G149" i="1"/>
  <c r="P151" i="5"/>
  <c r="M150" i="1"/>
  <c r="S150" i="1" s="1"/>
  <c r="P463" i="5"/>
  <c r="X150" i="1"/>
  <c r="AA150" i="1" s="1"/>
  <c r="AB150" i="1" s="1"/>
  <c r="D150" i="1"/>
  <c r="P151" i="6"/>
  <c r="E150" i="1"/>
  <c r="AD150" i="1"/>
  <c r="AU150" i="1"/>
  <c r="N151" i="6"/>
  <c r="Y150" i="1"/>
  <c r="L150" i="1"/>
  <c r="N463" i="5"/>
  <c r="Q463" i="5" s="1"/>
  <c r="N151" i="5"/>
  <c r="Q151" i="5" s="1"/>
  <c r="C150" i="1"/>
  <c r="F150" i="1"/>
  <c r="AO150" i="1"/>
  <c r="AP150" i="1" s="1"/>
  <c r="M150" i="6"/>
  <c r="A152" i="1"/>
  <c r="B151" i="1"/>
  <c r="BA148" i="1"/>
  <c r="BB148" i="1"/>
  <c r="AF149" i="1"/>
  <c r="AG149" i="1" s="1"/>
  <c r="S462" i="5"/>
  <c r="C178" i="3"/>
  <c r="B179" i="3" s="1"/>
  <c r="AF150" i="1" l="1"/>
  <c r="AG150" i="1" s="1"/>
  <c r="S463" i="5"/>
  <c r="G150" i="1"/>
  <c r="M151" i="6"/>
  <c r="P152" i="6"/>
  <c r="C151" i="1"/>
  <c r="AD151" i="1"/>
  <c r="Y151" i="1"/>
  <c r="F151" i="1"/>
  <c r="AU151" i="1"/>
  <c r="N152" i="5"/>
  <c r="Q152" i="5" s="1"/>
  <c r="N152" i="6"/>
  <c r="M151" i="1"/>
  <c r="S151" i="1" s="1"/>
  <c r="L151" i="1"/>
  <c r="X151" i="1"/>
  <c r="AA151" i="1" s="1"/>
  <c r="AB151" i="1" s="1"/>
  <c r="P464" i="5"/>
  <c r="E151" i="1"/>
  <c r="N464" i="5"/>
  <c r="Q464" i="5" s="1"/>
  <c r="P152" i="5"/>
  <c r="D151" i="1"/>
  <c r="B152" i="1"/>
  <c r="A153" i="1"/>
  <c r="BA150" i="1"/>
  <c r="BB150" i="1"/>
  <c r="S151" i="5"/>
  <c r="BA149" i="1"/>
  <c r="BB149" i="1"/>
  <c r="O150" i="1"/>
  <c r="C179" i="3"/>
  <c r="B180" i="3" s="1"/>
  <c r="AF151" i="1" l="1"/>
  <c r="AG151" i="1" s="1"/>
  <c r="M152" i="6"/>
  <c r="S152" i="5"/>
  <c r="B153" i="1"/>
  <c r="A154" i="1"/>
  <c r="P153" i="6"/>
  <c r="E152" i="1"/>
  <c r="C152" i="1"/>
  <c r="N153" i="5"/>
  <c r="Q153" i="5" s="1"/>
  <c r="D152" i="1"/>
  <c r="AU152" i="1"/>
  <c r="L152" i="1"/>
  <c r="M152" i="1"/>
  <c r="S152" i="1" s="1"/>
  <c r="N153" i="6"/>
  <c r="N465" i="5"/>
  <c r="Q465" i="5" s="1"/>
  <c r="F152" i="1"/>
  <c r="P465" i="5"/>
  <c r="X152" i="1"/>
  <c r="AA152" i="1" s="1"/>
  <c r="AB152" i="1" s="1"/>
  <c r="P153" i="5"/>
  <c r="AD152" i="1"/>
  <c r="Y152" i="1"/>
  <c r="AO152" i="1"/>
  <c r="AP152" i="1" s="1"/>
  <c r="O151" i="1"/>
  <c r="S464" i="5"/>
  <c r="G151" i="1"/>
  <c r="AO151" i="1"/>
  <c r="AP151" i="1" s="1"/>
  <c r="C180" i="3"/>
  <c r="B181" i="3" s="1"/>
  <c r="S153" i="5" l="1"/>
  <c r="AF152" i="1"/>
  <c r="AG152" i="1" s="1"/>
  <c r="S465" i="5"/>
  <c r="M153" i="6"/>
  <c r="B154" i="1"/>
  <c r="A155" i="1"/>
  <c r="O152" i="1"/>
  <c r="F153" i="1"/>
  <c r="AU153" i="1"/>
  <c r="E153" i="1"/>
  <c r="Y153" i="1"/>
  <c r="X153" i="1"/>
  <c r="AA153" i="1" s="1"/>
  <c r="AB153" i="1" s="1"/>
  <c r="P154" i="5"/>
  <c r="N154" i="6"/>
  <c r="P466" i="5"/>
  <c r="AD153" i="1"/>
  <c r="L153" i="1"/>
  <c r="N154" i="5"/>
  <c r="Q154" i="5" s="1"/>
  <c r="N466" i="5"/>
  <c r="Q466" i="5" s="1"/>
  <c r="D153" i="1"/>
  <c r="P154" i="6"/>
  <c r="M153" i="1"/>
  <c r="S153" i="1" s="1"/>
  <c r="AO153" i="1"/>
  <c r="AP153" i="1" s="1"/>
  <c r="C153" i="1"/>
  <c r="G152" i="1"/>
  <c r="BA151" i="1"/>
  <c r="BB151" i="1"/>
  <c r="C181" i="3"/>
  <c r="B182" i="3" s="1"/>
  <c r="S154" i="5" l="1"/>
  <c r="AF153" i="1"/>
  <c r="AG153" i="1" s="1"/>
  <c r="P467" i="5"/>
  <c r="E154" i="1"/>
  <c r="P155" i="5"/>
  <c r="C154" i="1"/>
  <c r="AU154" i="1"/>
  <c r="D154" i="1"/>
  <c r="AD154" i="1"/>
  <c r="Y154" i="1"/>
  <c r="N155" i="5"/>
  <c r="Q155" i="5" s="1"/>
  <c r="F154" i="1"/>
  <c r="L154" i="1"/>
  <c r="N155" i="6"/>
  <c r="X154" i="1"/>
  <c r="AA154" i="1" s="1"/>
  <c r="AB154" i="1" s="1"/>
  <c r="P155" i="6"/>
  <c r="N467" i="5"/>
  <c r="Q467" i="5" s="1"/>
  <c r="M154" i="1"/>
  <c r="AO154" i="1"/>
  <c r="AP154" i="1" s="1"/>
  <c r="BA152" i="1"/>
  <c r="BB152" i="1"/>
  <c r="S466" i="5"/>
  <c r="G153" i="1"/>
  <c r="M154" i="6"/>
  <c r="A156" i="1"/>
  <c r="B155" i="1"/>
  <c r="O153" i="1"/>
  <c r="C182" i="3"/>
  <c r="B183" i="3" s="1"/>
  <c r="O154" i="1" l="1"/>
  <c r="S154" i="1"/>
  <c r="G154" i="1"/>
  <c r="BA154" i="1" s="1"/>
  <c r="AF154" i="1"/>
  <c r="AG154" i="1" s="1"/>
  <c r="S155" i="5"/>
  <c r="BB153" i="1"/>
  <c r="BA153" i="1"/>
  <c r="M155" i="6"/>
  <c r="AU155" i="1"/>
  <c r="E155" i="1"/>
  <c r="L155" i="1"/>
  <c r="C155" i="1"/>
  <c r="F155" i="1"/>
  <c r="Y155" i="1"/>
  <c r="D155" i="1"/>
  <c r="N468" i="5"/>
  <c r="Q468" i="5" s="1"/>
  <c r="AD155" i="1"/>
  <c r="P156" i="6"/>
  <c r="N156" i="6"/>
  <c r="N156" i="5"/>
  <c r="Q156" i="5" s="1"/>
  <c r="AO155" i="1"/>
  <c r="AP155" i="1" s="1"/>
  <c r="P468" i="5"/>
  <c r="M155" i="1"/>
  <c r="O155" i="1" s="1"/>
  <c r="P156" i="5"/>
  <c r="X155" i="1"/>
  <c r="AA155" i="1" s="1"/>
  <c r="AB155" i="1" s="1"/>
  <c r="S467" i="5"/>
  <c r="A157" i="1"/>
  <c r="B156" i="1"/>
  <c r="C183" i="3"/>
  <c r="B184" i="3" s="1"/>
  <c r="BB154" i="1" l="1"/>
  <c r="AF155" i="1"/>
  <c r="AG155" i="1" s="1"/>
  <c r="G155" i="1"/>
  <c r="S155" i="1"/>
  <c r="M156" i="6"/>
  <c r="F156" i="1"/>
  <c r="AU156" i="1"/>
  <c r="D156" i="1"/>
  <c r="AD156" i="1"/>
  <c r="L156" i="1"/>
  <c r="N157" i="6"/>
  <c r="M156" i="1"/>
  <c r="P469" i="5"/>
  <c r="X156" i="1"/>
  <c r="AA156" i="1" s="1"/>
  <c r="AB156" i="1" s="1"/>
  <c r="AO156" i="1"/>
  <c r="AP156" i="1" s="1"/>
  <c r="P157" i="5"/>
  <c r="N157" i="5"/>
  <c r="Q157" i="5" s="1"/>
  <c r="N469" i="5"/>
  <c r="Q469" i="5" s="1"/>
  <c r="P157" i="6"/>
  <c r="C156" i="1"/>
  <c r="E156" i="1"/>
  <c r="Y156" i="1"/>
  <c r="S156" i="1"/>
  <c r="B157" i="1"/>
  <c r="A158" i="1"/>
  <c r="S468" i="5"/>
  <c r="S156" i="5"/>
  <c r="C184" i="3"/>
  <c r="B185" i="3" s="1"/>
  <c r="S157" i="5" l="1"/>
  <c r="O156" i="1"/>
  <c r="S469" i="5"/>
  <c r="G156" i="1"/>
  <c r="P158" i="6"/>
  <c r="E157" i="1"/>
  <c r="F157" i="1"/>
  <c r="AU157" i="1"/>
  <c r="D157" i="1"/>
  <c r="C157" i="1"/>
  <c r="AD157" i="1"/>
  <c r="L157" i="1"/>
  <c r="N158" i="5"/>
  <c r="Q158" i="5" s="1"/>
  <c r="Y157" i="1"/>
  <c r="M157" i="1"/>
  <c r="S157" i="1" s="1"/>
  <c r="P470" i="5"/>
  <c r="P158" i="5"/>
  <c r="N470" i="5"/>
  <c r="Q470" i="5" s="1"/>
  <c r="X157" i="1"/>
  <c r="AA157" i="1" s="1"/>
  <c r="AB157" i="1" s="1"/>
  <c r="N158" i="6"/>
  <c r="AO157" i="1"/>
  <c r="AP157" i="1" s="1"/>
  <c r="AF156" i="1"/>
  <c r="AG156" i="1" s="1"/>
  <c r="BA155" i="1"/>
  <c r="BB155" i="1"/>
  <c r="M157" i="6"/>
  <c r="B158" i="1"/>
  <c r="A159" i="1"/>
  <c r="C185" i="3"/>
  <c r="B186" i="3" s="1"/>
  <c r="O157" i="1" l="1"/>
  <c r="S158" i="5"/>
  <c r="BB156" i="1"/>
  <c r="BA156" i="1"/>
  <c r="B159" i="1"/>
  <c r="A160" i="1"/>
  <c r="AF157" i="1"/>
  <c r="AG157" i="1" s="1"/>
  <c r="S470" i="5"/>
  <c r="AD158" i="1"/>
  <c r="AU158" i="1"/>
  <c r="N159" i="5"/>
  <c r="Q159" i="5" s="1"/>
  <c r="L158" i="1"/>
  <c r="Y158" i="1"/>
  <c r="E158" i="1"/>
  <c r="N159" i="6"/>
  <c r="C158" i="1"/>
  <c r="P159" i="5"/>
  <c r="D158" i="1"/>
  <c r="F158" i="1"/>
  <c r="M158" i="1"/>
  <c r="O158" i="1" s="1"/>
  <c r="N471" i="5"/>
  <c r="Q471" i="5" s="1"/>
  <c r="X158" i="1"/>
  <c r="AA158" i="1" s="1"/>
  <c r="AB158" i="1" s="1"/>
  <c r="P471" i="5"/>
  <c r="P159" i="6"/>
  <c r="AO158" i="1"/>
  <c r="AP158" i="1" s="1"/>
  <c r="G157" i="1"/>
  <c r="M158" i="6"/>
  <c r="C186" i="3"/>
  <c r="B187" i="3" s="1"/>
  <c r="B182" i="1"/>
  <c r="AL159" i="1" l="1"/>
  <c r="CJ182" i="1"/>
  <c r="AL182" i="1"/>
  <c r="G158" i="1"/>
  <c r="BA158" i="1" s="1"/>
  <c r="S158" i="1"/>
  <c r="S159" i="5"/>
  <c r="S471" i="5"/>
  <c r="B160" i="1"/>
  <c r="A161" i="1"/>
  <c r="M159" i="6"/>
  <c r="N160" i="5"/>
  <c r="Q160" i="5" s="1"/>
  <c r="Y159" i="1"/>
  <c r="F159" i="1"/>
  <c r="AD159" i="1"/>
  <c r="X159" i="1"/>
  <c r="AA159" i="1" s="1"/>
  <c r="AB159" i="1" s="1"/>
  <c r="N472" i="5"/>
  <c r="Q472" i="5" s="1"/>
  <c r="L159" i="1"/>
  <c r="P472" i="5"/>
  <c r="C159" i="1"/>
  <c r="P160" i="5"/>
  <c r="N160" i="6"/>
  <c r="M159" i="1"/>
  <c r="S159" i="1" s="1"/>
  <c r="P160" i="6"/>
  <c r="E159" i="1"/>
  <c r="D159" i="1"/>
  <c r="AU159" i="1"/>
  <c r="AO159" i="1"/>
  <c r="AP159" i="1" s="1"/>
  <c r="BA157" i="1"/>
  <c r="BB157" i="1"/>
  <c r="AF158" i="1"/>
  <c r="AG158" i="1" s="1"/>
  <c r="AC182" i="1"/>
  <c r="AH182" i="1"/>
  <c r="C187" i="3"/>
  <c r="B188" i="3" s="1"/>
  <c r="B183" i="1"/>
  <c r="P495" i="5"/>
  <c r="F182" i="1"/>
  <c r="AD182" i="1"/>
  <c r="P183" i="5"/>
  <c r="P183" i="6"/>
  <c r="N183" i="5"/>
  <c r="Q183" i="5" s="1"/>
  <c r="N495" i="5"/>
  <c r="Q495" i="5" s="1"/>
  <c r="N183" i="6"/>
  <c r="AU182" i="1"/>
  <c r="M182" i="1"/>
  <c r="X182" i="1"/>
  <c r="AA182" i="1" s="1"/>
  <c r="AB182" i="1" s="1"/>
  <c r="L182" i="1"/>
  <c r="Y182" i="1"/>
  <c r="C182" i="1"/>
  <c r="D182" i="1"/>
  <c r="E182" i="1"/>
  <c r="BB158" i="1" l="1"/>
  <c r="AL160" i="1"/>
  <c r="CJ183" i="1"/>
  <c r="AL183" i="1"/>
  <c r="O159" i="1"/>
  <c r="S160" i="5"/>
  <c r="AF159" i="1"/>
  <c r="AG159" i="1" s="1"/>
  <c r="AH159" i="1"/>
  <c r="S472" i="5"/>
  <c r="G159" i="1"/>
  <c r="A162" i="1"/>
  <c r="B161" i="1"/>
  <c r="P161" i="6"/>
  <c r="C160" i="1"/>
  <c r="P161" i="5"/>
  <c r="D160" i="1"/>
  <c r="F160" i="1"/>
  <c r="AU160" i="1"/>
  <c r="L160" i="1"/>
  <c r="N161" i="5"/>
  <c r="Q161" i="5" s="1"/>
  <c r="AD160" i="1"/>
  <c r="Y160" i="1"/>
  <c r="N161" i="6"/>
  <c r="M160" i="1"/>
  <c r="S160" i="1" s="1"/>
  <c r="N473" i="5"/>
  <c r="Q473" i="5" s="1"/>
  <c r="E160" i="1"/>
  <c r="P473" i="5"/>
  <c r="X160" i="1"/>
  <c r="AA160" i="1" s="1"/>
  <c r="AB160" i="1" s="1"/>
  <c r="AC183" i="1"/>
  <c r="AH183" i="1"/>
  <c r="BQ159" i="1" a="1"/>
  <c r="BQ159" i="1" s="1"/>
  <c r="M160" i="6"/>
  <c r="C188" i="3"/>
  <c r="B189" i="3" s="1"/>
  <c r="AF182" i="1"/>
  <c r="AG182" i="1" s="1"/>
  <c r="S182" i="1"/>
  <c r="S183" i="5"/>
  <c r="O182" i="1"/>
  <c r="AO182" i="1"/>
  <c r="AP182" i="1" s="1"/>
  <c r="G182" i="1"/>
  <c r="S495" i="5"/>
  <c r="M183" i="6"/>
  <c r="P496" i="5"/>
  <c r="P184" i="5"/>
  <c r="AD183" i="1"/>
  <c r="N184" i="5"/>
  <c r="Q184" i="5" s="1"/>
  <c r="F183" i="1"/>
  <c r="N184" i="6"/>
  <c r="N496" i="5"/>
  <c r="Q496" i="5" s="1"/>
  <c r="P184" i="6"/>
  <c r="L183" i="1"/>
  <c r="AU183" i="1"/>
  <c r="M183" i="1"/>
  <c r="Y183" i="1"/>
  <c r="X183" i="1"/>
  <c r="AA183" i="1" s="1"/>
  <c r="AB183" i="1" s="1"/>
  <c r="E183" i="1"/>
  <c r="C183" i="1"/>
  <c r="D183" i="1"/>
  <c r="B184" i="1"/>
  <c r="AL161" i="1" l="1"/>
  <c r="AF160" i="1"/>
  <c r="AG160" i="1" s="1"/>
  <c r="CJ184" i="1"/>
  <c r="AL184" i="1"/>
  <c r="O160" i="1"/>
  <c r="BQ160" i="1" a="1"/>
  <c r="BQ160" i="1" s="1"/>
  <c r="M161" i="6"/>
  <c r="N162" i="5"/>
  <c r="Q162" i="5" s="1"/>
  <c r="X161" i="1"/>
  <c r="AA161" i="1" s="1"/>
  <c r="AB161" i="1" s="1"/>
  <c r="P162" i="5"/>
  <c r="Y161" i="1"/>
  <c r="N162" i="6"/>
  <c r="M161" i="1"/>
  <c r="S161" i="1" s="1"/>
  <c r="N474" i="5"/>
  <c r="Q474" i="5" s="1"/>
  <c r="AU161" i="1"/>
  <c r="L161" i="1"/>
  <c r="P474" i="5"/>
  <c r="AO161" i="1"/>
  <c r="AP161" i="1" s="1"/>
  <c r="F161" i="1"/>
  <c r="C161" i="1"/>
  <c r="D161" i="1"/>
  <c r="P162" i="6"/>
  <c r="AD161" i="1"/>
  <c r="E161" i="1"/>
  <c r="AC184" i="1"/>
  <c r="AH184" i="1"/>
  <c r="AO160" i="1"/>
  <c r="AP160" i="1" s="1"/>
  <c r="AH160" i="1"/>
  <c r="A163" i="1"/>
  <c r="B162" i="1"/>
  <c r="G160" i="1"/>
  <c r="BB159" i="1"/>
  <c r="BA159" i="1"/>
  <c r="S161" i="5"/>
  <c r="S473" i="5"/>
  <c r="C189" i="3"/>
  <c r="B190" i="3" s="1"/>
  <c r="AF183" i="1"/>
  <c r="AG183" i="1" s="1"/>
  <c r="BA182" i="1"/>
  <c r="BB182" i="1"/>
  <c r="M184" i="6"/>
  <c r="S184" i="5"/>
  <c r="S496" i="5"/>
  <c r="B185" i="1"/>
  <c r="AO183" i="1"/>
  <c r="AP183" i="1" s="1"/>
  <c r="O183" i="1"/>
  <c r="P185" i="5"/>
  <c r="P185" i="6"/>
  <c r="P497" i="5"/>
  <c r="N185" i="5"/>
  <c r="Q185" i="5" s="1"/>
  <c r="AD184" i="1"/>
  <c r="F184" i="1"/>
  <c r="N497" i="5"/>
  <c r="Q497" i="5" s="1"/>
  <c r="N185" i="6"/>
  <c r="Y184" i="1"/>
  <c r="AU184" i="1"/>
  <c r="L184" i="1"/>
  <c r="X184" i="1"/>
  <c r="AA184" i="1" s="1"/>
  <c r="AB184" i="1" s="1"/>
  <c r="M184" i="1"/>
  <c r="E184" i="1"/>
  <c r="C184" i="1"/>
  <c r="D184" i="1"/>
  <c r="S183" i="1"/>
  <c r="G183" i="1"/>
  <c r="O161" i="1" l="1"/>
  <c r="AF161" i="1"/>
  <c r="AG161" i="1" s="1"/>
  <c r="AL162" i="1"/>
  <c r="CJ185" i="1"/>
  <c r="AL185" i="1"/>
  <c r="S162" i="5"/>
  <c r="S474" i="5"/>
  <c r="BB160" i="1"/>
  <c r="BA160" i="1"/>
  <c r="BQ161" i="1" a="1"/>
  <c r="BQ161" i="1" s="1"/>
  <c r="M162" i="6"/>
  <c r="AC185" i="1"/>
  <c r="AH185" i="1"/>
  <c r="F162" i="1"/>
  <c r="AU162" i="1"/>
  <c r="N475" i="5"/>
  <c r="Q475" i="5" s="1"/>
  <c r="P475" i="5"/>
  <c r="N163" i="6"/>
  <c r="Y162" i="1"/>
  <c r="C162" i="1"/>
  <c r="P163" i="5"/>
  <c r="E162" i="1"/>
  <c r="N163" i="5"/>
  <c r="Q163" i="5" s="1"/>
  <c r="M162" i="1"/>
  <c r="AH162" i="1" s="1"/>
  <c r="P163" i="6"/>
  <c r="X162" i="1"/>
  <c r="AA162" i="1" s="1"/>
  <c r="AB162" i="1" s="1"/>
  <c r="AD162" i="1"/>
  <c r="L162" i="1"/>
  <c r="D162" i="1"/>
  <c r="AO162" i="1"/>
  <c r="AP162" i="1" s="1"/>
  <c r="A164" i="1"/>
  <c r="B163" i="1"/>
  <c r="G161" i="1"/>
  <c r="AH161" i="1"/>
  <c r="C190" i="3"/>
  <c r="B191" i="3" s="1"/>
  <c r="AF184" i="1"/>
  <c r="AG184" i="1" s="1"/>
  <c r="S497" i="5"/>
  <c r="S184" i="1"/>
  <c r="AO184" i="1"/>
  <c r="AP184" i="1" s="1"/>
  <c r="S185" i="5"/>
  <c r="M185" i="6"/>
  <c r="O184" i="1"/>
  <c r="G184" i="1"/>
  <c r="B186" i="1"/>
  <c r="BA183" i="1"/>
  <c r="BB183" i="1"/>
  <c r="P498" i="5"/>
  <c r="F185" i="1"/>
  <c r="P186" i="6"/>
  <c r="N498" i="5"/>
  <c r="Q498" i="5" s="1"/>
  <c r="AD185" i="1"/>
  <c r="N186" i="6"/>
  <c r="P186" i="5"/>
  <c r="N186" i="5"/>
  <c r="Q186" i="5" s="1"/>
  <c r="AU185" i="1"/>
  <c r="L185" i="1"/>
  <c r="M185" i="1"/>
  <c r="Y185" i="1"/>
  <c r="X185" i="1"/>
  <c r="AA185" i="1" s="1"/>
  <c r="AB185" i="1" s="1"/>
  <c r="AO185" i="1"/>
  <c r="AP185" i="1" s="1"/>
  <c r="C185" i="1"/>
  <c r="E185" i="1"/>
  <c r="D185" i="1"/>
  <c r="AF162" i="1" l="1"/>
  <c r="AG162" i="1" s="1"/>
  <c r="AL163" i="1"/>
  <c r="S162" i="1"/>
  <c r="O162" i="1"/>
  <c r="CJ186" i="1"/>
  <c r="AL186" i="1"/>
  <c r="S475" i="5"/>
  <c r="S163" i="5"/>
  <c r="BB161" i="1"/>
  <c r="BA161" i="1"/>
  <c r="G162" i="1"/>
  <c r="P164" i="5"/>
  <c r="E163" i="1"/>
  <c r="AD163" i="1"/>
  <c r="AU163" i="1"/>
  <c r="C163" i="1"/>
  <c r="F163" i="1"/>
  <c r="L163" i="1"/>
  <c r="N164" i="6"/>
  <c r="Y163" i="1"/>
  <c r="N164" i="5"/>
  <c r="Q164" i="5" s="1"/>
  <c r="X163" i="1"/>
  <c r="AA163" i="1" s="1"/>
  <c r="AB163" i="1" s="1"/>
  <c r="AO163" i="1"/>
  <c r="AP163" i="1" s="1"/>
  <c r="N476" i="5"/>
  <c r="Q476" i="5" s="1"/>
  <c r="P164" i="6"/>
  <c r="M163" i="1"/>
  <c r="AH163" i="1" s="1"/>
  <c r="P476" i="5"/>
  <c r="D163" i="1"/>
  <c r="AC186" i="1"/>
  <c r="AH186" i="1"/>
  <c r="A165" i="1"/>
  <c r="B164" i="1"/>
  <c r="BQ162" i="1" a="1"/>
  <c r="BQ162" i="1" s="1"/>
  <c r="M163" i="6"/>
  <c r="C191" i="3"/>
  <c r="B192" i="3" s="1"/>
  <c r="AF185" i="1"/>
  <c r="AG185" i="1" s="1"/>
  <c r="S185" i="1"/>
  <c r="S498" i="5"/>
  <c r="O185" i="1"/>
  <c r="S186" i="5"/>
  <c r="BB184" i="1"/>
  <c r="BA184" i="1"/>
  <c r="B187" i="1"/>
  <c r="M186" i="6"/>
  <c r="G185" i="1"/>
  <c r="F186" i="1"/>
  <c r="P187" i="5"/>
  <c r="P499" i="5"/>
  <c r="P187" i="6"/>
  <c r="AD186" i="1"/>
  <c r="N187" i="6"/>
  <c r="N187" i="5"/>
  <c r="Q187" i="5" s="1"/>
  <c r="N499" i="5"/>
  <c r="Q499" i="5" s="1"/>
  <c r="AU186" i="1"/>
  <c r="Y186" i="1"/>
  <c r="X186" i="1"/>
  <c r="AA186" i="1" s="1"/>
  <c r="AB186" i="1" s="1"/>
  <c r="L186" i="1"/>
  <c r="M186" i="1"/>
  <c r="AO186" i="1"/>
  <c r="AP186" i="1" s="1"/>
  <c r="E186" i="1"/>
  <c r="C186" i="1"/>
  <c r="D186" i="1"/>
  <c r="CJ187" i="1" l="1"/>
  <c r="AL187" i="1"/>
  <c r="S476" i="5"/>
  <c r="O163" i="1"/>
  <c r="S164" i="5"/>
  <c r="BB162" i="1"/>
  <c r="BA162" i="1"/>
  <c r="S163" i="1"/>
  <c r="BQ163" i="1" a="1"/>
  <c r="BQ163" i="1" s="1"/>
  <c r="M164" i="6"/>
  <c r="N165" i="6"/>
  <c r="X164" i="1"/>
  <c r="AA164" i="1" s="1"/>
  <c r="AB164" i="1" s="1"/>
  <c r="P165" i="6"/>
  <c r="C164" i="1"/>
  <c r="F164" i="1"/>
  <c r="AD164" i="1"/>
  <c r="N165" i="5"/>
  <c r="Q165" i="5" s="1"/>
  <c r="M164" i="1"/>
  <c r="S164" i="1" s="1"/>
  <c r="P165" i="5"/>
  <c r="L164" i="1"/>
  <c r="P477" i="5"/>
  <c r="D164" i="1"/>
  <c r="Y164" i="1"/>
  <c r="E164" i="1"/>
  <c r="N477" i="5"/>
  <c r="Q477" i="5" s="1"/>
  <c r="AU164" i="1"/>
  <c r="AO164" i="1"/>
  <c r="AP164" i="1" s="1"/>
  <c r="AF163" i="1"/>
  <c r="AG163" i="1" s="1"/>
  <c r="G163" i="1"/>
  <c r="AH187" i="1"/>
  <c r="AC187" i="1"/>
  <c r="B165" i="1"/>
  <c r="A166" i="1"/>
  <c r="C192" i="3"/>
  <c r="B193" i="3" s="1"/>
  <c r="AF186" i="1"/>
  <c r="AG186" i="1" s="1"/>
  <c r="S186" i="1"/>
  <c r="S499" i="5"/>
  <c r="S187" i="5"/>
  <c r="BA185" i="1"/>
  <c r="BB185" i="1"/>
  <c r="O186" i="1"/>
  <c r="G186" i="1"/>
  <c r="B188" i="1"/>
  <c r="M187" i="6"/>
  <c r="F187" i="1"/>
  <c r="P188" i="6"/>
  <c r="P500" i="5"/>
  <c r="N188" i="5"/>
  <c r="Q188" i="5" s="1"/>
  <c r="N500" i="5"/>
  <c r="Q500" i="5" s="1"/>
  <c r="P188" i="5"/>
  <c r="N188" i="6"/>
  <c r="AD187" i="1"/>
  <c r="AU187" i="1"/>
  <c r="L187" i="1"/>
  <c r="Y187" i="1"/>
  <c r="X187" i="1"/>
  <c r="AA187" i="1" s="1"/>
  <c r="AB187" i="1" s="1"/>
  <c r="M187" i="1"/>
  <c r="E187" i="1"/>
  <c r="D187" i="1"/>
  <c r="C187" i="1"/>
  <c r="CJ188" i="1" l="1"/>
  <c r="AL188" i="1"/>
  <c r="S165" i="5"/>
  <c r="AF164" i="1"/>
  <c r="AG164" i="1" s="1"/>
  <c r="B166" i="1"/>
  <c r="A167" i="1"/>
  <c r="O164" i="1"/>
  <c r="S477" i="5"/>
  <c r="G164" i="1"/>
  <c r="BB163" i="1"/>
  <c r="BA163" i="1"/>
  <c r="M165" i="6"/>
  <c r="F165" i="1"/>
  <c r="Y165" i="1"/>
  <c r="AD165" i="1"/>
  <c r="P166" i="5"/>
  <c r="E165" i="1"/>
  <c r="D165" i="1"/>
  <c r="N478" i="5"/>
  <c r="Q478" i="5" s="1"/>
  <c r="M165" i="1"/>
  <c r="S165" i="1" s="1"/>
  <c r="N166" i="5"/>
  <c r="Q166" i="5" s="1"/>
  <c r="L165" i="1"/>
  <c r="X165" i="1"/>
  <c r="AA165" i="1" s="1"/>
  <c r="AB165" i="1" s="1"/>
  <c r="P166" i="6"/>
  <c r="N166" i="6"/>
  <c r="P478" i="5"/>
  <c r="C165" i="1"/>
  <c r="AU165" i="1"/>
  <c r="AO165" i="1"/>
  <c r="AP165" i="1" s="1"/>
  <c r="AH188" i="1"/>
  <c r="AC188" i="1"/>
  <c r="C193" i="3"/>
  <c r="B194" i="3" s="1"/>
  <c r="O187" i="1"/>
  <c r="S500" i="5"/>
  <c r="M188" i="6"/>
  <c r="G187" i="1"/>
  <c r="AF187" i="1"/>
  <c r="AG187" i="1" s="1"/>
  <c r="S187" i="1"/>
  <c r="F188" i="1"/>
  <c r="P189" i="6"/>
  <c r="P501" i="5"/>
  <c r="P189" i="5"/>
  <c r="AD188" i="1"/>
  <c r="N189" i="5"/>
  <c r="Q189" i="5" s="1"/>
  <c r="N189" i="6"/>
  <c r="N501" i="5"/>
  <c r="Q501" i="5" s="1"/>
  <c r="AU188" i="1"/>
  <c r="Y188" i="1"/>
  <c r="X188" i="1"/>
  <c r="AA188" i="1" s="1"/>
  <c r="AB188" i="1" s="1"/>
  <c r="L188" i="1"/>
  <c r="M188" i="1"/>
  <c r="S188" i="1" s="1"/>
  <c r="AO188" i="1"/>
  <c r="AP188" i="1" s="1"/>
  <c r="C188" i="1"/>
  <c r="D188" i="1"/>
  <c r="E188" i="1"/>
  <c r="BA186" i="1"/>
  <c r="BB186" i="1"/>
  <c r="AO187" i="1"/>
  <c r="AP187" i="1" s="1"/>
  <c r="S188" i="5"/>
  <c r="B189" i="1"/>
  <c r="CJ189" i="1" l="1"/>
  <c r="AL189" i="1"/>
  <c r="S478" i="5"/>
  <c r="G165" i="1"/>
  <c r="BB165" i="1" s="1"/>
  <c r="O165" i="1"/>
  <c r="AH189" i="1"/>
  <c r="AC189" i="1"/>
  <c r="AF165" i="1"/>
  <c r="AG165" i="1" s="1"/>
  <c r="M166" i="6"/>
  <c r="S166" i="5"/>
  <c r="A168" i="1"/>
  <c r="B167" i="1"/>
  <c r="BB164" i="1"/>
  <c r="BA164" i="1"/>
  <c r="N167" i="5"/>
  <c r="Q167" i="5" s="1"/>
  <c r="L166" i="1"/>
  <c r="AD166" i="1"/>
  <c r="AU166" i="1"/>
  <c r="N167" i="6"/>
  <c r="X166" i="1"/>
  <c r="AA166" i="1" s="1"/>
  <c r="AB166" i="1" s="1"/>
  <c r="F166" i="1"/>
  <c r="AO166" i="1"/>
  <c r="AP166" i="1" s="1"/>
  <c r="P167" i="5"/>
  <c r="M166" i="1"/>
  <c r="S166" i="1" s="1"/>
  <c r="N479" i="5"/>
  <c r="Q479" i="5" s="1"/>
  <c r="P479" i="5"/>
  <c r="Y166" i="1"/>
  <c r="E166" i="1"/>
  <c r="D166" i="1"/>
  <c r="P167" i="6"/>
  <c r="C166" i="1"/>
  <c r="C194" i="3"/>
  <c r="B195" i="3" s="1"/>
  <c r="C195" i="3" s="1"/>
  <c r="B196" i="3" s="1"/>
  <c r="AF188" i="1"/>
  <c r="AG188" i="1" s="1"/>
  <c r="O188" i="1"/>
  <c r="S189" i="5"/>
  <c r="M189" i="6"/>
  <c r="S501" i="5"/>
  <c r="G188" i="1"/>
  <c r="BA187" i="1"/>
  <c r="BB187" i="1"/>
  <c r="F189" i="1"/>
  <c r="P190" i="5"/>
  <c r="AD189" i="1"/>
  <c r="P502" i="5"/>
  <c r="N502" i="5"/>
  <c r="Q502" i="5" s="1"/>
  <c r="N190" i="6"/>
  <c r="P190" i="6"/>
  <c r="AU189" i="1"/>
  <c r="N190" i="5"/>
  <c r="Q190" i="5" s="1"/>
  <c r="X189" i="1"/>
  <c r="Y189" i="1"/>
  <c r="L189" i="1"/>
  <c r="M189" i="1"/>
  <c r="S189" i="1" s="1"/>
  <c r="C189" i="1"/>
  <c r="D189" i="1"/>
  <c r="E189" i="1"/>
  <c r="B190" i="1"/>
  <c r="BA165" i="1" l="1"/>
  <c r="CJ190" i="1"/>
  <c r="AL190" i="1"/>
  <c r="AF166" i="1"/>
  <c r="AG166" i="1" s="1"/>
  <c r="S479" i="5"/>
  <c r="O166" i="1"/>
  <c r="G166" i="1"/>
  <c r="AD167" i="1"/>
  <c r="Y167" i="1"/>
  <c r="X167" i="1"/>
  <c r="AA167" i="1" s="1"/>
  <c r="AB167" i="1" s="1"/>
  <c r="M167" i="1"/>
  <c r="S167" i="1" s="1"/>
  <c r="N168" i="6"/>
  <c r="P168" i="5"/>
  <c r="E167" i="1"/>
  <c r="D167" i="1"/>
  <c r="N480" i="5"/>
  <c r="Q480" i="5" s="1"/>
  <c r="P168" i="6"/>
  <c r="C167" i="1"/>
  <c r="P480" i="5"/>
  <c r="AU167" i="1"/>
  <c r="F167" i="1"/>
  <c r="L167" i="1"/>
  <c r="AO167" i="1" s="1"/>
  <c r="AP167" i="1" s="1"/>
  <c r="N168" i="5"/>
  <c r="Q168" i="5" s="1"/>
  <c r="B168" i="1"/>
  <c r="A169" i="1"/>
  <c r="AC190" i="1"/>
  <c r="AH190" i="1"/>
  <c r="S167" i="5"/>
  <c r="M167" i="6"/>
  <c r="C196" i="3"/>
  <c r="B197" i="3" s="1"/>
  <c r="O189" i="1"/>
  <c r="S502" i="5"/>
  <c r="B191" i="1"/>
  <c r="AO189" i="1"/>
  <c r="AP189" i="1" s="1"/>
  <c r="F190" i="1"/>
  <c r="AD190" i="1"/>
  <c r="P191" i="6"/>
  <c r="P503" i="5"/>
  <c r="P191" i="5"/>
  <c r="N191" i="5"/>
  <c r="Q191" i="5" s="1"/>
  <c r="N503" i="5"/>
  <c r="Q503" i="5" s="1"/>
  <c r="N191" i="6"/>
  <c r="AU190" i="1"/>
  <c r="L190" i="1"/>
  <c r="Y190" i="1"/>
  <c r="X190" i="1"/>
  <c r="M190" i="1"/>
  <c r="AO190" i="1"/>
  <c r="AP190" i="1" s="1"/>
  <c r="E190" i="1"/>
  <c r="C190" i="1"/>
  <c r="D190" i="1"/>
  <c r="M190" i="6"/>
  <c r="S190" i="5"/>
  <c r="G189" i="1"/>
  <c r="BB188" i="1"/>
  <c r="BA188" i="1"/>
  <c r="CJ191" i="1" l="1"/>
  <c r="AL191" i="1"/>
  <c r="G167" i="1"/>
  <c r="BA167" i="1" s="1"/>
  <c r="M168" i="6"/>
  <c r="A170" i="1"/>
  <c r="B169" i="1"/>
  <c r="P481" i="5"/>
  <c r="L168" i="1"/>
  <c r="N169" i="5"/>
  <c r="Q169" i="5" s="1"/>
  <c r="X168" i="1"/>
  <c r="AA168" i="1" s="1"/>
  <c r="AB168" i="1" s="1"/>
  <c r="AD168" i="1"/>
  <c r="E168" i="1"/>
  <c r="P169" i="6"/>
  <c r="N481" i="5"/>
  <c r="Q481" i="5" s="1"/>
  <c r="M168" i="1"/>
  <c r="S168" i="1" s="1"/>
  <c r="F168" i="1"/>
  <c r="C168" i="1"/>
  <c r="N169" i="6"/>
  <c r="D168" i="1"/>
  <c r="P169" i="5"/>
  <c r="Y168" i="1"/>
  <c r="AU168" i="1"/>
  <c r="AO168" i="1"/>
  <c r="AP168" i="1" s="1"/>
  <c r="BA166" i="1"/>
  <c r="BB166" i="1"/>
  <c r="S480" i="5"/>
  <c r="O167" i="1"/>
  <c r="S168" i="5"/>
  <c r="AC191" i="1"/>
  <c r="AH191" i="1"/>
  <c r="AF167" i="1"/>
  <c r="AG167" i="1" s="1"/>
  <c r="C197" i="3"/>
  <c r="B198" i="3" s="1"/>
  <c r="O190" i="1"/>
  <c r="G190" i="1"/>
  <c r="BA190" i="1" s="1"/>
  <c r="BA189" i="1"/>
  <c r="BB189" i="1"/>
  <c r="M191" i="6"/>
  <c r="P192" i="5"/>
  <c r="P192" i="6"/>
  <c r="F191" i="1"/>
  <c r="AD191" i="1"/>
  <c r="N192" i="5"/>
  <c r="Q192" i="5" s="1"/>
  <c r="N192" i="6"/>
  <c r="N504" i="5"/>
  <c r="Q504" i="5" s="1"/>
  <c r="P504" i="5"/>
  <c r="AU191" i="1"/>
  <c r="Y191" i="1"/>
  <c r="X191" i="1"/>
  <c r="L191" i="1"/>
  <c r="M191" i="1"/>
  <c r="O191" i="1" s="1"/>
  <c r="AO191" i="1"/>
  <c r="AP191" i="1" s="1"/>
  <c r="C191" i="1"/>
  <c r="E191" i="1"/>
  <c r="D191" i="1"/>
  <c r="B192" i="1"/>
  <c r="S190" i="1"/>
  <c r="S191" i="5"/>
  <c r="S503" i="5"/>
  <c r="BB167" i="1" l="1"/>
  <c r="O168" i="1"/>
  <c r="CJ192" i="1"/>
  <c r="AL192" i="1"/>
  <c r="S481" i="5"/>
  <c r="G168" i="1"/>
  <c r="P170" i="6"/>
  <c r="Y169" i="1"/>
  <c r="P170" i="5"/>
  <c r="M169" i="1"/>
  <c r="S169" i="1" s="1"/>
  <c r="L169" i="1"/>
  <c r="AU169" i="1"/>
  <c r="E169" i="1"/>
  <c r="N482" i="5"/>
  <c r="Q482" i="5" s="1"/>
  <c r="AD169" i="1"/>
  <c r="X169" i="1"/>
  <c r="AA169" i="1" s="1"/>
  <c r="AB169" i="1" s="1"/>
  <c r="N170" i="6"/>
  <c r="AO169" i="1"/>
  <c r="AP169" i="1" s="1"/>
  <c r="P482" i="5"/>
  <c r="C169" i="1"/>
  <c r="N170" i="5"/>
  <c r="Q170" i="5" s="1"/>
  <c r="D169" i="1"/>
  <c r="F169" i="1"/>
  <c r="B170" i="1"/>
  <c r="A171" i="1"/>
  <c r="S169" i="5"/>
  <c r="M169" i="6"/>
  <c r="AC192" i="1"/>
  <c r="AH192" i="1"/>
  <c r="AF168" i="1"/>
  <c r="AG168" i="1" s="1"/>
  <c r="BA168" i="1"/>
  <c r="BB168" i="1"/>
  <c r="C198" i="3"/>
  <c r="B199" i="3" s="1"/>
  <c r="BB190" i="1"/>
  <c r="S191" i="1"/>
  <c r="G191" i="1"/>
  <c r="BA191" i="1" s="1"/>
  <c r="F192" i="1"/>
  <c r="AD192" i="1"/>
  <c r="P193" i="6"/>
  <c r="P505" i="5"/>
  <c r="P193" i="5"/>
  <c r="N193" i="5"/>
  <c r="Q193" i="5" s="1"/>
  <c r="N505" i="5"/>
  <c r="Q505" i="5" s="1"/>
  <c r="N193" i="6"/>
  <c r="AU192" i="1"/>
  <c r="Y192" i="1"/>
  <c r="L192" i="1"/>
  <c r="X192" i="1"/>
  <c r="M192" i="1"/>
  <c r="AO192" i="1"/>
  <c r="AP192" i="1" s="1"/>
  <c r="E192" i="1"/>
  <c r="C192" i="1"/>
  <c r="D192" i="1"/>
  <c r="S504" i="5"/>
  <c r="S192" i="5"/>
  <c r="B193" i="1"/>
  <c r="M192" i="6"/>
  <c r="CJ193" i="1" l="1"/>
  <c r="AL193" i="1"/>
  <c r="AF169" i="1"/>
  <c r="AG169" i="1" s="1"/>
  <c r="G169" i="1"/>
  <c r="BA169" i="1" s="1"/>
  <c r="O169" i="1"/>
  <c r="M170" i="6"/>
  <c r="AC193" i="1"/>
  <c r="AH193" i="1"/>
  <c r="S170" i="5"/>
  <c r="A172" i="1"/>
  <c r="B171" i="1"/>
  <c r="P171" i="6"/>
  <c r="Y170" i="1"/>
  <c r="AD170" i="1"/>
  <c r="L170" i="1"/>
  <c r="P171" i="5"/>
  <c r="AU170" i="1"/>
  <c r="P483" i="5"/>
  <c r="M170" i="1"/>
  <c r="N171" i="6"/>
  <c r="F170" i="1"/>
  <c r="X170" i="1"/>
  <c r="AA170" i="1" s="1"/>
  <c r="AB170" i="1" s="1"/>
  <c r="C170" i="1"/>
  <c r="N171" i="5"/>
  <c r="Q171" i="5" s="1"/>
  <c r="D170" i="1"/>
  <c r="E170" i="1"/>
  <c r="N483" i="5"/>
  <c r="Q483" i="5" s="1"/>
  <c r="AO170" i="1"/>
  <c r="AP170" i="1" s="1"/>
  <c r="S482" i="5"/>
  <c r="C199" i="3"/>
  <c r="B200" i="3" s="1"/>
  <c r="S192" i="1"/>
  <c r="BB191" i="1"/>
  <c r="G192" i="1"/>
  <c r="BA192" i="1" s="1"/>
  <c r="S193" i="5"/>
  <c r="B194" i="1"/>
  <c r="O192" i="1"/>
  <c r="S505" i="5"/>
  <c r="P194" i="6"/>
  <c r="P194" i="5"/>
  <c r="N506" i="5"/>
  <c r="Q506" i="5" s="1"/>
  <c r="F193" i="1"/>
  <c r="N194" i="5"/>
  <c r="Q194" i="5" s="1"/>
  <c r="N194" i="6"/>
  <c r="P506" i="5"/>
  <c r="AD193" i="1"/>
  <c r="L193" i="1"/>
  <c r="AU193" i="1"/>
  <c r="Y193" i="1"/>
  <c r="X193" i="1"/>
  <c r="M193" i="1"/>
  <c r="AO193" i="1"/>
  <c r="AP193" i="1" s="1"/>
  <c r="C193" i="1"/>
  <c r="E193" i="1"/>
  <c r="D193" i="1"/>
  <c r="M193" i="6"/>
  <c r="CJ194" i="1" l="1"/>
  <c r="AL194" i="1"/>
  <c r="BB169" i="1"/>
  <c r="AF170" i="1"/>
  <c r="AG170" i="1" s="1"/>
  <c r="S483" i="5"/>
  <c r="A173" i="1"/>
  <c r="B172" i="1"/>
  <c r="O170" i="1"/>
  <c r="S170" i="1"/>
  <c r="S171" i="5"/>
  <c r="AC194" i="1"/>
  <c r="AH194" i="1"/>
  <c r="G170" i="1"/>
  <c r="M171" i="6"/>
  <c r="P172" i="6"/>
  <c r="L171" i="1"/>
  <c r="AD171" i="1"/>
  <c r="AO171" i="1"/>
  <c r="AP171" i="1" s="1"/>
  <c r="P484" i="5"/>
  <c r="AU171" i="1"/>
  <c r="N172" i="5"/>
  <c r="Q172" i="5" s="1"/>
  <c r="M171" i="1"/>
  <c r="X171" i="1"/>
  <c r="AA171" i="1" s="1"/>
  <c r="AB171" i="1" s="1"/>
  <c r="P172" i="5"/>
  <c r="N172" i="6"/>
  <c r="D171" i="1"/>
  <c r="F171" i="1"/>
  <c r="Y171" i="1"/>
  <c r="C171" i="1"/>
  <c r="N484" i="5"/>
  <c r="Q484" i="5" s="1"/>
  <c r="E171" i="1"/>
  <c r="C200" i="3"/>
  <c r="B201" i="3" s="1"/>
  <c r="O193" i="1"/>
  <c r="BB192" i="1"/>
  <c r="S506" i="5"/>
  <c r="S193" i="1"/>
  <c r="G193" i="1"/>
  <c r="S194" i="5"/>
  <c r="M194" i="6"/>
  <c r="B195" i="1"/>
  <c r="F194" i="1"/>
  <c r="P195" i="5"/>
  <c r="P195" i="6"/>
  <c r="AD194" i="1"/>
  <c r="P507" i="5"/>
  <c r="N195" i="6"/>
  <c r="N195" i="5"/>
  <c r="Q195" i="5" s="1"/>
  <c r="L194" i="1"/>
  <c r="Y194" i="1"/>
  <c r="N507" i="5"/>
  <c r="Q507" i="5" s="1"/>
  <c r="M194" i="1"/>
  <c r="X194" i="1"/>
  <c r="AO194" i="1"/>
  <c r="AP194" i="1" s="1"/>
  <c r="AU194" i="1"/>
  <c r="C194" i="1"/>
  <c r="E194" i="1"/>
  <c r="D194" i="1"/>
  <c r="CJ195" i="1" l="1"/>
  <c r="AL195" i="1"/>
  <c r="O171" i="1"/>
  <c r="S172" i="5"/>
  <c r="S171" i="1"/>
  <c r="S484" i="5"/>
  <c r="P485" i="5"/>
  <c r="Y172" i="1"/>
  <c r="AD172" i="1"/>
  <c r="L172" i="1"/>
  <c r="P173" i="5"/>
  <c r="AU172" i="1"/>
  <c r="P173" i="6"/>
  <c r="M172" i="1"/>
  <c r="N173" i="5"/>
  <c r="Q173" i="5" s="1"/>
  <c r="F172" i="1"/>
  <c r="X172" i="1"/>
  <c r="AA172" i="1" s="1"/>
  <c r="AB172" i="1" s="1"/>
  <c r="N485" i="5"/>
  <c r="Q485" i="5" s="1"/>
  <c r="C172" i="1"/>
  <c r="N173" i="6"/>
  <c r="D172" i="1"/>
  <c r="E172" i="1"/>
  <c r="AO172" i="1"/>
  <c r="AP172" i="1" s="1"/>
  <c r="A174" i="1"/>
  <c r="B173" i="1"/>
  <c r="M172" i="6"/>
  <c r="AH195" i="1"/>
  <c r="AC195" i="1"/>
  <c r="G171" i="1"/>
  <c r="BA170" i="1"/>
  <c r="BB170" i="1"/>
  <c r="AF171" i="1"/>
  <c r="AG171" i="1" s="1"/>
  <c r="C201" i="3"/>
  <c r="B202" i="3" s="1"/>
  <c r="O194" i="1"/>
  <c r="S194" i="1"/>
  <c r="S507" i="5"/>
  <c r="S195" i="5"/>
  <c r="B196" i="1"/>
  <c r="G194" i="1"/>
  <c r="F195" i="1"/>
  <c r="P196" i="6"/>
  <c r="AD195" i="1"/>
  <c r="P196" i="5"/>
  <c r="N196" i="5"/>
  <c r="Q196" i="5" s="1"/>
  <c r="N508" i="5"/>
  <c r="Q508" i="5" s="1"/>
  <c r="P508" i="5"/>
  <c r="N196" i="6"/>
  <c r="AU195" i="1"/>
  <c r="Y195" i="1"/>
  <c r="M195" i="1"/>
  <c r="X195" i="1"/>
  <c r="L195" i="1"/>
  <c r="AO195" i="1"/>
  <c r="AP195" i="1" s="1"/>
  <c r="E195" i="1"/>
  <c r="C195" i="1"/>
  <c r="D195" i="1"/>
  <c r="BA193" i="1"/>
  <c r="BB193" i="1"/>
  <c r="M195" i="6"/>
  <c r="CJ196" i="1" l="1"/>
  <c r="AL196" i="1"/>
  <c r="G172" i="1"/>
  <c r="O172" i="1"/>
  <c r="B174" i="1"/>
  <c r="A175" i="1"/>
  <c r="AH196" i="1"/>
  <c r="AC196" i="1"/>
  <c r="BA171" i="1"/>
  <c r="BB171" i="1"/>
  <c r="AF172" i="1"/>
  <c r="AG172" i="1" s="1"/>
  <c r="S173" i="5"/>
  <c r="S172" i="1"/>
  <c r="BB172" i="1"/>
  <c r="BA172" i="1"/>
  <c r="M173" i="6"/>
  <c r="P174" i="6"/>
  <c r="AD173" i="1"/>
  <c r="Y173" i="1"/>
  <c r="N486" i="5"/>
  <c r="Q486" i="5" s="1"/>
  <c r="C173" i="1"/>
  <c r="N174" i="6"/>
  <c r="E173" i="1"/>
  <c r="P486" i="5"/>
  <c r="M173" i="1"/>
  <c r="P174" i="5"/>
  <c r="AU173" i="1"/>
  <c r="F173" i="1"/>
  <c r="L173" i="1"/>
  <c r="N174" i="5"/>
  <c r="Q174" i="5" s="1"/>
  <c r="X173" i="1"/>
  <c r="AA173" i="1" s="1"/>
  <c r="AB173" i="1" s="1"/>
  <c r="D173" i="1"/>
  <c r="AO173" i="1"/>
  <c r="AP173" i="1" s="1"/>
  <c r="S485" i="5"/>
  <c r="C202" i="3"/>
  <c r="B203" i="3" s="1"/>
  <c r="S508" i="5"/>
  <c r="O195" i="1"/>
  <c r="S195" i="1"/>
  <c r="S196" i="5"/>
  <c r="G195" i="1"/>
  <c r="BB195" i="1" s="1"/>
  <c r="M196" i="6"/>
  <c r="BA194" i="1"/>
  <c r="BB194" i="1"/>
  <c r="P509" i="5"/>
  <c r="F196" i="1"/>
  <c r="P197" i="6"/>
  <c r="P197" i="5"/>
  <c r="N197" i="5"/>
  <c r="Q197" i="5" s="1"/>
  <c r="N197" i="6"/>
  <c r="N509" i="5"/>
  <c r="Q509" i="5" s="1"/>
  <c r="AD196" i="1"/>
  <c r="Y196" i="1"/>
  <c r="L196" i="1"/>
  <c r="M196" i="1"/>
  <c r="AU196" i="1"/>
  <c r="X196" i="1"/>
  <c r="AO196" i="1"/>
  <c r="AP196" i="1" s="1"/>
  <c r="C196" i="1"/>
  <c r="E196" i="1"/>
  <c r="D196" i="1"/>
  <c r="B197" i="1"/>
  <c r="AL174" i="1" l="1"/>
  <c r="CJ197" i="1"/>
  <c r="AL197" i="1"/>
  <c r="G173" i="1"/>
  <c r="BA173" i="1" s="1"/>
  <c r="S174" i="5"/>
  <c r="AH197" i="1"/>
  <c r="AC197" i="1"/>
  <c r="S486" i="5"/>
  <c r="A176" i="1"/>
  <c r="B175" i="1"/>
  <c r="AF173" i="1"/>
  <c r="AG173" i="1" s="1"/>
  <c r="S173" i="1"/>
  <c r="M174" i="6"/>
  <c r="N487" i="5"/>
  <c r="Q487" i="5" s="1"/>
  <c r="C174" i="1"/>
  <c r="N175" i="5"/>
  <c r="Q175" i="5" s="1"/>
  <c r="D174" i="1"/>
  <c r="P487" i="5"/>
  <c r="Y174" i="1"/>
  <c r="AD174" i="1"/>
  <c r="E174" i="1"/>
  <c r="F174" i="1"/>
  <c r="AU174" i="1"/>
  <c r="M174" i="1"/>
  <c r="AH174" i="1" s="1"/>
  <c r="L174" i="1"/>
  <c r="X174" i="1"/>
  <c r="AA174" i="1" s="1"/>
  <c r="AB174" i="1" s="1"/>
  <c r="P175" i="5"/>
  <c r="N175" i="6"/>
  <c r="P175" i="6"/>
  <c r="AO174" i="1"/>
  <c r="AP174" i="1" s="1"/>
  <c r="O173" i="1"/>
  <c r="C203" i="3"/>
  <c r="B204" i="3" s="1"/>
  <c r="BA195" i="1"/>
  <c r="S196" i="1"/>
  <c r="M197" i="6"/>
  <c r="G196" i="1"/>
  <c r="S509" i="5"/>
  <c r="B198" i="1"/>
  <c r="O196" i="1"/>
  <c r="AD197" i="1"/>
  <c r="P510" i="5"/>
  <c r="P198" i="5"/>
  <c r="N510" i="5"/>
  <c r="Q510" i="5" s="1"/>
  <c r="F197" i="1"/>
  <c r="N198" i="5"/>
  <c r="Q198" i="5" s="1"/>
  <c r="N198" i="6"/>
  <c r="P198" i="6"/>
  <c r="AU197" i="1"/>
  <c r="L197" i="1"/>
  <c r="Y197" i="1"/>
  <c r="M197" i="1"/>
  <c r="X197" i="1"/>
  <c r="AO197" i="1"/>
  <c r="AP197" i="1" s="1"/>
  <c r="C197" i="1"/>
  <c r="E197" i="1"/>
  <c r="D197" i="1"/>
  <c r="S197" i="5"/>
  <c r="O174" i="1" l="1"/>
  <c r="BB173" i="1"/>
  <c r="AL175" i="1"/>
  <c r="S175" i="5"/>
  <c r="S174" i="1"/>
  <c r="CJ198" i="1"/>
  <c r="AL198" i="1"/>
  <c r="AF174" i="1"/>
  <c r="AG174" i="1" s="1"/>
  <c r="L175" i="1"/>
  <c r="N176" i="5"/>
  <c r="Q176" i="5" s="1"/>
  <c r="N176" i="6"/>
  <c r="X175" i="1"/>
  <c r="AA175" i="1" s="1"/>
  <c r="AB175" i="1" s="1"/>
  <c r="AD175" i="1"/>
  <c r="AO175" i="1"/>
  <c r="AP175" i="1" s="1"/>
  <c r="C175" i="1"/>
  <c r="N488" i="5"/>
  <c r="Q488" i="5" s="1"/>
  <c r="P176" i="6"/>
  <c r="E175" i="1"/>
  <c r="P488" i="5"/>
  <c r="M175" i="1"/>
  <c r="AH175" i="1" s="1"/>
  <c r="P176" i="5"/>
  <c r="AU175" i="1"/>
  <c r="F175" i="1"/>
  <c r="Y175" i="1"/>
  <c r="D175" i="1"/>
  <c r="AC198" i="1"/>
  <c r="AH198" i="1"/>
  <c r="G174" i="1"/>
  <c r="A177" i="1"/>
  <c r="B176" i="1"/>
  <c r="BQ174" i="1" a="1"/>
  <c r="BQ174" i="1" s="1"/>
  <c r="M175" i="6"/>
  <c r="S487" i="5"/>
  <c r="O197" i="1"/>
  <c r="C204" i="3"/>
  <c r="B205" i="3" s="1"/>
  <c r="G197" i="1"/>
  <c r="BB197" i="1" s="1"/>
  <c r="S197" i="1"/>
  <c r="B199" i="1"/>
  <c r="P199" i="5"/>
  <c r="P511" i="5"/>
  <c r="N199" i="6"/>
  <c r="P199" i="6"/>
  <c r="AD198" i="1"/>
  <c r="F198" i="1"/>
  <c r="N199" i="5"/>
  <c r="Q199" i="5" s="1"/>
  <c r="N511" i="5"/>
  <c r="Q511" i="5" s="1"/>
  <c r="Y198" i="1"/>
  <c r="L198" i="1"/>
  <c r="AU198" i="1"/>
  <c r="M198" i="1"/>
  <c r="X198" i="1"/>
  <c r="AO198" i="1"/>
  <c r="AP198" i="1" s="1"/>
  <c r="C198" i="1"/>
  <c r="E198" i="1"/>
  <c r="D198" i="1"/>
  <c r="BB196" i="1"/>
  <c r="BA196" i="1"/>
  <c r="S198" i="5"/>
  <c r="M198" i="6"/>
  <c r="S510" i="5"/>
  <c r="AL176" i="1" l="1"/>
  <c r="CJ199" i="1"/>
  <c r="AL199" i="1"/>
  <c r="S488" i="5"/>
  <c r="G175" i="1"/>
  <c r="BB175" i="1" s="1"/>
  <c r="S176" i="5"/>
  <c r="AF175" i="1"/>
  <c r="AG175" i="1" s="1"/>
  <c r="P177" i="6"/>
  <c r="L176" i="1"/>
  <c r="P489" i="5"/>
  <c r="M176" i="1"/>
  <c r="S176" i="1" s="1"/>
  <c r="N177" i="5"/>
  <c r="Q177" i="5" s="1"/>
  <c r="Y176" i="1"/>
  <c r="N489" i="5"/>
  <c r="Q489" i="5" s="1"/>
  <c r="AD176" i="1"/>
  <c r="E176" i="1"/>
  <c r="N177" i="6"/>
  <c r="C176" i="1"/>
  <c r="F176" i="1"/>
  <c r="AU176" i="1"/>
  <c r="D176" i="1"/>
  <c r="X176" i="1"/>
  <c r="AA176" i="1" s="1"/>
  <c r="AB176" i="1" s="1"/>
  <c r="P177" i="5"/>
  <c r="S177" i="5" s="1"/>
  <c r="BQ175" i="1" a="1"/>
  <c r="BQ175" i="1" s="1"/>
  <c r="M176" i="6"/>
  <c r="O175" i="1"/>
  <c r="AC199" i="1"/>
  <c r="AH199" i="1"/>
  <c r="B177" i="1"/>
  <c r="A178" i="1"/>
  <c r="S175" i="1"/>
  <c r="BA174" i="1"/>
  <c r="BB174" i="1"/>
  <c r="C205" i="3"/>
  <c r="B206" i="3" s="1"/>
  <c r="BA197" i="1"/>
  <c r="S199" i="5"/>
  <c r="O198" i="1"/>
  <c r="G198" i="1"/>
  <c r="AI199" i="1"/>
  <c r="P200" i="6"/>
  <c r="F199" i="1"/>
  <c r="P512" i="5"/>
  <c r="N200" i="5"/>
  <c r="Q200" i="5" s="1"/>
  <c r="AD199" i="1"/>
  <c r="N200" i="6"/>
  <c r="N512" i="5"/>
  <c r="Q512" i="5" s="1"/>
  <c r="P200" i="5"/>
  <c r="AU199" i="1"/>
  <c r="L199" i="1"/>
  <c r="BN199" i="1" s="1"/>
  <c r="Y199" i="1"/>
  <c r="M199" i="1"/>
  <c r="S199" i="1" s="1"/>
  <c r="X199" i="1"/>
  <c r="AO199" i="1"/>
  <c r="AP199" i="1" s="1"/>
  <c r="E199" i="1"/>
  <c r="D199" i="1"/>
  <c r="C199" i="1"/>
  <c r="B200" i="1"/>
  <c r="S198" i="1"/>
  <c r="M199" i="6"/>
  <c r="S511" i="5"/>
  <c r="BA175" i="1" l="1"/>
  <c r="AL177" i="1"/>
  <c r="CJ200" i="1"/>
  <c r="AL200" i="1"/>
  <c r="G176" i="1"/>
  <c r="AH176" i="1"/>
  <c r="BQ176" i="1" a="1"/>
  <c r="BQ176" i="1" s="1"/>
  <c r="M177" i="6"/>
  <c r="A179" i="1"/>
  <c r="B178" i="1"/>
  <c r="N178" i="5"/>
  <c r="Q178" i="5" s="1"/>
  <c r="C177" i="1"/>
  <c r="N178" i="6"/>
  <c r="E177" i="1"/>
  <c r="AD177" i="1"/>
  <c r="Y177" i="1"/>
  <c r="D177" i="1"/>
  <c r="F177" i="1"/>
  <c r="X177" i="1"/>
  <c r="AA177" i="1" s="1"/>
  <c r="AB177" i="1" s="1"/>
  <c r="P178" i="6"/>
  <c r="P178" i="5"/>
  <c r="L177" i="1"/>
  <c r="AO177" i="1" s="1"/>
  <c r="AP177" i="1" s="1"/>
  <c r="N490" i="5"/>
  <c r="Q490" i="5" s="1"/>
  <c r="M177" i="1"/>
  <c r="AF177" i="1" s="1"/>
  <c r="AG177" i="1" s="1"/>
  <c r="P490" i="5"/>
  <c r="AU177" i="1"/>
  <c r="O176" i="1"/>
  <c r="BA176" i="1"/>
  <c r="BB176" i="1"/>
  <c r="AF176" i="1"/>
  <c r="AG176" i="1" s="1"/>
  <c r="S489" i="5"/>
  <c r="AC200" i="1"/>
  <c r="AH200" i="1"/>
  <c r="AO176" i="1"/>
  <c r="AP176" i="1" s="1"/>
  <c r="C206" i="3"/>
  <c r="B207" i="3" s="1"/>
  <c r="BK199" i="1"/>
  <c r="AF199" i="1"/>
  <c r="AG199" i="1" s="1"/>
  <c r="N199" i="1"/>
  <c r="BD199" i="1" s="1"/>
  <c r="P199" i="1"/>
  <c r="S512" i="5"/>
  <c r="O199" i="1"/>
  <c r="T199" i="1" a="1"/>
  <c r="T199" i="1" s="1"/>
  <c r="U199" i="1" s="1"/>
  <c r="M200" i="6"/>
  <c r="O200" i="6" s="1"/>
  <c r="R200" i="6" s="1"/>
  <c r="BA198" i="1"/>
  <c r="BB198" i="1"/>
  <c r="B201" i="1"/>
  <c r="G199" i="1"/>
  <c r="F200" i="1"/>
  <c r="P513" i="5"/>
  <c r="AD200" i="1"/>
  <c r="P201" i="5"/>
  <c r="P201" i="6"/>
  <c r="N201" i="6"/>
  <c r="N513" i="5"/>
  <c r="Q513" i="5" s="1"/>
  <c r="N201" i="5"/>
  <c r="Q201" i="5" s="1"/>
  <c r="L200" i="1"/>
  <c r="AU200" i="1"/>
  <c r="Y200" i="1"/>
  <c r="X200" i="1"/>
  <c r="M200" i="1"/>
  <c r="S200" i="1" s="1"/>
  <c r="AO200" i="1"/>
  <c r="AP200" i="1" s="1"/>
  <c r="E200" i="1"/>
  <c r="C200" i="1"/>
  <c r="D200" i="1"/>
  <c r="S200" i="5"/>
  <c r="S178" i="5" l="1"/>
  <c r="AL178" i="1"/>
  <c r="CJ201" i="1"/>
  <c r="AL201" i="1"/>
  <c r="AH177" i="1"/>
  <c r="S177" i="1"/>
  <c r="O177" i="1"/>
  <c r="G177" i="1"/>
  <c r="BB177" i="1" s="1"/>
  <c r="AC201" i="1"/>
  <c r="AH201" i="1"/>
  <c r="S490" i="5"/>
  <c r="N179" i="6"/>
  <c r="X178" i="1"/>
  <c r="AA178" i="1" s="1"/>
  <c r="AB178" i="1" s="1"/>
  <c r="AD178" i="1"/>
  <c r="AO178" i="1"/>
  <c r="AP178" i="1" s="1"/>
  <c r="C178" i="1"/>
  <c r="N491" i="5"/>
  <c r="Q491" i="5" s="1"/>
  <c r="E178" i="1"/>
  <c r="P491" i="5"/>
  <c r="P179" i="6"/>
  <c r="N179" i="5"/>
  <c r="Q179" i="5" s="1"/>
  <c r="AU178" i="1"/>
  <c r="D178" i="1"/>
  <c r="M178" i="1"/>
  <c r="AH178" i="1" s="1"/>
  <c r="P179" i="5"/>
  <c r="L178" i="1"/>
  <c r="F178" i="1"/>
  <c r="Y178" i="1"/>
  <c r="A180" i="1"/>
  <c r="B179" i="1"/>
  <c r="BQ177" i="1" a="1"/>
  <c r="BQ177" i="1" s="1"/>
  <c r="M178" i="6"/>
  <c r="C207" i="3"/>
  <c r="B208" i="3" s="1"/>
  <c r="BC199" i="1"/>
  <c r="G200" i="1"/>
  <c r="BB200" i="1" s="1"/>
  <c r="O200" i="1"/>
  <c r="S201" i="5"/>
  <c r="BA199" i="1"/>
  <c r="BB199" i="1"/>
  <c r="M201" i="6"/>
  <c r="S513" i="5"/>
  <c r="B202" i="1"/>
  <c r="P202" i="6"/>
  <c r="P514" i="5"/>
  <c r="N514" i="5"/>
  <c r="Q514" i="5" s="1"/>
  <c r="AD201" i="1"/>
  <c r="N202" i="5"/>
  <c r="Q202" i="5" s="1"/>
  <c r="N202" i="6"/>
  <c r="P202" i="5"/>
  <c r="F201" i="1"/>
  <c r="AU201" i="1"/>
  <c r="Y201" i="1"/>
  <c r="L201" i="1"/>
  <c r="X201" i="1"/>
  <c r="M201" i="1"/>
  <c r="AO201" i="1"/>
  <c r="AP201" i="1" s="1"/>
  <c r="C201" i="1"/>
  <c r="E201" i="1"/>
  <c r="D201" i="1"/>
  <c r="AL179" i="1" l="1"/>
  <c r="BA177" i="1"/>
  <c r="CJ202" i="1"/>
  <c r="AL202" i="1"/>
  <c r="G178" i="1"/>
  <c r="S491" i="5"/>
  <c r="S178" i="1"/>
  <c r="N180" i="5"/>
  <c r="Q180" i="5" s="1"/>
  <c r="P492" i="5"/>
  <c r="N492" i="5"/>
  <c r="Q492" i="5" s="1"/>
  <c r="N180" i="6"/>
  <c r="D179" i="1"/>
  <c r="P180" i="5"/>
  <c r="AU179" i="1"/>
  <c r="F179" i="1"/>
  <c r="M179" i="1"/>
  <c r="S179" i="1" s="1"/>
  <c r="X179" i="1"/>
  <c r="AA179" i="1" s="1"/>
  <c r="AB179" i="1" s="1"/>
  <c r="AO179" i="1"/>
  <c r="AP179" i="1" s="1"/>
  <c r="AD179" i="1"/>
  <c r="L179" i="1"/>
  <c r="C179" i="1"/>
  <c r="E179" i="1"/>
  <c r="P180" i="6"/>
  <c r="Y179" i="1"/>
  <c r="AC202" i="1"/>
  <c r="AH202" i="1"/>
  <c r="A181" i="1"/>
  <c r="B180" i="1"/>
  <c r="BB178" i="1"/>
  <c r="BA178" i="1"/>
  <c r="BQ178" i="1" a="1"/>
  <c r="BQ178" i="1" s="1"/>
  <c r="M179" i="6"/>
  <c r="AF178" i="1"/>
  <c r="AG178" i="1" s="1"/>
  <c r="S179" i="5"/>
  <c r="O178" i="1"/>
  <c r="C208" i="3"/>
  <c r="B209" i="3" s="1"/>
  <c r="O201" i="1"/>
  <c r="BA200" i="1"/>
  <c r="S201" i="1"/>
  <c r="S202" i="5"/>
  <c r="M202" i="6"/>
  <c r="S514" i="5"/>
  <c r="G201" i="1"/>
  <c r="AD202" i="1"/>
  <c r="P203" i="6"/>
  <c r="N203" i="5"/>
  <c r="Q203" i="5" s="1"/>
  <c r="F202" i="1"/>
  <c r="N515" i="5"/>
  <c r="Q515" i="5" s="1"/>
  <c r="P203" i="5"/>
  <c r="P515" i="5"/>
  <c r="N203" i="6"/>
  <c r="L202" i="1"/>
  <c r="Y202" i="1"/>
  <c r="X202" i="1"/>
  <c r="M202" i="1"/>
  <c r="S202" i="1" s="1"/>
  <c r="AU202" i="1"/>
  <c r="E202" i="1"/>
  <c r="C202" i="1"/>
  <c r="D202" i="1"/>
  <c r="B203" i="1"/>
  <c r="AL180" i="1" l="1"/>
  <c r="O179" i="1"/>
  <c r="CJ203" i="1"/>
  <c r="AL203" i="1"/>
  <c r="S180" i="5"/>
  <c r="AF179" i="1"/>
  <c r="AG179" i="1" s="1"/>
  <c r="BQ179" i="1" a="1"/>
  <c r="BQ179" i="1" s="1"/>
  <c r="M180" i="6"/>
  <c r="N181" i="5"/>
  <c r="Q181" i="5" s="1"/>
  <c r="AO180" i="1"/>
  <c r="AP180" i="1" s="1"/>
  <c r="N493" i="5"/>
  <c r="Q493" i="5" s="1"/>
  <c r="E180" i="1"/>
  <c r="P493" i="5"/>
  <c r="M180" i="1"/>
  <c r="AH180" i="1" s="1"/>
  <c r="F180" i="1"/>
  <c r="C180" i="1"/>
  <c r="AD180" i="1"/>
  <c r="L180" i="1"/>
  <c r="D180" i="1"/>
  <c r="P181" i="6"/>
  <c r="AU180" i="1"/>
  <c r="X180" i="1"/>
  <c r="AA180" i="1" s="1"/>
  <c r="AB180" i="1" s="1"/>
  <c r="N181" i="6"/>
  <c r="P181" i="5"/>
  <c r="Y180" i="1"/>
  <c r="B181" i="1"/>
  <c r="A182" i="1"/>
  <c r="AH179" i="1"/>
  <c r="G179" i="1"/>
  <c r="AH203" i="1"/>
  <c r="AC203" i="1"/>
  <c r="S492" i="5"/>
  <c r="C209" i="3"/>
  <c r="B210" i="3" s="1"/>
  <c r="S203" i="5"/>
  <c r="S515" i="5"/>
  <c r="AO202" i="1"/>
  <c r="AP202" i="1" s="1"/>
  <c r="O202" i="1"/>
  <c r="BA201" i="1"/>
  <c r="BB201" i="1"/>
  <c r="B204" i="1"/>
  <c r="G202" i="1"/>
  <c r="P516" i="5"/>
  <c r="AD203" i="1"/>
  <c r="N516" i="5"/>
  <c r="Q516" i="5" s="1"/>
  <c r="F203" i="1"/>
  <c r="N204" i="6"/>
  <c r="P204" i="6"/>
  <c r="N204" i="5"/>
  <c r="Q204" i="5" s="1"/>
  <c r="P204" i="5"/>
  <c r="M203" i="1"/>
  <c r="AU203" i="1"/>
  <c r="X203" i="1"/>
  <c r="L203" i="1"/>
  <c r="AO203" i="1"/>
  <c r="AP203" i="1" s="1"/>
  <c r="Y203" i="1"/>
  <c r="E203" i="1"/>
  <c r="C203" i="1"/>
  <c r="D203" i="1"/>
  <c r="M203" i="6"/>
  <c r="AL181" i="1" l="1"/>
  <c r="CJ204" i="1"/>
  <c r="AL204" i="1"/>
  <c r="S181" i="5"/>
  <c r="AF180" i="1"/>
  <c r="AG180" i="1" s="1"/>
  <c r="S180" i="1"/>
  <c r="BQ180" i="1" a="1"/>
  <c r="BQ180" i="1" s="1"/>
  <c r="M181" i="6"/>
  <c r="BB179" i="1"/>
  <c r="BA179" i="1"/>
  <c r="G180" i="1"/>
  <c r="AH204" i="1"/>
  <c r="AC204" i="1"/>
  <c r="N494" i="5"/>
  <c r="Q494" i="5" s="1"/>
  <c r="AU181" i="1"/>
  <c r="F181" i="1"/>
  <c r="M181" i="1"/>
  <c r="O181" i="1" s="1"/>
  <c r="P182" i="6"/>
  <c r="AO181" i="1"/>
  <c r="AP181" i="1" s="1"/>
  <c r="AI181" i="1"/>
  <c r="N182" i="6"/>
  <c r="E181" i="1"/>
  <c r="P182" i="5"/>
  <c r="L181" i="1"/>
  <c r="C181" i="1"/>
  <c r="P494" i="5"/>
  <c r="Y181" i="1"/>
  <c r="D181" i="1"/>
  <c r="X181" i="1"/>
  <c r="AA181" i="1" s="1"/>
  <c r="AB181" i="1" s="1"/>
  <c r="AD181" i="1"/>
  <c r="N182" i="5"/>
  <c r="Q182" i="5" s="1"/>
  <c r="S181" i="1"/>
  <c r="S493" i="5"/>
  <c r="A183" i="1"/>
  <c r="O180" i="1"/>
  <c r="C210" i="3"/>
  <c r="B211" i="3" s="1"/>
  <c r="G203" i="1"/>
  <c r="BA203" i="1" s="1"/>
  <c r="M204" i="6"/>
  <c r="O203" i="1"/>
  <c r="P205" i="6"/>
  <c r="N517" i="5"/>
  <c r="Q517" i="5" s="1"/>
  <c r="AD204" i="1"/>
  <c r="N205" i="5"/>
  <c r="Q205" i="5" s="1"/>
  <c r="P205" i="5"/>
  <c r="F204" i="1"/>
  <c r="N205" i="6"/>
  <c r="P517" i="5"/>
  <c r="Y204" i="1"/>
  <c r="L204" i="1"/>
  <c r="M204" i="1"/>
  <c r="S204" i="1" s="1"/>
  <c r="X204" i="1"/>
  <c r="AU204" i="1"/>
  <c r="C204" i="1"/>
  <c r="D204" i="1"/>
  <c r="E204" i="1"/>
  <c r="B205" i="1"/>
  <c r="S204" i="5"/>
  <c r="S516" i="5"/>
  <c r="S203" i="1"/>
  <c r="BA202" i="1"/>
  <c r="BB202" i="1"/>
  <c r="P181" i="1" l="1"/>
  <c r="CJ205" i="1"/>
  <c r="AL205" i="1"/>
  <c r="T181" i="1" a="1"/>
  <c r="T181" i="1" s="1"/>
  <c r="U181" i="1" s="1"/>
  <c r="AF181" i="1"/>
  <c r="AG181" i="1" s="1"/>
  <c r="N181" i="1"/>
  <c r="BD181" i="1" s="1"/>
  <c r="AH181" i="1"/>
  <c r="S494" i="5"/>
  <c r="G181" i="1"/>
  <c r="BB181" i="1" s="1"/>
  <c r="S182" i="5"/>
  <c r="AH205" i="1"/>
  <c r="AC205" i="1"/>
  <c r="A184" i="1"/>
  <c r="BQ181" i="1" a="1"/>
  <c r="BQ181" i="1" s="1"/>
  <c r="BN181" i="1"/>
  <c r="BK181" i="1"/>
  <c r="M182" i="6"/>
  <c r="O182" i="6" s="1"/>
  <c r="R182" i="6" s="1"/>
  <c r="BB180" i="1"/>
  <c r="BA180" i="1"/>
  <c r="C211" i="3"/>
  <c r="B212" i="3" s="1"/>
  <c r="BB203" i="1"/>
  <c r="S205" i="5"/>
  <c r="O204" i="1"/>
  <c r="S517" i="5"/>
  <c r="AD205" i="1"/>
  <c r="F205" i="1"/>
  <c r="P206" i="5"/>
  <c r="P206" i="6"/>
  <c r="N518" i="5"/>
  <c r="Q518" i="5" s="1"/>
  <c r="N206" i="5"/>
  <c r="Q206" i="5" s="1"/>
  <c r="P518" i="5"/>
  <c r="N206" i="6"/>
  <c r="M205" i="1"/>
  <c r="S205" i="1" s="1"/>
  <c r="L205" i="1"/>
  <c r="AO205" i="1" s="1"/>
  <c r="AP205" i="1" s="1"/>
  <c r="Y205" i="1"/>
  <c r="AU205" i="1"/>
  <c r="X205" i="1"/>
  <c r="C205" i="1"/>
  <c r="D205" i="1"/>
  <c r="E205" i="1"/>
  <c r="B206" i="1"/>
  <c r="G204" i="1"/>
  <c r="M205" i="6"/>
  <c r="AO204" i="1"/>
  <c r="AP204" i="1" s="1"/>
  <c r="BC181" i="1" l="1"/>
  <c r="BA181" i="1"/>
  <c r="CJ206" i="1"/>
  <c r="AL206" i="1"/>
  <c r="A185" i="1"/>
  <c r="AC206" i="1"/>
  <c r="AH206" i="1"/>
  <c r="C212" i="3"/>
  <c r="B213" i="3" s="1"/>
  <c r="S206" i="5"/>
  <c r="S518" i="5"/>
  <c r="B207" i="1"/>
  <c r="N207" i="5"/>
  <c r="Q207" i="5" s="1"/>
  <c r="P207" i="5"/>
  <c r="F206" i="1"/>
  <c r="N519" i="5"/>
  <c r="Q519" i="5" s="1"/>
  <c r="N207" i="6"/>
  <c r="AD206" i="1"/>
  <c r="P519" i="5"/>
  <c r="P207" i="6"/>
  <c r="AU206" i="1"/>
  <c r="M206" i="1"/>
  <c r="Y206" i="1"/>
  <c r="L206" i="1"/>
  <c r="AO206" i="1"/>
  <c r="AP206" i="1" s="1"/>
  <c r="X206" i="1"/>
  <c r="E206" i="1"/>
  <c r="C206" i="1"/>
  <c r="D206" i="1"/>
  <c r="M206" i="6"/>
  <c r="O205" i="1"/>
  <c r="G205" i="1"/>
  <c r="BB204" i="1"/>
  <c r="BA204" i="1"/>
  <c r="CJ207" i="1" l="1"/>
  <c r="AL207" i="1"/>
  <c r="AC207" i="1"/>
  <c r="AH207" i="1"/>
  <c r="A186" i="1"/>
  <c r="C213" i="3"/>
  <c r="B214" i="3" s="1"/>
  <c r="O206" i="1"/>
  <c r="S206" i="1"/>
  <c r="BA205" i="1"/>
  <c r="BB205" i="1"/>
  <c r="S519" i="5"/>
  <c r="G206" i="1"/>
  <c r="N208" i="6"/>
  <c r="F207" i="1"/>
  <c r="N520" i="5"/>
  <c r="Q520" i="5" s="1"/>
  <c r="P208" i="6"/>
  <c r="P208" i="5"/>
  <c r="N208" i="5"/>
  <c r="Q208" i="5" s="1"/>
  <c r="AO207" i="1"/>
  <c r="AP207" i="1" s="1"/>
  <c r="P520" i="5"/>
  <c r="AD207" i="1"/>
  <c r="AU207" i="1"/>
  <c r="Y207" i="1"/>
  <c r="M207" i="1"/>
  <c r="L207" i="1"/>
  <c r="X207" i="1"/>
  <c r="C207" i="1"/>
  <c r="E207" i="1"/>
  <c r="D207" i="1"/>
  <c r="M207" i="6"/>
  <c r="S207" i="5"/>
  <c r="B208" i="1"/>
  <c r="CJ208" i="1" l="1"/>
  <c r="AL208" i="1"/>
  <c r="AC208" i="1"/>
  <c r="AH208" i="1"/>
  <c r="A187" i="1"/>
  <c r="C214" i="3"/>
  <c r="B215" i="3" s="1"/>
  <c r="O207" i="1"/>
  <c r="S208" i="5"/>
  <c r="B209" i="1"/>
  <c r="BB206" i="1"/>
  <c r="BA206" i="1"/>
  <c r="G207" i="1"/>
  <c r="N209" i="6"/>
  <c r="N209" i="5"/>
  <c r="Q209" i="5" s="1"/>
  <c r="N521" i="5"/>
  <c r="Q521" i="5" s="1"/>
  <c r="P209" i="6"/>
  <c r="P209" i="5"/>
  <c r="AD208" i="1"/>
  <c r="P521" i="5"/>
  <c r="F208" i="1"/>
  <c r="AU208" i="1"/>
  <c r="Y208" i="1"/>
  <c r="X208" i="1"/>
  <c r="AO208" i="1"/>
  <c r="AP208" i="1" s="1"/>
  <c r="L208" i="1"/>
  <c r="M208" i="1"/>
  <c r="S208" i="1" s="1"/>
  <c r="E208" i="1"/>
  <c r="C208" i="1"/>
  <c r="D208" i="1"/>
  <c r="S520" i="5"/>
  <c r="S207" i="1"/>
  <c r="M208" i="6"/>
  <c r="CJ209" i="1" l="1"/>
  <c r="AL209" i="1"/>
  <c r="A188" i="1"/>
  <c r="AC209" i="1"/>
  <c r="AH209" i="1"/>
  <c r="C215" i="3"/>
  <c r="B216" i="3" s="1"/>
  <c r="G208" i="1"/>
  <c r="BA208" i="1" s="1"/>
  <c r="S521" i="5"/>
  <c r="S209" i="5"/>
  <c r="O208" i="1"/>
  <c r="N522" i="5"/>
  <c r="Q522" i="5" s="1"/>
  <c r="N210" i="6"/>
  <c r="F209" i="1"/>
  <c r="P210" i="5"/>
  <c r="N210" i="5"/>
  <c r="Q210" i="5" s="1"/>
  <c r="AD209" i="1"/>
  <c r="P210" i="6"/>
  <c r="P522" i="5"/>
  <c r="L209" i="1"/>
  <c r="AU209" i="1"/>
  <c r="Y209" i="1"/>
  <c r="X209" i="1"/>
  <c r="M209" i="1"/>
  <c r="O209" i="1" s="1"/>
  <c r="AO209" i="1"/>
  <c r="AP209" i="1" s="1"/>
  <c r="C209" i="1"/>
  <c r="E209" i="1"/>
  <c r="D209" i="1"/>
  <c r="B210" i="1"/>
  <c r="M209" i="6"/>
  <c r="BA207" i="1"/>
  <c r="BB207" i="1"/>
  <c r="CJ210" i="1" l="1"/>
  <c r="AL210" i="1"/>
  <c r="AC210" i="1"/>
  <c r="AH210" i="1"/>
  <c r="A189" i="1"/>
  <c r="C216" i="3"/>
  <c r="B217" i="3" s="1"/>
  <c r="S209" i="1"/>
  <c r="BB208" i="1"/>
  <c r="S210" i="5"/>
  <c r="G209" i="1"/>
  <c r="BA209" i="1" s="1"/>
  <c r="F210" i="1"/>
  <c r="P211" i="6"/>
  <c r="N523" i="5"/>
  <c r="Q523" i="5" s="1"/>
  <c r="P211" i="5"/>
  <c r="AD210" i="1"/>
  <c r="N211" i="6"/>
  <c r="P523" i="5"/>
  <c r="Y210" i="1"/>
  <c r="N211" i="5"/>
  <c r="Q211" i="5" s="1"/>
  <c r="AU210" i="1"/>
  <c r="M210" i="1"/>
  <c r="L210" i="1"/>
  <c r="X210" i="1"/>
  <c r="C210" i="1"/>
  <c r="E210" i="1"/>
  <c r="D210" i="1"/>
  <c r="B211" i="1"/>
  <c r="M210" i="6"/>
  <c r="S522" i="5"/>
  <c r="CJ211" i="1" l="1"/>
  <c r="AL211" i="1"/>
  <c r="A190" i="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H211" i="1"/>
  <c r="AC211" i="1"/>
  <c r="C217" i="3"/>
  <c r="B218" i="3" s="1"/>
  <c r="O210" i="1"/>
  <c r="BB209" i="1"/>
  <c r="S523" i="5"/>
  <c r="N524" i="5"/>
  <c r="Q524" i="5" s="1"/>
  <c r="AD211" i="1"/>
  <c r="N212" i="5"/>
  <c r="Q212" i="5" s="1"/>
  <c r="P524" i="5"/>
  <c r="P212" i="5"/>
  <c r="F211" i="1"/>
  <c r="N212" i="6"/>
  <c r="P212" i="6"/>
  <c r="L211" i="1"/>
  <c r="Y211" i="1"/>
  <c r="AU211" i="1"/>
  <c r="X211" i="1"/>
  <c r="M211" i="1"/>
  <c r="E211" i="1"/>
  <c r="C211" i="1"/>
  <c r="D211" i="1"/>
  <c r="B212" i="1"/>
  <c r="M211" i="6"/>
  <c r="S210" i="1"/>
  <c r="AO210" i="1"/>
  <c r="AP210" i="1" s="1"/>
  <c r="G210" i="1"/>
  <c r="S211" i="5"/>
  <c r="CJ212" i="1" l="1"/>
  <c r="AL212" i="1"/>
  <c r="AH212" i="1"/>
  <c r="AC212" i="1"/>
  <c r="C218" i="3"/>
  <c r="B219" i="3" s="1"/>
  <c r="AO211" i="1"/>
  <c r="AP211" i="1" s="1"/>
  <c r="G211" i="1"/>
  <c r="BB211" i="1" s="1"/>
  <c r="S212" i="5"/>
  <c r="B213" i="1"/>
  <c r="A214" i="1"/>
  <c r="F212" i="1"/>
  <c r="AD212" i="1"/>
  <c r="N525" i="5"/>
  <c r="Q525" i="5" s="1"/>
  <c r="N213" i="5"/>
  <c r="Q213" i="5" s="1"/>
  <c r="AO212" i="1"/>
  <c r="AP212" i="1" s="1"/>
  <c r="P213" i="6"/>
  <c r="N213" i="6"/>
  <c r="P525" i="5"/>
  <c r="P213" i="5"/>
  <c r="AU212" i="1"/>
  <c r="Y212" i="1"/>
  <c r="M212" i="1"/>
  <c r="X212" i="1"/>
  <c r="L212" i="1"/>
  <c r="C212" i="1"/>
  <c r="E212" i="1"/>
  <c r="D212" i="1"/>
  <c r="O211" i="1"/>
  <c r="M212" i="6"/>
  <c r="S524" i="5"/>
  <c r="S211" i="1"/>
  <c r="BA210" i="1"/>
  <c r="BB210" i="1"/>
  <c r="CJ213" i="1" l="1"/>
  <c r="AL213" i="1"/>
  <c r="AH213" i="1"/>
  <c r="AC213" i="1"/>
  <c r="C219" i="3"/>
  <c r="B220" i="3" s="1"/>
  <c r="BA211" i="1"/>
  <c r="S525" i="5"/>
  <c r="S213" i="5"/>
  <c r="O212" i="1"/>
  <c r="S212" i="1"/>
  <c r="G212" i="1"/>
  <c r="AI213" i="1"/>
  <c r="N214" i="5"/>
  <c r="Q214" i="5" s="1"/>
  <c r="P214" i="5"/>
  <c r="F213" i="1"/>
  <c r="N526" i="5"/>
  <c r="Q526" i="5" s="1"/>
  <c r="N214" i="6"/>
  <c r="AD213" i="1"/>
  <c r="P526" i="5"/>
  <c r="P214" i="6"/>
  <c r="Y213" i="1"/>
  <c r="L213" i="1"/>
  <c r="BN213" i="1" s="1"/>
  <c r="AU213" i="1"/>
  <c r="M213" i="1"/>
  <c r="S213" i="1" s="1"/>
  <c r="X213" i="1"/>
  <c r="AO213" i="1"/>
  <c r="AP213" i="1" s="1"/>
  <c r="C213" i="1"/>
  <c r="E213" i="1"/>
  <c r="D213" i="1"/>
  <c r="M213" i="6"/>
  <c r="A215" i="1"/>
  <c r="B214" i="1"/>
  <c r="CJ214" i="1" l="1"/>
  <c r="AL214" i="1"/>
  <c r="AC214" i="1"/>
  <c r="AH214" i="1"/>
  <c r="C220" i="3"/>
  <c r="B221" i="3" s="1"/>
  <c r="P213" i="1"/>
  <c r="BK213" i="1"/>
  <c r="T213" i="1" a="1"/>
  <c r="T213" i="1" s="1"/>
  <c r="U213" i="1" s="1"/>
  <c r="N213" i="1"/>
  <c r="BD213" i="1" s="1"/>
  <c r="S526" i="5"/>
  <c r="O213" i="1"/>
  <c r="AF213" i="1"/>
  <c r="AG213" i="1" s="1"/>
  <c r="A216" i="1"/>
  <c r="B215" i="1"/>
  <c r="G213" i="1"/>
  <c r="BB212" i="1"/>
  <c r="BA212" i="1"/>
  <c r="AI214" i="1"/>
  <c r="N215" i="5"/>
  <c r="Q215" i="5" s="1"/>
  <c r="AD214" i="1"/>
  <c r="P527" i="5"/>
  <c r="F214" i="1"/>
  <c r="N527" i="5"/>
  <c r="Q527" i="5" s="1"/>
  <c r="P215" i="6"/>
  <c r="N215" i="6"/>
  <c r="P215" i="5"/>
  <c r="Y214" i="1"/>
  <c r="AU214" i="1"/>
  <c r="L214" i="1"/>
  <c r="BN214" i="1" s="1"/>
  <c r="M214" i="1"/>
  <c r="P214" i="1" s="1"/>
  <c r="X214" i="1"/>
  <c r="C214" i="1"/>
  <c r="E214" i="1"/>
  <c r="D214" i="1"/>
  <c r="M214" i="6"/>
  <c r="S214" i="5"/>
  <c r="CJ215" i="1" l="1"/>
  <c r="AL215" i="1"/>
  <c r="AC215" i="1"/>
  <c r="AH215" i="1"/>
  <c r="O214" i="6"/>
  <c r="R214" i="6" s="1"/>
  <c r="C221" i="3"/>
  <c r="B222" i="3" s="1"/>
  <c r="C222" i="3" s="1"/>
  <c r="B223" i="3" s="1"/>
  <c r="BK214" i="1"/>
  <c r="O214" i="1"/>
  <c r="BC213" i="1"/>
  <c r="AF214" i="1"/>
  <c r="AG214" i="1" s="1"/>
  <c r="S214" i="1"/>
  <c r="N214" i="1"/>
  <c r="BD214" i="1" s="1"/>
  <c r="T214" i="1" a="1"/>
  <c r="T214" i="1" s="1"/>
  <c r="U214" i="1" s="1"/>
  <c r="S215" i="5"/>
  <c r="M215" i="6"/>
  <c r="G214" i="1"/>
  <c r="S527" i="5"/>
  <c r="AI215" i="1"/>
  <c r="AD215" i="1"/>
  <c r="N528" i="5"/>
  <c r="Q528" i="5" s="1"/>
  <c r="N216" i="5"/>
  <c r="Q216" i="5" s="1"/>
  <c r="P528" i="5"/>
  <c r="P216" i="5"/>
  <c r="F215" i="1"/>
  <c r="N216" i="6"/>
  <c r="P216" i="6"/>
  <c r="Y215" i="1"/>
  <c r="AU215" i="1"/>
  <c r="X215" i="1"/>
  <c r="L215" i="1"/>
  <c r="BN215" i="1" s="1"/>
  <c r="M215" i="1"/>
  <c r="O215" i="1" s="1"/>
  <c r="AO215" i="1"/>
  <c r="AP215" i="1" s="1"/>
  <c r="E215" i="1"/>
  <c r="D215" i="1"/>
  <c r="C215" i="1"/>
  <c r="AO214" i="1"/>
  <c r="AP214" i="1" s="1"/>
  <c r="BA213" i="1"/>
  <c r="BB213" i="1"/>
  <c r="B216" i="1"/>
  <c r="A217" i="1"/>
  <c r="CJ216" i="1" l="1"/>
  <c r="AL216" i="1"/>
  <c r="AC216" i="1"/>
  <c r="AH216" i="1"/>
  <c r="O215" i="6"/>
  <c r="R215" i="6" s="1"/>
  <c r="C223" i="3"/>
  <c r="B224" i="3" s="1"/>
  <c r="BK215" i="1"/>
  <c r="BC214" i="1"/>
  <c r="AF215" i="1"/>
  <c r="AG215" i="1" s="1"/>
  <c r="S215" i="1"/>
  <c r="P215" i="1"/>
  <c r="S216" i="5"/>
  <c r="S528" i="5"/>
  <c r="T215" i="1" a="1"/>
  <c r="T215" i="1" s="1"/>
  <c r="U215" i="1" s="1"/>
  <c r="BB214" i="1"/>
  <c r="BA214" i="1"/>
  <c r="N215" i="1"/>
  <c r="M216" i="6"/>
  <c r="G215" i="1"/>
  <c r="A218" i="1"/>
  <c r="B217" i="1"/>
  <c r="AI216" i="1"/>
  <c r="N217" i="6"/>
  <c r="AD216" i="1"/>
  <c r="N529" i="5"/>
  <c r="Q529" i="5" s="1"/>
  <c r="P217" i="6"/>
  <c r="P529" i="5"/>
  <c r="N217" i="5"/>
  <c r="Q217" i="5" s="1"/>
  <c r="P217" i="5"/>
  <c r="F216" i="1"/>
  <c r="Y216" i="1"/>
  <c r="AU216" i="1"/>
  <c r="L216" i="1"/>
  <c r="BN216" i="1" s="1"/>
  <c r="M216" i="1"/>
  <c r="O216" i="1" s="1"/>
  <c r="AO216" i="1"/>
  <c r="AP216" i="1" s="1"/>
  <c r="X216" i="1"/>
  <c r="C216" i="1"/>
  <c r="D216" i="1"/>
  <c r="E216" i="1"/>
  <c r="CJ217" i="1" l="1"/>
  <c r="AL217" i="1"/>
  <c r="AC217" i="1"/>
  <c r="AH217" i="1"/>
  <c r="O216" i="6"/>
  <c r="R216" i="6" s="1"/>
  <c r="C224" i="3"/>
  <c r="B225" i="3" s="1"/>
  <c r="BK216" i="1"/>
  <c r="S217" i="5"/>
  <c r="G216" i="1"/>
  <c r="BA216" i="1" s="1"/>
  <c r="S529" i="5"/>
  <c r="AI217" i="1"/>
  <c r="F217" i="1"/>
  <c r="AO217" i="1"/>
  <c r="AP217" i="1" s="1"/>
  <c r="N218" i="5"/>
  <c r="Q218" i="5" s="1"/>
  <c r="P218" i="6"/>
  <c r="N218" i="6"/>
  <c r="AD217" i="1"/>
  <c r="P218" i="5"/>
  <c r="N530" i="5"/>
  <c r="Q530" i="5" s="1"/>
  <c r="P530" i="5"/>
  <c r="Y217" i="1"/>
  <c r="AU217" i="1"/>
  <c r="M217" i="1"/>
  <c r="T217" i="1" s="1" a="1"/>
  <c r="T217" i="1" s="1"/>
  <c r="U217" i="1" s="1"/>
  <c r="L217" i="1"/>
  <c r="BN217" i="1" s="1"/>
  <c r="X217" i="1"/>
  <c r="C217" i="1"/>
  <c r="E217" i="1"/>
  <c r="D217" i="1"/>
  <c r="BD215" i="1"/>
  <c r="BC215" i="1"/>
  <c r="M217" i="6"/>
  <c r="A219" i="1"/>
  <c r="B218" i="1"/>
  <c r="N216" i="1"/>
  <c r="T216" i="1" a="1"/>
  <c r="T216" i="1" s="1"/>
  <c r="U216" i="1" s="1"/>
  <c r="P216" i="1"/>
  <c r="BB215" i="1"/>
  <c r="BA215" i="1"/>
  <c r="S216" i="1"/>
  <c r="AF216" i="1"/>
  <c r="AG216" i="1" s="1"/>
  <c r="CJ218" i="1" l="1"/>
  <c r="AL218" i="1"/>
  <c r="AC218" i="1"/>
  <c r="AH218" i="1"/>
  <c r="O217" i="6"/>
  <c r="R217" i="6" s="1"/>
  <c r="C225" i="3"/>
  <c r="B226" i="3" s="1"/>
  <c r="BB216" i="1"/>
  <c r="BK217" i="1"/>
  <c r="S218" i="5"/>
  <c r="A220" i="1"/>
  <c r="B219" i="1"/>
  <c r="O217" i="1"/>
  <c r="N217" i="1"/>
  <c r="S530" i="5"/>
  <c r="P217" i="1"/>
  <c r="BD216" i="1"/>
  <c r="BC216" i="1"/>
  <c r="S217" i="1"/>
  <c r="AF217" i="1"/>
  <c r="AG217" i="1" s="1"/>
  <c r="N219" i="5"/>
  <c r="Q219" i="5" s="1"/>
  <c r="H218" i="1"/>
  <c r="P219" i="6"/>
  <c r="P531" i="5"/>
  <c r="AD218" i="1"/>
  <c r="N531" i="5"/>
  <c r="Q531" i="5" s="1"/>
  <c r="F218" i="1"/>
  <c r="N219" i="6"/>
  <c r="P219" i="5"/>
  <c r="Y218" i="1"/>
  <c r="AU218" i="1"/>
  <c r="L218" i="1"/>
  <c r="X218" i="1"/>
  <c r="AA218" i="1" s="1"/>
  <c r="AB218" i="1" s="1"/>
  <c r="M218" i="1"/>
  <c r="D218" i="1"/>
  <c r="C218" i="1"/>
  <c r="E218" i="1"/>
  <c r="H167" i="1"/>
  <c r="H147" i="1"/>
  <c r="H191" i="1"/>
  <c r="M218" i="6"/>
  <c r="O218" i="6" s="1"/>
  <c r="R218" i="6" s="1"/>
  <c r="G217" i="1"/>
  <c r="CJ219" i="1" l="1"/>
  <c r="AL219" i="1"/>
  <c r="AH219" i="1"/>
  <c r="AC219" i="1"/>
  <c r="C226" i="3"/>
  <c r="B227" i="3" s="1"/>
  <c r="S219" i="5"/>
  <c r="O218" i="1"/>
  <c r="S218" i="1"/>
  <c r="AF218" i="1"/>
  <c r="AG218" i="1" s="1"/>
  <c r="AO218" i="1"/>
  <c r="AP218" i="1" s="1"/>
  <c r="S531" i="5"/>
  <c r="M219" i="6"/>
  <c r="BD217" i="1"/>
  <c r="BC217" i="1"/>
  <c r="H219" i="1"/>
  <c r="F219" i="1"/>
  <c r="P532" i="5"/>
  <c r="S532" i="5" s="1"/>
  <c r="P220" i="5"/>
  <c r="N220" i="6"/>
  <c r="AD219" i="1"/>
  <c r="P220" i="6"/>
  <c r="N532" i="5"/>
  <c r="Q532" i="5" s="1"/>
  <c r="N220" i="5"/>
  <c r="Q220" i="5" s="1"/>
  <c r="AU219" i="1"/>
  <c r="Y219" i="1"/>
  <c r="L219" i="1"/>
  <c r="M219" i="1"/>
  <c r="X219" i="1"/>
  <c r="AA219" i="1" s="1"/>
  <c r="AB219" i="1" s="1"/>
  <c r="E219" i="1"/>
  <c r="C219" i="1"/>
  <c r="D219" i="1"/>
  <c r="H201" i="1"/>
  <c r="H168" i="1"/>
  <c r="H149" i="1"/>
  <c r="A221" i="1"/>
  <c r="B220" i="1"/>
  <c r="BA217" i="1"/>
  <c r="BB217" i="1"/>
  <c r="G218" i="1"/>
  <c r="CJ220" i="1" l="1"/>
  <c r="AL220" i="1"/>
  <c r="AH220" i="1"/>
  <c r="AC220" i="1"/>
  <c r="C227" i="3"/>
  <c r="B228" i="3" s="1"/>
  <c r="AO219" i="1"/>
  <c r="AP219" i="1" s="1"/>
  <c r="AF219" i="1"/>
  <c r="AG219" i="1" s="1"/>
  <c r="S220" i="5"/>
  <c r="BB218" i="1"/>
  <c r="BA218" i="1"/>
  <c r="O219" i="1"/>
  <c r="M220" i="6"/>
  <c r="H220" i="1"/>
  <c r="F220" i="1"/>
  <c r="AD220" i="1"/>
  <c r="P221" i="6"/>
  <c r="N221" i="5"/>
  <c r="Q221" i="5" s="1"/>
  <c r="P221" i="5"/>
  <c r="N533" i="5"/>
  <c r="Q533" i="5" s="1"/>
  <c r="N221" i="6"/>
  <c r="P533" i="5"/>
  <c r="AU220" i="1"/>
  <c r="Y220" i="1"/>
  <c r="L220" i="1"/>
  <c r="AO220" i="1"/>
  <c r="AP220" i="1" s="1"/>
  <c r="M220" i="1"/>
  <c r="X220" i="1"/>
  <c r="AA220" i="1" s="1"/>
  <c r="AB220" i="1" s="1"/>
  <c r="C220" i="1"/>
  <c r="D220" i="1"/>
  <c r="E220" i="1"/>
  <c r="H202" i="1"/>
  <c r="H165" i="1"/>
  <c r="H146" i="1"/>
  <c r="S219" i="1"/>
  <c r="G219" i="1"/>
  <c r="B221" i="1"/>
  <c r="A222" i="1"/>
  <c r="CJ221" i="1" l="1"/>
  <c r="AL221" i="1"/>
  <c r="AH221" i="1"/>
  <c r="AC221" i="1"/>
  <c r="H187" i="1"/>
  <c r="C228" i="3"/>
  <c r="B229" i="3" s="1"/>
  <c r="S533" i="5"/>
  <c r="G220" i="1"/>
  <c r="BB220" i="1" s="1"/>
  <c r="S221" i="5"/>
  <c r="BB219" i="1"/>
  <c r="BA219" i="1"/>
  <c r="O220" i="1"/>
  <c r="AF220" i="1"/>
  <c r="AG220" i="1" s="1"/>
  <c r="B222" i="1"/>
  <c r="A223" i="1"/>
  <c r="S220" i="1"/>
  <c r="H221" i="1"/>
  <c r="P222" i="5"/>
  <c r="P534" i="5"/>
  <c r="P222" i="6"/>
  <c r="F221" i="1"/>
  <c r="N534" i="5"/>
  <c r="Q534" i="5" s="1"/>
  <c r="AD221" i="1"/>
  <c r="N222" i="5"/>
  <c r="Q222" i="5" s="1"/>
  <c r="N222" i="6"/>
  <c r="AU221" i="1"/>
  <c r="Y221" i="1"/>
  <c r="L221" i="1"/>
  <c r="M221" i="1"/>
  <c r="X221" i="1"/>
  <c r="C221" i="1"/>
  <c r="D221" i="1"/>
  <c r="E221" i="1"/>
  <c r="H208" i="1"/>
  <c r="H173" i="1"/>
  <c r="H186" i="1"/>
  <c r="H150" i="1"/>
  <c r="M221" i="6"/>
  <c r="CJ222" i="1" l="1"/>
  <c r="AL222" i="1"/>
  <c r="AC222" i="1"/>
  <c r="AH222" i="1"/>
  <c r="H205" i="1"/>
  <c r="H188" i="1"/>
  <c r="C229" i="3"/>
  <c r="B230" i="3" s="1"/>
  <c r="BA220" i="1"/>
  <c r="AO221" i="1"/>
  <c r="AP221" i="1" s="1"/>
  <c r="O221" i="1"/>
  <c r="AF221" i="1"/>
  <c r="AG221" i="1" s="1"/>
  <c r="S221" i="1"/>
  <c r="A224" i="1"/>
  <c r="B223" i="1"/>
  <c r="S534" i="5"/>
  <c r="H222" i="1"/>
  <c r="F222" i="1"/>
  <c r="P223" i="6"/>
  <c r="P223" i="5"/>
  <c r="AD222" i="1"/>
  <c r="N535" i="5"/>
  <c r="Q535" i="5" s="1"/>
  <c r="N223" i="6"/>
  <c r="N223" i="5"/>
  <c r="Q223" i="5" s="1"/>
  <c r="P535" i="5"/>
  <c r="AU222" i="1"/>
  <c r="M222" i="1"/>
  <c r="S222" i="1" s="1"/>
  <c r="Y222" i="1"/>
  <c r="L222" i="1"/>
  <c r="X222" i="1"/>
  <c r="E222" i="1"/>
  <c r="C222" i="1"/>
  <c r="D222" i="1"/>
  <c r="H164" i="1"/>
  <c r="H203" i="1"/>
  <c r="H185" i="1"/>
  <c r="H151" i="1"/>
  <c r="AA221" i="1"/>
  <c r="AB221" i="1" s="1"/>
  <c r="S222" i="5"/>
  <c r="M222" i="6"/>
  <c r="G221" i="1"/>
  <c r="CJ223" i="1" l="1"/>
  <c r="AL223" i="1"/>
  <c r="AC223" i="1"/>
  <c r="AH223" i="1"/>
  <c r="C230" i="3"/>
  <c r="B231" i="3" s="1"/>
  <c r="AF222" i="1"/>
  <c r="AG222" i="1" s="1"/>
  <c r="S535" i="5"/>
  <c r="M223" i="6"/>
  <c r="P224" i="6"/>
  <c r="P536" i="5"/>
  <c r="P224" i="5"/>
  <c r="F223" i="1"/>
  <c r="AD223" i="1"/>
  <c r="N224" i="6"/>
  <c r="N536" i="5"/>
  <c r="Q536" i="5" s="1"/>
  <c r="N224" i="5"/>
  <c r="Q224" i="5" s="1"/>
  <c r="H223" i="1"/>
  <c r="AU223" i="1"/>
  <c r="L223" i="1"/>
  <c r="M223" i="1"/>
  <c r="S223" i="1" s="1"/>
  <c r="X223" i="1"/>
  <c r="Y223" i="1"/>
  <c r="C223" i="1"/>
  <c r="E223" i="1"/>
  <c r="D223" i="1"/>
  <c r="H153" i="1"/>
  <c r="H192" i="1"/>
  <c r="H211" i="1"/>
  <c r="H170" i="1"/>
  <c r="O222" i="1"/>
  <c r="A225" i="1"/>
  <c r="B224" i="1"/>
  <c r="AA222" i="1"/>
  <c r="AB222" i="1" s="1"/>
  <c r="S223" i="5"/>
  <c r="AO222" i="1"/>
  <c r="AP222" i="1" s="1"/>
  <c r="G222" i="1"/>
  <c r="BA221" i="1"/>
  <c r="BB221" i="1"/>
  <c r="CJ224" i="1" l="1"/>
  <c r="AL224" i="1"/>
  <c r="AC224" i="1"/>
  <c r="AH224" i="1"/>
  <c r="C231" i="3"/>
  <c r="B232" i="3" s="1"/>
  <c r="AF223" i="1"/>
  <c r="AG223" i="1" s="1"/>
  <c r="AO223" i="1"/>
  <c r="AP223" i="1" s="1"/>
  <c r="O223" i="1"/>
  <c r="B225" i="1"/>
  <c r="A226" i="1"/>
  <c r="S536" i="5"/>
  <c r="BA222" i="1"/>
  <c r="BB222" i="1"/>
  <c r="AA223" i="1"/>
  <c r="AB223" i="1" s="1"/>
  <c r="G223" i="1"/>
  <c r="H224" i="1"/>
  <c r="P225" i="6"/>
  <c r="F224" i="1"/>
  <c r="P537" i="5"/>
  <c r="N225" i="5"/>
  <c r="Q225" i="5" s="1"/>
  <c r="N537" i="5"/>
  <c r="Q537" i="5" s="1"/>
  <c r="N225" i="6"/>
  <c r="P225" i="5"/>
  <c r="AD224" i="1"/>
  <c r="AU224" i="1"/>
  <c r="L224" i="1"/>
  <c r="M224" i="1"/>
  <c r="S224" i="1" s="1"/>
  <c r="X224" i="1"/>
  <c r="AA224" i="1" s="1"/>
  <c r="AB224" i="1" s="1"/>
  <c r="Y224" i="1"/>
  <c r="C224" i="1"/>
  <c r="D224" i="1"/>
  <c r="E224" i="1"/>
  <c r="H177" i="1"/>
  <c r="H206" i="1"/>
  <c r="H182" i="1"/>
  <c r="H158" i="1"/>
  <c r="M224" i="6"/>
  <c r="S224" i="5"/>
  <c r="CJ225" i="1" l="1"/>
  <c r="AL225" i="1"/>
  <c r="AC225" i="1"/>
  <c r="AH225" i="1"/>
  <c r="C232" i="3"/>
  <c r="B233" i="3" s="1"/>
  <c r="S225" i="5"/>
  <c r="G224" i="1"/>
  <c r="BA224" i="1" s="1"/>
  <c r="AO224" i="1"/>
  <c r="AP224" i="1" s="1"/>
  <c r="AF224" i="1"/>
  <c r="AG224" i="1" s="1"/>
  <c r="O224" i="1"/>
  <c r="S537" i="5"/>
  <c r="H225" i="1"/>
  <c r="P538" i="5"/>
  <c r="AD225" i="1"/>
  <c r="N538" i="5"/>
  <c r="Q538" i="5" s="1"/>
  <c r="P226" i="5"/>
  <c r="N226" i="6"/>
  <c r="P226" i="6"/>
  <c r="F225" i="1"/>
  <c r="N226" i="5"/>
  <c r="Q226" i="5" s="1"/>
  <c r="Y225" i="1"/>
  <c r="AU225" i="1"/>
  <c r="M225" i="1"/>
  <c r="X225" i="1"/>
  <c r="AA225" i="1" s="1"/>
  <c r="AB225" i="1" s="1"/>
  <c r="L225" i="1"/>
  <c r="C225" i="1"/>
  <c r="E225" i="1"/>
  <c r="D225" i="1"/>
  <c r="H181" i="1"/>
  <c r="H199" i="1"/>
  <c r="H217" i="1"/>
  <c r="H163" i="1"/>
  <c r="M225" i="6"/>
  <c r="BB223" i="1"/>
  <c r="BA223" i="1"/>
  <c r="A227" i="1"/>
  <c r="B226" i="1"/>
  <c r="CJ226" i="1" l="1"/>
  <c r="AL226" i="1"/>
  <c r="AC226" i="1"/>
  <c r="AH226" i="1"/>
  <c r="C233" i="3"/>
  <c r="B234" i="3" s="1"/>
  <c r="BB224" i="1"/>
  <c r="AO225" i="1"/>
  <c r="AP225" i="1" s="1"/>
  <c r="G225" i="1"/>
  <c r="BA225" i="1" s="1"/>
  <c r="S226" i="5"/>
  <c r="M226" i="6"/>
  <c r="O225" i="1"/>
  <c r="AF225" i="1"/>
  <c r="AG225" i="1" s="1"/>
  <c r="H226" i="1"/>
  <c r="P227" i="6"/>
  <c r="AD226" i="1"/>
  <c r="N227" i="6"/>
  <c r="N227" i="5"/>
  <c r="Q227" i="5" s="1"/>
  <c r="P227" i="5"/>
  <c r="N539" i="5"/>
  <c r="Q539" i="5" s="1"/>
  <c r="P539" i="5"/>
  <c r="F226" i="1"/>
  <c r="Y226" i="1"/>
  <c r="L226" i="1"/>
  <c r="M226" i="1"/>
  <c r="X226" i="1"/>
  <c r="AA226" i="1" s="1"/>
  <c r="AB226" i="1" s="1"/>
  <c r="AU226" i="1"/>
  <c r="C226" i="1"/>
  <c r="D226" i="1"/>
  <c r="E226" i="1"/>
  <c r="H160" i="1"/>
  <c r="H178" i="1"/>
  <c r="H189" i="1"/>
  <c r="H209" i="1"/>
  <c r="A228" i="1"/>
  <c r="B227" i="1"/>
  <c r="S538" i="5"/>
  <c r="S225" i="1"/>
  <c r="CJ227" i="1" l="1"/>
  <c r="AL227" i="1"/>
  <c r="AH227" i="1"/>
  <c r="AC227" i="1"/>
  <c r="C234" i="3"/>
  <c r="B235" i="3" s="1"/>
  <c r="BB225" i="1"/>
  <c r="AO226" i="1"/>
  <c r="AP226" i="1" s="1"/>
  <c r="AF226" i="1"/>
  <c r="AG226" i="1" s="1"/>
  <c r="S227" i="5"/>
  <c r="S539" i="5"/>
  <c r="O226" i="1"/>
  <c r="M227" i="6"/>
  <c r="S226" i="1"/>
  <c r="P228" i="5"/>
  <c r="N228" i="6"/>
  <c r="H227" i="1"/>
  <c r="P540" i="5"/>
  <c r="N540" i="5"/>
  <c r="Q540" i="5" s="1"/>
  <c r="AD227" i="1"/>
  <c r="P228" i="6"/>
  <c r="N228" i="5"/>
  <c r="Q228" i="5" s="1"/>
  <c r="F227" i="1"/>
  <c r="AU227" i="1"/>
  <c r="Y227" i="1"/>
  <c r="L227" i="1"/>
  <c r="M227" i="1"/>
  <c r="S227" i="1" s="1"/>
  <c r="X227" i="1"/>
  <c r="AA227" i="1" s="1"/>
  <c r="AB227" i="1" s="1"/>
  <c r="E227" i="1"/>
  <c r="C227" i="1"/>
  <c r="D227" i="1"/>
  <c r="H207" i="1"/>
  <c r="H166" i="1"/>
  <c r="H183" i="1"/>
  <c r="H159" i="1"/>
  <c r="A229" i="1"/>
  <c r="B228" i="1"/>
  <c r="G226" i="1"/>
  <c r="CJ228" i="1" l="1"/>
  <c r="AL228" i="1"/>
  <c r="AH228" i="1"/>
  <c r="AC228" i="1"/>
  <c r="C235" i="3"/>
  <c r="B236" i="3" s="1"/>
  <c r="AF227" i="1"/>
  <c r="AG227" i="1" s="1"/>
  <c r="AO227" i="1"/>
  <c r="AP227" i="1" s="1"/>
  <c r="H228" i="1"/>
  <c r="P229" i="6"/>
  <c r="N229" i="5"/>
  <c r="Q229" i="5" s="1"/>
  <c r="AD228" i="1"/>
  <c r="N229" i="6"/>
  <c r="P229" i="5"/>
  <c r="N541" i="5"/>
  <c r="Q541" i="5" s="1"/>
  <c r="F228" i="1"/>
  <c r="P541" i="5"/>
  <c r="Y228" i="1"/>
  <c r="L228" i="1"/>
  <c r="BN228" i="1" s="1"/>
  <c r="M228" i="1"/>
  <c r="T228" i="1" s="1" a="1"/>
  <c r="T228" i="1" s="1"/>
  <c r="U228" i="1" s="1"/>
  <c r="X228" i="1"/>
  <c r="AA228" i="1" s="1"/>
  <c r="AB228" i="1" s="1"/>
  <c r="AU228" i="1"/>
  <c r="AO228" i="1"/>
  <c r="AP228" i="1" s="1"/>
  <c r="AI228" i="1"/>
  <c r="C228" i="1"/>
  <c r="E228" i="1"/>
  <c r="D228" i="1"/>
  <c r="H195" i="1"/>
  <c r="H200" i="1"/>
  <c r="H152" i="1"/>
  <c r="H174" i="1"/>
  <c r="M228" i="6"/>
  <c r="A230" i="1"/>
  <c r="B229" i="1"/>
  <c r="S540" i="5"/>
  <c r="BA226" i="1"/>
  <c r="BB226" i="1"/>
  <c r="O227" i="1"/>
  <c r="G227" i="1"/>
  <c r="S228" i="5"/>
  <c r="CJ229" i="1" l="1"/>
  <c r="AL229" i="1"/>
  <c r="AH229" i="1"/>
  <c r="AC229" i="1"/>
  <c r="C236" i="3"/>
  <c r="B237" i="3" s="1"/>
  <c r="BK228" i="1"/>
  <c r="S541" i="5"/>
  <c r="G228" i="1"/>
  <c r="BA228" i="1" s="1"/>
  <c r="S229" i="5"/>
  <c r="B230" i="1"/>
  <c r="A231" i="1"/>
  <c r="BB227" i="1"/>
  <c r="BA227" i="1"/>
  <c r="AF228" i="1"/>
  <c r="AG228" i="1" s="1"/>
  <c r="M229" i="6"/>
  <c r="O228" i="1"/>
  <c r="S228" i="1"/>
  <c r="P228" i="1"/>
  <c r="N228" i="1"/>
  <c r="H229" i="1"/>
  <c r="F229" i="1"/>
  <c r="AD229" i="1"/>
  <c r="N542" i="5"/>
  <c r="Q542" i="5" s="1"/>
  <c r="P542" i="5"/>
  <c r="P230" i="6"/>
  <c r="P230" i="5"/>
  <c r="N230" i="6"/>
  <c r="N230" i="5"/>
  <c r="Q230" i="5" s="1"/>
  <c r="AU229" i="1"/>
  <c r="L229" i="1"/>
  <c r="BN229" i="1" s="1"/>
  <c r="Y229" i="1"/>
  <c r="AO229" i="1"/>
  <c r="AP229" i="1" s="1"/>
  <c r="X229" i="1"/>
  <c r="AA229" i="1" s="1"/>
  <c r="AB229" i="1" s="1"/>
  <c r="M229" i="1"/>
  <c r="AI229" i="1"/>
  <c r="C229" i="1"/>
  <c r="E229" i="1"/>
  <c r="D229" i="1"/>
  <c r="H204" i="1"/>
  <c r="H184" i="1"/>
  <c r="H169" i="1"/>
  <c r="H155" i="1"/>
  <c r="CJ230" i="1" l="1"/>
  <c r="AL230" i="1"/>
  <c r="AC230" i="1"/>
  <c r="AH230" i="1"/>
  <c r="C237" i="3"/>
  <c r="B238" i="3" s="1"/>
  <c r="BK229" i="1"/>
  <c r="BB228" i="1"/>
  <c r="S542" i="5"/>
  <c r="O229" i="1"/>
  <c r="T229" i="1" a="1"/>
  <c r="T229" i="1" s="1"/>
  <c r="U229" i="1" s="1"/>
  <c r="S230" i="5"/>
  <c r="P229" i="1"/>
  <c r="AF229" i="1"/>
  <c r="AG229" i="1" s="1"/>
  <c r="O229" i="6"/>
  <c r="R229" i="6" s="1"/>
  <c r="A232" i="1"/>
  <c r="B231" i="1"/>
  <c r="N229" i="1"/>
  <c r="M230" i="6"/>
  <c r="H230" i="1"/>
  <c r="P231" i="5"/>
  <c r="N231" i="5"/>
  <c r="Q231" i="5" s="1"/>
  <c r="N231" i="6"/>
  <c r="P231" i="6"/>
  <c r="P543" i="5"/>
  <c r="AD230" i="1"/>
  <c r="F230" i="1"/>
  <c r="N543" i="5"/>
  <c r="Q543" i="5" s="1"/>
  <c r="L230" i="1"/>
  <c r="BN230" i="1" s="1"/>
  <c r="AU230" i="1"/>
  <c r="M230" i="1"/>
  <c r="P230" i="1" s="1"/>
  <c r="Y230" i="1"/>
  <c r="X230" i="1"/>
  <c r="AA230" i="1" s="1"/>
  <c r="AB230" i="1" s="1"/>
  <c r="AO230" i="1"/>
  <c r="AP230" i="1" s="1"/>
  <c r="AI230" i="1"/>
  <c r="C230" i="1"/>
  <c r="D230" i="1"/>
  <c r="E230" i="1"/>
  <c r="H162" i="1"/>
  <c r="H210" i="1"/>
  <c r="H190" i="1"/>
  <c r="H180" i="1"/>
  <c r="S229" i="1"/>
  <c r="G229" i="1"/>
  <c r="BD228" i="1"/>
  <c r="BC228" i="1"/>
  <c r="CJ231" i="1" l="1"/>
  <c r="AL231" i="1"/>
  <c r="AC231" i="1"/>
  <c r="AH231" i="1"/>
  <c r="C238" i="3"/>
  <c r="B239" i="3" s="1"/>
  <c r="BK230" i="1"/>
  <c r="N230" i="1"/>
  <c r="O230" i="1"/>
  <c r="S543" i="5"/>
  <c r="T230" i="1" a="1"/>
  <c r="T230" i="1" s="1"/>
  <c r="U230" i="1" s="1"/>
  <c r="BA229" i="1"/>
  <c r="BB229" i="1"/>
  <c r="M231" i="6"/>
  <c r="S231" i="5"/>
  <c r="S230" i="1"/>
  <c r="AF230" i="1"/>
  <c r="AG230" i="1" s="1"/>
  <c r="G230" i="1"/>
  <c r="O230" i="6"/>
  <c r="R230" i="6" s="1"/>
  <c r="BD229" i="1"/>
  <c r="BC229" i="1"/>
  <c r="H231" i="1"/>
  <c r="F231" i="1"/>
  <c r="AI231" i="1"/>
  <c r="N232" i="6"/>
  <c r="P232" i="5"/>
  <c r="N232" i="5"/>
  <c r="Q232" i="5" s="1"/>
  <c r="P544" i="5"/>
  <c r="AD231" i="1"/>
  <c r="N544" i="5"/>
  <c r="Q544" i="5" s="1"/>
  <c r="AU231" i="1"/>
  <c r="P232" i="6"/>
  <c r="L231" i="1"/>
  <c r="BN231" i="1" s="1"/>
  <c r="Y231" i="1"/>
  <c r="AO231" i="1"/>
  <c r="AP231" i="1" s="1"/>
  <c r="X231" i="1"/>
  <c r="AA231" i="1" s="1"/>
  <c r="AB231" i="1" s="1"/>
  <c r="M231" i="1"/>
  <c r="P231" i="1" s="1"/>
  <c r="E231" i="1"/>
  <c r="D231" i="1"/>
  <c r="C231" i="1"/>
  <c r="H154" i="1"/>
  <c r="H212" i="1"/>
  <c r="H193" i="1"/>
  <c r="H171" i="1"/>
  <c r="B232" i="1"/>
  <c r="A233" i="1"/>
  <c r="CJ232" i="1" l="1"/>
  <c r="AL232" i="1"/>
  <c r="AC232" i="1"/>
  <c r="AH232" i="1"/>
  <c r="C239" i="3"/>
  <c r="B240" i="3" s="1"/>
  <c r="BK231" i="1"/>
  <c r="BD230" i="1"/>
  <c r="BC230" i="1"/>
  <c r="G231" i="1"/>
  <c r="BA231" i="1" s="1"/>
  <c r="O231" i="1"/>
  <c r="M232" i="6"/>
  <c r="S232" i="5"/>
  <c r="N231" i="1"/>
  <c r="T231" i="1" a="1"/>
  <c r="T231" i="1" s="1"/>
  <c r="U231" i="1" s="1"/>
  <c r="AF231" i="1"/>
  <c r="AG231" i="1" s="1"/>
  <c r="AI232" i="1"/>
  <c r="H232" i="1"/>
  <c r="M232" i="1"/>
  <c r="AF232" i="1" s="1"/>
  <c r="AG232" i="1" s="1"/>
  <c r="N233" i="5"/>
  <c r="Q233" i="5" s="1"/>
  <c r="AD232" i="1"/>
  <c r="N233" i="6"/>
  <c r="F232" i="1"/>
  <c r="P545" i="5"/>
  <c r="N545" i="5"/>
  <c r="Q545" i="5" s="1"/>
  <c r="P233" i="6"/>
  <c r="P233" i="5"/>
  <c r="Y232" i="1"/>
  <c r="AU232" i="1"/>
  <c r="X232" i="1"/>
  <c r="AA232" i="1" s="1"/>
  <c r="AB232" i="1" s="1"/>
  <c r="L232" i="1"/>
  <c r="BN232" i="1" s="1"/>
  <c r="C232" i="1"/>
  <c r="D232" i="1"/>
  <c r="E232" i="1"/>
  <c r="H172" i="1"/>
  <c r="H213" i="1"/>
  <c r="H148" i="1"/>
  <c r="H194" i="1"/>
  <c r="S231" i="1"/>
  <c r="S544" i="5"/>
  <c r="BA230" i="1"/>
  <c r="BB230" i="1"/>
  <c r="O231" i="6"/>
  <c r="R231" i="6" s="1"/>
  <c r="A234" i="1"/>
  <c r="B233" i="1"/>
  <c r="CJ233" i="1" l="1"/>
  <c r="AL233" i="1"/>
  <c r="AC233" i="1"/>
  <c r="AH233" i="1"/>
  <c r="C240" i="3"/>
  <c r="B241" i="3" s="1"/>
  <c r="AO232" i="1"/>
  <c r="AP232" i="1" s="1"/>
  <c r="BK232" i="1"/>
  <c r="S233" i="5"/>
  <c r="T232" i="1" a="1"/>
  <c r="T232" i="1" s="1"/>
  <c r="U232" i="1" s="1"/>
  <c r="BB231" i="1"/>
  <c r="S232" i="1"/>
  <c r="N232" i="1"/>
  <c r="B234" i="1"/>
  <c r="A235" i="1"/>
  <c r="BC231" i="1"/>
  <c r="BD231" i="1"/>
  <c r="P232" i="1"/>
  <c r="S545" i="5"/>
  <c r="O232" i="1"/>
  <c r="O232" i="6"/>
  <c r="R232" i="6" s="1"/>
  <c r="G232" i="1"/>
  <c r="H233" i="1"/>
  <c r="N234" i="5"/>
  <c r="Q234" i="5" s="1"/>
  <c r="N234" i="6"/>
  <c r="AI233" i="1"/>
  <c r="M233" i="1"/>
  <c r="AF233" i="1" s="1"/>
  <c r="AG233" i="1" s="1"/>
  <c r="P234" i="6"/>
  <c r="L233" i="1"/>
  <c r="BN233" i="1" s="1"/>
  <c r="P234" i="5"/>
  <c r="AD233" i="1"/>
  <c r="F233" i="1"/>
  <c r="N546" i="5"/>
  <c r="Q546" i="5" s="1"/>
  <c r="P546" i="5"/>
  <c r="AU233" i="1"/>
  <c r="Y233" i="1"/>
  <c r="X233" i="1"/>
  <c r="AA233" i="1" s="1"/>
  <c r="AB233" i="1" s="1"/>
  <c r="C233" i="1"/>
  <c r="E233" i="1"/>
  <c r="D233" i="1"/>
  <c r="H214" i="1"/>
  <c r="H175" i="1"/>
  <c r="H156" i="1"/>
  <c r="H196" i="1"/>
  <c r="M233" i="6"/>
  <c r="CJ234" i="1" l="1"/>
  <c r="AL234" i="1"/>
  <c r="AC234" i="1"/>
  <c r="AH234" i="1"/>
  <c r="C241" i="3"/>
  <c r="B242" i="3" s="1"/>
  <c r="BK233" i="1"/>
  <c r="S546" i="5"/>
  <c r="P233" i="1"/>
  <c r="O233" i="1"/>
  <c r="BC232" i="1"/>
  <c r="BD232" i="1"/>
  <c r="S233" i="1"/>
  <c r="N233" i="1"/>
  <c r="BC233" i="1" s="1"/>
  <c r="T233" i="1" a="1"/>
  <c r="T233" i="1" s="1"/>
  <c r="U233" i="1" s="1"/>
  <c r="O233" i="6"/>
  <c r="R233" i="6" s="1"/>
  <c r="G233" i="1"/>
  <c r="BA232" i="1"/>
  <c r="BB232" i="1"/>
  <c r="A236" i="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B235" i="1"/>
  <c r="S234" i="5"/>
  <c r="H234" i="1"/>
  <c r="AI234" i="1"/>
  <c r="F234" i="1"/>
  <c r="AD234" i="1"/>
  <c r="N235" i="6"/>
  <c r="N235" i="5"/>
  <c r="Q235" i="5" s="1"/>
  <c r="P547" i="5"/>
  <c r="P235" i="6"/>
  <c r="P235" i="5"/>
  <c r="N547" i="5"/>
  <c r="Q547" i="5" s="1"/>
  <c r="M234" i="1"/>
  <c r="P234" i="1" s="1"/>
  <c r="Y234" i="1"/>
  <c r="L234" i="1"/>
  <c r="BN234" i="1" s="1"/>
  <c r="AU234" i="1"/>
  <c r="X234" i="1"/>
  <c r="AA234" i="1" s="1"/>
  <c r="AB234" i="1" s="1"/>
  <c r="D234" i="1"/>
  <c r="C234" i="1"/>
  <c r="E234" i="1"/>
  <c r="H176" i="1"/>
  <c r="H215" i="1"/>
  <c r="H157" i="1"/>
  <c r="H197" i="1"/>
  <c r="AO233" i="1"/>
  <c r="AP233" i="1" s="1"/>
  <c r="M234" i="6"/>
  <c r="O234" i="6" s="1"/>
  <c r="R234" i="6" s="1"/>
  <c r="D41" i="8" l="1"/>
  <c r="C43" i="8"/>
  <c r="B41" i="8"/>
  <c r="C41" i="8"/>
  <c r="E42" i="8"/>
  <c r="G42" i="8" a="1"/>
  <c r="G42" i="8" s="1"/>
  <c r="E41" i="8"/>
  <c r="G43" i="8" a="1"/>
  <c r="G43" i="8" s="1"/>
  <c r="F43" i="8"/>
  <c r="F42" i="8"/>
  <c r="D42" i="8"/>
  <c r="B42" i="8"/>
  <c r="D43" i="8"/>
  <c r="B43" i="8"/>
  <c r="C42" i="8"/>
  <c r="E43" i="8"/>
  <c r="F41" i="8"/>
  <c r="CJ235" i="1"/>
  <c r="AL235" i="1"/>
  <c r="BE2" i="1"/>
  <c r="BE4" i="1"/>
  <c r="BE3" i="1"/>
  <c r="BE5" i="1"/>
  <c r="BE6" i="1"/>
  <c r="BE7" i="1"/>
  <c r="BE8" i="1"/>
  <c r="BE10" i="1"/>
  <c r="BE9" i="1"/>
  <c r="BE11" i="1"/>
  <c r="BE12" i="1"/>
  <c r="BE13" i="1"/>
  <c r="AC13" i="1" s="1"/>
  <c r="BE14" i="1"/>
  <c r="AC14" i="1" s="1"/>
  <c r="BE15" i="1"/>
  <c r="AC15" i="1" s="1"/>
  <c r="BE16" i="1"/>
  <c r="AC16" i="1" s="1"/>
  <c r="BE17" i="1"/>
  <c r="AC17" i="1" s="1"/>
  <c r="BE18" i="1"/>
  <c r="AC18" i="1" s="1"/>
  <c r="BE19" i="1"/>
  <c r="AC19" i="1" s="1"/>
  <c r="BE20" i="1"/>
  <c r="BE21" i="1"/>
  <c r="BE22" i="1"/>
  <c r="BE24" i="1"/>
  <c r="BE23" i="1"/>
  <c r="BE25" i="1"/>
  <c r="BE28" i="1"/>
  <c r="BE27" i="1"/>
  <c r="BE26" i="1"/>
  <c r="BE33" i="1"/>
  <c r="BE29" i="1"/>
  <c r="BE30" i="1"/>
  <c r="BE31" i="1"/>
  <c r="BE32" i="1"/>
  <c r="BE34" i="1"/>
  <c r="BE35" i="1"/>
  <c r="AC35" i="1" s="1"/>
  <c r="BE36" i="1"/>
  <c r="AC36" i="1" s="1"/>
  <c r="BE38" i="1"/>
  <c r="BE39" i="1"/>
  <c r="BE37" i="1"/>
  <c r="AC37" i="1" s="1"/>
  <c r="BE40" i="1"/>
  <c r="BE42" i="1"/>
  <c r="BE43" i="1"/>
  <c r="BE41" i="1"/>
  <c r="BE44" i="1"/>
  <c r="BE47" i="1"/>
  <c r="BE45" i="1"/>
  <c r="BE46" i="1"/>
  <c r="BE48" i="1"/>
  <c r="BE49" i="1"/>
  <c r="AC49" i="1" s="1"/>
  <c r="BE53" i="1"/>
  <c r="AC53" i="1" s="1"/>
  <c r="BE50" i="1"/>
  <c r="AC50" i="1" s="1"/>
  <c r="BE51" i="1"/>
  <c r="AC51" i="1" s="1"/>
  <c r="BE52" i="1"/>
  <c r="AC52" i="1" s="1"/>
  <c r="BE56" i="1"/>
  <c r="BE58" i="1"/>
  <c r="BE54" i="1"/>
  <c r="AC54" i="1" s="1"/>
  <c r="BE55" i="1"/>
  <c r="AC55" i="1" s="1"/>
  <c r="BE57" i="1"/>
  <c r="BE59" i="1"/>
  <c r="BE60" i="1"/>
  <c r="BE64" i="1"/>
  <c r="BE61" i="1"/>
  <c r="BE62" i="1"/>
  <c r="BE63" i="1"/>
  <c r="BE65" i="1"/>
  <c r="BE67" i="1"/>
  <c r="BE66" i="1"/>
  <c r="BE68" i="1"/>
  <c r="BE69" i="1"/>
  <c r="BE70" i="1"/>
  <c r="AC70" i="1" s="1"/>
  <c r="BE71" i="1"/>
  <c r="AC71" i="1" s="1"/>
  <c r="BE73" i="1"/>
  <c r="AC73" i="1" s="1"/>
  <c r="BE72" i="1"/>
  <c r="AC72" i="1" s="1"/>
  <c r="BE74" i="1"/>
  <c r="BE75" i="1"/>
  <c r="BE76" i="1"/>
  <c r="BE78" i="1"/>
  <c r="BE77" i="1"/>
  <c r="BE79" i="1"/>
  <c r="BE83" i="1"/>
  <c r="BE80" i="1"/>
  <c r="BE81" i="1"/>
  <c r="BE82" i="1"/>
  <c r="BE84" i="1"/>
  <c r="BE85" i="1"/>
  <c r="BE87" i="1"/>
  <c r="AC87" i="1" s="1"/>
  <c r="BE86" i="1"/>
  <c r="AC86" i="1" s="1"/>
  <c r="BE89" i="1"/>
  <c r="AC89" i="1" s="1"/>
  <c r="BE88" i="1"/>
  <c r="AC88" i="1" s="1"/>
  <c r="BE90" i="1"/>
  <c r="AC90" i="1" s="1"/>
  <c r="BE91" i="1"/>
  <c r="AC91" i="1" s="1"/>
  <c r="BE92" i="1"/>
  <c r="BE93" i="1"/>
  <c r="BE94" i="1"/>
  <c r="BE95" i="1"/>
  <c r="BE96" i="1"/>
  <c r="BE99" i="1"/>
  <c r="BE97" i="1"/>
  <c r="BE98" i="1"/>
  <c r="BE100" i="1"/>
  <c r="BE101" i="1"/>
  <c r="BE102" i="1"/>
  <c r="BE103" i="1"/>
  <c r="BE105" i="1"/>
  <c r="BE104" i="1"/>
  <c r="BE107" i="1"/>
  <c r="AC107" i="1" s="1"/>
  <c r="BE108" i="1"/>
  <c r="AC108" i="1" s="1"/>
  <c r="BE110" i="1"/>
  <c r="BE106" i="1"/>
  <c r="BE109" i="1"/>
  <c r="AC109" i="1" s="1"/>
  <c r="BE111" i="1"/>
  <c r="BE112" i="1"/>
  <c r="BE116" i="1"/>
  <c r="BE114" i="1"/>
  <c r="BE113" i="1"/>
  <c r="BE115" i="1"/>
  <c r="BE120" i="1"/>
  <c r="BE121" i="1"/>
  <c r="AC121" i="1" s="1"/>
  <c r="BE117" i="1"/>
  <c r="BE118" i="1"/>
  <c r="BE122" i="1"/>
  <c r="AC122" i="1" s="1"/>
  <c r="BE119" i="1"/>
  <c r="BE124" i="1"/>
  <c r="AC124" i="1" s="1"/>
  <c r="BE123" i="1"/>
  <c r="AC123" i="1" s="1"/>
  <c r="BE125" i="1"/>
  <c r="AC125" i="1" s="1"/>
  <c r="BE126" i="1"/>
  <c r="AC126" i="1" s="1"/>
  <c r="BE127" i="1"/>
  <c r="AC127" i="1" s="1"/>
  <c r="BE128" i="1"/>
  <c r="BE129" i="1"/>
  <c r="BE130" i="1"/>
  <c r="BE131" i="1"/>
  <c r="BE132" i="1"/>
  <c r="BE133" i="1"/>
  <c r="BE134" i="1"/>
  <c r="BE135" i="1"/>
  <c r="BE137" i="1"/>
  <c r="BE136" i="1"/>
  <c r="BE143" i="1"/>
  <c r="AC143" i="1" s="1"/>
  <c r="BE140" i="1"/>
  <c r="BE139" i="1"/>
  <c r="BE141" i="1"/>
  <c r="BE138" i="1"/>
  <c r="BE142" i="1"/>
  <c r="AC142" i="1" s="1"/>
  <c r="BE144" i="1"/>
  <c r="AC144" i="1" s="1"/>
  <c r="BE145" i="1"/>
  <c r="AC145" i="1" s="1"/>
  <c r="BE146" i="1"/>
  <c r="BE147" i="1"/>
  <c r="BE149" i="1"/>
  <c r="BE148" i="1"/>
  <c r="BE150" i="1"/>
  <c r="BE153" i="1"/>
  <c r="BE154" i="1"/>
  <c r="BE152" i="1"/>
  <c r="BE151" i="1"/>
  <c r="BE155" i="1"/>
  <c r="BE156" i="1"/>
  <c r="BE157" i="1"/>
  <c r="BE158" i="1"/>
  <c r="BE159" i="1"/>
  <c r="AC159" i="1" s="1"/>
  <c r="BE160" i="1"/>
  <c r="AC160" i="1" s="1"/>
  <c r="BE161" i="1"/>
  <c r="AC161" i="1" s="1"/>
  <c r="BE162" i="1"/>
  <c r="AC162" i="1" s="1"/>
  <c r="BE163" i="1"/>
  <c r="AC163" i="1" s="1"/>
  <c r="BE167" i="1"/>
  <c r="BE165" i="1"/>
  <c r="BE164" i="1"/>
  <c r="BE166" i="1"/>
  <c r="BE168" i="1"/>
  <c r="BE169" i="1"/>
  <c r="BE170" i="1"/>
  <c r="BE171" i="1"/>
  <c r="BE172" i="1"/>
  <c r="BE173" i="1"/>
  <c r="BE175" i="1"/>
  <c r="AC175" i="1" s="1"/>
  <c r="BE174" i="1"/>
  <c r="AC174" i="1" s="1"/>
  <c r="BE177" i="1"/>
  <c r="AC177" i="1" s="1"/>
  <c r="BE176" i="1"/>
  <c r="AC176" i="1" s="1"/>
  <c r="BE178" i="1"/>
  <c r="AC178" i="1" s="1"/>
  <c r="BE179" i="1"/>
  <c r="AC179" i="1" s="1"/>
  <c r="BE180" i="1"/>
  <c r="AC180" i="1" s="1"/>
  <c r="BE181" i="1"/>
  <c r="AC181" i="1" s="1"/>
  <c r="AH235" i="1"/>
  <c r="AC235" i="1"/>
  <c r="T154" i="1" a="1"/>
  <c r="T154" i="1" s="1"/>
  <c r="T153" i="1" a="1"/>
  <c r="T153" i="1" s="1"/>
  <c r="T137" i="1" a="1"/>
  <c r="T137" i="1" s="1"/>
  <c r="T102" i="1" a="1"/>
  <c r="T102" i="1" s="1"/>
  <c r="T103" i="1" a="1"/>
  <c r="T103" i="1" s="1"/>
  <c r="T68" i="1" a="1"/>
  <c r="T68" i="1" s="1"/>
  <c r="T69" i="1" a="1"/>
  <c r="T69" i="1" s="1"/>
  <c r="T34" i="1" a="1"/>
  <c r="T34" i="1" s="1"/>
  <c r="T67" i="1" a="1"/>
  <c r="T67" i="1" s="1"/>
  <c r="T32" i="1" a="1"/>
  <c r="T32" i="1" s="1"/>
  <c r="T33" i="1" a="1"/>
  <c r="T33" i="1" s="1"/>
  <c r="T211" i="1" a="1"/>
  <c r="T211" i="1" s="1"/>
  <c r="T212" i="1" a="1"/>
  <c r="T212" i="1" s="1"/>
  <c r="T209" i="1" a="1"/>
  <c r="T209" i="1" s="1"/>
  <c r="T210" i="1" a="1"/>
  <c r="T210" i="1" s="1"/>
  <c r="T207" i="1" a="1"/>
  <c r="T207" i="1" s="1"/>
  <c r="T208" i="1" a="1"/>
  <c r="T208" i="1" s="1"/>
  <c r="T198" i="1" a="1"/>
  <c r="T198" i="1" s="1"/>
  <c r="T206" i="1" a="1"/>
  <c r="T206" i="1" s="1"/>
  <c r="T196" i="1" a="1"/>
  <c r="T196" i="1" s="1"/>
  <c r="T197" i="1" a="1"/>
  <c r="T197" i="1" s="1"/>
  <c r="T194" i="1" a="1"/>
  <c r="T194" i="1" s="1"/>
  <c r="T195" i="1" a="1"/>
  <c r="T195" i="1" s="1"/>
  <c r="T192" i="1" a="1"/>
  <c r="T192" i="1" s="1"/>
  <c r="T193" i="1" a="1"/>
  <c r="T193" i="1" s="1"/>
  <c r="T180" i="1" a="1"/>
  <c r="T180" i="1" s="1"/>
  <c r="T191" i="1" a="1"/>
  <c r="T191" i="1" s="1"/>
  <c r="T178" i="1" a="1"/>
  <c r="T178" i="1" s="1"/>
  <c r="T179" i="1" a="1"/>
  <c r="T179" i="1" s="1"/>
  <c r="T176" i="1" a="1"/>
  <c r="T176" i="1" s="1"/>
  <c r="T177" i="1" a="1"/>
  <c r="T177" i="1" s="1"/>
  <c r="T174" i="1" a="1"/>
  <c r="T174" i="1" s="1"/>
  <c r="T175" i="1" a="1"/>
  <c r="T175" i="1" s="1"/>
  <c r="T172" i="1" a="1"/>
  <c r="T172" i="1" s="1"/>
  <c r="T173" i="1" a="1"/>
  <c r="T173" i="1" s="1"/>
  <c r="T162" i="1" a="1"/>
  <c r="T162" i="1" s="1"/>
  <c r="T163" i="1" a="1"/>
  <c r="T163" i="1" s="1"/>
  <c r="T160" i="1" a="1"/>
  <c r="T160" i="1" s="1"/>
  <c r="T161" i="1" a="1"/>
  <c r="T161" i="1" s="1"/>
  <c r="T158" i="1" a="1"/>
  <c r="T158" i="1" s="1"/>
  <c r="T159" i="1" a="1"/>
  <c r="T159" i="1" s="1"/>
  <c r="T156" i="1" a="1"/>
  <c r="T156" i="1" s="1"/>
  <c r="T157" i="1" a="1"/>
  <c r="T157" i="1" s="1"/>
  <c r="T145" i="1" a="1"/>
  <c r="T145" i="1" s="1"/>
  <c r="T155" i="1" a="1"/>
  <c r="T155" i="1" s="1"/>
  <c r="T143" i="1" a="1"/>
  <c r="T143" i="1" s="1"/>
  <c r="T144" i="1" a="1"/>
  <c r="T144" i="1" s="1"/>
  <c r="T141" i="1" a="1"/>
  <c r="T141" i="1" s="1"/>
  <c r="T142" i="1" a="1"/>
  <c r="T142" i="1" s="1"/>
  <c r="T139" i="1" a="1"/>
  <c r="T139" i="1" s="1"/>
  <c r="T140" i="1" a="1"/>
  <c r="T140" i="1" s="1"/>
  <c r="T127" i="1" a="1"/>
  <c r="T127" i="1" s="1"/>
  <c r="T138" i="1" a="1"/>
  <c r="T138" i="1" s="1"/>
  <c r="T125" i="1" a="1"/>
  <c r="T125" i="1" s="1"/>
  <c r="T126" i="1" a="1"/>
  <c r="T126" i="1" s="1"/>
  <c r="T123" i="1" a="1"/>
  <c r="T123" i="1" s="1"/>
  <c r="T124" i="1" a="1"/>
  <c r="T124" i="1" s="1"/>
  <c r="T109" i="1" a="1"/>
  <c r="T109" i="1" s="1"/>
  <c r="T122" i="1" a="1"/>
  <c r="T122" i="1" s="1"/>
  <c r="T107" i="1" a="1"/>
  <c r="T107" i="1" s="1"/>
  <c r="T108" i="1" a="1"/>
  <c r="T108" i="1" s="1"/>
  <c r="T105" i="1" a="1"/>
  <c r="T105" i="1" s="1"/>
  <c r="T106" i="1" a="1"/>
  <c r="T106" i="1" s="1"/>
  <c r="T101" i="1" a="1"/>
  <c r="T101" i="1" s="1"/>
  <c r="T104" i="1" a="1"/>
  <c r="T104" i="1" s="1"/>
  <c r="T90" i="1" a="1"/>
  <c r="T90" i="1" s="1"/>
  <c r="T91" i="1" a="1"/>
  <c r="T91" i="1" s="1"/>
  <c r="T88" i="1" a="1"/>
  <c r="T88" i="1" s="1"/>
  <c r="T89" i="1" a="1"/>
  <c r="T89" i="1" s="1"/>
  <c r="T73" i="1" a="1"/>
  <c r="T73" i="1" s="1"/>
  <c r="T87" i="1" a="1"/>
  <c r="T87" i="1" s="1"/>
  <c r="T71" i="1" a="1"/>
  <c r="T71" i="1" s="1"/>
  <c r="T72" i="1" a="1"/>
  <c r="T72" i="1" s="1"/>
  <c r="T55" i="1" a="1"/>
  <c r="T55" i="1" s="1"/>
  <c r="T70" i="1" a="1"/>
  <c r="T70" i="1" s="1"/>
  <c r="T53" i="1" a="1"/>
  <c r="T53" i="1" s="1"/>
  <c r="T54" i="1" a="1"/>
  <c r="T54" i="1" s="1"/>
  <c r="T36" i="1" a="1"/>
  <c r="T36" i="1" s="1"/>
  <c r="T37" i="1" a="1"/>
  <c r="T37" i="1" s="1"/>
  <c r="T19" i="1" a="1"/>
  <c r="T19" i="1" s="1"/>
  <c r="C242" i="3"/>
  <c r="B243" i="3" s="1"/>
  <c r="BK234" i="1"/>
  <c r="N234" i="1"/>
  <c r="BC234" i="1" s="1"/>
  <c r="AO234" i="1"/>
  <c r="AP234" i="1" s="1"/>
  <c r="BI234" i="1"/>
  <c r="T234" i="1" a="1"/>
  <c r="T234" i="1" s="1"/>
  <c r="U234" i="1" s="1"/>
  <c r="Z230" i="1"/>
  <c r="Z234" i="1"/>
  <c r="Z231" i="1"/>
  <c r="Z229" i="1"/>
  <c r="AE231" i="1"/>
  <c r="S234" i="1"/>
  <c r="BI232" i="1"/>
  <c r="AE234" i="1"/>
  <c r="AF234" i="1"/>
  <c r="AG234" i="1" s="1"/>
  <c r="BI233" i="1"/>
  <c r="BH232" i="1"/>
  <c r="BM232" i="1" s="1"/>
  <c r="BH230" i="1"/>
  <c r="BH234" i="1"/>
  <c r="BH233" i="1"/>
  <c r="BD233" i="1"/>
  <c r="O234" i="1"/>
  <c r="BH235" i="1"/>
  <c r="BI235" i="1"/>
  <c r="BH13" i="1"/>
  <c r="BH16" i="1"/>
  <c r="BH11" i="1"/>
  <c r="BI16" i="1"/>
  <c r="BH5" i="1"/>
  <c r="BI22" i="1"/>
  <c r="BH24" i="1"/>
  <c r="BH19" i="1"/>
  <c r="BI2" i="1"/>
  <c r="BI20" i="1"/>
  <c r="BI3" i="1"/>
  <c r="BH14" i="1"/>
  <c r="BH22" i="1"/>
  <c r="BI8" i="1"/>
  <c r="BH12" i="1"/>
  <c r="BI5" i="1"/>
  <c r="BH21" i="1"/>
  <c r="BH4" i="1"/>
  <c r="BI9" i="1"/>
  <c r="BH6" i="1"/>
  <c r="BH3" i="1"/>
  <c r="BH23" i="1"/>
  <c r="BI24" i="1"/>
  <c r="BI14" i="1"/>
  <c r="BI18" i="1"/>
  <c r="BI21" i="1"/>
  <c r="BI4" i="1"/>
  <c r="BH10" i="1"/>
  <c r="BI7" i="1"/>
  <c r="BI23" i="1"/>
  <c r="BI6" i="1"/>
  <c r="BI12" i="1"/>
  <c r="BH18" i="1"/>
  <c r="BH20" i="1"/>
  <c r="BI17" i="1"/>
  <c r="BH15" i="1"/>
  <c r="BH17" i="1"/>
  <c r="BI13" i="1"/>
  <c r="BH7" i="1"/>
  <c r="BH9" i="1"/>
  <c r="BI19" i="1"/>
  <c r="BH2" i="1"/>
  <c r="BI15" i="1"/>
  <c r="BH25" i="1"/>
  <c r="BH8" i="1"/>
  <c r="BI25" i="1"/>
  <c r="BI11" i="1"/>
  <c r="BI10" i="1"/>
  <c r="BH27" i="1"/>
  <c r="BI27" i="1"/>
  <c r="BH26" i="1"/>
  <c r="BI26" i="1"/>
  <c r="BI28" i="1"/>
  <c r="BH28" i="1"/>
  <c r="BI30" i="1"/>
  <c r="BI29" i="1"/>
  <c r="BH29" i="1"/>
  <c r="BH31" i="1"/>
  <c r="BI32" i="1"/>
  <c r="BH34" i="1"/>
  <c r="BH32" i="1"/>
  <c r="BH30" i="1"/>
  <c r="BI31" i="1"/>
  <c r="BI34" i="1"/>
  <c r="BH33" i="1"/>
  <c r="BI33" i="1"/>
  <c r="BI35" i="1"/>
  <c r="BH35" i="1"/>
  <c r="BI36" i="1"/>
  <c r="BI38" i="1"/>
  <c r="BI37" i="1"/>
  <c r="BH37" i="1"/>
  <c r="BH38" i="1"/>
  <c r="BH36" i="1"/>
  <c r="BH40" i="1"/>
  <c r="BI39" i="1"/>
  <c r="BH42" i="1"/>
  <c r="BI41" i="1"/>
  <c r="BI40" i="1"/>
  <c r="BI42" i="1"/>
  <c r="BH39" i="1"/>
  <c r="BH43" i="1"/>
  <c r="BH41" i="1"/>
  <c r="BH45" i="1"/>
  <c r="BI43" i="1"/>
  <c r="BI44" i="1"/>
  <c r="BH44" i="1"/>
  <c r="BI47" i="1"/>
  <c r="BI45" i="1"/>
  <c r="BH46" i="1"/>
  <c r="BI46" i="1"/>
  <c r="BH48" i="1"/>
  <c r="BH47" i="1"/>
  <c r="BI49" i="1"/>
  <c r="BH51" i="1"/>
  <c r="BI50" i="1"/>
  <c r="BH49" i="1"/>
  <c r="BI48" i="1"/>
  <c r="BI51" i="1"/>
  <c r="BH50" i="1"/>
  <c r="BI52" i="1"/>
  <c r="BH52" i="1"/>
  <c r="BI53" i="1"/>
  <c r="BH55" i="1"/>
  <c r="BH53" i="1"/>
  <c r="BH56" i="1"/>
  <c r="BI56" i="1"/>
  <c r="BI55" i="1"/>
  <c r="BI54" i="1"/>
  <c r="BH54" i="1"/>
  <c r="BI58" i="1"/>
  <c r="BH57" i="1"/>
  <c r="BI60" i="1"/>
  <c r="BI57" i="1"/>
  <c r="BH60" i="1"/>
  <c r="BH58" i="1"/>
  <c r="BI59" i="1"/>
  <c r="BH61" i="1"/>
  <c r="BI62" i="1"/>
  <c r="BH62" i="1"/>
  <c r="BH59" i="1"/>
  <c r="BI63" i="1"/>
  <c r="BI61" i="1"/>
  <c r="BH63" i="1"/>
  <c r="BH64" i="1"/>
  <c r="BI64" i="1"/>
  <c r="BI66" i="1"/>
  <c r="BH66" i="1"/>
  <c r="BI65" i="1"/>
  <c r="BI68" i="1"/>
  <c r="BH65" i="1"/>
  <c r="BI67" i="1"/>
  <c r="BH67" i="1"/>
  <c r="BH69" i="1"/>
  <c r="BI69" i="1"/>
  <c r="BH68" i="1"/>
  <c r="BH71" i="1"/>
  <c r="BH70" i="1"/>
  <c r="BI70" i="1"/>
  <c r="BH73" i="1"/>
  <c r="BH72" i="1"/>
  <c r="BI72" i="1"/>
  <c r="BI71" i="1"/>
  <c r="BH75" i="1"/>
  <c r="BH76" i="1"/>
  <c r="BH74" i="1"/>
  <c r="BI74" i="1"/>
  <c r="BI73" i="1"/>
  <c r="BH77" i="1"/>
  <c r="BI76" i="1"/>
  <c r="BI75" i="1"/>
  <c r="BI77" i="1"/>
  <c r="BI78" i="1"/>
  <c r="BH78" i="1"/>
  <c r="BH80" i="1"/>
  <c r="BH79" i="1"/>
  <c r="BI79" i="1"/>
  <c r="BH81" i="1"/>
  <c r="BH82" i="1"/>
  <c r="BI80" i="1"/>
  <c r="BI82" i="1"/>
  <c r="BI81" i="1"/>
  <c r="BI83" i="1"/>
  <c r="BH83" i="1"/>
  <c r="BI84" i="1"/>
  <c r="BH84" i="1"/>
  <c r="BI85" i="1"/>
  <c r="BI86" i="1"/>
  <c r="BH87" i="1"/>
  <c r="BH86" i="1"/>
  <c r="BH88" i="1"/>
  <c r="BH85" i="1"/>
  <c r="BI87" i="1"/>
  <c r="BH89" i="1"/>
  <c r="BH90" i="1"/>
  <c r="BI88" i="1"/>
  <c r="BI89" i="1"/>
  <c r="BH91" i="1"/>
  <c r="BH92" i="1"/>
  <c r="BI90" i="1"/>
  <c r="BI92" i="1"/>
  <c r="BI91" i="1"/>
  <c r="BI93" i="1"/>
  <c r="BH93" i="1"/>
  <c r="BI95" i="1"/>
  <c r="BH95" i="1"/>
  <c r="BI96" i="1"/>
  <c r="BI94" i="1"/>
  <c r="BH94" i="1"/>
  <c r="BH96" i="1"/>
  <c r="BH97" i="1"/>
  <c r="BI98" i="1"/>
  <c r="BH100" i="1"/>
  <c r="BH98" i="1"/>
  <c r="BI97" i="1"/>
  <c r="BI99" i="1"/>
  <c r="BI100" i="1"/>
  <c r="BH99" i="1"/>
  <c r="BI101" i="1"/>
  <c r="BI103" i="1"/>
  <c r="BI102" i="1"/>
  <c r="BH101" i="1"/>
  <c r="BH103" i="1"/>
  <c r="BH102" i="1"/>
  <c r="BH105" i="1"/>
  <c r="BI104" i="1"/>
  <c r="BH104" i="1"/>
  <c r="BI105" i="1"/>
  <c r="BI106" i="1"/>
  <c r="BH106" i="1"/>
  <c r="BI107" i="1"/>
  <c r="BH107" i="1"/>
  <c r="BH108" i="1"/>
  <c r="BI108" i="1"/>
  <c r="BH109" i="1"/>
  <c r="BI109" i="1"/>
  <c r="BI111" i="1"/>
  <c r="BH110" i="1"/>
  <c r="BI110" i="1"/>
  <c r="BH111" i="1"/>
  <c r="BH113" i="1"/>
  <c r="BH115" i="1"/>
  <c r="BI112" i="1"/>
  <c r="BH112" i="1"/>
  <c r="BI115" i="1"/>
  <c r="BI113" i="1"/>
  <c r="BH114" i="1"/>
  <c r="BI114" i="1"/>
  <c r="BI116" i="1"/>
  <c r="BI117" i="1"/>
  <c r="BH116" i="1"/>
  <c r="BH118" i="1"/>
  <c r="BH117" i="1"/>
  <c r="BI119" i="1"/>
  <c r="BI118" i="1"/>
  <c r="BH119" i="1"/>
  <c r="BI122" i="1"/>
  <c r="BI120" i="1"/>
  <c r="BH123" i="1"/>
  <c r="BI121" i="1"/>
  <c r="BH121" i="1"/>
  <c r="BH122" i="1"/>
  <c r="BH120" i="1"/>
  <c r="BH124" i="1"/>
  <c r="BI124" i="1"/>
  <c r="BH125" i="1"/>
  <c r="BI123" i="1"/>
  <c r="BI125" i="1"/>
  <c r="BI126" i="1"/>
  <c r="BI128" i="1"/>
  <c r="BH126" i="1"/>
  <c r="BH127" i="1"/>
  <c r="BI127" i="1"/>
  <c r="BH128" i="1"/>
  <c r="BH130" i="1"/>
  <c r="BH129" i="1"/>
  <c r="BI130" i="1"/>
  <c r="BI131" i="1"/>
  <c r="BI132" i="1"/>
  <c r="BI129" i="1"/>
  <c r="BH131" i="1"/>
  <c r="BH132" i="1"/>
  <c r="BI133" i="1"/>
  <c r="BH133" i="1"/>
  <c r="BH134" i="1"/>
  <c r="BH135" i="1"/>
  <c r="BI138" i="1"/>
  <c r="BI134" i="1"/>
  <c r="BH138" i="1"/>
  <c r="BI135" i="1"/>
  <c r="BI136" i="1"/>
  <c r="BI137" i="1"/>
  <c r="BH137" i="1"/>
  <c r="BH136" i="1"/>
  <c r="BI140" i="1"/>
  <c r="BH139" i="1"/>
  <c r="BI139" i="1"/>
  <c r="BH141" i="1"/>
  <c r="BI141" i="1"/>
  <c r="BH140" i="1"/>
  <c r="BI143" i="1"/>
  <c r="BH142" i="1"/>
  <c r="BI142" i="1"/>
  <c r="BI145" i="1"/>
  <c r="BI144" i="1"/>
  <c r="BH143" i="1"/>
  <c r="BH144" i="1"/>
  <c r="BI146" i="1"/>
  <c r="BH147" i="1"/>
  <c r="BH145" i="1"/>
  <c r="BH148" i="1"/>
  <c r="BH146" i="1"/>
  <c r="BI147" i="1"/>
  <c r="BH150" i="1"/>
  <c r="BI148" i="1"/>
  <c r="BH149" i="1"/>
  <c r="BH151" i="1"/>
  <c r="BH153" i="1"/>
  <c r="BI151" i="1"/>
  <c r="BI153" i="1"/>
  <c r="BI149" i="1"/>
  <c r="BI150" i="1"/>
  <c r="BH152" i="1"/>
  <c r="BI152" i="1"/>
  <c r="BI155" i="1"/>
  <c r="BH154" i="1"/>
  <c r="BI154" i="1"/>
  <c r="BH155" i="1"/>
  <c r="BI156" i="1"/>
  <c r="BH156" i="1"/>
  <c r="BI157" i="1"/>
  <c r="BH158" i="1"/>
  <c r="BH157" i="1"/>
  <c r="BI158" i="1"/>
  <c r="BH159" i="1"/>
  <c r="BH162" i="1"/>
  <c r="BH161" i="1"/>
  <c r="BI160" i="1"/>
  <c r="BI159" i="1"/>
  <c r="BI161" i="1"/>
  <c r="BH160" i="1"/>
  <c r="BI163" i="1"/>
  <c r="BI162" i="1"/>
  <c r="BH164" i="1"/>
  <c r="BH163" i="1"/>
  <c r="BH165" i="1"/>
  <c r="BI165" i="1"/>
  <c r="BI164" i="1"/>
  <c r="BH166" i="1"/>
  <c r="BI170" i="1"/>
  <c r="BH169" i="1"/>
  <c r="BI167" i="1"/>
  <c r="BI169" i="1"/>
  <c r="BH167" i="1"/>
  <c r="BI166" i="1"/>
  <c r="BH168" i="1"/>
  <c r="BI168" i="1"/>
  <c r="BH172" i="1"/>
  <c r="BH170" i="1"/>
  <c r="BI171" i="1"/>
  <c r="BI173" i="1"/>
  <c r="BH171" i="1"/>
  <c r="BI172" i="1"/>
  <c r="BH173" i="1"/>
  <c r="BH175" i="1"/>
  <c r="BI176" i="1"/>
  <c r="BI174" i="1"/>
  <c r="BI175" i="1"/>
  <c r="BH174" i="1"/>
  <c r="BH176" i="1"/>
  <c r="BI177" i="1"/>
  <c r="BI178" i="1"/>
  <c r="BH177" i="1"/>
  <c r="BH178" i="1"/>
  <c r="BH181" i="1"/>
  <c r="BI179" i="1"/>
  <c r="BH179" i="1"/>
  <c r="BH180" i="1"/>
  <c r="BI180" i="1"/>
  <c r="BI182" i="1"/>
  <c r="BH182" i="1"/>
  <c r="BH183" i="1"/>
  <c r="BI181" i="1"/>
  <c r="BI186" i="1"/>
  <c r="BI183" i="1"/>
  <c r="BI184" i="1"/>
  <c r="BI185" i="1"/>
  <c r="BH184" i="1"/>
  <c r="BH185" i="1"/>
  <c r="BI188" i="1"/>
  <c r="BH187" i="1"/>
  <c r="BH186" i="1"/>
  <c r="BI187" i="1"/>
  <c r="BI190" i="1"/>
  <c r="BH188" i="1"/>
  <c r="BH190" i="1"/>
  <c r="BH191" i="1"/>
  <c r="BH189" i="1"/>
  <c r="BI189" i="1"/>
  <c r="BI192" i="1"/>
  <c r="BI191" i="1"/>
  <c r="BH192" i="1"/>
  <c r="BI193" i="1"/>
  <c r="BH193" i="1"/>
  <c r="BH194" i="1"/>
  <c r="BI195" i="1"/>
  <c r="BH195" i="1"/>
  <c r="BI194" i="1"/>
  <c r="BI197" i="1"/>
  <c r="BI198" i="1"/>
  <c r="BH196" i="1"/>
  <c r="BH198" i="1"/>
  <c r="BH197" i="1"/>
  <c r="BI196" i="1"/>
  <c r="BH200" i="1"/>
  <c r="BH201" i="1"/>
  <c r="BI199" i="1"/>
  <c r="BH199" i="1"/>
  <c r="BI200" i="1"/>
  <c r="BH202" i="1"/>
  <c r="BI202" i="1"/>
  <c r="BI201" i="1"/>
  <c r="BI203" i="1"/>
  <c r="BI205" i="1"/>
  <c r="BH203" i="1"/>
  <c r="BI204" i="1"/>
  <c r="BH206" i="1"/>
  <c r="BI206" i="1"/>
  <c r="BH204" i="1"/>
  <c r="BH205" i="1"/>
  <c r="BI208" i="1"/>
  <c r="BH207" i="1"/>
  <c r="BI207" i="1"/>
  <c r="BI211" i="1"/>
  <c r="BH208" i="1"/>
  <c r="BI209" i="1"/>
  <c r="BH209" i="1"/>
  <c r="BH210" i="1"/>
  <c r="BH213" i="1"/>
  <c r="BH212" i="1"/>
  <c r="BI212" i="1"/>
  <c r="BH211" i="1"/>
  <c r="BM211" i="1" s="1"/>
  <c r="BI210" i="1"/>
  <c r="BI214" i="1"/>
  <c r="BH214" i="1"/>
  <c r="BH216" i="1"/>
  <c r="BI215" i="1"/>
  <c r="BI213" i="1"/>
  <c r="BI216" i="1"/>
  <c r="BI217" i="1"/>
  <c r="BH217" i="1"/>
  <c r="BI218" i="1"/>
  <c r="BH215" i="1"/>
  <c r="BH219" i="1"/>
  <c r="BH218" i="1"/>
  <c r="BH220" i="1"/>
  <c r="BI220" i="1"/>
  <c r="BI219" i="1"/>
  <c r="BH222" i="1"/>
  <c r="BH223" i="1"/>
  <c r="BI221" i="1"/>
  <c r="BI222" i="1"/>
  <c r="BH221" i="1"/>
  <c r="BI223" i="1"/>
  <c r="BI224" i="1"/>
  <c r="BH226" i="1"/>
  <c r="BH224" i="1"/>
  <c r="BH225" i="1"/>
  <c r="BI225" i="1"/>
  <c r="BH227" i="1"/>
  <c r="BI226" i="1"/>
  <c r="BI227" i="1"/>
  <c r="BH228" i="1"/>
  <c r="BH231" i="1"/>
  <c r="BH229" i="1"/>
  <c r="BI228" i="1"/>
  <c r="BI229" i="1"/>
  <c r="BI231" i="1"/>
  <c r="BI230" i="1"/>
  <c r="S235" i="5"/>
  <c r="G234" i="1"/>
  <c r="BA234" i="1" s="1"/>
  <c r="H235" i="1"/>
  <c r="AI235" i="1"/>
  <c r="F235" i="1"/>
  <c r="N236" i="6"/>
  <c r="N236" i="5"/>
  <c r="Q236" i="5" s="1"/>
  <c r="P236" i="5"/>
  <c r="P548" i="5"/>
  <c r="M235" i="1"/>
  <c r="N235" i="1" s="1"/>
  <c r="AE235" i="1"/>
  <c r="N548" i="5"/>
  <c r="Q548" i="5" s="1"/>
  <c r="P236" i="6"/>
  <c r="AD235" i="1"/>
  <c r="AU235" i="1"/>
  <c r="Y235" i="1"/>
  <c r="X235" i="1"/>
  <c r="AA235" i="1" s="1"/>
  <c r="AB235" i="1" s="1"/>
  <c r="T235" i="1" a="1"/>
  <c r="T235" i="1" s="1"/>
  <c r="U235" i="1" s="1"/>
  <c r="L235" i="1"/>
  <c r="BN235" i="1" s="1"/>
  <c r="Z235" i="1"/>
  <c r="E235" i="1"/>
  <c r="C235" i="1"/>
  <c r="D235" i="1"/>
  <c r="T10" i="1" a="1"/>
  <c r="T10" i="1" s="1"/>
  <c r="T17" i="1" a="1"/>
  <c r="T17" i="1" s="1"/>
  <c r="AE14" i="1"/>
  <c r="T4" i="1" a="1"/>
  <c r="T4" i="1" s="1"/>
  <c r="AE24" i="1"/>
  <c r="CP14" i="1"/>
  <c r="Z23" i="1"/>
  <c r="AE17" i="1"/>
  <c r="T20" i="1" a="1"/>
  <c r="T20" i="1" s="1"/>
  <c r="CP12" i="1"/>
  <c r="Z4" i="1"/>
  <c r="AE15" i="1"/>
  <c r="Z5" i="1"/>
  <c r="Z11" i="1"/>
  <c r="T12" i="1" a="1"/>
  <c r="T12" i="1" s="1"/>
  <c r="CP11" i="1"/>
  <c r="Z7" i="1"/>
  <c r="CP8" i="1"/>
  <c r="Z19" i="1"/>
  <c r="T6" i="1" a="1"/>
  <c r="T6" i="1" s="1"/>
  <c r="AE9" i="1"/>
  <c r="AE20" i="1"/>
  <c r="AE7" i="1"/>
  <c r="Z15" i="1"/>
  <c r="T13" i="1" a="1"/>
  <c r="T13" i="1" s="1"/>
  <c r="CP3" i="1"/>
  <c r="CP10" i="1"/>
  <c r="T22" i="1" a="1"/>
  <c r="T22" i="1" s="1"/>
  <c r="Z3" i="1"/>
  <c r="Z21" i="1"/>
  <c r="Z24" i="1"/>
  <c r="T18" i="1" a="1"/>
  <c r="T18" i="1" s="1"/>
  <c r="T8" i="1" a="1"/>
  <c r="T8" i="1" s="1"/>
  <c r="AE11" i="1"/>
  <c r="CP4" i="1"/>
  <c r="AE4" i="1"/>
  <c r="AE6" i="1"/>
  <c r="Z9" i="1"/>
  <c r="T11" i="1" a="1"/>
  <c r="T11" i="1" s="1"/>
  <c r="Z17" i="1"/>
  <c r="Z18" i="1"/>
  <c r="AE2" i="1"/>
  <c r="Z8" i="1"/>
  <c r="T23" i="1" a="1"/>
  <c r="T23" i="1" s="1"/>
  <c r="Z14" i="1"/>
  <c r="Z2" i="1"/>
  <c r="AE21" i="1"/>
  <c r="AE10" i="1"/>
  <c r="AE3" i="1"/>
  <c r="AE5" i="1"/>
  <c r="AE22" i="1"/>
  <c r="CP6" i="1"/>
  <c r="T27" i="1" a="1"/>
  <c r="T27" i="1" s="1"/>
  <c r="T24" i="1" a="1"/>
  <c r="T24" i="1" s="1"/>
  <c r="Z22" i="1"/>
  <c r="CP15" i="1"/>
  <c r="T9" i="1" a="1"/>
  <c r="T9" i="1" s="1"/>
  <c r="AE13" i="1"/>
  <c r="Z10" i="1"/>
  <c r="T25" i="1" a="1"/>
  <c r="T25" i="1" s="1"/>
  <c r="T16" i="1" a="1"/>
  <c r="T16" i="1" s="1"/>
  <c r="T14" i="1" a="1"/>
  <c r="T14" i="1" s="1"/>
  <c r="T26" i="1" a="1"/>
  <c r="T26" i="1" s="1"/>
  <c r="T7" i="1" a="1"/>
  <c r="T7" i="1" s="1"/>
  <c r="CP13" i="1"/>
  <c r="CP9" i="1"/>
  <c r="Z16" i="1"/>
  <c r="CP5" i="1"/>
  <c r="AE26" i="1"/>
  <c r="Z20" i="1"/>
  <c r="Z12" i="1"/>
  <c r="Z25" i="1"/>
  <c r="AE25" i="1"/>
  <c r="T2" i="1" a="1"/>
  <c r="T2" i="1" s="1"/>
  <c r="AE23" i="1"/>
  <c r="AE8" i="1"/>
  <c r="T3" i="1" a="1"/>
  <c r="T3" i="1" s="1"/>
  <c r="AE16" i="1"/>
  <c r="CP7" i="1"/>
  <c r="AE18" i="1"/>
  <c r="T21" i="1" a="1"/>
  <c r="T21" i="1" s="1"/>
  <c r="Z6" i="1"/>
  <c r="AE12" i="1"/>
  <c r="T15" i="1" a="1"/>
  <c r="T15" i="1" s="1"/>
  <c r="Z13" i="1"/>
  <c r="AE19" i="1"/>
  <c r="T5" i="1" a="1"/>
  <c r="T5" i="1" s="1"/>
  <c r="Z27" i="1"/>
  <c r="AE27" i="1"/>
  <c r="Z26" i="1"/>
  <c r="T28" i="1" a="1"/>
  <c r="T28" i="1" s="1"/>
  <c r="T29" i="1" a="1"/>
  <c r="T29" i="1" s="1"/>
  <c r="Z28" i="1"/>
  <c r="AE29" i="1"/>
  <c r="AE28" i="1"/>
  <c r="AE31" i="1"/>
  <c r="Z29" i="1"/>
  <c r="T31" i="1" a="1"/>
  <c r="T31" i="1" s="1"/>
  <c r="AE30" i="1"/>
  <c r="Z30" i="1"/>
  <c r="Z32" i="1"/>
  <c r="T30" i="1" a="1"/>
  <c r="T30" i="1" s="1"/>
  <c r="Z31" i="1"/>
  <c r="AE32" i="1"/>
  <c r="AE33" i="1"/>
  <c r="Z33" i="1"/>
  <c r="Z34" i="1"/>
  <c r="AE34" i="1"/>
  <c r="AE35" i="1"/>
  <c r="Z36" i="1"/>
  <c r="Z35" i="1"/>
  <c r="AE36" i="1"/>
  <c r="AE37" i="1"/>
  <c r="T38" i="1" a="1"/>
  <c r="T38" i="1" s="1"/>
  <c r="Z38" i="1"/>
  <c r="Z37" i="1"/>
  <c r="AE38" i="1"/>
  <c r="T39" i="1" a="1"/>
  <c r="T39" i="1" s="1"/>
  <c r="Z39" i="1"/>
  <c r="T41" i="1" a="1"/>
  <c r="T41" i="1" s="1"/>
  <c r="T40" i="1" a="1"/>
  <c r="T40" i="1" s="1"/>
  <c r="AE39" i="1"/>
  <c r="Z40" i="1"/>
  <c r="AE40" i="1"/>
  <c r="AE41" i="1"/>
  <c r="Z41" i="1"/>
  <c r="T44" i="1" a="1"/>
  <c r="T44" i="1" s="1"/>
  <c r="Z42" i="1"/>
  <c r="AE44" i="1"/>
  <c r="Z43" i="1"/>
  <c r="T42" i="1" a="1"/>
  <c r="T42" i="1" s="1"/>
  <c r="AE45" i="1"/>
  <c r="AE43" i="1"/>
  <c r="T45" i="1" a="1"/>
  <c r="T45" i="1" s="1"/>
  <c r="AE42" i="1"/>
  <c r="T43" i="1" a="1"/>
  <c r="T43" i="1" s="1"/>
  <c r="Z45" i="1"/>
  <c r="AE47" i="1"/>
  <c r="T47" i="1" a="1"/>
  <c r="T47" i="1" s="1"/>
  <c r="Z44" i="1"/>
  <c r="T48" i="1" a="1"/>
  <c r="T48" i="1" s="1"/>
  <c r="Z47" i="1"/>
  <c r="Z46" i="1"/>
  <c r="T46" i="1" a="1"/>
  <c r="T46" i="1" s="1"/>
  <c r="AE46" i="1"/>
  <c r="AE48" i="1"/>
  <c r="Z49" i="1"/>
  <c r="AE50" i="1"/>
  <c r="AE49" i="1"/>
  <c r="Z48" i="1"/>
  <c r="Z51" i="1"/>
  <c r="Z50" i="1"/>
  <c r="AE51" i="1"/>
  <c r="AE55" i="1"/>
  <c r="AE53" i="1"/>
  <c r="Z52" i="1"/>
  <c r="Z53" i="1"/>
  <c r="H11" i="1"/>
  <c r="AE52" i="1"/>
  <c r="T56" i="1" a="1"/>
  <c r="T56" i="1" s="1"/>
  <c r="Z54" i="1"/>
  <c r="Z55" i="1"/>
  <c r="AE54" i="1"/>
  <c r="AE56" i="1"/>
  <c r="T58" i="1" a="1"/>
  <c r="T58" i="1" s="1"/>
  <c r="Z56" i="1"/>
  <c r="AE57" i="1"/>
  <c r="Z58" i="1"/>
  <c r="T57" i="1" a="1"/>
  <c r="T57" i="1" s="1"/>
  <c r="AE58" i="1"/>
  <c r="Z57" i="1"/>
  <c r="Z59" i="1"/>
  <c r="AE59" i="1"/>
  <c r="T59" i="1" a="1"/>
  <c r="T59" i="1" s="1"/>
  <c r="T60" i="1" a="1"/>
  <c r="T60" i="1" s="1"/>
  <c r="T61" i="1" a="1"/>
  <c r="T61" i="1" s="1"/>
  <c r="Z60" i="1"/>
  <c r="AE60" i="1"/>
  <c r="AE61" i="1"/>
  <c r="Z61" i="1"/>
  <c r="Z62" i="1"/>
  <c r="Z66" i="1"/>
  <c r="AE62" i="1"/>
  <c r="AE63" i="1"/>
  <c r="Z63" i="1"/>
  <c r="T62" i="1" a="1"/>
  <c r="T62" i="1" s="1"/>
  <c r="T63" i="1" a="1"/>
  <c r="T63" i="1" s="1"/>
  <c r="Z65" i="1"/>
  <c r="T64" i="1" a="1"/>
  <c r="T64" i="1" s="1"/>
  <c r="AE65" i="1"/>
  <c r="AE64" i="1"/>
  <c r="Z64" i="1"/>
  <c r="AE66" i="1"/>
  <c r="T66" i="1" a="1"/>
  <c r="T66" i="1" s="1"/>
  <c r="T65" i="1" a="1"/>
  <c r="T65" i="1" s="1"/>
  <c r="AE68" i="1"/>
  <c r="AE67" i="1"/>
  <c r="Z68" i="1"/>
  <c r="H5" i="1"/>
  <c r="Z67" i="1"/>
  <c r="AE70" i="1"/>
  <c r="Z69" i="1"/>
  <c r="AE69" i="1"/>
  <c r="AE71" i="1"/>
  <c r="Z70" i="1"/>
  <c r="AE74" i="1"/>
  <c r="Z71" i="1"/>
  <c r="AE72" i="1"/>
  <c r="Z72" i="1"/>
  <c r="T74" i="1" a="1"/>
  <c r="T74" i="1" s="1"/>
  <c r="T76" i="1" a="1"/>
  <c r="T76" i="1" s="1"/>
  <c r="Z74" i="1"/>
  <c r="H3" i="1"/>
  <c r="Z73" i="1"/>
  <c r="AE75" i="1"/>
  <c r="AE73" i="1"/>
  <c r="Z75" i="1"/>
  <c r="T75" i="1" a="1"/>
  <c r="T75" i="1" s="1"/>
  <c r="AE77" i="1"/>
  <c r="AE76" i="1"/>
  <c r="T77" i="1" a="1"/>
  <c r="T77" i="1" s="1"/>
  <c r="T79" i="1" a="1"/>
  <c r="T79" i="1" s="1"/>
  <c r="AE78" i="1"/>
  <c r="Z78" i="1"/>
  <c r="H4" i="1"/>
  <c r="Z76" i="1"/>
  <c r="T80" i="1" a="1"/>
  <c r="T80" i="1" s="1"/>
  <c r="Z77" i="1"/>
  <c r="T78" i="1" a="1"/>
  <c r="T78" i="1" s="1"/>
  <c r="T81" i="1" a="1"/>
  <c r="T81" i="1" s="1"/>
  <c r="Z83" i="1"/>
  <c r="Z79" i="1"/>
  <c r="H10" i="1"/>
  <c r="Z80" i="1"/>
  <c r="AE79" i="1"/>
  <c r="H15" i="1"/>
  <c r="Z81" i="1"/>
  <c r="AE81" i="1"/>
  <c r="AE80" i="1"/>
  <c r="T82" i="1" a="1"/>
  <c r="T82" i="1" s="1"/>
  <c r="Z82" i="1"/>
  <c r="T84" i="1" a="1"/>
  <c r="T84" i="1" s="1"/>
  <c r="Z84" i="1"/>
  <c r="H17" i="1"/>
  <c r="AE82" i="1"/>
  <c r="AE83" i="1"/>
  <c r="T83" i="1" a="1"/>
  <c r="T83" i="1" s="1"/>
  <c r="H6" i="1"/>
  <c r="AE85" i="1"/>
  <c r="AE84" i="1"/>
  <c r="Z85" i="1"/>
  <c r="T85" i="1" a="1"/>
  <c r="T85" i="1" s="1"/>
  <c r="AE86" i="1"/>
  <c r="AE87" i="1"/>
  <c r="AF87" i="1" s="1"/>
  <c r="H14" i="1"/>
  <c r="Z86" i="1"/>
  <c r="H29" i="1"/>
  <c r="H33" i="1"/>
  <c r="Z89" i="1"/>
  <c r="AA89" i="1" s="1"/>
  <c r="AB89" i="1" s="1"/>
  <c r="Z87" i="1"/>
  <c r="AA87" i="1" s="1"/>
  <c r="AB87" i="1" s="1"/>
  <c r="AE88" i="1"/>
  <c r="AF88" i="1" s="1"/>
  <c r="AG88" i="1" s="1"/>
  <c r="AE90" i="1"/>
  <c r="AF90" i="1" s="1"/>
  <c r="AG90" i="1" s="1"/>
  <c r="H25" i="1"/>
  <c r="Z90" i="1"/>
  <c r="AA90" i="1" s="1"/>
  <c r="AB90" i="1" s="1"/>
  <c r="H27" i="1"/>
  <c r="Z88" i="1"/>
  <c r="AA88" i="1" s="1"/>
  <c r="AE89" i="1"/>
  <c r="AF89" i="1" s="1"/>
  <c r="AG89" i="1" s="1"/>
  <c r="Z92" i="1"/>
  <c r="AA92" i="1" s="1"/>
  <c r="AE91" i="1"/>
  <c r="AF91" i="1" s="1"/>
  <c r="AG91" i="1" s="1"/>
  <c r="T93" i="1" a="1"/>
  <c r="T93" i="1" s="1"/>
  <c r="H28" i="1"/>
  <c r="Z91" i="1"/>
  <c r="AA91" i="1" s="1"/>
  <c r="AB91" i="1" s="1"/>
  <c r="H21" i="1"/>
  <c r="H7" i="1"/>
  <c r="Z93" i="1"/>
  <c r="AA93" i="1" s="1"/>
  <c r="H16" i="1"/>
  <c r="AE93" i="1"/>
  <c r="AF93" i="1" s="1"/>
  <c r="AE92" i="1"/>
  <c r="AF92" i="1" s="1"/>
  <c r="T92" i="1" a="1"/>
  <c r="T92" i="1" s="1"/>
  <c r="T94" i="1" a="1"/>
  <c r="T94" i="1" s="1"/>
  <c r="Z95" i="1"/>
  <c r="AA95" i="1" s="1"/>
  <c r="H35" i="1"/>
  <c r="AE94" i="1"/>
  <c r="AF94" i="1" s="1"/>
  <c r="AG94" i="1" s="1"/>
  <c r="T97" i="1" a="1"/>
  <c r="T97" i="1" s="1"/>
  <c r="H31" i="1"/>
  <c r="T96" i="1" a="1"/>
  <c r="T96" i="1" s="1"/>
  <c r="T95" i="1" a="1"/>
  <c r="T95" i="1" s="1"/>
  <c r="Z94" i="1"/>
  <c r="AA94" i="1" s="1"/>
  <c r="AB94" i="1" s="1"/>
  <c r="AE97" i="1"/>
  <c r="AF97" i="1" s="1"/>
  <c r="H18" i="1"/>
  <c r="H37" i="1"/>
  <c r="Z96" i="1"/>
  <c r="AA96" i="1" s="1"/>
  <c r="AE95" i="1"/>
  <c r="AF95" i="1" s="1"/>
  <c r="AE96" i="1"/>
  <c r="AF96" i="1" s="1"/>
  <c r="AG96" i="1" s="1"/>
  <c r="H22" i="1"/>
  <c r="AE98" i="1"/>
  <c r="AF98" i="1" s="1"/>
  <c r="AG98" i="1" s="1"/>
  <c r="H19" i="1"/>
  <c r="Z97" i="1"/>
  <c r="AA97" i="1" s="1"/>
  <c r="AB97" i="1" s="1"/>
  <c r="AE99" i="1"/>
  <c r="AF99" i="1" s="1"/>
  <c r="AG99" i="1" s="1"/>
  <c r="Z98" i="1"/>
  <c r="AA98" i="1" s="1"/>
  <c r="AB98" i="1" s="1"/>
  <c r="H9" i="1"/>
  <c r="T99" i="1" a="1"/>
  <c r="T99" i="1" s="1"/>
  <c r="H24" i="1"/>
  <c r="T98" i="1" a="1"/>
  <c r="T98" i="1" s="1"/>
  <c r="T100" i="1" a="1"/>
  <c r="T100" i="1" s="1"/>
  <c r="Z99" i="1"/>
  <c r="AA99" i="1" s="1"/>
  <c r="AB99" i="1" s="1"/>
  <c r="H30" i="1"/>
  <c r="Z102" i="1"/>
  <c r="AA102" i="1" s="1"/>
  <c r="AB102" i="1" s="1"/>
  <c r="H12" i="1"/>
  <c r="H26" i="1"/>
  <c r="AE102" i="1"/>
  <c r="AF102" i="1" s="1"/>
  <c r="AG102" i="1" s="1"/>
  <c r="Z103" i="1"/>
  <c r="AA103" i="1" s="1"/>
  <c r="AB103" i="1" s="1"/>
  <c r="AE100" i="1"/>
  <c r="AF100" i="1" s="1"/>
  <c r="AG100" i="1" s="1"/>
  <c r="Z101" i="1"/>
  <c r="AA101" i="1" s="1"/>
  <c r="H34" i="1"/>
  <c r="H8" i="1"/>
  <c r="H36" i="1"/>
  <c r="H13" i="1"/>
  <c r="AE101" i="1"/>
  <c r="AF101" i="1" s="1"/>
  <c r="AG101" i="1" s="1"/>
  <c r="Z100" i="1"/>
  <c r="AA100" i="1" s="1"/>
  <c r="AE106" i="1"/>
  <c r="AF106" i="1" s="1"/>
  <c r="AG106" i="1" s="1"/>
  <c r="H32" i="1"/>
  <c r="H48" i="1"/>
  <c r="Z104" i="1"/>
  <c r="AA104" i="1" s="1"/>
  <c r="AB104" i="1" s="1"/>
  <c r="AE103" i="1"/>
  <c r="AF103" i="1" s="1"/>
  <c r="H53" i="1"/>
  <c r="AE105" i="1"/>
  <c r="AF105" i="1" s="1"/>
  <c r="AG105" i="1" s="1"/>
  <c r="Z106" i="1"/>
  <c r="AA106" i="1" s="1"/>
  <c r="AB106" i="1" s="1"/>
  <c r="AE104" i="1"/>
  <c r="AF104" i="1" s="1"/>
  <c r="AG104" i="1" s="1"/>
  <c r="Z105" i="1"/>
  <c r="AA105" i="1" s="1"/>
  <c r="AB105" i="1" s="1"/>
  <c r="Z107" i="1"/>
  <c r="AA107" i="1" s="1"/>
  <c r="AB107" i="1" s="1"/>
  <c r="H46" i="1"/>
  <c r="AE107" i="1"/>
  <c r="AF107" i="1" s="1"/>
  <c r="AG107" i="1" s="1"/>
  <c r="H47" i="1"/>
  <c r="T110" i="1" a="1"/>
  <c r="T110" i="1" s="1"/>
  <c r="H45" i="1"/>
  <c r="AE108" i="1"/>
  <c r="AF108" i="1" s="1"/>
  <c r="AG108" i="1" s="1"/>
  <c r="H2" i="1"/>
  <c r="H20" i="1"/>
  <c r="H54" i="1"/>
  <c r="Z109" i="1"/>
  <c r="AA109" i="1" s="1"/>
  <c r="AB109" i="1" s="1"/>
  <c r="AE109" i="1"/>
  <c r="AF109" i="1" s="1"/>
  <c r="AG109" i="1" s="1"/>
  <c r="Z110" i="1"/>
  <c r="H41" i="1"/>
  <c r="H23" i="1"/>
  <c r="Z108" i="1"/>
  <c r="AA108" i="1" s="1"/>
  <c r="AB108" i="1" s="1"/>
  <c r="T112" i="1" a="1"/>
  <c r="T112" i="1" s="1"/>
  <c r="H44" i="1"/>
  <c r="AE110" i="1"/>
  <c r="AE111" i="1"/>
  <c r="Z111" i="1"/>
  <c r="T111" i="1" a="1"/>
  <c r="T111" i="1" s="1"/>
  <c r="Z112" i="1"/>
  <c r="H51" i="1"/>
  <c r="AE113" i="1"/>
  <c r="AE112" i="1"/>
  <c r="H40" i="1"/>
  <c r="T113" i="1" a="1"/>
  <c r="T113" i="1" s="1"/>
  <c r="AE114" i="1"/>
  <c r="T114" i="1" a="1"/>
  <c r="T114" i="1" s="1"/>
  <c r="H42" i="1"/>
  <c r="Z113" i="1"/>
  <c r="T115" i="1" a="1"/>
  <c r="T115" i="1" s="1"/>
  <c r="T116" i="1" a="1"/>
  <c r="T116" i="1" s="1"/>
  <c r="Z114" i="1"/>
  <c r="Z116" i="1"/>
  <c r="H49" i="1"/>
  <c r="Z117" i="1"/>
  <c r="Z115" i="1"/>
  <c r="T118" i="1" a="1"/>
  <c r="T118" i="1" s="1"/>
  <c r="AE116" i="1"/>
  <c r="AE115" i="1"/>
  <c r="H38" i="1"/>
  <c r="T119" i="1" a="1"/>
  <c r="T119" i="1" s="1"/>
  <c r="T117" i="1" a="1"/>
  <c r="T117" i="1" s="1"/>
  <c r="AE117" i="1"/>
  <c r="H52" i="1"/>
  <c r="H55" i="1"/>
  <c r="Z118" i="1"/>
  <c r="AE118" i="1"/>
  <c r="AE119" i="1"/>
  <c r="Z119" i="1"/>
  <c r="AE120" i="1"/>
  <c r="Z120" i="1"/>
  <c r="H39" i="1"/>
  <c r="T120" i="1" a="1"/>
  <c r="T120" i="1" s="1"/>
  <c r="Z121" i="1"/>
  <c r="H50" i="1"/>
  <c r="T121" i="1" a="1"/>
  <c r="T121" i="1" s="1"/>
  <c r="Z122" i="1"/>
  <c r="AE121" i="1"/>
  <c r="H43" i="1"/>
  <c r="H64" i="1"/>
  <c r="AE122" i="1"/>
  <c r="AE123" i="1"/>
  <c r="AE124" i="1"/>
  <c r="H70" i="1"/>
  <c r="Z123" i="1"/>
  <c r="Z124" i="1"/>
  <c r="AE126" i="1"/>
  <c r="H69" i="1"/>
  <c r="Z125" i="1"/>
  <c r="AE125" i="1"/>
  <c r="Z127" i="1"/>
  <c r="Z126" i="1"/>
  <c r="H62" i="1"/>
  <c r="H56" i="1"/>
  <c r="AE129" i="1"/>
  <c r="AE127" i="1"/>
  <c r="H66" i="1"/>
  <c r="T128" i="1" a="1"/>
  <c r="T128" i="1" s="1"/>
  <c r="T129" i="1" a="1"/>
  <c r="T129" i="1" s="1"/>
  <c r="H60" i="1"/>
  <c r="AE128" i="1"/>
  <c r="AE130" i="1"/>
  <c r="Z128" i="1"/>
  <c r="Z130" i="1"/>
  <c r="Z129" i="1"/>
  <c r="H65" i="1"/>
  <c r="T131" i="1" a="1"/>
  <c r="T131" i="1" s="1"/>
  <c r="AE131" i="1"/>
  <c r="T130" i="1" a="1"/>
  <c r="T130" i="1" s="1"/>
  <c r="Z131" i="1"/>
  <c r="H71" i="1"/>
  <c r="Z132" i="1"/>
  <c r="AE133" i="1"/>
  <c r="H72" i="1"/>
  <c r="AE132" i="1"/>
  <c r="AE134" i="1"/>
  <c r="Z133" i="1"/>
  <c r="T133" i="1" a="1"/>
  <c r="T133" i="1" s="1"/>
  <c r="T132" i="1" a="1"/>
  <c r="T132" i="1" s="1"/>
  <c r="Z134" i="1"/>
  <c r="H57" i="1"/>
  <c r="T134" i="1" a="1"/>
  <c r="T134" i="1" s="1"/>
  <c r="AE135" i="1"/>
  <c r="H59" i="1"/>
  <c r="T135" i="1" a="1"/>
  <c r="T135" i="1" s="1"/>
  <c r="Z135" i="1"/>
  <c r="H58" i="1"/>
  <c r="T136" i="1" a="1"/>
  <c r="T136" i="1" s="1"/>
  <c r="AE138" i="1"/>
  <c r="Z136" i="1"/>
  <c r="H68" i="1"/>
  <c r="AE136" i="1"/>
  <c r="H67" i="1"/>
  <c r="AE137" i="1"/>
  <c r="Z137" i="1"/>
  <c r="Z138" i="1"/>
  <c r="H63" i="1"/>
  <c r="H73" i="1"/>
  <c r="AE139" i="1"/>
  <c r="H61" i="1"/>
  <c r="AE140" i="1"/>
  <c r="Z139" i="1"/>
  <c r="Z141" i="1"/>
  <c r="AE141" i="1"/>
  <c r="H81" i="1"/>
  <c r="Z140" i="1"/>
  <c r="H75" i="1"/>
  <c r="AE142" i="1"/>
  <c r="Z143" i="1"/>
  <c r="AE144" i="1"/>
  <c r="H77" i="1"/>
  <c r="T146" i="1" a="1"/>
  <c r="T146" i="1" s="1"/>
  <c r="Z142" i="1"/>
  <c r="H85" i="1"/>
  <c r="AE143" i="1"/>
  <c r="Z145" i="1"/>
  <c r="H76" i="1"/>
  <c r="Z146" i="1"/>
  <c r="H79" i="1"/>
  <c r="Z144" i="1"/>
  <c r="Z150" i="1"/>
  <c r="T147" i="1" a="1"/>
  <c r="T147" i="1" s="1"/>
  <c r="H83" i="1"/>
  <c r="AE145" i="1"/>
  <c r="H82" i="1"/>
  <c r="AE146" i="1"/>
  <c r="T149" i="1" a="1"/>
  <c r="T149" i="1" s="1"/>
  <c r="AE147" i="1"/>
  <c r="H74" i="1"/>
  <c r="T148" i="1" a="1"/>
  <c r="T148" i="1" s="1"/>
  <c r="AE148" i="1"/>
  <c r="H91" i="1"/>
  <c r="Z148" i="1"/>
  <c r="Z147" i="1"/>
  <c r="AE149" i="1"/>
  <c r="H84" i="1"/>
  <c r="AE150" i="1"/>
  <c r="H89" i="1"/>
  <c r="T150" i="1" a="1"/>
  <c r="T150" i="1" s="1"/>
  <c r="Z149" i="1"/>
  <c r="Z151" i="1"/>
  <c r="Z152" i="1"/>
  <c r="T152" i="1" a="1"/>
  <c r="T152" i="1" s="1"/>
  <c r="T151" i="1" a="1"/>
  <c r="T151" i="1" s="1"/>
  <c r="H80" i="1"/>
  <c r="AE151" i="1"/>
  <c r="AE152" i="1"/>
  <c r="AE153" i="1"/>
  <c r="H78" i="1"/>
  <c r="Z155" i="1"/>
  <c r="AE155" i="1"/>
  <c r="AE154" i="1"/>
  <c r="H86" i="1"/>
  <c r="Z153" i="1"/>
  <c r="Z154" i="1"/>
  <c r="H90" i="1"/>
  <c r="Z156" i="1"/>
  <c r="H88" i="1"/>
  <c r="AE157" i="1"/>
  <c r="H87" i="1"/>
  <c r="Z157" i="1"/>
  <c r="AE156" i="1"/>
  <c r="H98" i="1"/>
  <c r="AE159" i="1"/>
  <c r="H99" i="1"/>
  <c r="Z158" i="1"/>
  <c r="AE158" i="1"/>
  <c r="Z159" i="1"/>
  <c r="H107" i="1"/>
  <c r="AE160" i="1"/>
  <c r="Z162" i="1"/>
  <c r="AE161" i="1"/>
  <c r="H100" i="1"/>
  <c r="H94" i="1"/>
  <c r="Z160" i="1"/>
  <c r="T164" i="1" a="1"/>
  <c r="T164" i="1" s="1"/>
  <c r="Z163" i="1"/>
  <c r="H97" i="1"/>
  <c r="Z161" i="1"/>
  <c r="Z165" i="1"/>
  <c r="H92" i="1"/>
  <c r="AE163" i="1"/>
  <c r="Z164" i="1"/>
  <c r="AE164" i="1"/>
  <c r="AE162" i="1"/>
  <c r="Z166" i="1"/>
  <c r="H109" i="1"/>
  <c r="H102" i="1"/>
  <c r="AE165" i="1"/>
  <c r="T169" i="1" a="1"/>
  <c r="T169" i="1" s="1"/>
  <c r="T165" i="1" a="1"/>
  <c r="T165" i="1" s="1"/>
  <c r="T167" i="1" a="1"/>
  <c r="T167" i="1" s="1"/>
  <c r="H106" i="1"/>
  <c r="Z167" i="1"/>
  <c r="T166" i="1" a="1"/>
  <c r="T166" i="1" s="1"/>
  <c r="Z169" i="1"/>
  <c r="AE166" i="1"/>
  <c r="Z170" i="1"/>
  <c r="AE167" i="1"/>
  <c r="H95" i="1"/>
  <c r="Z168" i="1"/>
  <c r="AE169" i="1"/>
  <c r="H108" i="1"/>
  <c r="T170" i="1" a="1"/>
  <c r="T170" i="1" s="1"/>
  <c r="T168" i="1" a="1"/>
  <c r="T168" i="1" s="1"/>
  <c r="AE168" i="1"/>
  <c r="H103" i="1"/>
  <c r="AE171" i="1"/>
  <c r="H105" i="1"/>
  <c r="AE170" i="1"/>
  <c r="Z171" i="1"/>
  <c r="H96" i="1"/>
  <c r="T171" i="1" a="1"/>
  <c r="T171" i="1" s="1"/>
  <c r="AE172" i="1"/>
  <c r="Z172" i="1"/>
  <c r="AE175" i="1"/>
  <c r="AE173" i="1"/>
  <c r="H93" i="1"/>
  <c r="H101" i="1"/>
  <c r="Z173" i="1"/>
  <c r="Z174" i="1"/>
  <c r="H104" i="1"/>
  <c r="Z175" i="1"/>
  <c r="AE174" i="1"/>
  <c r="Z176" i="1"/>
  <c r="AE177" i="1"/>
  <c r="H110" i="1"/>
  <c r="AE176" i="1"/>
  <c r="Z177" i="1"/>
  <c r="H111" i="1"/>
  <c r="Z180" i="1"/>
  <c r="AE178" i="1"/>
  <c r="H114" i="1"/>
  <c r="Z178" i="1"/>
  <c r="Z179" i="1"/>
  <c r="T183" i="1" a="1"/>
  <c r="T183" i="1" s="1"/>
  <c r="H121" i="1"/>
  <c r="H127" i="1"/>
  <c r="AE180" i="1"/>
  <c r="AE183" i="1"/>
  <c r="AE179" i="1"/>
  <c r="H120" i="1"/>
  <c r="Z181" i="1"/>
  <c r="H116" i="1"/>
  <c r="AE181" i="1"/>
  <c r="AE184" i="1"/>
  <c r="Z182" i="1"/>
  <c r="T182" i="1" a="1"/>
  <c r="T182" i="1" s="1"/>
  <c r="H112" i="1"/>
  <c r="AE182" i="1"/>
  <c r="Z183" i="1"/>
  <c r="T184" i="1" a="1"/>
  <c r="T184" i="1" s="1"/>
  <c r="H123" i="1"/>
  <c r="H115" i="1"/>
  <c r="T185" i="1" a="1"/>
  <c r="T185" i="1" s="1"/>
  <c r="Z185" i="1"/>
  <c r="Z186" i="1"/>
  <c r="Z184" i="1"/>
  <c r="H117" i="1"/>
  <c r="AE185" i="1"/>
  <c r="H113" i="1"/>
  <c r="T188" i="1" a="1"/>
  <c r="T188" i="1" s="1"/>
  <c r="T186" i="1" a="1"/>
  <c r="T186" i="1" s="1"/>
  <c r="AE187" i="1"/>
  <c r="Z188" i="1"/>
  <c r="T187" i="1" a="1"/>
  <c r="T187" i="1" s="1"/>
  <c r="AE186" i="1"/>
  <c r="T189" i="1" a="1"/>
  <c r="T189" i="1" s="1"/>
  <c r="Z187" i="1"/>
  <c r="H124" i="1"/>
  <c r="AE188" i="1"/>
  <c r="AE189" i="1"/>
  <c r="AF189" i="1" s="1"/>
  <c r="AG189" i="1" s="1"/>
  <c r="H118" i="1"/>
  <c r="Z189" i="1"/>
  <c r="AA189" i="1" s="1"/>
  <c r="H119" i="1"/>
  <c r="AE191" i="1"/>
  <c r="AF191" i="1" s="1"/>
  <c r="AG191" i="1" s="1"/>
  <c r="Z190" i="1"/>
  <c r="AA190" i="1" s="1"/>
  <c r="AB190" i="1" s="1"/>
  <c r="AE190" i="1"/>
  <c r="AF190" i="1" s="1"/>
  <c r="H125" i="1"/>
  <c r="T190" i="1" a="1"/>
  <c r="T190" i="1" s="1"/>
  <c r="H122" i="1"/>
  <c r="Z191" i="1"/>
  <c r="AA191" i="1" s="1"/>
  <c r="AB191" i="1" s="1"/>
  <c r="H126" i="1"/>
  <c r="Z192" i="1"/>
  <c r="AA192" i="1" s="1"/>
  <c r="AB192" i="1" s="1"/>
  <c r="AE192" i="1"/>
  <c r="AF192" i="1" s="1"/>
  <c r="AG192" i="1" s="1"/>
  <c r="AE193" i="1"/>
  <c r="AF193" i="1" s="1"/>
  <c r="AG193" i="1" s="1"/>
  <c r="H134" i="1"/>
  <c r="AE194" i="1"/>
  <c r="AF194" i="1" s="1"/>
  <c r="AG194" i="1" s="1"/>
  <c r="Z193" i="1"/>
  <c r="AA193" i="1" s="1"/>
  <c r="AB193" i="1" s="1"/>
  <c r="Z195" i="1"/>
  <c r="AA195" i="1" s="1"/>
  <c r="AB195" i="1" s="1"/>
  <c r="AE195" i="1"/>
  <c r="AF195" i="1" s="1"/>
  <c r="AG195" i="1" s="1"/>
  <c r="H141" i="1"/>
  <c r="Z196" i="1"/>
  <c r="AA196" i="1" s="1"/>
  <c r="AB196" i="1" s="1"/>
  <c r="AE197" i="1"/>
  <c r="AF197" i="1" s="1"/>
  <c r="AG197" i="1" s="1"/>
  <c r="H140" i="1"/>
  <c r="Z197" i="1"/>
  <c r="AA197" i="1" s="1"/>
  <c r="AB197" i="1" s="1"/>
  <c r="Z194" i="1"/>
  <c r="AA194" i="1" s="1"/>
  <c r="AB194" i="1" s="1"/>
  <c r="AE196" i="1"/>
  <c r="AF196" i="1" s="1"/>
  <c r="AG196" i="1" s="1"/>
  <c r="H132" i="1"/>
  <c r="AE199" i="1"/>
  <c r="Z199" i="1"/>
  <c r="AA199" i="1" s="1"/>
  <c r="AB199" i="1" s="1"/>
  <c r="Z198" i="1"/>
  <c r="AA198" i="1" s="1"/>
  <c r="AB198" i="1" s="1"/>
  <c r="H130" i="1"/>
  <c r="AE198" i="1"/>
  <c r="AF198" i="1" s="1"/>
  <c r="AG198" i="1" s="1"/>
  <c r="Z201" i="1"/>
  <c r="AA201" i="1" s="1"/>
  <c r="AB201" i="1" s="1"/>
  <c r="H139" i="1"/>
  <c r="AE202" i="1"/>
  <c r="AF202" i="1" s="1"/>
  <c r="AG202" i="1" s="1"/>
  <c r="T201" i="1" a="1"/>
  <c r="T201" i="1" s="1"/>
  <c r="AE200" i="1"/>
  <c r="AF200" i="1" s="1"/>
  <c r="T200" i="1" a="1"/>
  <c r="T200" i="1" s="1"/>
  <c r="H136" i="1"/>
  <c r="Z200" i="1"/>
  <c r="AA200" i="1" s="1"/>
  <c r="AB200" i="1" s="1"/>
  <c r="H137" i="1"/>
  <c r="AE201" i="1"/>
  <c r="AF201" i="1" s="1"/>
  <c r="AG201" i="1" s="1"/>
  <c r="AE204" i="1"/>
  <c r="AF204" i="1" s="1"/>
  <c r="AG204" i="1" s="1"/>
  <c r="Z202" i="1"/>
  <c r="AA202" i="1" s="1"/>
  <c r="AB202" i="1" s="1"/>
  <c r="AE203" i="1"/>
  <c r="AF203" i="1" s="1"/>
  <c r="AG203" i="1" s="1"/>
  <c r="Z205" i="1"/>
  <c r="AA205" i="1" s="1"/>
  <c r="AB205" i="1" s="1"/>
  <c r="H135" i="1"/>
  <c r="T202" i="1" a="1"/>
  <c r="T202" i="1" s="1"/>
  <c r="H138" i="1"/>
  <c r="H143" i="1"/>
  <c r="Z203" i="1"/>
  <c r="AA203" i="1" s="1"/>
  <c r="Z204" i="1"/>
  <c r="AA204" i="1" s="1"/>
  <c r="AB204" i="1" s="1"/>
  <c r="T204" i="1" a="1"/>
  <c r="T204" i="1" s="1"/>
  <c r="T203" i="1" a="1"/>
  <c r="T203" i="1" s="1"/>
  <c r="AE205" i="1"/>
  <c r="AF205" i="1" s="1"/>
  <c r="AG205" i="1" s="1"/>
  <c r="AE206" i="1"/>
  <c r="AF206" i="1" s="1"/>
  <c r="AG206" i="1" s="1"/>
  <c r="T205" i="1" a="1"/>
  <c r="T205" i="1" s="1"/>
  <c r="H128" i="1"/>
  <c r="H129" i="1"/>
  <c r="AE207" i="1"/>
  <c r="AF207" i="1" s="1"/>
  <c r="AG207" i="1" s="1"/>
  <c r="Z207" i="1"/>
  <c r="AA207" i="1" s="1"/>
  <c r="AB207" i="1" s="1"/>
  <c r="Z206" i="1"/>
  <c r="AA206" i="1" s="1"/>
  <c r="AB206" i="1" s="1"/>
  <c r="H144" i="1"/>
  <c r="Z208" i="1"/>
  <c r="AA208" i="1" s="1"/>
  <c r="AE208" i="1"/>
  <c r="AF208" i="1" s="1"/>
  <c r="AG208" i="1" s="1"/>
  <c r="H131" i="1"/>
  <c r="Z209" i="1"/>
  <c r="AA209" i="1" s="1"/>
  <c r="AB209" i="1" s="1"/>
  <c r="AE209" i="1"/>
  <c r="AF209" i="1" s="1"/>
  <c r="H133" i="1"/>
  <c r="AE210" i="1"/>
  <c r="AF210" i="1" s="1"/>
  <c r="AG210" i="1" s="1"/>
  <c r="H216" i="1"/>
  <c r="H198" i="1"/>
  <c r="H142" i="1"/>
  <c r="Z210" i="1"/>
  <c r="AA210" i="1" s="1"/>
  <c r="AB210" i="1" s="1"/>
  <c r="H161" i="1"/>
  <c r="H179" i="1"/>
  <c r="AE213" i="1"/>
  <c r="H145" i="1"/>
  <c r="Z213" i="1"/>
  <c r="AA213" i="1" s="1"/>
  <c r="AB213" i="1" s="1"/>
  <c r="AE211" i="1"/>
  <c r="AF211" i="1" s="1"/>
  <c r="AG211" i="1" s="1"/>
  <c r="Z211" i="1"/>
  <c r="AA211" i="1" s="1"/>
  <c r="AB211" i="1" s="1"/>
  <c r="Z212" i="1"/>
  <c r="AA212" i="1" s="1"/>
  <c r="AB212" i="1" s="1"/>
  <c r="AE212" i="1"/>
  <c r="AF212" i="1" s="1"/>
  <c r="AG212" i="1" s="1"/>
  <c r="Z215" i="1"/>
  <c r="AA215" i="1" s="1"/>
  <c r="AB215" i="1" s="1"/>
  <c r="AE214" i="1"/>
  <c r="AE215" i="1"/>
  <c r="Z214" i="1"/>
  <c r="AA214" i="1" s="1"/>
  <c r="AB214" i="1" s="1"/>
  <c r="AE216" i="1"/>
  <c r="Z217" i="1"/>
  <c r="AA217" i="1" s="1"/>
  <c r="AB217" i="1" s="1"/>
  <c r="Z219" i="1"/>
  <c r="AE217" i="1"/>
  <c r="AE218" i="1"/>
  <c r="Z216" i="1"/>
  <c r="AA216" i="1" s="1"/>
  <c r="AB216" i="1" s="1"/>
  <c r="T219" i="1" a="1"/>
  <c r="T219" i="1" s="1"/>
  <c r="T218" i="1" a="1"/>
  <c r="T218" i="1" s="1"/>
  <c r="Z218" i="1"/>
  <c r="AE220" i="1"/>
  <c r="AE219" i="1"/>
  <c r="T223" i="1" a="1"/>
  <c r="T223" i="1" s="1"/>
  <c r="Z220" i="1"/>
  <c r="Z221" i="1"/>
  <c r="T221" i="1" a="1"/>
  <c r="T221" i="1" s="1"/>
  <c r="T220" i="1" a="1"/>
  <c r="T220" i="1" s="1"/>
  <c r="AE221" i="1"/>
  <c r="Z222" i="1"/>
  <c r="AE222" i="1"/>
  <c r="AE223" i="1"/>
  <c r="T222" i="1" a="1"/>
  <c r="T222" i="1" s="1"/>
  <c r="Z223" i="1"/>
  <c r="Z224" i="1"/>
  <c r="T224" i="1" a="1"/>
  <c r="T224" i="1" s="1"/>
  <c r="AE225" i="1"/>
  <c r="AE224" i="1"/>
  <c r="Z225" i="1"/>
  <c r="T225" i="1" a="1"/>
  <c r="T225" i="1" s="1"/>
  <c r="AE227" i="1"/>
  <c r="T226" i="1" a="1"/>
  <c r="T226" i="1" s="1"/>
  <c r="AE226" i="1"/>
  <c r="T227" i="1" a="1"/>
  <c r="T227" i="1" s="1"/>
  <c r="AE228" i="1"/>
  <c r="AE230" i="1"/>
  <c r="Z227" i="1"/>
  <c r="AE232" i="1"/>
  <c r="Z233" i="1"/>
  <c r="Z226" i="1"/>
  <c r="Z232" i="1"/>
  <c r="AE229" i="1"/>
  <c r="AE233" i="1"/>
  <c r="Z228" i="1"/>
  <c r="M235" i="6"/>
  <c r="O235" i="6" s="1"/>
  <c r="R235" i="6" s="1"/>
  <c r="S547" i="5"/>
  <c r="BA233" i="1"/>
  <c r="BB233" i="1"/>
  <c r="BM18" i="1" l="1"/>
  <c r="AH169" i="1"/>
  <c r="AC169" i="1"/>
  <c r="AC152" i="1"/>
  <c r="AH152" i="1"/>
  <c r="AC136" i="1"/>
  <c r="AH136" i="1"/>
  <c r="AC129" i="1"/>
  <c r="AH129" i="1"/>
  <c r="AC116" i="1"/>
  <c r="AH116" i="1"/>
  <c r="AC104" i="1"/>
  <c r="AH104" i="1"/>
  <c r="AC99" i="1"/>
  <c r="AH99" i="1"/>
  <c r="AC80" i="1"/>
  <c r="AH80" i="1"/>
  <c r="AC65" i="1"/>
  <c r="AH65" i="1"/>
  <c r="AH42" i="1"/>
  <c r="AC42" i="1"/>
  <c r="AC32" i="1"/>
  <c r="AH32" i="1"/>
  <c r="AH25" i="1"/>
  <c r="AC25" i="1"/>
  <c r="AH10" i="1"/>
  <c r="AC10" i="1"/>
  <c r="AH168" i="1"/>
  <c r="AC168" i="1"/>
  <c r="AH154" i="1"/>
  <c r="AC154" i="1"/>
  <c r="AC137" i="1"/>
  <c r="AH137" i="1"/>
  <c r="AH128" i="1"/>
  <c r="AC128" i="1"/>
  <c r="AC118" i="1"/>
  <c r="AH118" i="1"/>
  <c r="AH112" i="1"/>
  <c r="AC112" i="1"/>
  <c r="AC105" i="1"/>
  <c r="AH105" i="1"/>
  <c r="AH96" i="1"/>
  <c r="AC96" i="1"/>
  <c r="AC83" i="1"/>
  <c r="AH83" i="1"/>
  <c r="AC63" i="1"/>
  <c r="AH63" i="1"/>
  <c r="AC48" i="1"/>
  <c r="AH48" i="1"/>
  <c r="AC40" i="1"/>
  <c r="AH40" i="1"/>
  <c r="AC31" i="1"/>
  <c r="AH31" i="1"/>
  <c r="AC23" i="1"/>
  <c r="AH23" i="1"/>
  <c r="AC8" i="1"/>
  <c r="AH8" i="1"/>
  <c r="AC166" i="1"/>
  <c r="AH166" i="1"/>
  <c r="AC153" i="1"/>
  <c r="AH153" i="1"/>
  <c r="AH135" i="1"/>
  <c r="AC135" i="1"/>
  <c r="AC117" i="1"/>
  <c r="AH117" i="1"/>
  <c r="AC111" i="1"/>
  <c r="AH111" i="1"/>
  <c r="AH103" i="1"/>
  <c r="AC103" i="1"/>
  <c r="AH95" i="1"/>
  <c r="AC95" i="1"/>
  <c r="AC79" i="1"/>
  <c r="AH79" i="1"/>
  <c r="AC62" i="1"/>
  <c r="AH62" i="1"/>
  <c r="AH58" i="1"/>
  <c r="AC58" i="1"/>
  <c r="AH46" i="1"/>
  <c r="AC46" i="1"/>
  <c r="AC30" i="1"/>
  <c r="AH30" i="1"/>
  <c r="AC24" i="1"/>
  <c r="AH24" i="1"/>
  <c r="AC7" i="1"/>
  <c r="AH7" i="1"/>
  <c r="AC164" i="1"/>
  <c r="AH164" i="1"/>
  <c r="AC158" i="1"/>
  <c r="AH158" i="1"/>
  <c r="AC150" i="1"/>
  <c r="AH150" i="1"/>
  <c r="AC138" i="1"/>
  <c r="AH138" i="1"/>
  <c r="AH134" i="1"/>
  <c r="AC134" i="1"/>
  <c r="AC102" i="1"/>
  <c r="AH102" i="1"/>
  <c r="AC94" i="1"/>
  <c r="AH94" i="1"/>
  <c r="AC77" i="1"/>
  <c r="AH77" i="1"/>
  <c r="AC61" i="1"/>
  <c r="AH61" i="1"/>
  <c r="AC56" i="1"/>
  <c r="AH56" i="1"/>
  <c r="AC45" i="1"/>
  <c r="AH45" i="1"/>
  <c r="AC39" i="1"/>
  <c r="AH39" i="1"/>
  <c r="AC29" i="1"/>
  <c r="AH29" i="1"/>
  <c r="AH22" i="1"/>
  <c r="AC22" i="1"/>
  <c r="AC6" i="1"/>
  <c r="AH6" i="1"/>
  <c r="AH173" i="1"/>
  <c r="AC173" i="1"/>
  <c r="AH165" i="1"/>
  <c r="AC165" i="1"/>
  <c r="AC157" i="1"/>
  <c r="AH157" i="1"/>
  <c r="AC148" i="1"/>
  <c r="AH148" i="1"/>
  <c r="AC141" i="1"/>
  <c r="AH141" i="1"/>
  <c r="AC133" i="1"/>
  <c r="AH133" i="1"/>
  <c r="AH120" i="1"/>
  <c r="AC120" i="1"/>
  <c r="AC106" i="1"/>
  <c r="AH106" i="1"/>
  <c r="AC101" i="1"/>
  <c r="AH101" i="1"/>
  <c r="AC93" i="1"/>
  <c r="AH93" i="1"/>
  <c r="AC85" i="1"/>
  <c r="AH85" i="1"/>
  <c r="AC78" i="1"/>
  <c r="AH78" i="1"/>
  <c r="AH69" i="1"/>
  <c r="AC69" i="1"/>
  <c r="AC64" i="1"/>
  <c r="AH64" i="1"/>
  <c r="AC47" i="1"/>
  <c r="AH47" i="1"/>
  <c r="AC38" i="1"/>
  <c r="AH38" i="1"/>
  <c r="AC33" i="1"/>
  <c r="AH33" i="1"/>
  <c r="AC21" i="1"/>
  <c r="AH21" i="1"/>
  <c r="AC5" i="1"/>
  <c r="AH5" i="1"/>
  <c r="AC172" i="1"/>
  <c r="AH172" i="1"/>
  <c r="AC167" i="1"/>
  <c r="AH167" i="1"/>
  <c r="AH156" i="1"/>
  <c r="AC156" i="1"/>
  <c r="AH149" i="1"/>
  <c r="AC149" i="1"/>
  <c r="AC139" i="1"/>
  <c r="AH139" i="1"/>
  <c r="AC132" i="1"/>
  <c r="AH132" i="1"/>
  <c r="AH115" i="1"/>
  <c r="AC115" i="1"/>
  <c r="AH110" i="1"/>
  <c r="AC110" i="1"/>
  <c r="AC100" i="1"/>
  <c r="AH100" i="1"/>
  <c r="AC92" i="1"/>
  <c r="AH92" i="1"/>
  <c r="AC84" i="1"/>
  <c r="AH84" i="1"/>
  <c r="AH76" i="1"/>
  <c r="AC76" i="1"/>
  <c r="AC68" i="1"/>
  <c r="AH68" i="1"/>
  <c r="AC60" i="1"/>
  <c r="AH60" i="1"/>
  <c r="AC44" i="1"/>
  <c r="AH44" i="1"/>
  <c r="AC26" i="1"/>
  <c r="AH26" i="1"/>
  <c r="AC20" i="1"/>
  <c r="AH20" i="1"/>
  <c r="AC12" i="1"/>
  <c r="AH12" i="1"/>
  <c r="AC3" i="1"/>
  <c r="AH3" i="1"/>
  <c r="AH171" i="1"/>
  <c r="AC171" i="1"/>
  <c r="AC155" i="1"/>
  <c r="AH155" i="1"/>
  <c r="AH147" i="1"/>
  <c r="AC147" i="1"/>
  <c r="AC140" i="1"/>
  <c r="AH140" i="1"/>
  <c r="AC131" i="1"/>
  <c r="AH131" i="1"/>
  <c r="AH113" i="1"/>
  <c r="AC113" i="1"/>
  <c r="AC98" i="1"/>
  <c r="AH98" i="1"/>
  <c r="AC82" i="1"/>
  <c r="AH82" i="1"/>
  <c r="AC75" i="1"/>
  <c r="AH75" i="1"/>
  <c r="AH66" i="1"/>
  <c r="AC66" i="1"/>
  <c r="AC59" i="1"/>
  <c r="AH59" i="1"/>
  <c r="AH41" i="1"/>
  <c r="AC41" i="1"/>
  <c r="AC27" i="1"/>
  <c r="AH27" i="1"/>
  <c r="AC11" i="1"/>
  <c r="AH11" i="1"/>
  <c r="AH4" i="1"/>
  <c r="AC4" i="1"/>
  <c r="AC170" i="1"/>
  <c r="AH170" i="1"/>
  <c r="AC151" i="1"/>
  <c r="AH151" i="1"/>
  <c r="AH146" i="1"/>
  <c r="AC146" i="1"/>
  <c r="AC130" i="1"/>
  <c r="AH130" i="1"/>
  <c r="AC119" i="1"/>
  <c r="AH119" i="1"/>
  <c r="AC114" i="1"/>
  <c r="AH114" i="1"/>
  <c r="AH97" i="1"/>
  <c r="AC97" i="1"/>
  <c r="AC81" i="1"/>
  <c r="AH81" i="1"/>
  <c r="AC74" i="1"/>
  <c r="AH74" i="1"/>
  <c r="AC67" i="1"/>
  <c r="AH67" i="1"/>
  <c r="AC57" i="1"/>
  <c r="AH57" i="1"/>
  <c r="AC43" i="1"/>
  <c r="AH43" i="1"/>
  <c r="AC34" i="1"/>
  <c r="AH34" i="1"/>
  <c r="AC28" i="1"/>
  <c r="AH28" i="1"/>
  <c r="AC9" i="1"/>
  <c r="AH9" i="1"/>
  <c r="AC2" i="1"/>
  <c r="AH2" i="1"/>
  <c r="AG103" i="1"/>
  <c r="AB101" i="1"/>
  <c r="AG97" i="1"/>
  <c r="AB95" i="1"/>
  <c r="AG92" i="1"/>
  <c r="AB93" i="1"/>
  <c r="AB92" i="1"/>
  <c r="AB208" i="1"/>
  <c r="AG209" i="1"/>
  <c r="BM219" i="1"/>
  <c r="BM186" i="1"/>
  <c r="BM20" i="1"/>
  <c r="AB189" i="1"/>
  <c r="BM204" i="1"/>
  <c r="AB96" i="1"/>
  <c r="AG93" i="1"/>
  <c r="AG87" i="1"/>
  <c r="AB88" i="1"/>
  <c r="BM74" i="1"/>
  <c r="BM70" i="1"/>
  <c r="BM56" i="1"/>
  <c r="BM46" i="1"/>
  <c r="BM36" i="1"/>
  <c r="BM43" i="1"/>
  <c r="C243" i="3"/>
  <c r="B244" i="3" s="1"/>
  <c r="BM3" i="1"/>
  <c r="BM2" i="1"/>
  <c r="BM9" i="1"/>
  <c r="BM35" i="1"/>
  <c r="BM7" i="1"/>
  <c r="BM58" i="1"/>
  <c r="AG190" i="1"/>
  <c r="BM106" i="1"/>
  <c r="BM95" i="1"/>
  <c r="BM78" i="1"/>
  <c r="BM234" i="1"/>
  <c r="BM227" i="1"/>
  <c r="BM205" i="1"/>
  <c r="BM153" i="1"/>
  <c r="BM145" i="1"/>
  <c r="BM136" i="1"/>
  <c r="BM31" i="1"/>
  <c r="BM59" i="1"/>
  <c r="BM28" i="1"/>
  <c r="BM8" i="1"/>
  <c r="BM22" i="1"/>
  <c r="BM146" i="1"/>
  <c r="BM85" i="1"/>
  <c r="BM83" i="1"/>
  <c r="BM79" i="1"/>
  <c r="BM50" i="1"/>
  <c r="BM25" i="1"/>
  <c r="BM120" i="1"/>
  <c r="BM41" i="1"/>
  <c r="BM178" i="1"/>
  <c r="BM135" i="1"/>
  <c r="BM98" i="1"/>
  <c r="BM91" i="1"/>
  <c r="BM86" i="1"/>
  <c r="BM160" i="1"/>
  <c r="BM117" i="1"/>
  <c r="BM49" i="1"/>
  <c r="BM38" i="1"/>
  <c r="BM198" i="1"/>
  <c r="BM190" i="1"/>
  <c r="BM184" i="1"/>
  <c r="BM104" i="1"/>
  <c r="BM216" i="1"/>
  <c r="BM210" i="1"/>
  <c r="BM189" i="1"/>
  <c r="BM183" i="1"/>
  <c r="BM172" i="1"/>
  <c r="BM154" i="1"/>
  <c r="BM142" i="1"/>
  <c r="BM122" i="1"/>
  <c r="BM110" i="1"/>
  <c r="BM101" i="1"/>
  <c r="BM215" i="1"/>
  <c r="BM140" i="1"/>
  <c r="BM220" i="1"/>
  <c r="BM212" i="1"/>
  <c r="BM207" i="1"/>
  <c r="BM139" i="1"/>
  <c r="BM127" i="1"/>
  <c r="BM124" i="1"/>
  <c r="BM107" i="1"/>
  <c r="BM118" i="1"/>
  <c r="BM217" i="1"/>
  <c r="BM155" i="1"/>
  <c r="BM111" i="1"/>
  <c r="BM233" i="1"/>
  <c r="BM197" i="1"/>
  <c r="BM191" i="1"/>
  <c r="BM147" i="1"/>
  <c r="BM100" i="1"/>
  <c r="BM87" i="1"/>
  <c r="BM39" i="1"/>
  <c r="BM173" i="1"/>
  <c r="BM149" i="1"/>
  <c r="BM224" i="1"/>
  <c r="BM208" i="1"/>
  <c r="BM144" i="1"/>
  <c r="BM116" i="1"/>
  <c r="BM51" i="1"/>
  <c r="BM44" i="1"/>
  <c r="BM199" i="1"/>
  <c r="BM156" i="1"/>
  <c r="BM84" i="1"/>
  <c r="BM54" i="1"/>
  <c r="BM52" i="1"/>
  <c r="BM169" i="1"/>
  <c r="BM92" i="1"/>
  <c r="BM185" i="1"/>
  <c r="BM177" i="1"/>
  <c r="BM157" i="1"/>
  <c r="BM76" i="1"/>
  <c r="BM53" i="1"/>
  <c r="BM193" i="1"/>
  <c r="BM133" i="1"/>
  <c r="BM112" i="1"/>
  <c r="BM93" i="1"/>
  <c r="BM68" i="1"/>
  <c r="BM66" i="1"/>
  <c r="BM62" i="1"/>
  <c r="BM37" i="1"/>
  <c r="BM29" i="1"/>
  <c r="BM102" i="1"/>
  <c r="BM4" i="1"/>
  <c r="BM214" i="1"/>
  <c r="BM209" i="1"/>
  <c r="BM194" i="1"/>
  <c r="BM182" i="1"/>
  <c r="BM175" i="1"/>
  <c r="BM151" i="1"/>
  <c r="BM137" i="1"/>
  <c r="BM134" i="1"/>
  <c r="BM121" i="1"/>
  <c r="BM188" i="1"/>
  <c r="BM108" i="1"/>
  <c r="BM218" i="1"/>
  <c r="BM187" i="1"/>
  <c r="BM170" i="1"/>
  <c r="BM103" i="1"/>
  <c r="BM16" i="1"/>
  <c r="BM230" i="1"/>
  <c r="BM166" i="1"/>
  <c r="BM71" i="1"/>
  <c r="BM33" i="1"/>
  <c r="BM27" i="1"/>
  <c r="BM21" i="1"/>
  <c r="BM13" i="1"/>
  <c r="BM225" i="1"/>
  <c r="BM223" i="1"/>
  <c r="BM202" i="1"/>
  <c r="BM168" i="1"/>
  <c r="BM158" i="1"/>
  <c r="BM129" i="1"/>
  <c r="BM75" i="1"/>
  <c r="BM57" i="1"/>
  <c r="BM55" i="1"/>
  <c r="BM19" i="1"/>
  <c r="BM229" i="1"/>
  <c r="BM222" i="1"/>
  <c r="BM206" i="1"/>
  <c r="BM196" i="1"/>
  <c r="BM152" i="1"/>
  <c r="BM130" i="1"/>
  <c r="BM123" i="1"/>
  <c r="BM109" i="1"/>
  <c r="BM97" i="1"/>
  <c r="BM90" i="1"/>
  <c r="BM82" i="1"/>
  <c r="BM12" i="1"/>
  <c r="BM24" i="1"/>
  <c r="BM235" i="1"/>
  <c r="BM231" i="1"/>
  <c r="BM226" i="1"/>
  <c r="BM192" i="1"/>
  <c r="BM180" i="1"/>
  <c r="BM176" i="1"/>
  <c r="BM171" i="1"/>
  <c r="BM167" i="1"/>
  <c r="BM165" i="1"/>
  <c r="BM150" i="1"/>
  <c r="BM143" i="1"/>
  <c r="BM141" i="1"/>
  <c r="BM132" i="1"/>
  <c r="BM128" i="1"/>
  <c r="BM125" i="1"/>
  <c r="BM115" i="1"/>
  <c r="BM99" i="1"/>
  <c r="BM96" i="1"/>
  <c r="BM89" i="1"/>
  <c r="BM81" i="1"/>
  <c r="BM69" i="1"/>
  <c r="BM61" i="1"/>
  <c r="BM30" i="1"/>
  <c r="BM23" i="1"/>
  <c r="BM228" i="1"/>
  <c r="BM203" i="1"/>
  <c r="BM179" i="1"/>
  <c r="BM174" i="1"/>
  <c r="BM163" i="1"/>
  <c r="BM161" i="1"/>
  <c r="BM138" i="1"/>
  <c r="BM131" i="1"/>
  <c r="BM113" i="1"/>
  <c r="BM105" i="1"/>
  <c r="BM94" i="1"/>
  <c r="BM77" i="1"/>
  <c r="BM72" i="1"/>
  <c r="BM67" i="1"/>
  <c r="BM64" i="1"/>
  <c r="BM47" i="1"/>
  <c r="BM42" i="1"/>
  <c r="BM32" i="1"/>
  <c r="BM17" i="1"/>
  <c r="BM5" i="1"/>
  <c r="BM201" i="1"/>
  <c r="BM164" i="1"/>
  <c r="BM162" i="1"/>
  <c r="BM119" i="1"/>
  <c r="BM73" i="1"/>
  <c r="BM63" i="1"/>
  <c r="BM48" i="1"/>
  <c r="BM45" i="1"/>
  <c r="BM34" i="1"/>
  <c r="BM15" i="1"/>
  <c r="BM10" i="1"/>
  <c r="BM6" i="1"/>
  <c r="BM14" i="1"/>
  <c r="BM221" i="1"/>
  <c r="BM213" i="1"/>
  <c r="BM200" i="1"/>
  <c r="BM195" i="1"/>
  <c r="BM181" i="1"/>
  <c r="BM159" i="1"/>
  <c r="BM148" i="1"/>
  <c r="BM126" i="1"/>
  <c r="BM114" i="1"/>
  <c r="BM88" i="1"/>
  <c r="BM80" i="1"/>
  <c r="BM65" i="1"/>
  <c r="BM60" i="1"/>
  <c r="BM40" i="1"/>
  <c r="BM26" i="1"/>
  <c r="BM11" i="1"/>
  <c r="Q181" i="1" a="1"/>
  <c r="Q181" i="1" s="1"/>
  <c r="Q208" i="1" a="1"/>
  <c r="Q208" i="1" s="1"/>
  <c r="P208" i="1" s="1"/>
  <c r="Q86" i="1" a="1"/>
  <c r="Q86" i="1" s="1"/>
  <c r="Q205" i="1" a="1"/>
  <c r="Q205" i="1" s="1"/>
  <c r="P205" i="1" s="1"/>
  <c r="R75" i="1" a="1"/>
  <c r="R75" i="1" s="1"/>
  <c r="N75" i="1" s="1"/>
  <c r="U75" i="1" s="1"/>
  <c r="Q194" i="1" a="1"/>
  <c r="Q194" i="1" s="1"/>
  <c r="P194" i="1" s="1"/>
  <c r="Q68" i="1" a="1"/>
  <c r="Q68" i="1" s="1"/>
  <c r="P68" i="1" s="1"/>
  <c r="Q217" i="1" a="1"/>
  <c r="Q217" i="1" s="1"/>
  <c r="Q82" i="1" a="1"/>
  <c r="Q82" i="1" s="1"/>
  <c r="P82" i="1" s="1"/>
  <c r="Q38" i="1" a="1"/>
  <c r="Q38" i="1" s="1"/>
  <c r="P38" i="1" s="1"/>
  <c r="Q165" i="1" a="1"/>
  <c r="Q165" i="1" s="1"/>
  <c r="P165" i="1" s="1"/>
  <c r="R223" i="1" a="1"/>
  <c r="R223" i="1" s="1"/>
  <c r="Q171" i="1" a="1"/>
  <c r="Q171" i="1" s="1"/>
  <c r="P171" i="1" s="1"/>
  <c r="Q157" i="1" a="1"/>
  <c r="Q157" i="1" s="1"/>
  <c r="P157" i="1" s="1"/>
  <c r="BJ53" i="1"/>
  <c r="BJ40" i="1"/>
  <c r="BJ117" i="1"/>
  <c r="BJ49" i="1"/>
  <c r="BJ38" i="1"/>
  <c r="BB234" i="1"/>
  <c r="BJ30" i="1"/>
  <c r="BJ9" i="1"/>
  <c r="BJ8" i="1"/>
  <c r="BJ160" i="1"/>
  <c r="BJ204" i="1"/>
  <c r="BJ29" i="1"/>
  <c r="BJ68" i="1"/>
  <c r="BJ41" i="1"/>
  <c r="BJ210" i="1"/>
  <c r="BJ136" i="1"/>
  <c r="BJ101" i="1"/>
  <c r="BJ185" i="1"/>
  <c r="BJ177" i="1"/>
  <c r="BJ157" i="1"/>
  <c r="BK235" i="1"/>
  <c r="BJ133" i="1"/>
  <c r="BJ112" i="1"/>
  <c r="BJ93" i="1"/>
  <c r="BJ66" i="1"/>
  <c r="BJ62" i="1"/>
  <c r="BJ37" i="1"/>
  <c r="BJ22" i="1"/>
  <c r="BJ218" i="1"/>
  <c r="BJ228" i="1"/>
  <c r="BJ203" i="1"/>
  <c r="BJ179" i="1"/>
  <c r="BJ174" i="1"/>
  <c r="BJ163" i="1"/>
  <c r="BJ138" i="1"/>
  <c r="BJ131" i="1"/>
  <c r="BJ113" i="1"/>
  <c r="BJ108" i="1"/>
  <c r="BJ94" i="1"/>
  <c r="BJ72" i="1"/>
  <c r="BJ67" i="1"/>
  <c r="BJ64" i="1"/>
  <c r="BJ47" i="1"/>
  <c r="BJ215" i="1"/>
  <c r="BJ214" i="1"/>
  <c r="BJ209" i="1"/>
  <c r="BJ166" i="1"/>
  <c r="BJ76" i="1"/>
  <c r="BJ33" i="1"/>
  <c r="BJ27" i="1"/>
  <c r="BJ140" i="1"/>
  <c r="BJ161" i="1"/>
  <c r="BJ105" i="1"/>
  <c r="BJ77" i="1"/>
  <c r="BJ42" i="1"/>
  <c r="BJ32" i="1"/>
  <c r="BJ17" i="1"/>
  <c r="BJ3" i="1"/>
  <c r="BJ5" i="1"/>
  <c r="BJ201" i="1"/>
  <c r="BJ164" i="1"/>
  <c r="BJ162" i="1"/>
  <c r="BJ155" i="1"/>
  <c r="BJ146" i="1"/>
  <c r="BJ119" i="1"/>
  <c r="BJ111" i="1"/>
  <c r="BJ107" i="1"/>
  <c r="BJ102" i="1"/>
  <c r="BJ85" i="1"/>
  <c r="BJ83" i="1"/>
  <c r="BJ63" i="1"/>
  <c r="BJ58" i="1"/>
  <c r="BJ50" i="1"/>
  <c r="BJ48" i="1"/>
  <c r="BJ45" i="1"/>
  <c r="BJ35" i="1"/>
  <c r="BJ34" i="1"/>
  <c r="BJ25" i="1"/>
  <c r="BJ15" i="1"/>
  <c r="BJ10" i="1"/>
  <c r="BJ6" i="1"/>
  <c r="BJ14" i="1"/>
  <c r="BJ233" i="1"/>
  <c r="BJ189" i="1"/>
  <c r="BJ178" i="1"/>
  <c r="BJ172" i="1"/>
  <c r="BJ154" i="1"/>
  <c r="BJ142" i="1"/>
  <c r="BJ110" i="1"/>
  <c r="BJ74" i="1"/>
  <c r="BJ70" i="1"/>
  <c r="BJ31" i="1"/>
  <c r="BJ182" i="1"/>
  <c r="BJ151" i="1"/>
  <c r="BJ137" i="1"/>
  <c r="BJ121" i="1"/>
  <c r="BJ71" i="1"/>
  <c r="BJ21" i="1"/>
  <c r="BJ118" i="1"/>
  <c r="BJ75" i="1"/>
  <c r="BJ208" i="1"/>
  <c r="BJ206" i="1"/>
  <c r="BJ231" i="1"/>
  <c r="BJ226" i="1"/>
  <c r="BJ180" i="1"/>
  <c r="BJ176" i="1"/>
  <c r="BJ165" i="1"/>
  <c r="BJ141" i="1"/>
  <c r="BJ132" i="1"/>
  <c r="BJ128" i="1"/>
  <c r="BJ125" i="1"/>
  <c r="BJ96" i="1"/>
  <c r="BJ81" i="1"/>
  <c r="BJ212" i="1"/>
  <c r="BJ139" i="1"/>
  <c r="BJ127" i="1"/>
  <c r="BJ221" i="1"/>
  <c r="BJ213" i="1"/>
  <c r="BJ200" i="1"/>
  <c r="BJ195" i="1"/>
  <c r="BJ187" i="1"/>
  <c r="BJ181" i="1"/>
  <c r="BJ170" i="1"/>
  <c r="BJ169" i="1"/>
  <c r="BJ159" i="1"/>
  <c r="BJ148" i="1"/>
  <c r="BJ126" i="1"/>
  <c r="BJ120" i="1"/>
  <c r="BJ114" i="1"/>
  <c r="BJ103" i="1"/>
  <c r="BJ92" i="1"/>
  <c r="BJ88" i="1"/>
  <c r="BJ80" i="1"/>
  <c r="BJ65" i="1"/>
  <c r="BJ60" i="1"/>
  <c r="BJ26" i="1"/>
  <c r="BJ11" i="1"/>
  <c r="BJ234" i="1"/>
  <c r="BJ124" i="1"/>
  <c r="BJ79" i="1"/>
  <c r="BJ73" i="1"/>
  <c r="BJ227" i="1"/>
  <c r="BJ219" i="1"/>
  <c r="BJ216" i="1"/>
  <c r="BJ205" i="1"/>
  <c r="BJ183" i="1"/>
  <c r="BJ153" i="1"/>
  <c r="BJ145" i="1"/>
  <c r="BJ135" i="1"/>
  <c r="BJ122" i="1"/>
  <c r="BJ106" i="1"/>
  <c r="BJ98" i="1"/>
  <c r="BJ95" i="1"/>
  <c r="BJ91" i="1"/>
  <c r="BJ86" i="1"/>
  <c r="BJ78" i="1"/>
  <c r="BJ56" i="1"/>
  <c r="BJ46" i="1"/>
  <c r="BJ43" i="1"/>
  <c r="BJ36" i="1"/>
  <c r="BJ2" i="1"/>
  <c r="BJ20" i="1"/>
  <c r="BJ4" i="1"/>
  <c r="BJ16" i="1"/>
  <c r="BJ230" i="1"/>
  <c r="BJ197" i="1"/>
  <c r="BJ194" i="1"/>
  <c r="BJ191" i="1"/>
  <c r="BJ175" i="1"/>
  <c r="BJ147" i="1"/>
  <c r="BJ134" i="1"/>
  <c r="BJ100" i="1"/>
  <c r="BJ87" i="1"/>
  <c r="BJ59" i="1"/>
  <c r="BJ39" i="1"/>
  <c r="BJ18" i="1"/>
  <c r="BJ13" i="1"/>
  <c r="BJ232" i="1"/>
  <c r="BJ220" i="1"/>
  <c r="BJ225" i="1"/>
  <c r="BJ223" i="1"/>
  <c r="BJ202" i="1"/>
  <c r="BJ198" i="1"/>
  <c r="BJ193" i="1"/>
  <c r="BJ190" i="1"/>
  <c r="BJ184" i="1"/>
  <c r="BJ173" i="1"/>
  <c r="BJ168" i="1"/>
  <c r="BJ158" i="1"/>
  <c r="BJ149" i="1"/>
  <c r="BJ129" i="1"/>
  <c r="BJ57" i="1"/>
  <c r="BJ55" i="1"/>
  <c r="BJ19" i="1"/>
  <c r="BJ207" i="1"/>
  <c r="BJ186" i="1"/>
  <c r="BJ229" i="1"/>
  <c r="BJ224" i="1"/>
  <c r="BJ222" i="1"/>
  <c r="BJ217" i="1"/>
  <c r="BJ196" i="1"/>
  <c r="BJ188" i="1"/>
  <c r="BJ152" i="1"/>
  <c r="BJ144" i="1"/>
  <c r="BJ130" i="1"/>
  <c r="BJ123" i="1"/>
  <c r="BJ116" i="1"/>
  <c r="BJ109" i="1"/>
  <c r="BJ104" i="1"/>
  <c r="BJ97" i="1"/>
  <c r="BJ90" i="1"/>
  <c r="BJ82" i="1"/>
  <c r="BJ51" i="1"/>
  <c r="BJ44" i="1"/>
  <c r="BJ7" i="1"/>
  <c r="BJ12" i="1"/>
  <c r="BJ24" i="1"/>
  <c r="BJ235" i="1"/>
  <c r="BJ211" i="1"/>
  <c r="BJ199" i="1"/>
  <c r="BJ192" i="1"/>
  <c r="BJ171" i="1"/>
  <c r="BJ167" i="1"/>
  <c r="BJ156" i="1"/>
  <c r="BJ150" i="1"/>
  <c r="BJ143" i="1"/>
  <c r="BJ115" i="1"/>
  <c r="BJ99" i="1"/>
  <c r="BJ89" i="1"/>
  <c r="BJ84" i="1"/>
  <c r="BJ69" i="1"/>
  <c r="BJ61" i="1"/>
  <c r="BJ54" i="1"/>
  <c r="BJ52" i="1"/>
  <c r="BJ28" i="1"/>
  <c r="BJ23" i="1"/>
  <c r="BD234" i="1"/>
  <c r="R8" i="1" a="1"/>
  <c r="R8" i="1" s="1"/>
  <c r="AN8" i="1" s="1"/>
  <c r="S235" i="1"/>
  <c r="R174" i="1" a="1"/>
  <c r="R174" i="1" s="1"/>
  <c r="R7" i="1" a="1"/>
  <c r="R7" i="1" s="1"/>
  <c r="AN7" i="1" s="1"/>
  <c r="Q180" i="1" a="1"/>
  <c r="Q180" i="1" s="1"/>
  <c r="P180" i="1" s="1"/>
  <c r="Q136" i="1" a="1"/>
  <c r="Q136" i="1" s="1"/>
  <c r="P136" i="1" s="1"/>
  <c r="R86" i="1" a="1"/>
  <c r="R86" i="1" s="1"/>
  <c r="V86" i="1" s="1"/>
  <c r="O235" i="1"/>
  <c r="Q51" i="1" a="1"/>
  <c r="Q51" i="1" s="1"/>
  <c r="Q134" i="1" a="1"/>
  <c r="Q134" i="1" s="1"/>
  <c r="P134" i="1" s="1"/>
  <c r="R195" i="1" a="1"/>
  <c r="R195" i="1" s="1"/>
  <c r="R52" i="1" a="1"/>
  <c r="R52" i="1" s="1"/>
  <c r="V52" i="1" s="1"/>
  <c r="R26" i="1" a="1"/>
  <c r="R26" i="1" s="1"/>
  <c r="AN26" i="1" s="1"/>
  <c r="R154" i="1" a="1"/>
  <c r="R154" i="1" s="1"/>
  <c r="R79" i="1" a="1"/>
  <c r="R79" i="1" s="1"/>
  <c r="AN79" i="1" s="1"/>
  <c r="R69" i="1" a="1"/>
  <c r="R69" i="1" s="1"/>
  <c r="R51" i="1" a="1"/>
  <c r="R51" i="1" s="1"/>
  <c r="V51" i="1" s="1"/>
  <c r="R225" i="1" a="1"/>
  <c r="R225" i="1" s="1"/>
  <c r="AN225" i="1" s="1"/>
  <c r="R189" i="1" a="1"/>
  <c r="R189" i="1" s="1"/>
  <c r="AN189" i="1" s="1"/>
  <c r="Q6" i="1" a="1"/>
  <c r="Q6" i="1" s="1"/>
  <c r="P6" i="1" s="1"/>
  <c r="Q226" i="1" a="1"/>
  <c r="Q226" i="1" s="1"/>
  <c r="P226" i="1" s="1"/>
  <c r="R210" i="1" a="1"/>
  <c r="R210" i="1" s="1"/>
  <c r="R91" i="1" a="1"/>
  <c r="R91" i="1" s="1"/>
  <c r="R36" i="1" a="1"/>
  <c r="R36" i="1" s="1"/>
  <c r="R28" i="1" a="1"/>
  <c r="R28" i="1" s="1"/>
  <c r="AN28" i="1" s="1"/>
  <c r="R9" i="1" a="1"/>
  <c r="R9" i="1" s="1"/>
  <c r="AN9" i="1" s="1"/>
  <c r="Q112" i="1" a="1"/>
  <c r="Q112" i="1" s="1"/>
  <c r="P112" i="1" s="1"/>
  <c r="Q135" i="1" a="1"/>
  <c r="Q135" i="1" s="1"/>
  <c r="P135" i="1" s="1"/>
  <c r="Q15" i="1" a="1"/>
  <c r="Q15" i="1" s="1"/>
  <c r="P15" i="1" s="1"/>
  <c r="Q227" i="1" a="1"/>
  <c r="Q227" i="1" s="1"/>
  <c r="P227" i="1" s="1"/>
  <c r="R228" i="1" a="1"/>
  <c r="R228" i="1" s="1"/>
  <c r="V228" i="1" s="1"/>
  <c r="R208" i="1" a="1"/>
  <c r="R208" i="1" s="1"/>
  <c r="R206" i="1" a="1"/>
  <c r="R206" i="1" s="1"/>
  <c r="R190" i="1" a="1"/>
  <c r="R190" i="1" s="1"/>
  <c r="AN190" i="1" s="1"/>
  <c r="R186" i="1" a="1"/>
  <c r="R186" i="1" s="1"/>
  <c r="N186" i="1" s="1"/>
  <c r="U186" i="1" s="1"/>
  <c r="R184" i="1" a="1"/>
  <c r="R184" i="1" s="1"/>
  <c r="AN184" i="1" s="1"/>
  <c r="R176" i="1" a="1"/>
  <c r="R176" i="1" s="1"/>
  <c r="R166" i="1" a="1"/>
  <c r="R166" i="1" s="1"/>
  <c r="N166" i="1" s="1"/>
  <c r="R161" i="1" a="1"/>
  <c r="R161" i="1" s="1"/>
  <c r="R160" i="1" a="1"/>
  <c r="R160" i="1" s="1"/>
  <c r="R156" i="1" a="1"/>
  <c r="R156" i="1" s="1"/>
  <c r="R153" i="1" a="1"/>
  <c r="R153" i="1" s="1"/>
  <c r="R151" i="1" a="1"/>
  <c r="R151" i="1" s="1"/>
  <c r="R146" i="1" a="1"/>
  <c r="R146" i="1" s="1"/>
  <c r="N146" i="1" s="1"/>
  <c r="U146" i="1" s="1"/>
  <c r="R129" i="1" a="1"/>
  <c r="R129" i="1" s="1"/>
  <c r="V129" i="1" s="1"/>
  <c r="R124" i="1" a="1"/>
  <c r="R124" i="1" s="1"/>
  <c r="R120" i="1" a="1"/>
  <c r="R120" i="1" s="1"/>
  <c r="AN120" i="1" s="1"/>
  <c r="R119" i="1" a="1"/>
  <c r="R119" i="1" s="1"/>
  <c r="AN119" i="1" s="1"/>
  <c r="R113" i="1" a="1"/>
  <c r="R113" i="1" s="1"/>
  <c r="AN113" i="1" s="1"/>
  <c r="R106" i="1" a="1"/>
  <c r="R106" i="1" s="1"/>
  <c r="R104" i="1" a="1"/>
  <c r="R104" i="1" s="1"/>
  <c r="R81" i="1" a="1"/>
  <c r="R81" i="1" s="1"/>
  <c r="V81" i="1" s="1"/>
  <c r="R77" i="1" a="1"/>
  <c r="R77" i="1" s="1"/>
  <c r="N77" i="1" s="1"/>
  <c r="U77" i="1" s="1"/>
  <c r="R65" i="1" a="1"/>
  <c r="R65" i="1" s="1"/>
  <c r="AN65" i="1" s="1"/>
  <c r="R63" i="1" a="1"/>
  <c r="R63" i="1" s="1"/>
  <c r="AN63" i="1" s="1"/>
  <c r="R61" i="1" a="1"/>
  <c r="R61" i="1" s="1"/>
  <c r="AN61" i="1" s="1"/>
  <c r="R56" i="1" a="1"/>
  <c r="R56" i="1" s="1"/>
  <c r="AN56" i="1" s="1"/>
  <c r="R57" i="1" a="1"/>
  <c r="R57" i="1" s="1"/>
  <c r="N57" i="1" s="1"/>
  <c r="R45" i="1" a="1"/>
  <c r="R45" i="1" s="1"/>
  <c r="AN45" i="1" s="1"/>
  <c r="R27" i="1" a="1"/>
  <c r="R27" i="1" s="1"/>
  <c r="AN27" i="1" s="1"/>
  <c r="R16" i="1" a="1"/>
  <c r="R16" i="1" s="1"/>
  <c r="V16" i="1" s="1"/>
  <c r="R6" i="1" a="1"/>
  <c r="R6" i="1" s="1"/>
  <c r="AN6" i="1" s="1"/>
  <c r="R19" i="1" a="1"/>
  <c r="R19" i="1" s="1"/>
  <c r="R18" i="1" a="1"/>
  <c r="R18" i="1" s="1"/>
  <c r="AN18" i="1" s="1"/>
  <c r="Q225" i="1" a="1"/>
  <c r="Q225" i="1" s="1"/>
  <c r="P225" i="1" s="1"/>
  <c r="Q90" i="1" a="1"/>
  <c r="Q90" i="1" s="1"/>
  <c r="P90" i="1" s="1"/>
  <c r="Q2" i="1" a="1"/>
  <c r="Q2" i="1" s="1"/>
  <c r="P2" i="1" s="1"/>
  <c r="Q94" i="1" a="1"/>
  <c r="Q94" i="1" s="1"/>
  <c r="P94" i="1" s="1"/>
  <c r="Q97" i="1" a="1"/>
  <c r="Q97" i="1" s="1"/>
  <c r="P97" i="1" s="1"/>
  <c r="Q139" i="1" a="1"/>
  <c r="Q139" i="1" s="1"/>
  <c r="P139" i="1" s="1"/>
  <c r="Q98" i="1" a="1"/>
  <c r="Q98" i="1" s="1"/>
  <c r="P98" i="1" s="1"/>
  <c r="Q125" i="1" a="1"/>
  <c r="Q125" i="1" s="1"/>
  <c r="P125" i="1" s="1"/>
  <c r="Q17" i="1" a="1"/>
  <c r="Q17" i="1" s="1"/>
  <c r="P17" i="1" s="1"/>
  <c r="R222" i="1" a="1"/>
  <c r="R222" i="1" s="1"/>
  <c r="R221" i="1" a="1"/>
  <c r="R221" i="1" s="1"/>
  <c r="AN221" i="1" s="1"/>
  <c r="R211" i="1" a="1"/>
  <c r="R211" i="1" s="1"/>
  <c r="R180" i="1" a="1"/>
  <c r="R180" i="1" s="1"/>
  <c r="R170" i="1" a="1"/>
  <c r="R170" i="1" s="1"/>
  <c r="V170" i="1" s="1"/>
  <c r="R169" i="1" a="1"/>
  <c r="R169" i="1" s="1"/>
  <c r="V169" i="1" s="1"/>
  <c r="R167" i="1" a="1"/>
  <c r="R167" i="1" s="1"/>
  <c r="V167" i="1" s="1"/>
  <c r="R158" i="1" a="1"/>
  <c r="R158" i="1" s="1"/>
  <c r="R147" i="1" a="1"/>
  <c r="R147" i="1" s="1"/>
  <c r="AN147" i="1" s="1"/>
  <c r="R136" i="1" a="1"/>
  <c r="R136" i="1" s="1"/>
  <c r="V136" i="1" s="1"/>
  <c r="R135" i="1" a="1"/>
  <c r="R135" i="1" s="1"/>
  <c r="AN135" i="1" s="1"/>
  <c r="R132" i="1" a="1"/>
  <c r="R132" i="1" s="1"/>
  <c r="V132" i="1" s="1"/>
  <c r="R130" i="1" a="1"/>
  <c r="R130" i="1" s="1"/>
  <c r="AN130" i="1" s="1"/>
  <c r="R117" i="1" a="1"/>
  <c r="R117" i="1" s="1"/>
  <c r="AN117" i="1" s="1"/>
  <c r="R107" i="1" a="1"/>
  <c r="R107" i="1" s="1"/>
  <c r="R98" i="1" a="1"/>
  <c r="R98" i="1" s="1"/>
  <c r="N98" i="1" s="1"/>
  <c r="R96" i="1" a="1"/>
  <c r="R96" i="1" s="1"/>
  <c r="R93" i="1" a="1"/>
  <c r="R93" i="1" s="1"/>
  <c r="AN93" i="1" s="1"/>
  <c r="R84" i="1" a="1"/>
  <c r="R84" i="1" s="1"/>
  <c r="V84" i="1" s="1"/>
  <c r="R80" i="1" a="1"/>
  <c r="R80" i="1" s="1"/>
  <c r="AN80" i="1" s="1"/>
  <c r="R67" i="1" a="1"/>
  <c r="R67" i="1" s="1"/>
  <c r="R62" i="1" a="1"/>
  <c r="R62" i="1" s="1"/>
  <c r="AN62" i="1" s="1"/>
  <c r="R60" i="1" a="1"/>
  <c r="R60" i="1" s="1"/>
  <c r="AN60" i="1" s="1"/>
  <c r="R49" i="1" a="1"/>
  <c r="R49" i="1" s="1"/>
  <c r="V49" i="1" s="1"/>
  <c r="R33" i="1" a="1"/>
  <c r="R33" i="1" s="1"/>
  <c r="R2" i="1" a="1"/>
  <c r="R2" i="1" s="1"/>
  <c r="AN2" i="1" s="1"/>
  <c r="R13" i="1" a="1"/>
  <c r="R13" i="1" s="1"/>
  <c r="N13" i="1" s="1"/>
  <c r="U13" i="1" s="1"/>
  <c r="R24" i="1" a="1"/>
  <c r="R24" i="1" s="1"/>
  <c r="AN24" i="1" s="1"/>
  <c r="P235" i="1"/>
  <c r="Q163" i="1" a="1"/>
  <c r="Q163" i="1" s="1"/>
  <c r="P163" i="1" s="1"/>
  <c r="Q10" i="1" a="1"/>
  <c r="Q10" i="1" s="1"/>
  <c r="P10" i="1" s="1"/>
  <c r="Q39" i="1" a="1"/>
  <c r="Q39" i="1" s="1"/>
  <c r="P39" i="1" s="1"/>
  <c r="Q224" i="1" a="1"/>
  <c r="Q224" i="1" s="1"/>
  <c r="P224" i="1" s="1"/>
  <c r="Q52" i="1" a="1"/>
  <c r="Q52" i="1" s="1"/>
  <c r="Q158" i="1" a="1"/>
  <c r="Q158" i="1" s="1"/>
  <c r="P158" i="1" s="1"/>
  <c r="Q67" i="1" a="1"/>
  <c r="Q67" i="1" s="1"/>
  <c r="P67" i="1" s="1"/>
  <c r="Q23" i="1" a="1"/>
  <c r="Q23" i="1" s="1"/>
  <c r="P23" i="1" s="1"/>
  <c r="Q91" i="1" a="1"/>
  <c r="Q91" i="1" s="1"/>
  <c r="P91" i="1" s="1"/>
  <c r="Q147" i="1" a="1"/>
  <c r="Q147" i="1" s="1"/>
  <c r="P147" i="1" s="1"/>
  <c r="Q192" i="1" a="1"/>
  <c r="Q192" i="1" s="1"/>
  <c r="P192" i="1" s="1"/>
  <c r="Q174" i="1" a="1"/>
  <c r="Q174" i="1" s="1"/>
  <c r="P174" i="1" s="1"/>
  <c r="Q183" i="1" a="1"/>
  <c r="Q183" i="1" s="1"/>
  <c r="P183" i="1" s="1"/>
  <c r="Q211" i="1" a="1"/>
  <c r="Q211" i="1" s="1"/>
  <c r="P211" i="1" s="1"/>
  <c r="Q141" i="1" a="1"/>
  <c r="Q141" i="1" s="1"/>
  <c r="P141" i="1" s="1"/>
  <c r="Q195" i="1" a="1"/>
  <c r="Q195" i="1" s="1"/>
  <c r="P195" i="1" s="1"/>
  <c r="Q21" i="1" a="1"/>
  <c r="Q21" i="1" s="1"/>
  <c r="P21" i="1" s="1"/>
  <c r="R191" i="1" a="1"/>
  <c r="R191" i="1" s="1"/>
  <c r="R181" i="1" a="1"/>
  <c r="R181" i="1" s="1"/>
  <c r="V181" i="1" s="1"/>
  <c r="R162" i="1" a="1"/>
  <c r="R162" i="1" s="1"/>
  <c r="R155" i="1" a="1"/>
  <c r="R155" i="1" s="1"/>
  <c r="R139" i="1" a="1"/>
  <c r="R139" i="1" s="1"/>
  <c r="R133" i="1" a="1"/>
  <c r="R133" i="1" s="1"/>
  <c r="AN133" i="1" s="1"/>
  <c r="R116" i="1" a="1"/>
  <c r="R116" i="1" s="1"/>
  <c r="V116" i="1" s="1"/>
  <c r="R115" i="1" a="1"/>
  <c r="R115" i="1" s="1"/>
  <c r="V115" i="1" s="1"/>
  <c r="R112" i="1" a="1"/>
  <c r="R112" i="1" s="1"/>
  <c r="N112" i="1" s="1"/>
  <c r="U112" i="1" s="1"/>
  <c r="R111" i="1" a="1"/>
  <c r="R111" i="1" s="1"/>
  <c r="N111" i="1" s="1"/>
  <c r="U111" i="1" s="1"/>
  <c r="R109" i="1" a="1"/>
  <c r="R109" i="1" s="1"/>
  <c r="R108" i="1" a="1"/>
  <c r="R108" i="1" s="1"/>
  <c r="R105" i="1" a="1"/>
  <c r="R105" i="1" s="1"/>
  <c r="R97" i="1" a="1"/>
  <c r="R97" i="1" s="1"/>
  <c r="R85" i="1" a="1"/>
  <c r="R85" i="1" s="1"/>
  <c r="V85" i="1" s="1"/>
  <c r="R54" i="1" a="1"/>
  <c r="R54" i="1" s="1"/>
  <c r="R50" i="1" a="1"/>
  <c r="R50" i="1" s="1"/>
  <c r="V50" i="1" s="1"/>
  <c r="R47" i="1" a="1"/>
  <c r="R47" i="1" s="1"/>
  <c r="AN47" i="1" s="1"/>
  <c r="R46" i="1" a="1"/>
  <c r="R46" i="1" s="1"/>
  <c r="R38" i="1" a="1"/>
  <c r="R38" i="1" s="1"/>
  <c r="AN38" i="1" s="1"/>
  <c r="R35" i="1" a="1"/>
  <c r="R35" i="1" s="1"/>
  <c r="AN35" i="1" s="1"/>
  <c r="R32" i="1" a="1"/>
  <c r="R32" i="1" s="1"/>
  <c r="R12" i="1" a="1"/>
  <c r="R12" i="1" s="1"/>
  <c r="N12" i="1" s="1"/>
  <c r="U12" i="1" s="1"/>
  <c r="R3" i="1" a="1"/>
  <c r="R3" i="1" s="1"/>
  <c r="AN3" i="1" s="1"/>
  <c r="Q234" i="1" a="1"/>
  <c r="Q234" i="1" s="1"/>
  <c r="Q203" i="1" a="1"/>
  <c r="Q203" i="1" s="1"/>
  <c r="P203" i="1" s="1"/>
  <c r="Q204" i="1" a="1"/>
  <c r="Q204" i="1" s="1"/>
  <c r="P204" i="1" s="1"/>
  <c r="Q22" i="1" a="1"/>
  <c r="Q22" i="1" s="1"/>
  <c r="P22" i="1" s="1"/>
  <c r="Q89" i="1" a="1"/>
  <c r="Q89" i="1" s="1"/>
  <c r="P89" i="1" s="1"/>
  <c r="Q58" i="1" a="1"/>
  <c r="Q58" i="1" s="1"/>
  <c r="P58" i="1" s="1"/>
  <c r="Q20" i="1" a="1"/>
  <c r="Q20" i="1" s="1"/>
  <c r="P20" i="1" s="1"/>
  <c r="Q126" i="1" a="1"/>
  <c r="Q126" i="1" s="1"/>
  <c r="P126" i="1" s="1"/>
  <c r="Q128" i="1" a="1"/>
  <c r="Q128" i="1" s="1"/>
  <c r="P128" i="1" s="1"/>
  <c r="Q18" i="1" a="1"/>
  <c r="Q18" i="1" s="1"/>
  <c r="P18" i="1" s="1"/>
  <c r="Q138" i="1" a="1"/>
  <c r="Q138" i="1" s="1"/>
  <c r="P138" i="1" s="1"/>
  <c r="Q131" i="1" a="1"/>
  <c r="Q131" i="1" s="1"/>
  <c r="P131" i="1" s="1"/>
  <c r="Q31" i="1" a="1"/>
  <c r="Q31" i="1" s="1"/>
  <c r="P31" i="1" s="1"/>
  <c r="Q65" i="1" a="1"/>
  <c r="Q65" i="1" s="1"/>
  <c r="P65" i="1" s="1"/>
  <c r="Q185" i="1" a="1"/>
  <c r="Q185" i="1" s="1"/>
  <c r="P185" i="1" s="1"/>
  <c r="Q200" i="1" a="1"/>
  <c r="Q200" i="1" s="1"/>
  <c r="P200" i="1" s="1"/>
  <c r="Q120" i="1" a="1"/>
  <c r="Q120" i="1" s="1"/>
  <c r="P120" i="1" s="1"/>
  <c r="Q101" i="1" a="1"/>
  <c r="Q101" i="1" s="1"/>
  <c r="P101" i="1" s="1"/>
  <c r="Q80" i="1" a="1"/>
  <c r="Q80" i="1" s="1"/>
  <c r="P80" i="1" s="1"/>
  <c r="Q215" i="1" a="1"/>
  <c r="Q215" i="1" s="1"/>
  <c r="Q123" i="1" a="1"/>
  <c r="Q123" i="1" s="1"/>
  <c r="P123" i="1" s="1"/>
  <c r="R198" i="1" a="1"/>
  <c r="R198" i="1" s="1"/>
  <c r="Q43" i="1" a="1"/>
  <c r="Q43" i="1" s="1"/>
  <c r="P43" i="1" s="1"/>
  <c r="Q232" i="1" a="1"/>
  <c r="Q232" i="1" s="1"/>
  <c r="Q129" i="1" a="1"/>
  <c r="Q129" i="1" s="1"/>
  <c r="P129" i="1" s="1"/>
  <c r="Q30" i="1" a="1"/>
  <c r="Q30" i="1" s="1"/>
  <c r="P30" i="1" s="1"/>
  <c r="Q155" i="1" a="1"/>
  <c r="Q155" i="1" s="1"/>
  <c r="P155" i="1" s="1"/>
  <c r="Q66" i="1" a="1"/>
  <c r="Q66" i="1" s="1"/>
  <c r="P66" i="1" s="1"/>
  <c r="Q145" i="1" a="1"/>
  <c r="Q145" i="1" s="1"/>
  <c r="P145" i="1" s="1"/>
  <c r="Q170" i="1" a="1"/>
  <c r="Q170" i="1" s="1"/>
  <c r="P170" i="1" s="1"/>
  <c r="Q116" i="1" a="1"/>
  <c r="Q116" i="1" s="1"/>
  <c r="P116" i="1" s="1"/>
  <c r="Q121" i="1" a="1"/>
  <c r="Q121" i="1" s="1"/>
  <c r="P121" i="1" s="1"/>
  <c r="Q109" i="1" a="1"/>
  <c r="Q109" i="1" s="1"/>
  <c r="P109" i="1" s="1"/>
  <c r="Q57" i="1" a="1"/>
  <c r="Q57" i="1" s="1"/>
  <c r="P57" i="1" s="1"/>
  <c r="Q172" i="1" a="1"/>
  <c r="Q172" i="1" s="1"/>
  <c r="P172" i="1" s="1"/>
  <c r="Q87" i="1" a="1"/>
  <c r="Q87" i="1" s="1"/>
  <c r="P87" i="1" s="1"/>
  <c r="W231" i="1"/>
  <c r="Q196" i="1" a="1"/>
  <c r="Q196" i="1" s="1"/>
  <c r="P196" i="1" s="1"/>
  <c r="Q107" i="1" a="1"/>
  <c r="Q107" i="1" s="1"/>
  <c r="P107" i="1" s="1"/>
  <c r="Q37" i="1" a="1"/>
  <c r="Q37" i="1" s="1"/>
  <c r="P37" i="1" s="1"/>
  <c r="R220" i="1" a="1"/>
  <c r="R220" i="1" s="1"/>
  <c r="N220" i="1" s="1"/>
  <c r="U220" i="1" s="1"/>
  <c r="R217" i="1" a="1"/>
  <c r="R217" i="1" s="1"/>
  <c r="V217" i="1" s="1"/>
  <c r="R214" i="1" a="1"/>
  <c r="R214" i="1" s="1"/>
  <c r="AN214" i="1" s="1"/>
  <c r="R200" i="1" a="1"/>
  <c r="R200" i="1" s="1"/>
  <c r="N200" i="1" s="1"/>
  <c r="U200" i="1" s="1"/>
  <c r="R199" i="1" a="1"/>
  <c r="R199" i="1" s="1"/>
  <c r="AN199" i="1" s="1"/>
  <c r="R187" i="1" a="1"/>
  <c r="R187" i="1" s="1"/>
  <c r="N187" i="1" s="1"/>
  <c r="U187" i="1" s="1"/>
  <c r="R179" i="1" a="1"/>
  <c r="R179" i="1" s="1"/>
  <c r="R175" i="1" a="1"/>
  <c r="R175" i="1" s="1"/>
  <c r="R173" i="1" a="1"/>
  <c r="R173" i="1" s="1"/>
  <c r="R157" i="1" a="1"/>
  <c r="R157" i="1" s="1"/>
  <c r="R142" i="1" a="1"/>
  <c r="R142" i="1" s="1"/>
  <c r="R138" i="1" a="1"/>
  <c r="R138" i="1" s="1"/>
  <c r="R100" i="1" a="1"/>
  <c r="R100" i="1" s="1"/>
  <c r="V100" i="1" s="1"/>
  <c r="R88" i="1" a="1"/>
  <c r="R88" i="1" s="1"/>
  <c r="R89" i="1" a="1"/>
  <c r="R89" i="1" s="1"/>
  <c r="R82" i="1" a="1"/>
  <c r="R82" i="1" s="1"/>
  <c r="AN82" i="1" s="1"/>
  <c r="R78" i="1" a="1"/>
  <c r="R78" i="1" s="1"/>
  <c r="AN78" i="1" s="1"/>
  <c r="R72" i="1" a="1"/>
  <c r="R72" i="1" s="1"/>
  <c r="R71" i="1" a="1"/>
  <c r="R71" i="1" s="1"/>
  <c r="R68" i="1" a="1"/>
  <c r="R68" i="1" s="1"/>
  <c r="R55" i="1" a="1"/>
  <c r="R55" i="1" s="1"/>
  <c r="R48" i="1" a="1"/>
  <c r="R48" i="1" s="1"/>
  <c r="V48" i="1" s="1"/>
  <c r="R43" i="1" a="1"/>
  <c r="R43" i="1" s="1"/>
  <c r="N43" i="1" s="1"/>
  <c r="U43" i="1" s="1"/>
  <c r="R40" i="1" a="1"/>
  <c r="R40" i="1" s="1"/>
  <c r="V40" i="1" s="1"/>
  <c r="R5" i="1" a="1"/>
  <c r="R5" i="1" s="1"/>
  <c r="N5" i="1" s="1"/>
  <c r="R4" i="1" a="1"/>
  <c r="R4" i="1" s="1"/>
  <c r="V4" i="1" s="1"/>
  <c r="Q222" i="1" a="1"/>
  <c r="Q222" i="1" s="1"/>
  <c r="P222" i="1" s="1"/>
  <c r="Q137" i="1" a="1"/>
  <c r="Q137" i="1" s="1"/>
  <c r="P137" i="1" s="1"/>
  <c r="W233" i="1"/>
  <c r="Q88" i="1" a="1"/>
  <c r="Q88" i="1" s="1"/>
  <c r="P88" i="1" s="1"/>
  <c r="Q105" i="1" a="1"/>
  <c r="Q105" i="1" s="1"/>
  <c r="P105" i="1" s="1"/>
  <c r="W230" i="1"/>
  <c r="Q127" i="1" a="1"/>
  <c r="Q127" i="1" s="1"/>
  <c r="P127" i="1" s="1"/>
  <c r="Q62" i="1" a="1"/>
  <c r="Q62" i="1" s="1"/>
  <c r="P62" i="1" s="1"/>
  <c r="Q186" i="1" a="1"/>
  <c r="Q186" i="1" s="1"/>
  <c r="P186" i="1" s="1"/>
  <c r="Q60" i="1" a="1"/>
  <c r="Q60" i="1" s="1"/>
  <c r="P60" i="1" s="1"/>
  <c r="Q76" i="1" a="1"/>
  <c r="Q76" i="1" s="1"/>
  <c r="P76" i="1" s="1"/>
  <c r="Q198" i="1" a="1"/>
  <c r="Q198" i="1" s="1"/>
  <c r="P198" i="1" s="1"/>
  <c r="Q160" i="1" a="1"/>
  <c r="Q160" i="1" s="1"/>
  <c r="P160" i="1" s="1"/>
  <c r="Q24" i="1" a="1"/>
  <c r="Q24" i="1" s="1"/>
  <c r="P24" i="1" s="1"/>
  <c r="Q4" i="1" a="1"/>
  <c r="Q4" i="1" s="1"/>
  <c r="P4" i="1" s="1"/>
  <c r="Q177" i="1" a="1"/>
  <c r="Q177" i="1" s="1"/>
  <c r="P177" i="1" s="1"/>
  <c r="Q218" i="1" a="1"/>
  <c r="Q218" i="1" s="1"/>
  <c r="P218" i="1" s="1"/>
  <c r="R216" i="1" a="1"/>
  <c r="R216" i="1" s="1"/>
  <c r="AN216" i="1" s="1"/>
  <c r="R212" i="1" a="1"/>
  <c r="R212" i="1" s="1"/>
  <c r="R207" i="1" a="1"/>
  <c r="R207" i="1" s="1"/>
  <c r="R205" i="1" a="1"/>
  <c r="R205" i="1" s="1"/>
  <c r="AN205" i="1" s="1"/>
  <c r="R203" i="1" a="1"/>
  <c r="R203" i="1" s="1"/>
  <c r="R197" i="1" a="1"/>
  <c r="R197" i="1" s="1"/>
  <c r="R193" i="1" a="1"/>
  <c r="R193" i="1" s="1"/>
  <c r="R192" i="1" a="1"/>
  <c r="R192" i="1" s="1"/>
  <c r="R188" i="1" a="1"/>
  <c r="R188" i="1" s="1"/>
  <c r="N188" i="1" s="1"/>
  <c r="U188" i="1" s="1"/>
  <c r="R182" i="1" a="1"/>
  <c r="R182" i="1" s="1"/>
  <c r="V182" i="1" s="1"/>
  <c r="R177" i="1" a="1"/>
  <c r="R177" i="1" s="1"/>
  <c r="R150" i="1" a="1"/>
  <c r="R150" i="1" s="1"/>
  <c r="N150" i="1" s="1"/>
  <c r="R148" i="1" a="1"/>
  <c r="R148" i="1" s="1"/>
  <c r="AN148" i="1" s="1"/>
  <c r="R145" i="1" a="1"/>
  <c r="R145" i="1" s="1"/>
  <c r="R134" i="1" a="1"/>
  <c r="R134" i="1" s="1"/>
  <c r="V134" i="1" s="1"/>
  <c r="R121" i="1" a="1"/>
  <c r="R121" i="1" s="1"/>
  <c r="N121" i="1" s="1"/>
  <c r="U121" i="1" s="1"/>
  <c r="R110" i="1" a="1"/>
  <c r="R110" i="1" s="1"/>
  <c r="AN110" i="1" s="1"/>
  <c r="R102" i="1" a="1"/>
  <c r="R102" i="1" s="1"/>
  <c r="R99" i="1" a="1"/>
  <c r="R99" i="1" s="1"/>
  <c r="N99" i="1" s="1"/>
  <c r="U99" i="1" s="1"/>
  <c r="R83" i="1" a="1"/>
  <c r="R83" i="1" s="1"/>
  <c r="AN83" i="1" s="1"/>
  <c r="R76" i="1" a="1"/>
  <c r="R76" i="1" s="1"/>
  <c r="V76" i="1" s="1"/>
  <c r="R53" i="1" a="1"/>
  <c r="R53" i="1" s="1"/>
  <c r="R44" i="1" a="1"/>
  <c r="R44" i="1" s="1"/>
  <c r="AN44" i="1" s="1"/>
  <c r="R42" i="1" a="1"/>
  <c r="R42" i="1" s="1"/>
  <c r="N42" i="1" s="1"/>
  <c r="U42" i="1" s="1"/>
  <c r="R37" i="1" a="1"/>
  <c r="R37" i="1" s="1"/>
  <c r="R31" i="1" a="1"/>
  <c r="R31" i="1" s="1"/>
  <c r="V31" i="1" s="1"/>
  <c r="R14" i="1" a="1"/>
  <c r="R14" i="1" s="1"/>
  <c r="AN14" i="1" s="1"/>
  <c r="R23" i="1" a="1"/>
  <c r="R23" i="1" s="1"/>
  <c r="V23" i="1" s="1"/>
  <c r="Q71" i="1" a="1"/>
  <c r="Q71" i="1" s="1"/>
  <c r="P71" i="1" s="1"/>
  <c r="Q44" i="1" a="1"/>
  <c r="Q44" i="1" s="1"/>
  <c r="P44" i="1" s="1"/>
  <c r="Q53" i="1" a="1"/>
  <c r="Q53" i="1" s="1"/>
  <c r="P53" i="1" s="1"/>
  <c r="Q159" i="1" a="1"/>
  <c r="Q159" i="1" s="1"/>
  <c r="P159" i="1" s="1"/>
  <c r="Q16" i="1" a="1"/>
  <c r="Q16" i="1" s="1"/>
  <c r="P16" i="1" s="1"/>
  <c r="Q210" i="1" a="1"/>
  <c r="Q210" i="1" s="1"/>
  <c r="P210" i="1" s="1"/>
  <c r="Q29" i="1" a="1"/>
  <c r="Q29" i="1" s="1"/>
  <c r="P29" i="1" s="1"/>
  <c r="Q56" i="1" a="1"/>
  <c r="Q56" i="1" s="1"/>
  <c r="P56" i="1" s="1"/>
  <c r="Q148" i="1" a="1"/>
  <c r="Q148" i="1" s="1"/>
  <c r="P148" i="1" s="1"/>
  <c r="Q69" i="1" a="1"/>
  <c r="Q69" i="1" s="1"/>
  <c r="P69" i="1" s="1"/>
  <c r="Q7" i="1" a="1"/>
  <c r="Q7" i="1" s="1"/>
  <c r="P7" i="1" s="1"/>
  <c r="Q14" i="1" a="1"/>
  <c r="Q14" i="1" s="1"/>
  <c r="P14" i="1" s="1"/>
  <c r="Q173" i="1" a="1"/>
  <c r="Q173" i="1" s="1"/>
  <c r="P173" i="1" s="1"/>
  <c r="Q84" i="1" a="1"/>
  <c r="Q84" i="1" s="1"/>
  <c r="P84" i="1" s="1"/>
  <c r="Q233" i="1" a="1"/>
  <c r="Q233" i="1" s="1"/>
  <c r="Q193" i="1" a="1"/>
  <c r="Q193" i="1" s="1"/>
  <c r="P193" i="1" s="1"/>
  <c r="Q93" i="1" a="1"/>
  <c r="Q93" i="1" s="1"/>
  <c r="P93" i="1" s="1"/>
  <c r="R231" i="1" a="1"/>
  <c r="R231" i="1" s="1"/>
  <c r="AN231" i="1" s="1"/>
  <c r="R227" i="1" a="1"/>
  <c r="R227" i="1" s="1"/>
  <c r="AN227" i="1" s="1"/>
  <c r="R219" i="1" a="1"/>
  <c r="R219" i="1" s="1"/>
  <c r="R215" i="1" a="1"/>
  <c r="R215" i="1" s="1"/>
  <c r="V215" i="1" s="1"/>
  <c r="R204" i="1" a="1"/>
  <c r="R204" i="1" s="1"/>
  <c r="N204" i="1" s="1"/>
  <c r="U204" i="1" s="1"/>
  <c r="R196" i="1" a="1"/>
  <c r="R196" i="1" s="1"/>
  <c r="R194" i="1" a="1"/>
  <c r="R194" i="1" s="1"/>
  <c r="R183" i="1" a="1"/>
  <c r="R183" i="1" s="1"/>
  <c r="AN183" i="1" s="1"/>
  <c r="R178" i="1" a="1"/>
  <c r="R178" i="1" s="1"/>
  <c r="R164" i="1" a="1"/>
  <c r="R164" i="1" s="1"/>
  <c r="AN164" i="1" s="1"/>
  <c r="R163" i="1" a="1"/>
  <c r="R163" i="1" s="1"/>
  <c r="R159" i="1" a="1"/>
  <c r="R159" i="1" s="1"/>
  <c r="R144" i="1" a="1"/>
  <c r="R144" i="1" s="1"/>
  <c r="R143" i="1" a="1"/>
  <c r="R143" i="1" s="1"/>
  <c r="R140" i="1" a="1"/>
  <c r="R140" i="1" s="1"/>
  <c r="R131" i="1" a="1"/>
  <c r="R131" i="1" s="1"/>
  <c r="AN131" i="1" s="1"/>
  <c r="R128" i="1" a="1"/>
  <c r="R128" i="1" s="1"/>
  <c r="N128" i="1" s="1"/>
  <c r="U128" i="1" s="1"/>
  <c r="R127" i="1" a="1"/>
  <c r="R127" i="1" s="1"/>
  <c r="R123" i="1" a="1"/>
  <c r="R123" i="1" s="1"/>
  <c r="R122" i="1" a="1"/>
  <c r="R122" i="1" s="1"/>
  <c r="R118" i="1" a="1"/>
  <c r="R118" i="1" s="1"/>
  <c r="AN118" i="1" s="1"/>
  <c r="R103" i="1" a="1"/>
  <c r="R103" i="1" s="1"/>
  <c r="R101" i="1" a="1"/>
  <c r="R101" i="1" s="1"/>
  <c r="R92" i="1" a="1"/>
  <c r="R92" i="1" s="1"/>
  <c r="V92" i="1" s="1"/>
  <c r="R74" i="1" a="1"/>
  <c r="R74" i="1" s="1"/>
  <c r="AN74" i="1" s="1"/>
  <c r="R66" i="1" a="1"/>
  <c r="R66" i="1" s="1"/>
  <c r="AN66" i="1" s="1"/>
  <c r="R58" i="1" a="1"/>
  <c r="R58" i="1" s="1"/>
  <c r="R41" i="1" a="1"/>
  <c r="R41" i="1" s="1"/>
  <c r="V41" i="1" s="1"/>
  <c r="R39" i="1" a="1"/>
  <c r="R39" i="1" s="1"/>
  <c r="AN39" i="1" s="1"/>
  <c r="R34" i="1" a="1"/>
  <c r="R34" i="1" s="1"/>
  <c r="R29" i="1" a="1"/>
  <c r="R29" i="1" s="1"/>
  <c r="N29" i="1" s="1"/>
  <c r="R21" i="1" a="1"/>
  <c r="R21" i="1" s="1"/>
  <c r="AN21" i="1" s="1"/>
  <c r="R25" i="1" a="1"/>
  <c r="R25" i="1" s="1"/>
  <c r="V25" i="1" s="1"/>
  <c r="R11" i="1" a="1"/>
  <c r="R11" i="1" s="1"/>
  <c r="R15" i="1" a="1"/>
  <c r="R15" i="1" s="1"/>
  <c r="R233" i="1" a="1"/>
  <c r="R233" i="1" s="1"/>
  <c r="V233" i="1" s="1"/>
  <c r="Q104" i="1" a="1"/>
  <c r="Q104" i="1" s="1"/>
  <c r="P104" i="1" s="1"/>
  <c r="Q106" i="1" a="1"/>
  <c r="Q106" i="1" s="1"/>
  <c r="P106" i="1" s="1"/>
  <c r="Q81" i="1" a="1"/>
  <c r="Q81" i="1" s="1"/>
  <c r="P81" i="1" s="1"/>
  <c r="Q221" i="1" a="1"/>
  <c r="Q221" i="1" s="1"/>
  <c r="P221" i="1" s="1"/>
  <c r="Q3" i="1" a="1"/>
  <c r="Q3" i="1" s="1"/>
  <c r="P3" i="1" s="1"/>
  <c r="Q178" i="1" a="1"/>
  <c r="Q178" i="1" s="1"/>
  <c r="P178" i="1" s="1"/>
  <c r="Q96" i="1" a="1"/>
  <c r="Q96" i="1" s="1"/>
  <c r="P96" i="1" s="1"/>
  <c r="Q162" i="1" a="1"/>
  <c r="Q162" i="1" s="1"/>
  <c r="P162" i="1" s="1"/>
  <c r="Q25" i="1" a="1"/>
  <c r="Q25" i="1" s="1"/>
  <c r="P25" i="1" s="1"/>
  <c r="Q168" i="1" a="1"/>
  <c r="Q168" i="1" s="1"/>
  <c r="P168" i="1" s="1"/>
  <c r="Q49" i="1" a="1"/>
  <c r="Q49" i="1" s="1"/>
  <c r="Q150" i="1" a="1"/>
  <c r="Q150" i="1" s="1"/>
  <c r="P150" i="1" s="1"/>
  <c r="Q8" i="1" a="1"/>
  <c r="Q8" i="1" s="1"/>
  <c r="P8" i="1" s="1"/>
  <c r="Q59" i="1" a="1"/>
  <c r="Q59" i="1" s="1"/>
  <c r="P59" i="1" s="1"/>
  <c r="R226" i="1" a="1"/>
  <c r="R226" i="1" s="1"/>
  <c r="V226" i="1" s="1"/>
  <c r="R224" i="1" a="1"/>
  <c r="R224" i="1" s="1"/>
  <c r="V224" i="1" s="1"/>
  <c r="R218" i="1" a="1"/>
  <c r="R218" i="1" s="1"/>
  <c r="N218" i="1" s="1"/>
  <c r="U218" i="1" s="1"/>
  <c r="R213" i="1" a="1"/>
  <c r="R213" i="1" s="1"/>
  <c r="AN213" i="1" s="1"/>
  <c r="R209" i="1" a="1"/>
  <c r="R209" i="1" s="1"/>
  <c r="R202" i="1" a="1"/>
  <c r="R202" i="1" s="1"/>
  <c r="V202" i="1" s="1"/>
  <c r="R201" i="1" a="1"/>
  <c r="R201" i="1" s="1"/>
  <c r="V201" i="1" s="1"/>
  <c r="R185" i="1" a="1"/>
  <c r="R185" i="1" s="1"/>
  <c r="AN185" i="1" s="1"/>
  <c r="R171" i="1" a="1"/>
  <c r="R171" i="1" s="1"/>
  <c r="R172" i="1" a="1"/>
  <c r="R172" i="1" s="1"/>
  <c r="R168" i="1" a="1"/>
  <c r="R168" i="1" s="1"/>
  <c r="N168" i="1" s="1"/>
  <c r="R165" i="1" a="1"/>
  <c r="R165" i="1" s="1"/>
  <c r="AN165" i="1" s="1"/>
  <c r="R152" i="1" a="1"/>
  <c r="R152" i="1" s="1"/>
  <c r="AN152" i="1" s="1"/>
  <c r="R149" i="1" a="1"/>
  <c r="R149" i="1" s="1"/>
  <c r="N149" i="1" s="1"/>
  <c r="U149" i="1" s="1"/>
  <c r="R141" i="1" a="1"/>
  <c r="R141" i="1" s="1"/>
  <c r="R137" i="1" a="1"/>
  <c r="R137" i="1" s="1"/>
  <c r="R125" i="1" a="1"/>
  <c r="R125" i="1" s="1"/>
  <c r="R126" i="1" a="1"/>
  <c r="R126" i="1" s="1"/>
  <c r="R114" i="1" a="1"/>
  <c r="R114" i="1" s="1"/>
  <c r="AN114" i="1" s="1"/>
  <c r="R95" i="1" a="1"/>
  <c r="R95" i="1" s="1"/>
  <c r="AN95" i="1" s="1"/>
  <c r="R94" i="1" a="1"/>
  <c r="R94" i="1" s="1"/>
  <c r="N94" i="1" s="1"/>
  <c r="U94" i="1" s="1"/>
  <c r="R90" i="1" a="1"/>
  <c r="R90" i="1" s="1"/>
  <c r="R87" i="1" a="1"/>
  <c r="R87" i="1" s="1"/>
  <c r="R73" i="1" a="1"/>
  <c r="R73" i="1" s="1"/>
  <c r="R70" i="1" a="1"/>
  <c r="R70" i="1" s="1"/>
  <c r="R64" i="1" a="1"/>
  <c r="R64" i="1" s="1"/>
  <c r="AN64" i="1" s="1"/>
  <c r="R59" i="1" a="1"/>
  <c r="R59" i="1" s="1"/>
  <c r="N59" i="1" s="1"/>
  <c r="U59" i="1" s="1"/>
  <c r="R30" i="1" a="1"/>
  <c r="R30" i="1" s="1"/>
  <c r="AN30" i="1" s="1"/>
  <c r="R17" i="1" a="1"/>
  <c r="R17" i="1" s="1"/>
  <c r="AN17" i="1" s="1"/>
  <c r="R10" i="1" a="1"/>
  <c r="R10" i="1" s="1"/>
  <c r="N10" i="1" s="1"/>
  <c r="U10" i="1" s="1"/>
  <c r="R22" i="1" a="1"/>
  <c r="R22" i="1" s="1"/>
  <c r="AN22" i="1" s="1"/>
  <c r="BD235" i="1"/>
  <c r="BC235" i="1"/>
  <c r="W235" i="1"/>
  <c r="Q175" i="1" a="1"/>
  <c r="Q175" i="1" s="1"/>
  <c r="P175" i="1" s="1"/>
  <c r="AO235" i="1"/>
  <c r="AP235" i="1" s="1"/>
  <c r="AS43" i="1" s="1" a="1"/>
  <c r="AS43" i="1" s="1"/>
  <c r="AF235" i="1"/>
  <c r="R20" i="1" a="1"/>
  <c r="R20" i="1" s="1"/>
  <c r="N20" i="1" s="1"/>
  <c r="U20" i="1" s="1"/>
  <c r="Q187" i="1" a="1"/>
  <c r="Q187" i="1" s="1"/>
  <c r="P187" i="1" s="1"/>
  <c r="S548" i="5"/>
  <c r="R235" i="1" a="1"/>
  <c r="R235" i="1" s="1"/>
  <c r="AN235" i="1" s="1"/>
  <c r="Q235" i="1" a="1"/>
  <c r="Q235" i="1" s="1"/>
  <c r="S236" i="5"/>
  <c r="Q153" i="1" a="1"/>
  <c r="Q153" i="1" s="1"/>
  <c r="P153" i="1" s="1"/>
  <c r="AB203" i="1"/>
  <c r="AN228" i="1"/>
  <c r="AG95" i="1"/>
  <c r="N221" i="1"/>
  <c r="U221" i="1" s="1"/>
  <c r="AG200" i="1"/>
  <c r="CP16" i="1"/>
  <c r="N223" i="1"/>
  <c r="V223" i="1"/>
  <c r="AN223" i="1"/>
  <c r="M236" i="6"/>
  <c r="W7" i="1"/>
  <c r="W3" i="1"/>
  <c r="W10" i="1"/>
  <c r="W20" i="1"/>
  <c r="W24" i="1"/>
  <c r="W5" i="1"/>
  <c r="W4" i="1"/>
  <c r="W22" i="1"/>
  <c r="W13" i="1"/>
  <c r="W14" i="1"/>
  <c r="W2" i="1"/>
  <c r="W18" i="1"/>
  <c r="W12" i="1"/>
  <c r="W6" i="1"/>
  <c r="W23" i="1"/>
  <c r="W16" i="1"/>
  <c r="W21" i="1"/>
  <c r="W25" i="1"/>
  <c r="W11" i="1"/>
  <c r="W17" i="1"/>
  <c r="W15" i="1"/>
  <c r="W9" i="1"/>
  <c r="W19" i="1"/>
  <c r="W8" i="1"/>
  <c r="W26" i="1"/>
  <c r="W28" i="1"/>
  <c r="W27" i="1"/>
  <c r="W29" i="1"/>
  <c r="W31" i="1"/>
  <c r="W30" i="1"/>
  <c r="W33" i="1"/>
  <c r="W32" i="1"/>
  <c r="W34" i="1"/>
  <c r="W36" i="1"/>
  <c r="W35" i="1"/>
  <c r="W38" i="1"/>
  <c r="W37" i="1"/>
  <c r="W39" i="1"/>
  <c r="W41" i="1"/>
  <c r="W43" i="1"/>
  <c r="W40" i="1"/>
  <c r="W42" i="1"/>
  <c r="W44" i="1"/>
  <c r="W45" i="1"/>
  <c r="W47" i="1"/>
  <c r="W46" i="1"/>
  <c r="W48" i="1"/>
  <c r="W51" i="1"/>
  <c r="W49" i="1"/>
  <c r="W50" i="1"/>
  <c r="W52" i="1"/>
  <c r="W53" i="1"/>
  <c r="W54" i="1"/>
  <c r="W55" i="1"/>
  <c r="W56" i="1"/>
  <c r="W57" i="1"/>
  <c r="W59" i="1"/>
  <c r="W58" i="1"/>
  <c r="W63" i="1"/>
  <c r="W61" i="1"/>
  <c r="W60" i="1"/>
  <c r="W62" i="1"/>
  <c r="W64" i="1"/>
  <c r="W65" i="1"/>
  <c r="W66" i="1"/>
  <c r="W67" i="1"/>
  <c r="W68" i="1"/>
  <c r="W69" i="1"/>
  <c r="W71" i="1"/>
  <c r="W70" i="1"/>
  <c r="W73" i="1"/>
  <c r="W72" i="1"/>
  <c r="W74" i="1"/>
  <c r="W75" i="1"/>
  <c r="W78" i="1"/>
  <c r="W77" i="1"/>
  <c r="W76" i="1"/>
  <c r="W79" i="1"/>
  <c r="W80" i="1"/>
  <c r="W81" i="1"/>
  <c r="W82" i="1"/>
  <c r="W83" i="1"/>
  <c r="W84" i="1"/>
  <c r="W85" i="1"/>
  <c r="W86" i="1"/>
  <c r="W87" i="1"/>
  <c r="W88" i="1"/>
  <c r="W89" i="1"/>
  <c r="W90" i="1"/>
  <c r="W92" i="1"/>
  <c r="W91" i="1"/>
  <c r="W93" i="1"/>
  <c r="W94" i="1"/>
  <c r="W95" i="1"/>
  <c r="W96" i="1"/>
  <c r="W97" i="1"/>
  <c r="W98" i="1"/>
  <c r="W99" i="1"/>
  <c r="W100" i="1"/>
  <c r="W103" i="1"/>
  <c r="W102" i="1"/>
  <c r="W101" i="1"/>
  <c r="W104" i="1"/>
  <c r="W105" i="1"/>
  <c r="W106" i="1"/>
  <c r="W107" i="1"/>
  <c r="W108" i="1"/>
  <c r="W110" i="1"/>
  <c r="W109" i="1"/>
  <c r="W111" i="1"/>
  <c r="W113" i="1"/>
  <c r="W112" i="1"/>
  <c r="W114" i="1"/>
  <c r="W115" i="1"/>
  <c r="W116" i="1"/>
  <c r="W117" i="1"/>
  <c r="W118" i="1"/>
  <c r="W119" i="1"/>
  <c r="W120" i="1"/>
  <c r="W121" i="1"/>
  <c r="W122" i="1"/>
  <c r="W123" i="1"/>
  <c r="W125" i="1"/>
  <c r="W126" i="1"/>
  <c r="W124" i="1"/>
  <c r="W127" i="1"/>
  <c r="W128" i="1"/>
  <c r="W130" i="1"/>
  <c r="W129" i="1"/>
  <c r="W131" i="1"/>
  <c r="W132" i="1"/>
  <c r="W133" i="1"/>
  <c r="W134" i="1"/>
  <c r="W135" i="1"/>
  <c r="W136" i="1"/>
  <c r="W137" i="1"/>
  <c r="W138" i="1"/>
  <c r="W140" i="1"/>
  <c r="W139" i="1"/>
  <c r="W141" i="1"/>
  <c r="W142" i="1"/>
  <c r="W143" i="1"/>
  <c r="W145" i="1"/>
  <c r="W144" i="1"/>
  <c r="W146" i="1"/>
  <c r="W147" i="1"/>
  <c r="W148" i="1"/>
  <c r="W151" i="1"/>
  <c r="W149" i="1"/>
  <c r="W152" i="1"/>
  <c r="W150" i="1"/>
  <c r="W153" i="1"/>
  <c r="W157" i="1"/>
  <c r="W154" i="1"/>
  <c r="W155" i="1"/>
  <c r="W156" i="1"/>
  <c r="W158" i="1"/>
  <c r="W159" i="1"/>
  <c r="W160" i="1"/>
  <c r="W161" i="1"/>
  <c r="W164" i="1"/>
  <c r="W162" i="1"/>
  <c r="W163" i="1"/>
  <c r="W165" i="1"/>
  <c r="W167" i="1"/>
  <c r="W168" i="1"/>
  <c r="W166" i="1"/>
  <c r="W169" i="1"/>
  <c r="W170" i="1"/>
  <c r="W173" i="1"/>
  <c r="W171" i="1"/>
  <c r="W172" i="1"/>
  <c r="W174" i="1"/>
  <c r="W175" i="1"/>
  <c r="W176" i="1"/>
  <c r="W180" i="1"/>
  <c r="W178" i="1"/>
  <c r="W179" i="1"/>
  <c r="W177" i="1"/>
  <c r="W181" i="1"/>
  <c r="W183" i="1"/>
  <c r="W182" i="1"/>
  <c r="W184" i="1"/>
  <c r="W185" i="1"/>
  <c r="W186" i="1"/>
  <c r="W187" i="1"/>
  <c r="W188" i="1"/>
  <c r="W189" i="1"/>
  <c r="W190" i="1"/>
  <c r="W191" i="1"/>
  <c r="W192" i="1"/>
  <c r="W193" i="1"/>
  <c r="W194" i="1"/>
  <c r="W195" i="1"/>
  <c r="W196" i="1"/>
  <c r="W197" i="1"/>
  <c r="W201" i="1"/>
  <c r="W198" i="1"/>
  <c r="W199" i="1"/>
  <c r="W200" i="1"/>
  <c r="W202" i="1"/>
  <c r="W203" i="1"/>
  <c r="W204" i="1"/>
  <c r="W205" i="1"/>
  <c r="W206" i="1"/>
  <c r="W207" i="1"/>
  <c r="W210" i="1"/>
  <c r="W209" i="1"/>
  <c r="W208" i="1"/>
  <c r="W211" i="1"/>
  <c r="W213" i="1"/>
  <c r="W212" i="1"/>
  <c r="W215" i="1"/>
  <c r="W216" i="1"/>
  <c r="W214" i="1"/>
  <c r="W218" i="1"/>
  <c r="W217" i="1"/>
  <c r="W219" i="1"/>
  <c r="W221" i="1"/>
  <c r="W220" i="1"/>
  <c r="W223" i="1"/>
  <c r="AI223" i="1" s="1"/>
  <c r="W222" i="1"/>
  <c r="W225" i="1"/>
  <c r="W224" i="1"/>
  <c r="W228" i="1"/>
  <c r="W226" i="1"/>
  <c r="W227" i="1"/>
  <c r="Q28" i="1" a="1"/>
  <c r="Q28" i="1" s="1"/>
  <c r="P28" i="1" s="1"/>
  <c r="Q166" i="1" a="1"/>
  <c r="Q166" i="1" s="1"/>
  <c r="P166" i="1" s="1"/>
  <c r="Q133" i="1" a="1"/>
  <c r="Q133" i="1" s="1"/>
  <c r="P133" i="1" s="1"/>
  <c r="Q142" i="1" a="1"/>
  <c r="Q142" i="1" s="1"/>
  <c r="P142" i="1" s="1"/>
  <c r="Q209" i="1" a="1"/>
  <c r="Q209" i="1" s="1"/>
  <c r="P209" i="1" s="1"/>
  <c r="Q216" i="1" a="1"/>
  <c r="Q216" i="1" s="1"/>
  <c r="Q229" i="1" a="1"/>
  <c r="Q229" i="1" s="1"/>
  <c r="Q55" i="1" a="1"/>
  <c r="Q55" i="1" s="1"/>
  <c r="P55" i="1" s="1"/>
  <c r="Q124" i="1" a="1"/>
  <c r="Q124" i="1" s="1"/>
  <c r="P124" i="1" s="1"/>
  <c r="Q61" i="1" a="1"/>
  <c r="Q61" i="1" s="1"/>
  <c r="P61" i="1" s="1"/>
  <c r="Q74" i="1" a="1"/>
  <c r="Q74" i="1" s="1"/>
  <c r="P74" i="1" s="1"/>
  <c r="Q48" i="1" a="1"/>
  <c r="Q48" i="1" s="1"/>
  <c r="P48" i="1" s="1"/>
  <c r="Q45" i="1" a="1"/>
  <c r="Q45" i="1" s="1"/>
  <c r="P45" i="1" s="1"/>
  <c r="Q230" i="1" a="1"/>
  <c r="Q230" i="1" s="1"/>
  <c r="Q146" i="1" a="1"/>
  <c r="Q146" i="1" s="1"/>
  <c r="P146" i="1" s="1"/>
  <c r="R229" i="1" a="1"/>
  <c r="R229" i="1" s="1"/>
  <c r="Q75" i="1" a="1"/>
  <c r="Q75" i="1" s="1"/>
  <c r="P75" i="1" s="1"/>
  <c r="Q73" i="1" a="1"/>
  <c r="Q73" i="1" s="1"/>
  <c r="P73" i="1" s="1"/>
  <c r="Q184" i="1" a="1"/>
  <c r="Q184" i="1" s="1"/>
  <c r="P184" i="1" s="1"/>
  <c r="Q188" i="1" a="1"/>
  <c r="Q188" i="1" s="1"/>
  <c r="P188" i="1" s="1"/>
  <c r="Q36" i="1" a="1"/>
  <c r="Q36" i="1" s="1"/>
  <c r="P36" i="1" s="1"/>
  <c r="Q169" i="1" a="1"/>
  <c r="Q169" i="1" s="1"/>
  <c r="P169" i="1" s="1"/>
  <c r="Q79" i="1" a="1"/>
  <c r="Q79" i="1" s="1"/>
  <c r="P79" i="1" s="1"/>
  <c r="Q189" i="1" a="1"/>
  <c r="Q189" i="1" s="1"/>
  <c r="P189" i="1" s="1"/>
  <c r="Q176" i="1" a="1"/>
  <c r="Q176" i="1" s="1"/>
  <c r="P176" i="1" s="1"/>
  <c r="Q119" i="1" a="1"/>
  <c r="Q119" i="1" s="1"/>
  <c r="P119" i="1" s="1"/>
  <c r="Q140" i="1" a="1"/>
  <c r="Q140" i="1" s="1"/>
  <c r="P140" i="1" s="1"/>
  <c r="Q219" i="1" a="1"/>
  <c r="Q219" i="1" s="1"/>
  <c r="P219" i="1" s="1"/>
  <c r="Q19" i="1" a="1"/>
  <c r="Q19" i="1" s="1"/>
  <c r="P19" i="1" s="1"/>
  <c r="Q110" i="1" a="1"/>
  <c r="Q110" i="1" s="1"/>
  <c r="P110" i="1" s="1"/>
  <c r="Q164" i="1" a="1"/>
  <c r="Q164" i="1" s="1"/>
  <c r="P164" i="1" s="1"/>
  <c r="Q114" i="1" a="1"/>
  <c r="Q114" i="1" s="1"/>
  <c r="P114" i="1" s="1"/>
  <c r="Q46" i="1" a="1"/>
  <c r="Q46" i="1" s="1"/>
  <c r="P46" i="1" s="1"/>
  <c r="Q206" i="1" a="1"/>
  <c r="Q206" i="1" s="1"/>
  <c r="P206" i="1" s="1"/>
  <c r="Q117" i="1" a="1"/>
  <c r="Q117" i="1" s="1"/>
  <c r="P117" i="1" s="1"/>
  <c r="Q156" i="1" a="1"/>
  <c r="Q156" i="1" s="1"/>
  <c r="P156" i="1" s="1"/>
  <c r="Q103" i="1" a="1"/>
  <c r="Q103" i="1" s="1"/>
  <c r="P103" i="1" s="1"/>
  <c r="Q212" i="1" a="1"/>
  <c r="Q212" i="1" s="1"/>
  <c r="P212" i="1" s="1"/>
  <c r="Q99" i="1" a="1"/>
  <c r="Q99" i="1" s="1"/>
  <c r="P99" i="1" s="1"/>
  <c r="W229" i="1"/>
  <c r="Q85" i="1" a="1"/>
  <c r="Q85" i="1" s="1"/>
  <c r="P85" i="1" s="1"/>
  <c r="Q167" i="1" a="1"/>
  <c r="Q167" i="1" s="1"/>
  <c r="P167" i="1" s="1"/>
  <c r="Q228" i="1" a="1"/>
  <c r="Q228" i="1" s="1"/>
  <c r="Q13" i="1" a="1"/>
  <c r="Q13" i="1" s="1"/>
  <c r="P13" i="1" s="1"/>
  <c r="Q12" i="1" a="1"/>
  <c r="Q12" i="1" s="1"/>
  <c r="P12" i="1" s="1"/>
  <c r="Q202" i="1" a="1"/>
  <c r="Q202" i="1" s="1"/>
  <c r="P202" i="1" s="1"/>
  <c r="Q92" i="1" a="1"/>
  <c r="Q92" i="1" s="1"/>
  <c r="P92" i="1" s="1"/>
  <c r="Q83" i="1" a="1"/>
  <c r="Q83" i="1" s="1"/>
  <c r="P83" i="1" s="1"/>
  <c r="Q100" i="1" a="1"/>
  <c r="Q100" i="1" s="1"/>
  <c r="P100" i="1" s="1"/>
  <c r="Q182" i="1" a="1"/>
  <c r="Q182" i="1" s="1"/>
  <c r="P182" i="1" s="1"/>
  <c r="Q179" i="1" a="1"/>
  <c r="Q179" i="1" s="1"/>
  <c r="P179" i="1" s="1"/>
  <c r="W234" i="1"/>
  <c r="R232" i="1" a="1"/>
  <c r="R232" i="1" s="1"/>
  <c r="Q95" i="1" a="1"/>
  <c r="Q95" i="1" s="1"/>
  <c r="P95" i="1" s="1"/>
  <c r="Q33" i="1" a="1"/>
  <c r="Q33" i="1" s="1"/>
  <c r="P33" i="1" s="1"/>
  <c r="Q201" i="1" a="1"/>
  <c r="Q201" i="1" s="1"/>
  <c r="P201" i="1" s="1"/>
  <c r="Q63" i="1" a="1"/>
  <c r="Q63" i="1" s="1"/>
  <c r="P63" i="1" s="1"/>
  <c r="Q197" i="1" a="1"/>
  <c r="Q197" i="1" s="1"/>
  <c r="P197" i="1" s="1"/>
  <c r="Q26" i="1" a="1"/>
  <c r="Q26" i="1" s="1"/>
  <c r="P26" i="1" s="1"/>
  <c r="Q143" i="1" a="1"/>
  <c r="Q143" i="1" s="1"/>
  <c r="P143" i="1" s="1"/>
  <c r="Q161" i="1" a="1"/>
  <c r="Q161" i="1" s="1"/>
  <c r="P161" i="1" s="1"/>
  <c r="Q102" i="1" a="1"/>
  <c r="Q102" i="1" s="1"/>
  <c r="P102" i="1" s="1"/>
  <c r="Q214" i="1" a="1"/>
  <c r="Q214" i="1" s="1"/>
  <c r="Q54" i="1" a="1"/>
  <c r="Q54" i="1" s="1"/>
  <c r="P54" i="1" s="1"/>
  <c r="Q47" i="1" a="1"/>
  <c r="Q47" i="1" s="1"/>
  <c r="P47" i="1" s="1"/>
  <c r="Q207" i="1" a="1"/>
  <c r="Q207" i="1" s="1"/>
  <c r="P207" i="1" s="1"/>
  <c r="Q149" i="1" a="1"/>
  <c r="Q149" i="1" s="1"/>
  <c r="P149" i="1" s="1"/>
  <c r="Q111" i="1" a="1"/>
  <c r="Q111" i="1" s="1"/>
  <c r="P111" i="1" s="1"/>
  <c r="Q199" i="1" a="1"/>
  <c r="Q199" i="1" s="1"/>
  <c r="Q11" i="1" a="1"/>
  <c r="Q11" i="1" s="1"/>
  <c r="P11" i="1" s="1"/>
  <c r="Q130" i="1" a="1"/>
  <c r="Q130" i="1" s="1"/>
  <c r="P130" i="1" s="1"/>
  <c r="Q118" i="1" a="1"/>
  <c r="Q118" i="1" s="1"/>
  <c r="P118" i="1" s="1"/>
  <c r="Q64" i="1" a="1"/>
  <c r="Q64" i="1" s="1"/>
  <c r="P64" i="1" s="1"/>
  <c r="Q40" i="1" a="1"/>
  <c r="Q40" i="1" s="1"/>
  <c r="P40" i="1" s="1"/>
  <c r="Q144" i="1" a="1"/>
  <c r="Q144" i="1" s="1"/>
  <c r="P144" i="1" s="1"/>
  <c r="R234" i="1" a="1"/>
  <c r="R234" i="1" s="1"/>
  <c r="Q152" i="1" a="1"/>
  <c r="Q152" i="1" s="1"/>
  <c r="P152" i="1" s="1"/>
  <c r="Q220" i="1" a="1"/>
  <c r="Q220" i="1" s="1"/>
  <c r="P220" i="1" s="1"/>
  <c r="Q115" i="1" a="1"/>
  <c r="Q115" i="1" s="1"/>
  <c r="P115" i="1" s="1"/>
  <c r="Q108" i="1" a="1"/>
  <c r="Q108" i="1" s="1"/>
  <c r="P108" i="1" s="1"/>
  <c r="Q231" i="1" a="1"/>
  <c r="Q231" i="1" s="1"/>
  <c r="Q213" i="1" a="1"/>
  <c r="Q213" i="1" s="1"/>
  <c r="Q77" i="1" a="1"/>
  <c r="Q77" i="1" s="1"/>
  <c r="P77" i="1" s="1"/>
  <c r="Q132" i="1" a="1"/>
  <c r="Q132" i="1" s="1"/>
  <c r="P132" i="1" s="1"/>
  <c r="Q154" i="1" a="1"/>
  <c r="Q154" i="1" s="1"/>
  <c r="P154" i="1" s="1"/>
  <c r="Q122" i="1" a="1"/>
  <c r="Q122" i="1" s="1"/>
  <c r="P122" i="1" s="1"/>
  <c r="Q72" i="1" a="1"/>
  <c r="Q72" i="1" s="1"/>
  <c r="P72" i="1" s="1"/>
  <c r="Q5" i="1" a="1"/>
  <c r="Q5" i="1" s="1"/>
  <c r="P5" i="1" s="1"/>
  <c r="Q70" i="1" a="1"/>
  <c r="Q70" i="1" s="1"/>
  <c r="P70" i="1" s="1"/>
  <c r="Q50" i="1" a="1"/>
  <c r="Q50" i="1" s="1"/>
  <c r="W232" i="1"/>
  <c r="Q34" i="1" a="1"/>
  <c r="Q34" i="1" s="1"/>
  <c r="P34" i="1" s="1"/>
  <c r="R230" i="1" a="1"/>
  <c r="R230" i="1" s="1"/>
  <c r="Q42" i="1" a="1"/>
  <c r="Q42" i="1" s="1"/>
  <c r="P42" i="1" s="1"/>
  <c r="Q151" i="1" a="1"/>
  <c r="Q151" i="1" s="1"/>
  <c r="P151" i="1" s="1"/>
  <c r="Q113" i="1" a="1"/>
  <c r="Q113" i="1" s="1"/>
  <c r="P113" i="1" s="1"/>
  <c r="Q191" i="1" a="1"/>
  <c r="Q191" i="1" s="1"/>
  <c r="P191" i="1" s="1"/>
  <c r="Q41" i="1" a="1"/>
  <c r="Q41" i="1" s="1"/>
  <c r="P41" i="1" s="1"/>
  <c r="Q190" i="1" a="1"/>
  <c r="Q190" i="1" s="1"/>
  <c r="P190" i="1" s="1"/>
  <c r="Q78" i="1" a="1"/>
  <c r="Q78" i="1" s="1"/>
  <c r="P78" i="1" s="1"/>
  <c r="Q223" i="1" a="1"/>
  <c r="Q223" i="1" s="1"/>
  <c r="P223" i="1" s="1"/>
  <c r="Q27" i="1" a="1"/>
  <c r="Q27" i="1" s="1"/>
  <c r="P27" i="1" s="1"/>
  <c r="Q9" i="1" a="1"/>
  <c r="Q9" i="1" s="1"/>
  <c r="P9" i="1" s="1"/>
  <c r="Q35" i="1" a="1"/>
  <c r="Q35" i="1" s="1"/>
  <c r="Q32" i="1" a="1"/>
  <c r="Q32" i="1" s="1"/>
  <c r="P32" i="1" s="1"/>
  <c r="G235" i="1"/>
  <c r="AB100" i="1"/>
  <c r="BK154" i="1" l="1"/>
  <c r="V153" i="1"/>
  <c r="AI153" i="1"/>
  <c r="N153" i="1"/>
  <c r="O154" i="6"/>
  <c r="R154" i="6" s="1"/>
  <c r="O155" i="6"/>
  <c r="R155" i="6" s="1"/>
  <c r="AI154" i="1"/>
  <c r="N154" i="1"/>
  <c r="BN154" i="1"/>
  <c r="BK153" i="1"/>
  <c r="BN153" i="1"/>
  <c r="AN137" i="1"/>
  <c r="AI137" i="1"/>
  <c r="N137" i="1"/>
  <c r="BK137" i="1"/>
  <c r="BN137" i="1"/>
  <c r="O104" i="6"/>
  <c r="R104" i="6" s="1"/>
  <c r="O138" i="6"/>
  <c r="R138" i="6" s="1"/>
  <c r="Q20" i="2"/>
  <c r="Q23" i="2"/>
  <c r="Q7" i="2"/>
  <c r="Q12" i="2"/>
  <c r="Q15" i="2"/>
  <c r="Q21" i="2"/>
  <c r="Q16" i="2"/>
  <c r="Q11" i="2"/>
  <c r="Q13" i="2"/>
  <c r="Q8" i="2"/>
  <c r="Q9" i="2"/>
  <c r="Q18" i="2"/>
  <c r="Q22" i="2"/>
  <c r="Q10" i="2"/>
  <c r="Q14" i="2"/>
  <c r="Q19" i="2"/>
  <c r="Q17" i="2"/>
  <c r="AJ10" i="2"/>
  <c r="AJ20" i="2"/>
  <c r="AJ7" i="2"/>
  <c r="S9" i="2"/>
  <c r="S11" i="2"/>
  <c r="R16" i="2"/>
  <c r="R12" i="2"/>
  <c r="AJ22" i="2"/>
  <c r="R20" i="2"/>
  <c r="AJ18" i="2"/>
  <c r="AJ14" i="2"/>
  <c r="S22" i="2"/>
  <c r="S18" i="2"/>
  <c r="R21" i="2"/>
  <c r="R8" i="2"/>
  <c r="AJ9" i="2"/>
  <c r="R11" i="2"/>
  <c r="S17" i="2"/>
  <c r="AJ11" i="2"/>
  <c r="AJ23" i="2"/>
  <c r="S14" i="2"/>
  <c r="S10" i="2"/>
  <c r="R13" i="2"/>
  <c r="R18" i="2"/>
  <c r="S8" i="2"/>
  <c r="S19" i="2"/>
  <c r="AJ19" i="2"/>
  <c r="AJ8" i="2"/>
  <c r="S23" i="2"/>
  <c r="S20" i="2"/>
  <c r="R10" i="2"/>
  <c r="R17" i="2"/>
  <c r="AJ17" i="2"/>
  <c r="AJ12" i="2"/>
  <c r="AJ16" i="2"/>
  <c r="S15" i="2"/>
  <c r="S12" i="2"/>
  <c r="R22" i="2"/>
  <c r="R9" i="2"/>
  <c r="R7" i="2"/>
  <c r="S13" i="2"/>
  <c r="AJ21" i="2"/>
  <c r="AJ15" i="2"/>
  <c r="S16" i="2"/>
  <c r="S21" i="2"/>
  <c r="R14" i="2"/>
  <c r="R19" i="2"/>
  <c r="AJ13" i="2"/>
  <c r="R23" i="2"/>
  <c r="S7" i="2"/>
  <c r="R15" i="2"/>
  <c r="AK20" i="2"/>
  <c r="AK8" i="2"/>
  <c r="AL22" i="2"/>
  <c r="AL14" i="2"/>
  <c r="AK9" i="2"/>
  <c r="AK23" i="2"/>
  <c r="AL7" i="2"/>
  <c r="AK17" i="2"/>
  <c r="AK13" i="2"/>
  <c r="AL18" i="2"/>
  <c r="AK12" i="2"/>
  <c r="AK16" i="2"/>
  <c r="AL20" i="2"/>
  <c r="AL23" i="2"/>
  <c r="AK21" i="2"/>
  <c r="AL10" i="2"/>
  <c r="AL8" i="2"/>
  <c r="AL15" i="2"/>
  <c r="AK10" i="2"/>
  <c r="AK22" i="2"/>
  <c r="AL16" i="2"/>
  <c r="AL11" i="2"/>
  <c r="AK11" i="2"/>
  <c r="AK15" i="2"/>
  <c r="AL21" i="2"/>
  <c r="AK18" i="2"/>
  <c r="AK14" i="2"/>
  <c r="AL13" i="2"/>
  <c r="AL19" i="2"/>
  <c r="AK7" i="2"/>
  <c r="AL9" i="2"/>
  <c r="AL12" i="2"/>
  <c r="AK19" i="2"/>
  <c r="AL17" i="2"/>
  <c r="AN103" i="1"/>
  <c r="AI103" i="1"/>
  <c r="N103" i="1"/>
  <c r="BN103" i="1"/>
  <c r="BK103" i="1"/>
  <c r="O70" i="6"/>
  <c r="R70" i="6" s="1"/>
  <c r="O103" i="6"/>
  <c r="R103" i="6" s="1"/>
  <c r="V102" i="1"/>
  <c r="AI102" i="1"/>
  <c r="N102" i="1"/>
  <c r="BN102" i="1"/>
  <c r="BK102" i="1"/>
  <c r="BK69" i="1"/>
  <c r="AN69" i="1"/>
  <c r="AI69" i="1"/>
  <c r="N69" i="1"/>
  <c r="BN69" i="1"/>
  <c r="O68" i="6"/>
  <c r="R68" i="6" s="1"/>
  <c r="O69" i="6"/>
  <c r="R69" i="6" s="1"/>
  <c r="V68" i="1"/>
  <c r="AI68" i="1"/>
  <c r="N68" i="1"/>
  <c r="BK68" i="1"/>
  <c r="BN68" i="1"/>
  <c r="V67" i="1"/>
  <c r="AI67" i="1"/>
  <c r="N67" i="1"/>
  <c r="BN67" i="1"/>
  <c r="BK67" i="1"/>
  <c r="O34" i="6"/>
  <c r="R34" i="6" s="1"/>
  <c r="O35" i="6"/>
  <c r="R35" i="6" s="1"/>
  <c r="AN34" i="1"/>
  <c r="AI34" i="1"/>
  <c r="N34" i="1"/>
  <c r="BK34" i="1"/>
  <c r="BN34" i="1"/>
  <c r="AN33" i="1"/>
  <c r="AI33" i="1"/>
  <c r="N33" i="1"/>
  <c r="BN33" i="1"/>
  <c r="BK33" i="1"/>
  <c r="O213" i="6"/>
  <c r="R213" i="6" s="1"/>
  <c r="O33" i="6"/>
  <c r="R33" i="6" s="1"/>
  <c r="AN32" i="1"/>
  <c r="AI32" i="1"/>
  <c r="N32" i="1"/>
  <c r="BN32" i="1"/>
  <c r="BK32" i="1"/>
  <c r="AI75" i="1"/>
  <c r="BK211" i="1"/>
  <c r="V75" i="1"/>
  <c r="BN212" i="1"/>
  <c r="AN75" i="1"/>
  <c r="AN212" i="1"/>
  <c r="AI212" i="1"/>
  <c r="N212" i="1"/>
  <c r="BK212" i="1"/>
  <c r="O211" i="6"/>
  <c r="R211" i="6" s="1"/>
  <c r="O212" i="6"/>
  <c r="R212" i="6" s="1"/>
  <c r="BN211" i="1"/>
  <c r="V211" i="1"/>
  <c r="AI211" i="1"/>
  <c r="N211" i="1"/>
  <c r="V210" i="1"/>
  <c r="AI210" i="1"/>
  <c r="N210" i="1"/>
  <c r="BK210" i="1"/>
  <c r="BN210" i="1"/>
  <c r="O209" i="6"/>
  <c r="R209" i="6" s="1"/>
  <c r="O210" i="6"/>
  <c r="R210" i="6" s="1"/>
  <c r="BN209" i="1"/>
  <c r="V209" i="1"/>
  <c r="AI209" i="1"/>
  <c r="N209" i="1"/>
  <c r="BK209" i="1"/>
  <c r="AN208" i="1"/>
  <c r="AI208" i="1"/>
  <c r="N208" i="1"/>
  <c r="BK207" i="1"/>
  <c r="BK208" i="1"/>
  <c r="BN208" i="1"/>
  <c r="BN206" i="1"/>
  <c r="O207" i="6"/>
  <c r="R207" i="6" s="1"/>
  <c r="O208" i="6"/>
  <c r="R208" i="6" s="1"/>
  <c r="V207" i="1"/>
  <c r="AI207" i="1"/>
  <c r="N207" i="1"/>
  <c r="BK206" i="1"/>
  <c r="BN207" i="1"/>
  <c r="V206" i="1"/>
  <c r="AI206" i="1"/>
  <c r="N206" i="1"/>
  <c r="AI26" i="1"/>
  <c r="BK196" i="1"/>
  <c r="BN198" i="1"/>
  <c r="BK197" i="1"/>
  <c r="O198" i="6"/>
  <c r="R198" i="6" s="1"/>
  <c r="O199" i="6"/>
  <c r="R199" i="6" s="1"/>
  <c r="AN198" i="1"/>
  <c r="AI198" i="1"/>
  <c r="N198" i="1"/>
  <c r="BK198" i="1"/>
  <c r="BN197" i="1"/>
  <c r="V197" i="1"/>
  <c r="AI197" i="1"/>
  <c r="N197" i="1"/>
  <c r="BN196" i="1"/>
  <c r="O196" i="6"/>
  <c r="R196" i="6" s="1"/>
  <c r="O197" i="6"/>
  <c r="R197" i="6" s="1"/>
  <c r="AN196" i="1"/>
  <c r="AI196" i="1"/>
  <c r="N196" i="1"/>
  <c r="BN195" i="1"/>
  <c r="AN195" i="1"/>
  <c r="AI195" i="1"/>
  <c r="N195" i="1"/>
  <c r="BK195" i="1"/>
  <c r="O194" i="6"/>
  <c r="R194" i="6" s="1"/>
  <c r="O195" i="6"/>
  <c r="R195" i="6" s="1"/>
  <c r="AN194" i="1"/>
  <c r="AI194" i="1"/>
  <c r="N194" i="1"/>
  <c r="BN194" i="1"/>
  <c r="BK194" i="1"/>
  <c r="BN193" i="1"/>
  <c r="BN192" i="1"/>
  <c r="AN193" i="1"/>
  <c r="AI193" i="1"/>
  <c r="N193" i="1"/>
  <c r="BK193" i="1"/>
  <c r="BK192" i="1"/>
  <c r="BN191" i="1"/>
  <c r="O192" i="6"/>
  <c r="R192" i="6" s="1"/>
  <c r="O193" i="6"/>
  <c r="R193" i="6" s="1"/>
  <c r="V192" i="1"/>
  <c r="AI192" i="1"/>
  <c r="N192" i="1"/>
  <c r="V191" i="1"/>
  <c r="AI191" i="1"/>
  <c r="N191" i="1"/>
  <c r="BK191" i="1"/>
  <c r="BN180" i="1"/>
  <c r="BN179" i="1"/>
  <c r="O180" i="6"/>
  <c r="R180" i="6" s="1"/>
  <c r="O181" i="6"/>
  <c r="R181" i="6" s="1"/>
  <c r="AN180" i="1"/>
  <c r="AI180" i="1"/>
  <c r="N180" i="1"/>
  <c r="BK180" i="1"/>
  <c r="V179" i="1"/>
  <c r="AI179" i="1"/>
  <c r="N179" i="1"/>
  <c r="BK173" i="1"/>
  <c r="BK179" i="1"/>
  <c r="BN178" i="1"/>
  <c r="O178" i="6"/>
  <c r="R178" i="6" s="1"/>
  <c r="O179" i="6"/>
  <c r="R179" i="6" s="1"/>
  <c r="AN178" i="1"/>
  <c r="AI178" i="1"/>
  <c r="N178" i="1"/>
  <c r="BK178" i="1"/>
  <c r="BN176" i="1"/>
  <c r="BN174" i="1"/>
  <c r="BN172" i="1"/>
  <c r="AN177" i="1"/>
  <c r="AI177" i="1"/>
  <c r="N177" i="1"/>
  <c r="BN175" i="1"/>
  <c r="BK177" i="1"/>
  <c r="BN177" i="1"/>
  <c r="O176" i="6"/>
  <c r="R176" i="6" s="1"/>
  <c r="O177" i="6"/>
  <c r="R177" i="6" s="1"/>
  <c r="V176" i="1"/>
  <c r="AI176" i="1"/>
  <c r="N176" i="1"/>
  <c r="BK176" i="1"/>
  <c r="AN175" i="1"/>
  <c r="AI175" i="1"/>
  <c r="N175" i="1"/>
  <c r="BK175" i="1"/>
  <c r="O174" i="6"/>
  <c r="R174" i="6" s="1"/>
  <c r="O175" i="6"/>
  <c r="R175" i="6" s="1"/>
  <c r="V174" i="1"/>
  <c r="AI174" i="1"/>
  <c r="N174" i="1"/>
  <c r="BK174" i="1"/>
  <c r="BN173" i="1"/>
  <c r="AN173" i="1"/>
  <c r="AI173" i="1"/>
  <c r="N173" i="1"/>
  <c r="BK172" i="1"/>
  <c r="O164" i="6"/>
  <c r="R164" i="6" s="1"/>
  <c r="O173" i="6"/>
  <c r="R173" i="6" s="1"/>
  <c r="AN172" i="1"/>
  <c r="AI172" i="1"/>
  <c r="N172" i="1"/>
  <c r="BN163" i="1"/>
  <c r="BK163" i="1"/>
  <c r="V163" i="1"/>
  <c r="AI163" i="1"/>
  <c r="N163" i="1"/>
  <c r="O162" i="6"/>
  <c r="R162" i="6" s="1"/>
  <c r="O163" i="6"/>
  <c r="R163" i="6" s="1"/>
  <c r="AN162" i="1"/>
  <c r="AI162" i="1"/>
  <c r="N162" i="1"/>
  <c r="BK162" i="1"/>
  <c r="BN162" i="1"/>
  <c r="BN161" i="1"/>
  <c r="BK160" i="1"/>
  <c r="V161" i="1"/>
  <c r="AI161" i="1"/>
  <c r="N161" i="1"/>
  <c r="BK161" i="1"/>
  <c r="O160" i="6"/>
  <c r="R160" i="6" s="1"/>
  <c r="O161" i="6"/>
  <c r="R161" i="6" s="1"/>
  <c r="V160" i="1"/>
  <c r="AI160" i="1"/>
  <c r="N160" i="1"/>
  <c r="BN160" i="1"/>
  <c r="BN159" i="1"/>
  <c r="V159" i="1"/>
  <c r="AI159" i="1"/>
  <c r="N159" i="1"/>
  <c r="BK159" i="1"/>
  <c r="BN158" i="1"/>
  <c r="BN157" i="1"/>
  <c r="O158" i="6"/>
  <c r="R158" i="6" s="1"/>
  <c r="O159" i="6"/>
  <c r="R159" i="6" s="1"/>
  <c r="BK157" i="1"/>
  <c r="AN158" i="1"/>
  <c r="AI158" i="1"/>
  <c r="N158" i="1"/>
  <c r="BK158" i="1"/>
  <c r="BK155" i="1"/>
  <c r="AN157" i="1"/>
  <c r="AI157" i="1"/>
  <c r="N157" i="1"/>
  <c r="BN156" i="1"/>
  <c r="O156" i="6"/>
  <c r="R156" i="6" s="1"/>
  <c r="O157" i="6"/>
  <c r="R157" i="6" s="1"/>
  <c r="BN155" i="1"/>
  <c r="AN156" i="1"/>
  <c r="AI156" i="1"/>
  <c r="N156" i="1"/>
  <c r="BK156" i="1"/>
  <c r="AN155" i="1"/>
  <c r="AI155" i="1"/>
  <c r="N155" i="1"/>
  <c r="BK143" i="1"/>
  <c r="BK139" i="1"/>
  <c r="BN145" i="1"/>
  <c r="O145" i="6"/>
  <c r="R145" i="6" s="1"/>
  <c r="O146" i="6"/>
  <c r="R146" i="6" s="1"/>
  <c r="AN145" i="1"/>
  <c r="AI145" i="1"/>
  <c r="N145" i="1"/>
  <c r="BK145" i="1"/>
  <c r="BN144" i="1"/>
  <c r="AN144" i="1"/>
  <c r="AI144" i="1"/>
  <c r="N144" i="1"/>
  <c r="BN138" i="1"/>
  <c r="BK144" i="1"/>
  <c r="BN143" i="1"/>
  <c r="O143" i="6"/>
  <c r="R143" i="6" s="1"/>
  <c r="O144" i="6"/>
  <c r="R144" i="6" s="1"/>
  <c r="AN143" i="1"/>
  <c r="AI143" i="1"/>
  <c r="N143" i="1"/>
  <c r="AI142" i="1"/>
  <c r="N142" i="1"/>
  <c r="BN142" i="1"/>
  <c r="BK142" i="1"/>
  <c r="O141" i="6"/>
  <c r="R141" i="6" s="1"/>
  <c r="O142" i="6"/>
  <c r="R142" i="6" s="1"/>
  <c r="BN141" i="1"/>
  <c r="AN141" i="1"/>
  <c r="AI141" i="1"/>
  <c r="N141" i="1"/>
  <c r="BK141" i="1"/>
  <c r="V140" i="1"/>
  <c r="AI140" i="1"/>
  <c r="N140" i="1"/>
  <c r="BN140" i="1"/>
  <c r="BK140" i="1"/>
  <c r="O139" i="6"/>
  <c r="R139" i="6" s="1"/>
  <c r="O140" i="6"/>
  <c r="R140" i="6" s="1"/>
  <c r="AN139" i="1"/>
  <c r="AI139" i="1"/>
  <c r="N139" i="1"/>
  <c r="BN139" i="1"/>
  <c r="BK138" i="1"/>
  <c r="V138" i="1"/>
  <c r="AI138" i="1"/>
  <c r="N138" i="1"/>
  <c r="AG235" i="1"/>
  <c r="AG126" i="1"/>
  <c r="BN123" i="1"/>
  <c r="BK126" i="1"/>
  <c r="BN125" i="1"/>
  <c r="O127" i="6"/>
  <c r="R127" i="6" s="1"/>
  <c r="O128" i="6"/>
  <c r="R128" i="6" s="1"/>
  <c r="AN127" i="1"/>
  <c r="AI127" i="1"/>
  <c r="N127" i="1"/>
  <c r="BK127" i="1"/>
  <c r="BN127" i="1"/>
  <c r="BN126" i="1"/>
  <c r="V126" i="1"/>
  <c r="AI126" i="1"/>
  <c r="N126" i="1"/>
  <c r="BK124" i="1"/>
  <c r="O125" i="6"/>
  <c r="R125" i="6" s="1"/>
  <c r="O126" i="6"/>
  <c r="R126" i="6" s="1"/>
  <c r="BK125" i="1"/>
  <c r="V125" i="1"/>
  <c r="AI125" i="1"/>
  <c r="N125" i="1"/>
  <c r="BN124" i="1"/>
  <c r="AN124" i="1"/>
  <c r="AI124" i="1"/>
  <c r="N124" i="1"/>
  <c r="O123" i="6"/>
  <c r="R123" i="6" s="1"/>
  <c r="O124" i="6"/>
  <c r="R124" i="6" s="1"/>
  <c r="AI123" i="1"/>
  <c r="N123" i="1"/>
  <c r="BK123" i="1"/>
  <c r="BK122" i="1"/>
  <c r="V122" i="1"/>
  <c r="AI122" i="1"/>
  <c r="N122" i="1"/>
  <c r="BN122" i="1"/>
  <c r="O109" i="6"/>
  <c r="R109" i="6" s="1"/>
  <c r="O110" i="6"/>
  <c r="R110" i="6" s="1"/>
  <c r="V109" i="1"/>
  <c r="AI109" i="1"/>
  <c r="N109" i="1"/>
  <c r="BN109" i="1"/>
  <c r="BK109" i="1"/>
  <c r="BK108" i="1"/>
  <c r="V108" i="1"/>
  <c r="AI108" i="1"/>
  <c r="N108" i="1"/>
  <c r="BK107" i="1"/>
  <c r="BN108" i="1"/>
  <c r="BK104" i="1"/>
  <c r="BN105" i="1"/>
  <c r="BK106" i="1"/>
  <c r="O107" i="6"/>
  <c r="R107" i="6" s="1"/>
  <c r="O108" i="6"/>
  <c r="R108" i="6" s="1"/>
  <c r="AN107" i="1"/>
  <c r="AI107" i="1"/>
  <c r="N107" i="1"/>
  <c r="BN107" i="1"/>
  <c r="V106" i="1"/>
  <c r="AI106" i="1"/>
  <c r="N106" i="1"/>
  <c r="BN106" i="1"/>
  <c r="O105" i="6"/>
  <c r="R105" i="6" s="1"/>
  <c r="O106" i="6"/>
  <c r="R106" i="6" s="1"/>
  <c r="AN105" i="1"/>
  <c r="AI105" i="1"/>
  <c r="N105" i="1"/>
  <c r="BK105" i="1"/>
  <c r="BN104" i="1"/>
  <c r="AN104" i="1"/>
  <c r="AI104" i="1"/>
  <c r="N104" i="1"/>
  <c r="O92" i="6"/>
  <c r="R92" i="6" s="1"/>
  <c r="O102" i="6"/>
  <c r="R102" i="6" s="1"/>
  <c r="AN101" i="1"/>
  <c r="AI101" i="1"/>
  <c r="N101" i="1"/>
  <c r="BN101" i="1"/>
  <c r="BK101" i="1"/>
  <c r="BK91" i="1"/>
  <c r="V91" i="1"/>
  <c r="AI91" i="1"/>
  <c r="N91" i="1"/>
  <c r="BN91" i="1"/>
  <c r="BK90" i="1"/>
  <c r="O90" i="6"/>
  <c r="R90" i="6" s="1"/>
  <c r="O91" i="6"/>
  <c r="R91" i="6" s="1"/>
  <c r="V90" i="1"/>
  <c r="AI90" i="1"/>
  <c r="N90" i="1"/>
  <c r="BN90" i="1"/>
  <c r="BK89" i="1"/>
  <c r="AN89" i="1"/>
  <c r="AI89" i="1"/>
  <c r="N89" i="1"/>
  <c r="BN89" i="1"/>
  <c r="BK87" i="1"/>
  <c r="O88" i="6"/>
  <c r="R88" i="6" s="1"/>
  <c r="O89" i="6"/>
  <c r="R89" i="6" s="1"/>
  <c r="V88" i="1"/>
  <c r="AI88" i="1"/>
  <c r="N88" i="1"/>
  <c r="BN88" i="1"/>
  <c r="BK88" i="1"/>
  <c r="BN87" i="1"/>
  <c r="V87" i="1"/>
  <c r="AI87" i="1"/>
  <c r="N87" i="1"/>
  <c r="BN73" i="1"/>
  <c r="BN72" i="1"/>
  <c r="O73" i="6"/>
  <c r="R73" i="6" s="1"/>
  <c r="O74" i="6"/>
  <c r="R74" i="6" s="1"/>
  <c r="AN73" i="1"/>
  <c r="AI73" i="1"/>
  <c r="N73" i="1"/>
  <c r="BK73" i="1"/>
  <c r="AN72" i="1"/>
  <c r="AI72" i="1"/>
  <c r="N72" i="1"/>
  <c r="BK71" i="1"/>
  <c r="BK72" i="1"/>
  <c r="O71" i="6"/>
  <c r="R71" i="6" s="1"/>
  <c r="O72" i="6"/>
  <c r="R72" i="6" s="1"/>
  <c r="V71" i="1"/>
  <c r="AI71" i="1"/>
  <c r="N71" i="1"/>
  <c r="BK70" i="1"/>
  <c r="BN70" i="1"/>
  <c r="BN71" i="1"/>
  <c r="AI70" i="1"/>
  <c r="N70" i="1"/>
  <c r="BK54" i="1"/>
  <c r="O55" i="6"/>
  <c r="R55" i="6" s="1"/>
  <c r="O56" i="6"/>
  <c r="R56" i="6" s="1"/>
  <c r="BN53" i="1"/>
  <c r="AN55" i="1"/>
  <c r="AI55" i="1"/>
  <c r="N55" i="1"/>
  <c r="BK55" i="1"/>
  <c r="BN55" i="1"/>
  <c r="AN54" i="1"/>
  <c r="AI54" i="1"/>
  <c r="N54" i="1"/>
  <c r="BN54" i="1"/>
  <c r="O38" i="6"/>
  <c r="R38" i="6" s="1"/>
  <c r="O54" i="6"/>
  <c r="R54" i="6" s="1"/>
  <c r="BK53" i="1"/>
  <c r="AN53" i="1"/>
  <c r="AI53" i="1"/>
  <c r="N53" i="1"/>
  <c r="BK36" i="1"/>
  <c r="V37" i="1"/>
  <c r="AI37" i="1"/>
  <c r="N37" i="1"/>
  <c r="BN36" i="1"/>
  <c r="BN37" i="1"/>
  <c r="BK37" i="1"/>
  <c r="O20" i="6"/>
  <c r="R20" i="6" s="1"/>
  <c r="O37" i="6"/>
  <c r="R37" i="6" s="1"/>
  <c r="AN36" i="1"/>
  <c r="AI36" i="1"/>
  <c r="N36" i="1"/>
  <c r="M7" i="3"/>
  <c r="M26" i="3"/>
  <c r="M27" i="3"/>
  <c r="M28" i="3"/>
  <c r="M29" i="3"/>
  <c r="M30" i="3"/>
  <c r="M31" i="3"/>
  <c r="M32" i="3"/>
  <c r="M34" i="3"/>
  <c r="M53" i="3"/>
  <c r="M54" i="3"/>
  <c r="M55" i="3"/>
  <c r="M56" i="3"/>
  <c r="M57" i="3"/>
  <c r="M58" i="3"/>
  <c r="M59" i="3"/>
  <c r="M61" i="3"/>
  <c r="M80" i="3"/>
  <c r="M81" i="3"/>
  <c r="M82" i="3"/>
  <c r="M83" i="3"/>
  <c r="M84" i="3"/>
  <c r="M85" i="3"/>
  <c r="M86" i="3"/>
  <c r="M88" i="3"/>
  <c r="M107" i="3"/>
  <c r="M108" i="3"/>
  <c r="M109" i="3"/>
  <c r="M110" i="3"/>
  <c r="M111" i="3"/>
  <c r="M112" i="3"/>
  <c r="M113" i="3"/>
  <c r="M115" i="3"/>
  <c r="M134" i="3"/>
  <c r="M135" i="3"/>
  <c r="M136" i="3"/>
  <c r="M137" i="3"/>
  <c r="M138" i="3"/>
  <c r="M139" i="3"/>
  <c r="M140" i="3"/>
  <c r="M142" i="3"/>
  <c r="M161" i="3"/>
  <c r="M162" i="3"/>
  <c r="M163" i="3"/>
  <c r="M164" i="3"/>
  <c r="M165" i="3"/>
  <c r="M166" i="3"/>
  <c r="M167" i="3"/>
  <c r="M169" i="3"/>
  <c r="M188" i="3"/>
  <c r="M189" i="3"/>
  <c r="M190" i="3"/>
  <c r="M191" i="3"/>
  <c r="M192" i="3"/>
  <c r="M193" i="3"/>
  <c r="M194" i="3"/>
  <c r="M196" i="3"/>
  <c r="M215" i="3"/>
  <c r="M216" i="3"/>
  <c r="M217" i="3"/>
  <c r="M218" i="3"/>
  <c r="M219" i="3"/>
  <c r="M220" i="3"/>
  <c r="M221" i="3"/>
  <c r="M223" i="3"/>
  <c r="M242" i="3"/>
  <c r="M243" i="3"/>
  <c r="M244" i="3"/>
  <c r="C244" i="3"/>
  <c r="B245" i="3" s="1"/>
  <c r="A27" i="8"/>
  <c r="BK19" i="1"/>
  <c r="BN19" i="1"/>
  <c r="V19" i="1"/>
  <c r="AI19" i="1"/>
  <c r="N19" i="1"/>
  <c r="AN19" i="1"/>
  <c r="V28" i="1"/>
  <c r="AN86" i="1"/>
  <c r="V166" i="1"/>
  <c r="N63" i="1"/>
  <c r="U63" i="1" s="1"/>
  <c r="AI115" i="1"/>
  <c r="AI28" i="1"/>
  <c r="V124" i="1"/>
  <c r="N26" i="1"/>
  <c r="BC26" i="1" s="1"/>
  <c r="V26" i="1"/>
  <c r="AN166" i="1"/>
  <c r="AI120" i="1"/>
  <c r="N120" i="1"/>
  <c r="BC120" i="1" s="1"/>
  <c r="AN161" i="1"/>
  <c r="N9" i="1"/>
  <c r="U9" i="1" s="1"/>
  <c r="AI62" i="1"/>
  <c r="AI9" i="1"/>
  <c r="V120" i="1"/>
  <c r="V9" i="1"/>
  <c r="V3" i="1"/>
  <c r="AI169" i="1"/>
  <c r="AI117" i="1"/>
  <c r="N169" i="1"/>
  <c r="BC169" i="1" s="1"/>
  <c r="V117" i="1"/>
  <c r="N62" i="1"/>
  <c r="U62" i="1" s="1"/>
  <c r="V63" i="1"/>
  <c r="AI63" i="1"/>
  <c r="AN52" i="1"/>
  <c r="V62" i="1"/>
  <c r="N225" i="1"/>
  <c r="U225" i="1" s="1"/>
  <c r="AN116" i="1"/>
  <c r="V119" i="1"/>
  <c r="N47" i="1"/>
  <c r="U47" i="1" s="1"/>
  <c r="BN97" i="1"/>
  <c r="AN43" i="1"/>
  <c r="AN179" i="1"/>
  <c r="V65" i="1"/>
  <c r="AI12" i="1"/>
  <c r="AN12" i="1"/>
  <c r="V130" i="1"/>
  <c r="N130" i="1"/>
  <c r="BD130" i="1" s="1"/>
  <c r="V29" i="1"/>
  <c r="AN85" i="1"/>
  <c r="BN62" i="1"/>
  <c r="BN133" i="1"/>
  <c r="BN202" i="1"/>
  <c r="BN80" i="1"/>
  <c r="BN25" i="1"/>
  <c r="BN2" i="1"/>
  <c r="V83" i="1"/>
  <c r="BN82" i="1"/>
  <c r="BN57" i="1"/>
  <c r="BN129" i="1"/>
  <c r="BN65" i="1"/>
  <c r="BN15" i="1"/>
  <c r="BN164" i="1"/>
  <c r="BN64" i="1"/>
  <c r="BN131" i="1"/>
  <c r="BN23" i="1"/>
  <c r="BN40" i="1"/>
  <c r="BN183" i="1"/>
  <c r="BN84" i="1"/>
  <c r="BN76" i="1"/>
  <c r="BN29" i="1"/>
  <c r="BN200" i="1"/>
  <c r="BN83" i="1"/>
  <c r="BN201" i="1"/>
  <c r="BN61" i="1"/>
  <c r="BN58" i="1"/>
  <c r="BN226" i="1"/>
  <c r="BN59" i="1"/>
  <c r="BN39" i="1"/>
  <c r="BN205" i="1"/>
  <c r="BN117" i="1"/>
  <c r="BN74" i="1"/>
  <c r="BN66" i="1"/>
  <c r="BN223" i="1"/>
  <c r="BN4" i="1"/>
  <c r="BN5" i="1"/>
  <c r="BN150" i="1"/>
  <c r="BN79" i="1"/>
  <c r="BN188" i="1"/>
  <c r="BN92" i="1"/>
  <c r="BN134" i="1"/>
  <c r="BN227" i="1"/>
  <c r="BN121" i="1"/>
  <c r="BN9" i="1"/>
  <c r="BN186" i="1"/>
  <c r="BN130" i="1"/>
  <c r="BN225" i="1"/>
  <c r="BN114" i="1"/>
  <c r="BN221" i="1"/>
  <c r="BN3" i="1"/>
  <c r="BN77" i="1"/>
  <c r="BN81" i="1"/>
  <c r="BN165" i="1"/>
  <c r="BN151" i="1"/>
  <c r="BN85" i="1"/>
  <c r="BN7" i="1"/>
  <c r="BN100" i="1"/>
  <c r="BN43" i="1"/>
  <c r="BN169" i="1"/>
  <c r="BN170" i="1"/>
  <c r="BN26" i="1"/>
  <c r="BN204" i="1"/>
  <c r="BN22" i="1"/>
  <c r="BN98" i="1"/>
  <c r="BN24" i="1"/>
  <c r="BN75" i="1"/>
  <c r="BN168" i="1"/>
  <c r="BN13" i="1"/>
  <c r="BN45" i="1"/>
  <c r="BN111" i="1"/>
  <c r="BN17" i="1"/>
  <c r="BN94" i="1"/>
  <c r="BN166" i="1"/>
  <c r="BN116" i="1"/>
  <c r="BN147" i="1"/>
  <c r="BN78" i="1"/>
  <c r="BN187" i="1"/>
  <c r="BN167" i="1"/>
  <c r="BN99" i="1"/>
  <c r="BN41" i="1"/>
  <c r="BN8" i="1"/>
  <c r="BN110" i="1"/>
  <c r="BN12" i="1"/>
  <c r="BN222" i="1"/>
  <c r="BN93" i="1"/>
  <c r="BN184" i="1"/>
  <c r="BN21" i="1"/>
  <c r="BN219" i="1"/>
  <c r="BN148" i="1"/>
  <c r="BN14" i="1"/>
  <c r="BN48" i="1"/>
  <c r="BN119" i="1"/>
  <c r="BN96" i="1"/>
  <c r="BN182" i="1"/>
  <c r="BN146" i="1"/>
  <c r="BN95" i="1"/>
  <c r="BN28" i="1"/>
  <c r="BN171" i="1"/>
  <c r="BN16" i="1"/>
  <c r="BN120" i="1"/>
  <c r="BN30" i="1"/>
  <c r="BN185" i="1"/>
  <c r="BN44" i="1"/>
  <c r="BN112" i="1"/>
  <c r="BN190" i="1"/>
  <c r="BN27" i="1"/>
  <c r="BN11" i="1"/>
  <c r="BN6" i="1"/>
  <c r="BN42" i="1"/>
  <c r="BN203" i="1"/>
  <c r="BN115" i="1"/>
  <c r="BN224" i="1"/>
  <c r="BN31" i="1"/>
  <c r="BN38" i="1"/>
  <c r="BN46" i="1"/>
  <c r="BN20" i="1"/>
  <c r="BN118" i="1"/>
  <c r="BN60" i="1"/>
  <c r="BN10" i="1"/>
  <c r="BN63" i="1"/>
  <c r="BN47" i="1"/>
  <c r="BN113" i="1"/>
  <c r="BN128" i="1"/>
  <c r="BN152" i="1"/>
  <c r="BN189" i="1"/>
  <c r="BN132" i="1"/>
  <c r="BN220" i="1"/>
  <c r="BN149" i="1"/>
  <c r="BN135" i="1"/>
  <c r="BN56" i="1"/>
  <c r="BN218" i="1"/>
  <c r="BN136" i="1"/>
  <c r="BN18" i="1"/>
  <c r="K159" i="5"/>
  <c r="AN88" i="1"/>
  <c r="V110" i="1"/>
  <c r="V183" i="1"/>
  <c r="N2" i="1"/>
  <c r="U2" i="1" s="1"/>
  <c r="N60" i="1"/>
  <c r="BC60" i="1" s="1"/>
  <c r="V82" i="1"/>
  <c r="N92" i="1"/>
  <c r="U92" i="1" s="1"/>
  <c r="V54" i="1"/>
  <c r="AN92" i="1"/>
  <c r="AI118" i="1"/>
  <c r="AI78" i="1"/>
  <c r="V175" i="1"/>
  <c r="BK171" i="1"/>
  <c r="BK133" i="1"/>
  <c r="BK44" i="1"/>
  <c r="BK224" i="1"/>
  <c r="BK2" i="1"/>
  <c r="BK93" i="1"/>
  <c r="BK28" i="1"/>
  <c r="BK150" i="1"/>
  <c r="BK97" i="1"/>
  <c r="BK64" i="1"/>
  <c r="BK76" i="1"/>
  <c r="BK22" i="1"/>
  <c r="BK94" i="1"/>
  <c r="BK185" i="1"/>
  <c r="BK117" i="1"/>
  <c r="BK113" i="1"/>
  <c r="BK115" i="1"/>
  <c r="BK223" i="1"/>
  <c r="BK59" i="1"/>
  <c r="BK168" i="1"/>
  <c r="BK23" i="1"/>
  <c r="BK99" i="1"/>
  <c r="BK130" i="1"/>
  <c r="BK149" i="1"/>
  <c r="BK202" i="1"/>
  <c r="BK39" i="1"/>
  <c r="BK98" i="1"/>
  <c r="BK26" i="1"/>
  <c r="BK120" i="1"/>
  <c r="BK81" i="1"/>
  <c r="BK75" i="1"/>
  <c r="BK38" i="1"/>
  <c r="BK182" i="1"/>
  <c r="BK45" i="1"/>
  <c r="BK5" i="1"/>
  <c r="BK82" i="1"/>
  <c r="BK186" i="1"/>
  <c r="BK43" i="1"/>
  <c r="BK219" i="1"/>
  <c r="BK60" i="1"/>
  <c r="BK200" i="1"/>
  <c r="BK96" i="1"/>
  <c r="BK226" i="1"/>
  <c r="BK14" i="1"/>
  <c r="BK48" i="1"/>
  <c r="BK111" i="1"/>
  <c r="BK77" i="1"/>
  <c r="BK152" i="1"/>
  <c r="BK225" i="1"/>
  <c r="BK46" i="1"/>
  <c r="BK227" i="1"/>
  <c r="BK65" i="1"/>
  <c r="BK148" i="1"/>
  <c r="BK112" i="1"/>
  <c r="BK204" i="1"/>
  <c r="BK6" i="1"/>
  <c r="BK119" i="1"/>
  <c r="BK3" i="1"/>
  <c r="BK188" i="1"/>
  <c r="BK220" i="1"/>
  <c r="BK100" i="1"/>
  <c r="BK16" i="1"/>
  <c r="BK56" i="1"/>
  <c r="BK135" i="1"/>
  <c r="BK80" i="1"/>
  <c r="BK221" i="1"/>
  <c r="BK128" i="1"/>
  <c r="BK118" i="1"/>
  <c r="BK31" i="1"/>
  <c r="BK10" i="1"/>
  <c r="BK58" i="1"/>
  <c r="BK146" i="1"/>
  <c r="BK17" i="1"/>
  <c r="BK61" i="1"/>
  <c r="BK24" i="1"/>
  <c r="BK184" i="1"/>
  <c r="BK134" i="1"/>
  <c r="BK4" i="1"/>
  <c r="BK78" i="1"/>
  <c r="BK79" i="1"/>
  <c r="BK169" i="1"/>
  <c r="BK132" i="1"/>
  <c r="BK121" i="1"/>
  <c r="BK189" i="1"/>
  <c r="BK15" i="1"/>
  <c r="BK63" i="1"/>
  <c r="BK8" i="1"/>
  <c r="BK167" i="1"/>
  <c r="BK12" i="1"/>
  <c r="BK190" i="1"/>
  <c r="BK13" i="1"/>
  <c r="BK147" i="1"/>
  <c r="BK20" i="1"/>
  <c r="BK92" i="1"/>
  <c r="BK170" i="1"/>
  <c r="BK9" i="1"/>
  <c r="BK21" i="1"/>
  <c r="BK74" i="1"/>
  <c r="BK40" i="1"/>
  <c r="BK25" i="1"/>
  <c r="BK83" i="1"/>
  <c r="BK131" i="1"/>
  <c r="BK84" i="1"/>
  <c r="BK7" i="1"/>
  <c r="BK116" i="1"/>
  <c r="BK222" i="1"/>
  <c r="BK57" i="1"/>
  <c r="BK18" i="1"/>
  <c r="BK183" i="1"/>
  <c r="BK165" i="1"/>
  <c r="BK62" i="1"/>
  <c r="BK27" i="1"/>
  <c r="BK151" i="1"/>
  <c r="BK110" i="1"/>
  <c r="BK41" i="1"/>
  <c r="BK85" i="1"/>
  <c r="BK164" i="1"/>
  <c r="BK42" i="1"/>
  <c r="BK129" i="1"/>
  <c r="BK95" i="1"/>
  <c r="BK205" i="1"/>
  <c r="BK11" i="1"/>
  <c r="BK114" i="1"/>
  <c r="BK187" i="1"/>
  <c r="BK30" i="1"/>
  <c r="BK66" i="1"/>
  <c r="BK29" i="1"/>
  <c r="BK166" i="1"/>
  <c r="BK136" i="1"/>
  <c r="BK218" i="1"/>
  <c r="BK201" i="1"/>
  <c r="BK47" i="1"/>
  <c r="BK203" i="1"/>
  <c r="AI85" i="1"/>
  <c r="N65" i="1"/>
  <c r="BC65" i="1" s="1"/>
  <c r="AN67" i="1"/>
  <c r="N28" i="1"/>
  <c r="U28" i="1" s="1"/>
  <c r="N85" i="1"/>
  <c r="U85" i="1" s="1"/>
  <c r="AI221" i="1"/>
  <c r="AI188" i="1"/>
  <c r="AI116" i="1"/>
  <c r="AI2" i="1"/>
  <c r="N136" i="1"/>
  <c r="BC136" i="1" s="1"/>
  <c r="N116" i="1"/>
  <c r="U116" i="1" s="1"/>
  <c r="V186" i="1"/>
  <c r="V194" i="1"/>
  <c r="AI170" i="1"/>
  <c r="N79" i="1"/>
  <c r="BD79" i="1" s="1"/>
  <c r="N83" i="1"/>
  <c r="U83" i="1" s="1"/>
  <c r="AI130" i="1"/>
  <c r="AI65" i="1"/>
  <c r="AI43" i="1"/>
  <c r="V118" i="1"/>
  <c r="N170" i="1"/>
  <c r="U170" i="1" s="1"/>
  <c r="V89" i="1"/>
  <c r="N6" i="1"/>
  <c r="U6" i="1" s="1"/>
  <c r="AI166" i="1"/>
  <c r="V39" i="1"/>
  <c r="N118" i="1"/>
  <c r="U118" i="1" s="1"/>
  <c r="AN170" i="1"/>
  <c r="V12" i="1"/>
  <c r="V6" i="1"/>
  <c r="AN29" i="1"/>
  <c r="AI6" i="1"/>
  <c r="V43" i="1"/>
  <c r="N205" i="1"/>
  <c r="U205" i="1" s="1"/>
  <c r="V101" i="1"/>
  <c r="AN140" i="1"/>
  <c r="AI204" i="1"/>
  <c r="AI132" i="1"/>
  <c r="AI100" i="1"/>
  <c r="AI84" i="1"/>
  <c r="AI27" i="1"/>
  <c r="AN176" i="1"/>
  <c r="V36" i="1"/>
  <c r="N8" i="1"/>
  <c r="U8" i="1" s="1"/>
  <c r="AN51" i="1"/>
  <c r="V195" i="1"/>
  <c r="V146" i="1"/>
  <c r="V8" i="1"/>
  <c r="AN207" i="1"/>
  <c r="V69" i="1"/>
  <c r="AI77" i="1"/>
  <c r="AI114" i="1"/>
  <c r="AI129" i="1"/>
  <c r="AI7" i="1"/>
  <c r="N184" i="1"/>
  <c r="U184" i="1" s="1"/>
  <c r="V144" i="1"/>
  <c r="N16" i="1"/>
  <c r="U16" i="1" s="1"/>
  <c r="V218" i="1"/>
  <c r="AN77" i="1"/>
  <c r="V204" i="1"/>
  <c r="AI218" i="1"/>
  <c r="AI8" i="1"/>
  <c r="AI16" i="1"/>
  <c r="AN129" i="1"/>
  <c r="AN16" i="1"/>
  <c r="N7" i="1"/>
  <c r="BC7" i="1" s="1"/>
  <c r="AN91" i="1"/>
  <c r="AN218" i="1"/>
  <c r="V77" i="1"/>
  <c r="AN204" i="1"/>
  <c r="N39" i="1"/>
  <c r="U39" i="1" s="1"/>
  <c r="N129" i="1"/>
  <c r="U129" i="1" s="1"/>
  <c r="V7" i="1"/>
  <c r="V165" i="1"/>
  <c r="AI168" i="1"/>
  <c r="AI111" i="1"/>
  <c r="AI39" i="1"/>
  <c r="AN132" i="1"/>
  <c r="K500" i="5"/>
  <c r="AI3" i="1"/>
  <c r="AI183" i="1"/>
  <c r="AI47" i="1"/>
  <c r="N113" i="1"/>
  <c r="U113" i="1" s="1"/>
  <c r="AN206" i="1"/>
  <c r="V113" i="1"/>
  <c r="V98" i="1"/>
  <c r="N117" i="1"/>
  <c r="U117" i="1" s="1"/>
  <c r="V156" i="1"/>
  <c r="AN111" i="1"/>
  <c r="K326" i="5"/>
  <c r="V47" i="1"/>
  <c r="N56" i="1"/>
  <c r="U56" i="1" s="1"/>
  <c r="AN217" i="1"/>
  <c r="V111" i="1"/>
  <c r="V72" i="1"/>
  <c r="AI97" i="1"/>
  <c r="K125" i="5"/>
  <c r="AI202" i="1"/>
  <c r="AI98" i="1"/>
  <c r="AI82" i="1"/>
  <c r="AI40" i="1"/>
  <c r="AI21" i="1"/>
  <c r="V56" i="1"/>
  <c r="N40" i="1"/>
  <c r="U40" i="1" s="1"/>
  <c r="N189" i="1"/>
  <c r="U189" i="1" s="1"/>
  <c r="AN76" i="1"/>
  <c r="V131" i="1"/>
  <c r="AI189" i="1"/>
  <c r="N44" i="1"/>
  <c r="U44" i="1" s="1"/>
  <c r="N115" i="1"/>
  <c r="BC115" i="1" s="1"/>
  <c r="AN169" i="1"/>
  <c r="AN40" i="1"/>
  <c r="V189" i="1"/>
  <c r="AN181" i="1"/>
  <c r="N131" i="1"/>
  <c r="U131" i="1" s="1"/>
  <c r="AN4" i="1"/>
  <c r="N3" i="1"/>
  <c r="BC3" i="1" s="1"/>
  <c r="V44" i="1"/>
  <c r="N82" i="1"/>
  <c r="U82" i="1" s="1"/>
  <c r="AN115" i="1"/>
  <c r="AI113" i="1"/>
  <c r="AI56" i="1"/>
  <c r="V157" i="1"/>
  <c r="N165" i="1"/>
  <c r="BC165" i="1" s="1"/>
  <c r="AI131" i="1"/>
  <c r="AI92" i="1"/>
  <c r="AI14" i="1"/>
  <c r="V187" i="1"/>
  <c r="AI80" i="1"/>
  <c r="N24" i="1"/>
  <c r="BD24" i="1" s="1"/>
  <c r="AN187" i="1"/>
  <c r="N80" i="1"/>
  <c r="U80" i="1" s="1"/>
  <c r="AN90" i="1"/>
  <c r="N21" i="1"/>
  <c r="U21" i="1" s="1"/>
  <c r="V180" i="1"/>
  <c r="N14" i="1"/>
  <c r="U14" i="1" s="1"/>
  <c r="V97" i="1"/>
  <c r="V24" i="1"/>
  <c r="V80" i="1"/>
  <c r="N183" i="1"/>
  <c r="U183" i="1" s="1"/>
  <c r="N202" i="1"/>
  <c r="U202" i="1" s="1"/>
  <c r="V21" i="1"/>
  <c r="V32" i="1"/>
  <c r="N97" i="1"/>
  <c r="BC97" i="1" s="1"/>
  <c r="V14" i="1"/>
  <c r="AN97" i="1"/>
  <c r="AI149" i="1"/>
  <c r="AI24" i="1"/>
  <c r="AN149" i="1"/>
  <c r="N132" i="1"/>
  <c r="BD132" i="1" s="1"/>
  <c r="V133" i="1"/>
  <c r="AN202" i="1"/>
  <c r="AI165" i="1"/>
  <c r="AI133" i="1"/>
  <c r="AN168" i="1"/>
  <c r="V198" i="1"/>
  <c r="N133" i="1"/>
  <c r="U133" i="1" s="1"/>
  <c r="N48" i="1"/>
  <c r="U48" i="1" s="1"/>
  <c r="AN99" i="1"/>
  <c r="AN48" i="1"/>
  <c r="AI83" i="1"/>
  <c r="AN160" i="1"/>
  <c r="V205" i="1"/>
  <c r="V225" i="1"/>
  <c r="V78" i="1"/>
  <c r="V107" i="1"/>
  <c r="N119" i="1"/>
  <c r="U119" i="1" s="1"/>
  <c r="V145" i="1"/>
  <c r="AN201" i="1"/>
  <c r="N23" i="1"/>
  <c r="U23" i="1" s="1"/>
  <c r="N18" i="1"/>
  <c r="U18" i="1" s="1"/>
  <c r="V61" i="1"/>
  <c r="AN209" i="1"/>
  <c r="N167" i="1"/>
  <c r="U167" i="1" s="1"/>
  <c r="N61" i="1"/>
  <c r="U61" i="1" s="1"/>
  <c r="V208" i="1"/>
  <c r="AI225" i="1"/>
  <c r="AI150" i="1"/>
  <c r="AI23" i="1"/>
  <c r="AN23" i="1"/>
  <c r="AN150" i="1"/>
  <c r="V18" i="1"/>
  <c r="AN128" i="1"/>
  <c r="AN167" i="1"/>
  <c r="N201" i="1"/>
  <c r="AI152" i="1"/>
  <c r="AI119" i="1"/>
  <c r="V94" i="1"/>
  <c r="V150" i="1"/>
  <c r="AI22" i="1"/>
  <c r="AI167" i="1"/>
  <c r="AI94" i="1"/>
  <c r="AI60" i="1"/>
  <c r="AN94" i="1"/>
  <c r="N25" i="1"/>
  <c r="N17" i="1"/>
  <c r="U17" i="1" s="1"/>
  <c r="AI205" i="1"/>
  <c r="AI61" i="1"/>
  <c r="AI29" i="1"/>
  <c r="AI17" i="1"/>
  <c r="AI18" i="1"/>
  <c r="V5" i="1"/>
  <c r="V173" i="1"/>
  <c r="V152" i="1"/>
  <c r="V17" i="1"/>
  <c r="V74" i="1"/>
  <c r="AI59" i="1"/>
  <c r="K325" i="5"/>
  <c r="V114" i="1"/>
  <c r="AI95" i="1"/>
  <c r="AI30" i="1"/>
  <c r="N4" i="1"/>
  <c r="U4" i="1" s="1"/>
  <c r="AI151" i="1"/>
  <c r="BO195" i="1"/>
  <c r="K78" i="5"/>
  <c r="AI44" i="1"/>
  <c r="AQ9" i="1"/>
  <c r="AN59" i="1"/>
  <c r="V149" i="1"/>
  <c r="N114" i="1"/>
  <c r="U114" i="1" s="1"/>
  <c r="V10" i="1"/>
  <c r="K524" i="5"/>
  <c r="AI4" i="1"/>
  <c r="N134" i="1"/>
  <c r="U134" i="1" s="1"/>
  <c r="AN134" i="1"/>
  <c r="V193" i="1"/>
  <c r="AI134" i="1"/>
  <c r="AN5" i="1"/>
  <c r="AN174" i="1"/>
  <c r="AQ7" i="1"/>
  <c r="N110" i="1"/>
  <c r="U110" i="1" s="1"/>
  <c r="AN186" i="1"/>
  <c r="V128" i="1"/>
  <c r="V53" i="1"/>
  <c r="N74" i="1"/>
  <c r="U74" i="1" s="1"/>
  <c r="V178" i="1"/>
  <c r="V141" i="1"/>
  <c r="N22" i="1"/>
  <c r="BD22" i="1" s="1"/>
  <c r="V151" i="1"/>
  <c r="AI186" i="1"/>
  <c r="AI74" i="1"/>
  <c r="AQ5" i="1"/>
  <c r="V216" i="1"/>
  <c r="AN210" i="1"/>
  <c r="N151" i="1"/>
  <c r="BC151" i="1" s="1"/>
  <c r="AN108" i="1"/>
  <c r="V22" i="1"/>
  <c r="AN151" i="1"/>
  <c r="V188" i="1"/>
  <c r="V231" i="1"/>
  <c r="AI136" i="1"/>
  <c r="AI128" i="1"/>
  <c r="V103" i="1"/>
  <c r="AN25" i="1"/>
  <c r="V2" i="1"/>
  <c r="V30" i="1"/>
  <c r="N152" i="1"/>
  <c r="U152" i="1" s="1"/>
  <c r="AN220" i="1"/>
  <c r="N38" i="1"/>
  <c r="U38" i="1" s="1"/>
  <c r="V60" i="1"/>
  <c r="V59" i="1"/>
  <c r="AQ4" i="1"/>
  <c r="V104" i="1"/>
  <c r="AN188" i="1"/>
  <c r="AI79" i="1"/>
  <c r="AI5" i="1"/>
  <c r="AN197" i="1"/>
  <c r="AQ3" i="1"/>
  <c r="N93" i="1"/>
  <c r="U93" i="1" s="1"/>
  <c r="V220" i="1"/>
  <c r="V45" i="1"/>
  <c r="V38" i="1"/>
  <c r="AN37" i="1"/>
  <c r="AS47" i="1" a="1"/>
  <c r="AS47" i="1" s="1"/>
  <c r="AI201" i="1"/>
  <c r="V79" i="1"/>
  <c r="AN136" i="1"/>
  <c r="AQ6" i="1"/>
  <c r="AQ8" i="1"/>
  <c r="AN87" i="1"/>
  <c r="V221" i="1"/>
  <c r="V93" i="1"/>
  <c r="V155" i="1"/>
  <c r="N45" i="1"/>
  <c r="U45" i="1" s="1"/>
  <c r="N78" i="1"/>
  <c r="U78" i="1" s="1"/>
  <c r="AI220" i="1"/>
  <c r="AI110" i="1"/>
  <c r="AI93" i="1"/>
  <c r="AI45" i="1"/>
  <c r="AI38" i="1"/>
  <c r="AQ2" i="1"/>
  <c r="K44" i="5"/>
  <c r="K511" i="5"/>
  <c r="K454" i="5"/>
  <c r="K536" i="5"/>
  <c r="K488" i="5"/>
  <c r="K418" i="5"/>
  <c r="K357" i="5"/>
  <c r="K533" i="5"/>
  <c r="K193" i="5"/>
  <c r="K168" i="5"/>
  <c r="K136" i="5"/>
  <c r="K404" i="5"/>
  <c r="K342" i="5"/>
  <c r="N95" i="1"/>
  <c r="U95" i="1" s="1"/>
  <c r="V143" i="1"/>
  <c r="V34" i="1"/>
  <c r="V196" i="1"/>
  <c r="V99" i="1"/>
  <c r="AS11" i="1" a="1"/>
  <c r="AS11" i="1" s="1"/>
  <c r="K532" i="5"/>
  <c r="K506" i="5"/>
  <c r="K478" i="5"/>
  <c r="K133" i="5"/>
  <c r="K93" i="5"/>
  <c r="K344" i="5"/>
  <c r="AI48" i="1"/>
  <c r="AS233" i="1" a="1"/>
  <c r="AS233" i="1" s="1"/>
  <c r="V95" i="1"/>
  <c r="N30" i="1"/>
  <c r="BD30" i="1" s="1"/>
  <c r="AS9" i="1" a="1"/>
  <c r="AS9" i="1" s="1"/>
  <c r="AS4" i="1" a="1"/>
  <c r="AS4" i="1" s="1"/>
  <c r="K209" i="5"/>
  <c r="K499" i="5"/>
  <c r="K472" i="5"/>
  <c r="K122" i="5"/>
  <c r="K392" i="5"/>
  <c r="K334" i="5"/>
  <c r="AS34" i="1" a="1"/>
  <c r="AS34" i="1" s="1"/>
  <c r="V177" i="1"/>
  <c r="V213" i="1"/>
  <c r="AS63" i="1" a="1"/>
  <c r="AS63" i="1" s="1"/>
  <c r="K523" i="5"/>
  <c r="K497" i="5"/>
  <c r="K153" i="5"/>
  <c r="K427" i="5"/>
  <c r="K374" i="5"/>
  <c r="K522" i="5"/>
  <c r="K492" i="5"/>
  <c r="K155" i="5"/>
  <c r="K111" i="5"/>
  <c r="K373" i="5"/>
  <c r="K224" i="5"/>
  <c r="K513" i="5"/>
  <c r="K172" i="5"/>
  <c r="K460" i="5"/>
  <c r="K420" i="5"/>
  <c r="AI187" i="1"/>
  <c r="AI99" i="1"/>
  <c r="AQ10" i="1"/>
  <c r="AS15" i="1" a="1"/>
  <c r="AS15" i="1" s="1"/>
  <c r="AN70" i="1"/>
  <c r="V70" i="1"/>
  <c r="AN154" i="1"/>
  <c r="V154" i="1"/>
  <c r="K226" i="5"/>
  <c r="K531" i="5"/>
  <c r="K212" i="5"/>
  <c r="K517" i="5"/>
  <c r="K197" i="5"/>
  <c r="K505" i="5"/>
  <c r="K185" i="5"/>
  <c r="K177" i="5"/>
  <c r="K170" i="5"/>
  <c r="K165" i="5"/>
  <c r="K473" i="5"/>
  <c r="K464" i="5"/>
  <c r="K455" i="5"/>
  <c r="K131" i="5"/>
  <c r="K437" i="5"/>
  <c r="K113" i="5"/>
  <c r="K414" i="5"/>
  <c r="K89" i="5"/>
  <c r="K389" i="5"/>
  <c r="K370" i="5"/>
  <c r="K43" i="5"/>
  <c r="K339" i="5"/>
  <c r="AN125" i="1"/>
  <c r="K545" i="5"/>
  <c r="K6" i="5"/>
  <c r="K323" i="5"/>
  <c r="K13" i="5"/>
  <c r="K329" i="5"/>
  <c r="K16" i="5"/>
  <c r="K10" i="5"/>
  <c r="K18" i="5"/>
  <c r="K27" i="5"/>
  <c r="K33" i="5"/>
  <c r="K352" i="5"/>
  <c r="K42" i="5"/>
  <c r="K47" i="5"/>
  <c r="K363" i="5"/>
  <c r="K55" i="5"/>
  <c r="K59" i="5"/>
  <c r="K378" i="5"/>
  <c r="K380" i="5"/>
  <c r="K69" i="5"/>
  <c r="K386" i="5"/>
  <c r="K81" i="5"/>
  <c r="K395" i="5"/>
  <c r="K85" i="5"/>
  <c r="K402" i="5"/>
  <c r="K409" i="5"/>
  <c r="K97" i="5"/>
  <c r="K413" i="5"/>
  <c r="K104" i="5"/>
  <c r="K424" i="5"/>
  <c r="K429" i="5"/>
  <c r="K431" i="5"/>
  <c r="K123" i="5"/>
  <c r="K127" i="5"/>
  <c r="K444" i="5"/>
  <c r="K138" i="5"/>
  <c r="K451" i="5"/>
  <c r="K142" i="5"/>
  <c r="K461" i="5"/>
  <c r="K463" i="5"/>
  <c r="K154" i="5"/>
  <c r="K470" i="5"/>
  <c r="K317" i="5"/>
  <c r="K316" i="5"/>
  <c r="K22" i="5"/>
  <c r="K322" i="5"/>
  <c r="K327" i="5"/>
  <c r="K23" i="5"/>
  <c r="K330" i="5"/>
  <c r="K345" i="5"/>
  <c r="K36" i="5"/>
  <c r="K38" i="5"/>
  <c r="K41" i="5"/>
  <c r="K359" i="5"/>
  <c r="K364" i="5"/>
  <c r="K53" i="5"/>
  <c r="K372" i="5"/>
  <c r="K65" i="5"/>
  <c r="K379" i="5"/>
  <c r="K72" i="5"/>
  <c r="K75" i="5"/>
  <c r="K391" i="5"/>
  <c r="K84" i="5"/>
  <c r="K398" i="5"/>
  <c r="K405" i="5"/>
  <c r="K407" i="5"/>
  <c r="K412" i="5"/>
  <c r="K105" i="5"/>
  <c r="K109" i="5"/>
  <c r="K423" i="5"/>
  <c r="K430" i="5"/>
  <c r="K119" i="5"/>
  <c r="K435" i="5"/>
  <c r="K440" i="5"/>
  <c r="K130" i="5"/>
  <c r="K447" i="5"/>
  <c r="K456" i="5"/>
  <c r="K144" i="5"/>
  <c r="K150" i="5"/>
  <c r="K152" i="5"/>
  <c r="K157" i="5"/>
  <c r="K156" i="5"/>
  <c r="K166" i="5"/>
  <c r="K484" i="5"/>
  <c r="K483" i="5"/>
  <c r="K175" i="5"/>
  <c r="K493" i="5"/>
  <c r="K181" i="5"/>
  <c r="K189" i="5"/>
  <c r="K504" i="5"/>
  <c r="K509" i="5"/>
  <c r="K194" i="5"/>
  <c r="K205" i="5"/>
  <c r="K208" i="5"/>
  <c r="K525" i="5"/>
  <c r="K527" i="5"/>
  <c r="K219" i="5"/>
  <c r="K537" i="5"/>
  <c r="K375" i="5"/>
  <c r="K68" i="5"/>
  <c r="K390" i="5"/>
  <c r="K397" i="5"/>
  <c r="K4" i="5"/>
  <c r="K318" i="5"/>
  <c r="K26" i="5"/>
  <c r="K12" i="5"/>
  <c r="K324" i="5"/>
  <c r="K21" i="5"/>
  <c r="K315" i="5"/>
  <c r="K29" i="5"/>
  <c r="K349" i="5"/>
  <c r="K356" i="5"/>
  <c r="K355" i="5"/>
  <c r="K362" i="5"/>
  <c r="K49" i="5"/>
  <c r="K56" i="5"/>
  <c r="K61" i="5"/>
  <c r="K383" i="5"/>
  <c r="K79" i="5"/>
  <c r="K400" i="5"/>
  <c r="K15" i="5"/>
  <c r="K331" i="5"/>
  <c r="K11" i="5"/>
  <c r="K320" i="5"/>
  <c r="K338" i="5"/>
  <c r="K340" i="5"/>
  <c r="K31" i="5"/>
  <c r="K348" i="5"/>
  <c r="K35" i="5"/>
  <c r="K354" i="5"/>
  <c r="K46" i="5"/>
  <c r="K360" i="5"/>
  <c r="K366" i="5"/>
  <c r="K57" i="5"/>
  <c r="K60" i="5"/>
  <c r="K67" i="5"/>
  <c r="K70" i="5"/>
  <c r="K71" i="5"/>
  <c r="K388" i="5"/>
  <c r="K394" i="5"/>
  <c r="K86" i="5"/>
  <c r="K87" i="5"/>
  <c r="K92" i="5"/>
  <c r="K410" i="5"/>
  <c r="K100" i="5"/>
  <c r="K102" i="5"/>
  <c r="K110" i="5"/>
  <c r="K425" i="5"/>
  <c r="K115" i="5"/>
  <c r="K436" i="5"/>
  <c r="K439" i="5"/>
  <c r="K128" i="5"/>
  <c r="K132" i="5"/>
  <c r="K135" i="5"/>
  <c r="K140" i="5"/>
  <c r="K14" i="5"/>
  <c r="K7" i="5"/>
  <c r="K319" i="5"/>
  <c r="K24" i="5"/>
  <c r="K20" i="5"/>
  <c r="K335" i="5"/>
  <c r="K30" i="5"/>
  <c r="K34" i="5"/>
  <c r="K37" i="5"/>
  <c r="K351" i="5"/>
  <c r="K358" i="5"/>
  <c r="K48" i="5"/>
  <c r="K365" i="5"/>
  <c r="K54" i="5"/>
  <c r="K376" i="5"/>
  <c r="K377" i="5"/>
  <c r="K381" i="5"/>
  <c r="K73" i="5"/>
  <c r="K77" i="5"/>
  <c r="K83" i="5"/>
  <c r="K396" i="5"/>
  <c r="K90" i="5"/>
  <c r="K95" i="5"/>
  <c r="K98" i="5"/>
  <c r="K415" i="5"/>
  <c r="K417" i="5"/>
  <c r="K106" i="5"/>
  <c r="K426" i="5"/>
  <c r="K118" i="5"/>
  <c r="K121" i="5"/>
  <c r="K126" i="5"/>
  <c r="K129" i="5"/>
  <c r="K448" i="5"/>
  <c r="K449" i="5"/>
  <c r="K453" i="5"/>
  <c r="K146" i="5"/>
  <c r="K145" i="5"/>
  <c r="K467" i="5"/>
  <c r="K160" i="5"/>
  <c r="K162" i="5"/>
  <c r="K164" i="5"/>
  <c r="K481" i="5"/>
  <c r="K173" i="5"/>
  <c r="K178" i="5"/>
  <c r="K179" i="5"/>
  <c r="K187" i="5"/>
  <c r="K501" i="5"/>
  <c r="K195" i="5"/>
  <c r="K510" i="5"/>
  <c r="K201" i="5"/>
  <c r="K206" i="5"/>
  <c r="K520" i="5"/>
  <c r="K213" i="5"/>
  <c r="K217" i="5"/>
  <c r="K220" i="5"/>
  <c r="K225" i="5"/>
  <c r="K406" i="5"/>
  <c r="K416" i="5"/>
  <c r="K114" i="5"/>
  <c r="K434" i="5"/>
  <c r="K442" i="5"/>
  <c r="K139" i="5"/>
  <c r="K143" i="5"/>
  <c r="K468" i="5"/>
  <c r="K479" i="5"/>
  <c r="K491" i="5"/>
  <c r="K182" i="5"/>
  <c r="K188" i="5"/>
  <c r="K198" i="5"/>
  <c r="K210" i="5"/>
  <c r="K530" i="5"/>
  <c r="K336" i="5"/>
  <c r="K3" i="5"/>
  <c r="K5" i="5"/>
  <c r="K341" i="5"/>
  <c r="K328" i="5"/>
  <c r="K332" i="5"/>
  <c r="K343" i="5"/>
  <c r="K347" i="5"/>
  <c r="K40" i="5"/>
  <c r="K353" i="5"/>
  <c r="K361" i="5"/>
  <c r="K51" i="5"/>
  <c r="K369" i="5"/>
  <c r="K58" i="5"/>
  <c r="K62" i="5"/>
  <c r="K66" i="5"/>
  <c r="K384" i="5"/>
  <c r="K74" i="5"/>
  <c r="K76" i="5"/>
  <c r="K393" i="5"/>
  <c r="K399" i="5"/>
  <c r="K403" i="5"/>
  <c r="K99" i="5"/>
  <c r="K103" i="5"/>
  <c r="K422" i="5"/>
  <c r="K117" i="5"/>
  <c r="K124" i="5"/>
  <c r="K445" i="5"/>
  <c r="K452" i="5"/>
  <c r="K462" i="5"/>
  <c r="K465" i="5"/>
  <c r="K476" i="5"/>
  <c r="K169" i="5"/>
  <c r="K176" i="5"/>
  <c r="K498" i="5"/>
  <c r="K196" i="5"/>
  <c r="K515" i="5"/>
  <c r="K518" i="5"/>
  <c r="K528" i="5"/>
  <c r="K534" i="5"/>
  <c r="V15" i="1"/>
  <c r="AN15" i="1"/>
  <c r="N15" i="1"/>
  <c r="U15" i="1" s="1"/>
  <c r="K526" i="5"/>
  <c r="K191" i="5"/>
  <c r="K184" i="5"/>
  <c r="K180" i="5"/>
  <c r="K486" i="5"/>
  <c r="K167" i="5"/>
  <c r="K471" i="5"/>
  <c r="K147" i="5"/>
  <c r="K457" i="5"/>
  <c r="K134" i="5"/>
  <c r="K120" i="5"/>
  <c r="K112" i="5"/>
  <c r="K101" i="5"/>
  <c r="K91" i="5"/>
  <c r="K385" i="5"/>
  <c r="K371" i="5"/>
  <c r="K45" i="5"/>
  <c r="K9" i="5"/>
  <c r="K337" i="5"/>
  <c r="N226" i="1"/>
  <c r="U226" i="1" s="1"/>
  <c r="AN226" i="1"/>
  <c r="AN219" i="1"/>
  <c r="V219" i="1"/>
  <c r="N219" i="1"/>
  <c r="U219" i="1" s="1"/>
  <c r="V46" i="1"/>
  <c r="AN46" i="1"/>
  <c r="AN96" i="1"/>
  <c r="N96" i="1"/>
  <c r="U96" i="1" s="1"/>
  <c r="K516" i="5"/>
  <c r="K223" i="5"/>
  <c r="K214" i="5"/>
  <c r="K207" i="5"/>
  <c r="K203" i="5"/>
  <c r="K199" i="5"/>
  <c r="K190" i="5"/>
  <c r="K496" i="5"/>
  <c r="K174" i="5"/>
  <c r="K482" i="5"/>
  <c r="K477" i="5"/>
  <c r="K475" i="5"/>
  <c r="K151" i="5"/>
  <c r="K459" i="5"/>
  <c r="K446" i="5"/>
  <c r="K433" i="5"/>
  <c r="K108" i="5"/>
  <c r="K411" i="5"/>
  <c r="K88" i="5"/>
  <c r="K382" i="5"/>
  <c r="K367" i="5"/>
  <c r="K350" i="5"/>
  <c r="K8" i="5"/>
  <c r="K19" i="5"/>
  <c r="V171" i="1"/>
  <c r="AN171" i="1"/>
  <c r="N171" i="1"/>
  <c r="U171" i="1" s="1"/>
  <c r="K222" i="5"/>
  <c r="K512" i="5"/>
  <c r="K535" i="5"/>
  <c r="K216" i="5"/>
  <c r="K521" i="5"/>
  <c r="K514" i="5"/>
  <c r="K508" i="5"/>
  <c r="K503" i="5"/>
  <c r="K495" i="5"/>
  <c r="K489" i="5"/>
  <c r="K485" i="5"/>
  <c r="K161" i="5"/>
  <c r="K466" i="5"/>
  <c r="K148" i="5"/>
  <c r="K141" i="5"/>
  <c r="K441" i="5"/>
  <c r="K116" i="5"/>
  <c r="K421" i="5"/>
  <c r="K96" i="5"/>
  <c r="K401" i="5"/>
  <c r="K387" i="5"/>
  <c r="K368" i="5"/>
  <c r="K39" i="5"/>
  <c r="K28" i="5"/>
  <c r="K17" i="5"/>
  <c r="AN163" i="1"/>
  <c r="AN123" i="1"/>
  <c r="V123" i="1"/>
  <c r="K529" i="5"/>
  <c r="K539" i="5"/>
  <c r="K218" i="5"/>
  <c r="K211" i="5"/>
  <c r="K519" i="5"/>
  <c r="K202" i="5"/>
  <c r="K507" i="5"/>
  <c r="K502" i="5"/>
  <c r="K183" i="5"/>
  <c r="K490" i="5"/>
  <c r="K171" i="5"/>
  <c r="K163" i="5"/>
  <c r="K469" i="5"/>
  <c r="K149" i="5"/>
  <c r="K137" i="5"/>
  <c r="K443" i="5"/>
  <c r="K432" i="5"/>
  <c r="K419" i="5"/>
  <c r="K94" i="5"/>
  <c r="K80" i="5"/>
  <c r="K63" i="5"/>
  <c r="K50" i="5"/>
  <c r="K32" i="5"/>
  <c r="K333" i="5"/>
  <c r="K25" i="5"/>
  <c r="N58" i="1"/>
  <c r="BD58" i="1" s="1"/>
  <c r="V58" i="1"/>
  <c r="AN58" i="1"/>
  <c r="AN142" i="1"/>
  <c r="V142" i="1"/>
  <c r="V222" i="1"/>
  <c r="AN222" i="1"/>
  <c r="K538" i="5"/>
  <c r="K221" i="5"/>
  <c r="K215" i="5"/>
  <c r="K204" i="5"/>
  <c r="K200" i="5"/>
  <c r="K192" i="5"/>
  <c r="K186" i="5"/>
  <c r="K494" i="5"/>
  <c r="K487" i="5"/>
  <c r="K480" i="5"/>
  <c r="K474" i="5"/>
  <c r="K158" i="5"/>
  <c r="K458" i="5"/>
  <c r="K450" i="5"/>
  <c r="K438" i="5"/>
  <c r="K428" i="5"/>
  <c r="K107" i="5"/>
  <c r="K408" i="5"/>
  <c r="K82" i="5"/>
  <c r="K64" i="5"/>
  <c r="K52" i="5"/>
  <c r="K346" i="5"/>
  <c r="K321" i="5"/>
  <c r="K548" i="5"/>
  <c r="AI15" i="1"/>
  <c r="AI171" i="1"/>
  <c r="AI226" i="1"/>
  <c r="AI219" i="1"/>
  <c r="AI58" i="1"/>
  <c r="AI25" i="1"/>
  <c r="V168" i="1"/>
  <c r="AS54" i="1" a="1"/>
  <c r="AS54" i="1" s="1"/>
  <c r="AS65" i="1" a="1"/>
  <c r="AS65" i="1" s="1"/>
  <c r="AS14" i="1" a="1"/>
  <c r="AS14" i="1" s="1"/>
  <c r="AS45" i="1" a="1"/>
  <c r="AS45" i="1" s="1"/>
  <c r="AS7" i="1" a="1"/>
  <c r="AS7" i="1" s="1"/>
  <c r="AS60" i="1" a="1"/>
  <c r="AS60" i="1" s="1"/>
  <c r="V20" i="1"/>
  <c r="AS41" i="1" a="1"/>
  <c r="AS41" i="1" s="1"/>
  <c r="AS59" i="1" a="1"/>
  <c r="AS59" i="1" s="1"/>
  <c r="AS70" i="1" a="1"/>
  <c r="AS70" i="1" s="1"/>
  <c r="AS13" i="1" a="1"/>
  <c r="AS13" i="1" s="1"/>
  <c r="AS28" i="1" a="1"/>
  <c r="AS28" i="1" s="1"/>
  <c r="AS42" i="1" a="1"/>
  <c r="AS42" i="1" s="1"/>
  <c r="AS40" i="1" a="1"/>
  <c r="AS40" i="1" s="1"/>
  <c r="AS17" i="1" a="1"/>
  <c r="AS17" i="1" s="1"/>
  <c r="AS67" i="1" a="1"/>
  <c r="AS67" i="1" s="1"/>
  <c r="AS33" i="1" a="1"/>
  <c r="AS33" i="1" s="1"/>
  <c r="BO210" i="1"/>
  <c r="AS31" i="1" a="1"/>
  <c r="AS31" i="1" s="1"/>
  <c r="K543" i="5"/>
  <c r="AS69" i="1" a="1"/>
  <c r="AS69" i="1" s="1"/>
  <c r="AS18" i="1" a="1"/>
  <c r="AS18" i="1" s="1"/>
  <c r="AS53" i="1" a="1"/>
  <c r="AS53" i="1" s="1"/>
  <c r="AI135" i="1"/>
  <c r="V139" i="1"/>
  <c r="V35" i="1"/>
  <c r="N182" i="1"/>
  <c r="AN10" i="1"/>
  <c r="AN102" i="1"/>
  <c r="AN146" i="1"/>
  <c r="V105" i="1"/>
  <c r="V184" i="1"/>
  <c r="V13" i="1"/>
  <c r="V135" i="1"/>
  <c r="AI146" i="1"/>
  <c r="AI13" i="1"/>
  <c r="N27" i="1"/>
  <c r="U27" i="1" s="1"/>
  <c r="N84" i="1"/>
  <c r="U84" i="1" s="1"/>
  <c r="AN100" i="1"/>
  <c r="AN13" i="1"/>
  <c r="BO136" i="1"/>
  <c r="BQ150" i="1" s="1" a="1"/>
  <c r="BQ150" i="1" s="1"/>
  <c r="N135" i="1"/>
  <c r="U135" i="1" s="1"/>
  <c r="AI81" i="1"/>
  <c r="V27" i="1"/>
  <c r="AN233" i="1"/>
  <c r="AN84" i="1"/>
  <c r="V199" i="1"/>
  <c r="N81" i="1"/>
  <c r="U81" i="1" s="1"/>
  <c r="N100" i="1"/>
  <c r="U100" i="1" s="1"/>
  <c r="AI184" i="1"/>
  <c r="AN224" i="1"/>
  <c r="AN81" i="1"/>
  <c r="AN211" i="1"/>
  <c r="V235" i="1"/>
  <c r="AQ26" i="1"/>
  <c r="AS2" i="1" a="1"/>
  <c r="AS2" i="1" s="1"/>
  <c r="K547" i="5"/>
  <c r="AS56" i="1" a="1"/>
  <c r="AS56" i="1" s="1"/>
  <c r="AI96" i="1"/>
  <c r="AI222" i="1"/>
  <c r="AI46" i="1"/>
  <c r="AQ15" i="1"/>
  <c r="V164" i="1"/>
  <c r="N147" i="1"/>
  <c r="BD147" i="1" s="1"/>
  <c r="N46" i="1"/>
  <c r="U46" i="1" s="1"/>
  <c r="AN121" i="1"/>
  <c r="V147" i="1"/>
  <c r="V121" i="1"/>
  <c r="V162" i="1"/>
  <c r="N11" i="1"/>
  <c r="U11" i="1" s="1"/>
  <c r="V33" i="1"/>
  <c r="AN106" i="1"/>
  <c r="AI227" i="1"/>
  <c r="AI10" i="1"/>
  <c r="K232" i="5"/>
  <c r="AQ42" i="1"/>
  <c r="AN153" i="1"/>
  <c r="AN71" i="1"/>
  <c r="AN42" i="1"/>
  <c r="AS48" i="1" a="1"/>
  <c r="AS48" i="1" s="1"/>
  <c r="AS37" i="1" a="1"/>
  <c r="AS37" i="1" s="1"/>
  <c r="AS12" i="1" a="1"/>
  <c r="AS12" i="1" s="1"/>
  <c r="AS57" i="1" a="1"/>
  <c r="AS57" i="1" s="1"/>
  <c r="AI147" i="1"/>
  <c r="AI42" i="1"/>
  <c r="AN192" i="1"/>
  <c r="V214" i="1"/>
  <c r="V42" i="1"/>
  <c r="V96" i="1"/>
  <c r="AI164" i="1"/>
  <c r="AI66" i="1"/>
  <c r="AN109" i="1"/>
  <c r="N222" i="1"/>
  <c r="U222" i="1" s="1"/>
  <c r="AS3" i="1" a="1"/>
  <c r="AS3" i="1" s="1"/>
  <c r="V57" i="1"/>
  <c r="AI121" i="1"/>
  <c r="N227" i="1"/>
  <c r="U227" i="1" s="1"/>
  <c r="AS5" i="1" a="1"/>
  <c r="AS5" i="1" s="1"/>
  <c r="AQ14" i="1"/>
  <c r="AS46" i="1" a="1"/>
  <c r="AS46" i="1" s="1"/>
  <c r="AQ90" i="1"/>
  <c r="AQ170" i="1"/>
  <c r="AN126" i="1"/>
  <c r="AQ194" i="1"/>
  <c r="AQ130" i="1"/>
  <c r="AQ66" i="1"/>
  <c r="AQ17" i="1"/>
  <c r="N64" i="1"/>
  <c r="U64" i="1" s="1"/>
  <c r="V55" i="1"/>
  <c r="V66" i="1"/>
  <c r="AI203" i="1"/>
  <c r="AQ106" i="1"/>
  <c r="AI11" i="1"/>
  <c r="V11" i="1"/>
  <c r="AQ186" i="1"/>
  <c r="AQ122" i="1"/>
  <c r="AQ58" i="1"/>
  <c r="AQ18" i="1"/>
  <c r="AQ12" i="1"/>
  <c r="V127" i="1"/>
  <c r="V64" i="1"/>
  <c r="N66" i="1"/>
  <c r="U66" i="1" s="1"/>
  <c r="AN11" i="1"/>
  <c r="N31" i="1"/>
  <c r="U31" i="1" s="1"/>
  <c r="AQ178" i="1"/>
  <c r="AQ114" i="1"/>
  <c r="AQ50" i="1"/>
  <c r="AI224" i="1"/>
  <c r="AN31" i="1"/>
  <c r="AQ226" i="1"/>
  <c r="AQ162" i="1"/>
  <c r="AQ98" i="1"/>
  <c r="AQ34" i="1"/>
  <c r="AQ13" i="1"/>
  <c r="AQ11" i="1"/>
  <c r="N164" i="1"/>
  <c r="U164" i="1" s="1"/>
  <c r="N224" i="1"/>
  <c r="U224" i="1" s="1"/>
  <c r="V137" i="1"/>
  <c r="AN182" i="1"/>
  <c r="V172" i="1"/>
  <c r="AI64" i="1"/>
  <c r="AQ218" i="1"/>
  <c r="AQ154" i="1"/>
  <c r="V212" i="1"/>
  <c r="AN122" i="1"/>
  <c r="AI182" i="1"/>
  <c r="AQ210" i="1"/>
  <c r="AQ146" i="1"/>
  <c r="AQ82" i="1"/>
  <c r="AQ16" i="1"/>
  <c r="V227" i="1"/>
  <c r="AI31" i="1"/>
  <c r="AQ202" i="1"/>
  <c r="AQ138" i="1"/>
  <c r="AQ74" i="1"/>
  <c r="AN215" i="1"/>
  <c r="K540" i="5"/>
  <c r="AS52" i="1" a="1"/>
  <c r="AS52" i="1" s="1"/>
  <c r="AS51" i="1" a="1"/>
  <c r="AS51" i="1" s="1"/>
  <c r="AS61" i="1" a="1"/>
  <c r="AS61" i="1" s="1"/>
  <c r="AI200" i="1"/>
  <c r="AI185" i="1"/>
  <c r="AI112" i="1"/>
  <c r="AN68" i="1"/>
  <c r="AN98" i="1"/>
  <c r="AQ225" i="1"/>
  <c r="AQ217" i="1"/>
  <c r="AQ209" i="1"/>
  <c r="AQ201" i="1"/>
  <c r="AQ193" i="1"/>
  <c r="AQ185" i="1"/>
  <c r="AQ177" i="1"/>
  <c r="AQ169" i="1"/>
  <c r="AQ161" i="1"/>
  <c r="AQ153" i="1"/>
  <c r="AQ145" i="1"/>
  <c r="AQ137" i="1"/>
  <c r="AQ129" i="1"/>
  <c r="AQ121" i="1"/>
  <c r="AQ113" i="1"/>
  <c r="AQ105" i="1"/>
  <c r="AQ97" i="1"/>
  <c r="AQ89" i="1"/>
  <c r="AQ81" i="1"/>
  <c r="AQ73" i="1"/>
  <c r="AQ65" i="1"/>
  <c r="AQ57" i="1"/>
  <c r="AQ49" i="1"/>
  <c r="AQ41" i="1"/>
  <c r="AQ33" i="1"/>
  <c r="AQ25" i="1"/>
  <c r="AQ20" i="1"/>
  <c r="AN41" i="1"/>
  <c r="AN20" i="1"/>
  <c r="N76" i="1"/>
  <c r="U76" i="1" s="1"/>
  <c r="V158" i="1"/>
  <c r="BO205" i="1"/>
  <c r="BO231" i="1"/>
  <c r="BO46" i="1"/>
  <c r="BQ61" i="1" s="1" a="1"/>
  <c r="BQ61" i="1" s="1"/>
  <c r="BO135" i="1"/>
  <c r="BQ147" i="1" s="1" a="1"/>
  <c r="BQ147" i="1" s="1"/>
  <c r="BO70" i="1"/>
  <c r="BQ76" i="1" s="1" a="1"/>
  <c r="BQ76" i="1" s="1"/>
  <c r="BO163" i="1"/>
  <c r="N203" i="1"/>
  <c r="AI41" i="1"/>
  <c r="AQ224" i="1"/>
  <c r="AQ216" i="1"/>
  <c r="AQ208" i="1"/>
  <c r="AQ200" i="1"/>
  <c r="AQ192" i="1"/>
  <c r="AQ184" i="1"/>
  <c r="AQ176" i="1"/>
  <c r="AQ168" i="1"/>
  <c r="AQ160" i="1"/>
  <c r="AQ152" i="1"/>
  <c r="AQ144" i="1"/>
  <c r="AQ136" i="1"/>
  <c r="AQ128" i="1"/>
  <c r="AQ120" i="1"/>
  <c r="AQ112" i="1"/>
  <c r="AQ104" i="1"/>
  <c r="AQ96" i="1"/>
  <c r="AQ88" i="1"/>
  <c r="AQ80" i="1"/>
  <c r="AQ72" i="1"/>
  <c r="AQ64" i="1"/>
  <c r="AQ56" i="1"/>
  <c r="AQ48" i="1"/>
  <c r="AQ40" i="1"/>
  <c r="AQ32" i="1"/>
  <c r="AQ22" i="1"/>
  <c r="N41" i="1"/>
  <c r="U41" i="1" s="1"/>
  <c r="V73" i="1"/>
  <c r="V185" i="1"/>
  <c r="N190" i="1"/>
  <c r="U190" i="1" s="1"/>
  <c r="BO154" i="1"/>
  <c r="BO153" i="1"/>
  <c r="BQ172" i="1" s="1" a="1"/>
  <c r="BQ172" i="1" s="1"/>
  <c r="V203" i="1"/>
  <c r="AQ223" i="1"/>
  <c r="AQ215" i="1"/>
  <c r="AQ207" i="1"/>
  <c r="AQ199" i="1"/>
  <c r="AQ191" i="1"/>
  <c r="AQ183" i="1"/>
  <c r="AQ175" i="1"/>
  <c r="AQ167" i="1"/>
  <c r="AQ159" i="1"/>
  <c r="AQ151" i="1"/>
  <c r="AQ143" i="1"/>
  <c r="AQ135" i="1"/>
  <c r="AQ127" i="1"/>
  <c r="AQ119" i="1"/>
  <c r="AQ111" i="1"/>
  <c r="AQ103" i="1"/>
  <c r="AQ95" i="1"/>
  <c r="AQ87" i="1"/>
  <c r="AQ79" i="1"/>
  <c r="AQ71" i="1"/>
  <c r="AQ63" i="1"/>
  <c r="AQ55" i="1"/>
  <c r="AQ47" i="1"/>
  <c r="AQ39" i="1"/>
  <c r="AQ31" i="1"/>
  <c r="AN200" i="1"/>
  <c r="N185" i="1"/>
  <c r="AN138" i="1"/>
  <c r="V190" i="1"/>
  <c r="BO27" i="1"/>
  <c r="BQ45" i="1" s="1" a="1"/>
  <c r="BQ45" i="1" s="1"/>
  <c r="BO170" i="1"/>
  <c r="BO101" i="1"/>
  <c r="BO72" i="1"/>
  <c r="BO110" i="1"/>
  <c r="BQ129" i="1" s="1" a="1"/>
  <c r="BQ129" i="1" s="1"/>
  <c r="BO186" i="1"/>
  <c r="BO219" i="1"/>
  <c r="AI190" i="1"/>
  <c r="AI76" i="1"/>
  <c r="AQ222" i="1"/>
  <c r="AQ214" i="1"/>
  <c r="AQ206" i="1"/>
  <c r="AQ198" i="1"/>
  <c r="AQ190" i="1"/>
  <c r="AQ182" i="1"/>
  <c r="AQ174" i="1"/>
  <c r="AQ166" i="1"/>
  <c r="AQ158" i="1"/>
  <c r="AQ150" i="1"/>
  <c r="AQ142" i="1"/>
  <c r="AQ134" i="1"/>
  <c r="AQ126" i="1"/>
  <c r="AQ118" i="1"/>
  <c r="AQ110" i="1"/>
  <c r="AQ102" i="1"/>
  <c r="AQ94" i="1"/>
  <c r="AQ86" i="1"/>
  <c r="AQ78" i="1"/>
  <c r="AQ70" i="1"/>
  <c r="AQ62" i="1"/>
  <c r="AQ54" i="1"/>
  <c r="AQ46" i="1"/>
  <c r="AQ38" i="1"/>
  <c r="AQ30" i="1"/>
  <c r="AQ24" i="1"/>
  <c r="AQ23" i="1"/>
  <c r="N148" i="1"/>
  <c r="U148" i="1" s="1"/>
  <c r="V200" i="1"/>
  <c r="AN203" i="1"/>
  <c r="AI57" i="1"/>
  <c r="AI20" i="1"/>
  <c r="AQ221" i="1"/>
  <c r="AQ213" i="1"/>
  <c r="AQ205" i="1"/>
  <c r="AQ197" i="1"/>
  <c r="AQ189" i="1"/>
  <c r="AQ181" i="1"/>
  <c r="AQ173" i="1"/>
  <c r="AQ165" i="1"/>
  <c r="AQ157" i="1"/>
  <c r="AQ149" i="1"/>
  <c r="AQ141" i="1"/>
  <c r="AQ133" i="1"/>
  <c r="AQ125" i="1"/>
  <c r="AQ117" i="1"/>
  <c r="AQ109" i="1"/>
  <c r="AQ101" i="1"/>
  <c r="AQ93" i="1"/>
  <c r="AQ85" i="1"/>
  <c r="AQ77" i="1"/>
  <c r="AQ69" i="1"/>
  <c r="AQ61" i="1"/>
  <c r="AQ53" i="1"/>
  <c r="AQ45" i="1"/>
  <c r="AQ37" i="1"/>
  <c r="AQ29" i="1"/>
  <c r="AQ19" i="1"/>
  <c r="AN50" i="1"/>
  <c r="V148" i="1"/>
  <c r="AN159" i="1"/>
  <c r="V112" i="1"/>
  <c r="AN191" i="1"/>
  <c r="BO78" i="1"/>
  <c r="AS30" i="1" a="1"/>
  <c r="AS30" i="1" s="1"/>
  <c r="BO208" i="1"/>
  <c r="AS27" i="1" a="1"/>
  <c r="AS27" i="1" s="1"/>
  <c r="AS25" i="1" a="1"/>
  <c r="AS25" i="1" s="1"/>
  <c r="AS29" i="1" a="1"/>
  <c r="AS29" i="1" s="1"/>
  <c r="AS20" i="1" a="1"/>
  <c r="AS20" i="1" s="1"/>
  <c r="AS74" i="1" a="1"/>
  <c r="AS74" i="1" s="1"/>
  <c r="AN57" i="1"/>
  <c r="AI148" i="1"/>
  <c r="AN49" i="1"/>
  <c r="AQ228" i="1"/>
  <c r="AQ220" i="1"/>
  <c r="AQ212" i="1"/>
  <c r="AQ204" i="1"/>
  <c r="AQ196" i="1"/>
  <c r="AQ188" i="1"/>
  <c r="AQ180" i="1"/>
  <c r="AQ172" i="1"/>
  <c r="AQ164" i="1"/>
  <c r="AQ156" i="1"/>
  <c r="AQ148" i="1"/>
  <c r="AQ140" i="1"/>
  <c r="AQ132" i="1"/>
  <c r="AQ124" i="1"/>
  <c r="AQ116" i="1"/>
  <c r="AQ108" i="1"/>
  <c r="AQ100" i="1"/>
  <c r="AQ92" i="1"/>
  <c r="AQ84" i="1"/>
  <c r="AQ76" i="1"/>
  <c r="AQ68" i="1"/>
  <c r="AQ60" i="1"/>
  <c r="AQ52" i="1"/>
  <c r="AQ44" i="1"/>
  <c r="AQ36" i="1"/>
  <c r="AQ28" i="1"/>
  <c r="AQ21" i="1"/>
  <c r="K235" i="5"/>
  <c r="K236" i="5"/>
  <c r="AN112" i="1"/>
  <c r="AQ227" i="1"/>
  <c r="AQ219" i="1"/>
  <c r="AQ211" i="1"/>
  <c r="AQ203" i="1"/>
  <c r="AQ195" i="1"/>
  <c r="AQ187" i="1"/>
  <c r="AQ179" i="1"/>
  <c r="AQ171" i="1"/>
  <c r="AQ163" i="1"/>
  <c r="AQ155" i="1"/>
  <c r="AQ147" i="1"/>
  <c r="AQ139" i="1"/>
  <c r="AQ131" i="1"/>
  <c r="AQ123" i="1"/>
  <c r="AQ115" i="1"/>
  <c r="AQ107" i="1"/>
  <c r="AQ99" i="1"/>
  <c r="AQ91" i="1"/>
  <c r="AQ83" i="1"/>
  <c r="AQ75" i="1"/>
  <c r="AQ67" i="1"/>
  <c r="AQ59" i="1"/>
  <c r="AQ51" i="1"/>
  <c r="AQ43" i="1"/>
  <c r="AQ35" i="1"/>
  <c r="AQ27" i="1"/>
  <c r="BO142" i="1"/>
  <c r="BQ153" i="1" s="1" a="1"/>
  <c r="BQ153" i="1" s="1"/>
  <c r="BO36" i="1"/>
  <c r="BQ38" i="1" s="1" a="1"/>
  <c r="BQ38" i="1" s="1"/>
  <c r="BO166" i="1"/>
  <c r="BO76" i="1"/>
  <c r="AS26" i="1" a="1"/>
  <c r="AS26" i="1" s="1"/>
  <c r="AS55" i="1" a="1"/>
  <c r="AS55" i="1" s="1"/>
  <c r="BO106" i="1"/>
  <c r="BO145" i="1"/>
  <c r="BO114" i="1"/>
  <c r="BQ128" i="1" s="1" a="1"/>
  <c r="BQ128" i="1" s="1"/>
  <c r="BO21" i="1"/>
  <c r="BO139" i="1"/>
  <c r="BQ149" i="1" s="1" a="1"/>
  <c r="BQ149" i="1" s="1"/>
  <c r="AS16" i="1" a="1"/>
  <c r="AS16" i="1" s="1"/>
  <c r="AS62" i="1" a="1"/>
  <c r="AS62" i="1" s="1"/>
  <c r="BO56" i="1"/>
  <c r="BQ81" i="1" s="1" a="1"/>
  <c r="BQ81" i="1" s="1"/>
  <c r="BO40" i="1"/>
  <c r="BQ66" i="1" s="1" a="1"/>
  <c r="BQ66" i="1" s="1"/>
  <c r="BO120" i="1"/>
  <c r="BQ136" i="1" s="1" a="1"/>
  <c r="BQ136" i="1" s="1"/>
  <c r="BO213" i="1"/>
  <c r="BO137" i="1"/>
  <c r="AS35" i="1" a="1"/>
  <c r="AS35" i="1" s="1"/>
  <c r="AS66" i="1" a="1"/>
  <c r="AS66" i="1" s="1"/>
  <c r="BO57" i="1"/>
  <c r="BO119" i="1"/>
  <c r="BQ139" i="1" s="1" a="1"/>
  <c r="BQ139" i="1" s="1"/>
  <c r="BO227" i="1"/>
  <c r="BO51" i="1"/>
  <c r="BQ68" i="1" s="1" a="1"/>
  <c r="BQ68" i="1" s="1"/>
  <c r="BO53" i="1"/>
  <c r="AS36" i="1" a="1"/>
  <c r="AS36" i="1" s="1"/>
  <c r="BO4" i="1"/>
  <c r="BQ21" i="1" s="1" a="1"/>
  <c r="BQ21" i="1" s="1"/>
  <c r="BO63" i="1"/>
  <c r="BQ79" i="1" s="1" a="1"/>
  <c r="BQ79" i="1" s="1"/>
  <c r="BO122" i="1"/>
  <c r="BO60" i="1"/>
  <c r="BO223" i="1"/>
  <c r="BO192" i="1"/>
  <c r="AS39" i="1" a="1"/>
  <c r="AS39" i="1" s="1"/>
  <c r="BO20" i="1"/>
  <c r="BO131" i="1"/>
  <c r="BQ152" i="1" s="1" a="1"/>
  <c r="BQ152" i="1" s="1"/>
  <c r="BO172" i="1"/>
  <c r="BO151" i="1"/>
  <c r="BQ167" i="1" s="1" a="1"/>
  <c r="BQ167" i="1" s="1"/>
  <c r="BO221" i="1"/>
  <c r="BO209" i="1"/>
  <c r="BO65" i="1"/>
  <c r="BQ77" i="1" s="1" a="1"/>
  <c r="BQ77" i="1" s="1"/>
  <c r="BO194" i="1"/>
  <c r="AS230" i="1" a="1"/>
  <c r="AS230" i="1" s="1"/>
  <c r="AS10" i="1" a="1"/>
  <c r="AS10" i="1" s="1"/>
  <c r="AS50" i="1" a="1"/>
  <c r="AS50" i="1" s="1"/>
  <c r="AS71" i="1" a="1"/>
  <c r="AS71" i="1" s="1"/>
  <c r="AS90" i="1" a="1"/>
  <c r="AS90" i="1" s="1"/>
  <c r="AS95" i="1" a="1"/>
  <c r="AS95" i="1" s="1"/>
  <c r="AS103" i="1" a="1"/>
  <c r="AS103" i="1" s="1"/>
  <c r="AS109" i="1" a="1"/>
  <c r="AS109" i="1" s="1"/>
  <c r="AS111" i="1" a="1"/>
  <c r="AS111" i="1" s="1"/>
  <c r="AS118" i="1" a="1"/>
  <c r="AS118" i="1" s="1"/>
  <c r="AS134" i="1" a="1"/>
  <c r="AS134" i="1" s="1"/>
  <c r="AS138" i="1" a="1"/>
  <c r="AS138" i="1" s="1"/>
  <c r="AS150" i="1" a="1"/>
  <c r="AS150" i="1" s="1"/>
  <c r="AS154" i="1" a="1"/>
  <c r="AS154" i="1" s="1"/>
  <c r="AS166" i="1" a="1"/>
  <c r="AS166" i="1" s="1"/>
  <c r="AS174" i="1" a="1"/>
  <c r="AS174" i="1" s="1"/>
  <c r="AS183" i="1" a="1"/>
  <c r="AS183" i="1" s="1"/>
  <c r="AS196" i="1" a="1"/>
  <c r="AS196" i="1" s="1"/>
  <c r="AS203" i="1" a="1"/>
  <c r="AS203" i="1" s="1"/>
  <c r="AS212" i="1" a="1"/>
  <c r="AS212" i="1" s="1"/>
  <c r="AS222" i="1" a="1"/>
  <c r="AS222" i="1" s="1"/>
  <c r="AS21" i="1" a="1"/>
  <c r="AS21" i="1" s="1"/>
  <c r="AS24" i="1" a="1"/>
  <c r="AS24" i="1" s="1"/>
  <c r="AS38" i="1" a="1"/>
  <c r="AS38" i="1" s="1"/>
  <c r="AS80" i="1" a="1"/>
  <c r="AS80" i="1" s="1"/>
  <c r="AS84" i="1" a="1"/>
  <c r="AS84" i="1" s="1"/>
  <c r="AS94" i="1" a="1"/>
  <c r="AS94" i="1" s="1"/>
  <c r="AS99" i="1" a="1"/>
  <c r="AS99" i="1" s="1"/>
  <c r="AS104" i="1" a="1"/>
  <c r="AS104" i="1" s="1"/>
  <c r="AS115" i="1" a="1"/>
  <c r="AS115" i="1" s="1"/>
  <c r="AS128" i="1" a="1"/>
  <c r="AS128" i="1" s="1"/>
  <c r="AS141" i="1" a="1"/>
  <c r="AS141" i="1" s="1"/>
  <c r="AS143" i="1" a="1"/>
  <c r="AS143" i="1" s="1"/>
  <c r="AS155" i="1" a="1"/>
  <c r="AS155" i="1" s="1"/>
  <c r="AS156" i="1" a="1"/>
  <c r="AS156" i="1" s="1"/>
  <c r="AS167" i="1" a="1"/>
  <c r="AS167" i="1" s="1"/>
  <c r="AS170" i="1" a="1"/>
  <c r="AS170" i="1" s="1"/>
  <c r="AS171" i="1" a="1"/>
  <c r="AS171" i="1" s="1"/>
  <c r="AS192" i="1" a="1"/>
  <c r="AS192" i="1" s="1"/>
  <c r="AS204" i="1" a="1"/>
  <c r="AS204" i="1" s="1"/>
  <c r="AS209" i="1" a="1"/>
  <c r="AS209" i="1" s="1"/>
  <c r="AS8" i="1" a="1"/>
  <c r="AS8" i="1" s="1"/>
  <c r="AS58" i="1" a="1"/>
  <c r="AS58" i="1" s="1"/>
  <c r="AS64" i="1" a="1"/>
  <c r="AS64" i="1" s="1"/>
  <c r="AS76" i="1" a="1"/>
  <c r="AS76" i="1" s="1"/>
  <c r="AS82" i="1" a="1"/>
  <c r="AS82" i="1" s="1"/>
  <c r="AS87" i="1" a="1"/>
  <c r="AS87" i="1" s="1"/>
  <c r="AS85" i="1" a="1"/>
  <c r="AS85" i="1" s="1"/>
  <c r="AS98" i="1" a="1"/>
  <c r="AS98" i="1" s="1"/>
  <c r="AS105" i="1" a="1"/>
  <c r="AS105" i="1" s="1"/>
  <c r="AS112" i="1" a="1"/>
  <c r="AS112" i="1" s="1"/>
  <c r="AS130" i="1" a="1"/>
  <c r="AS130" i="1" s="1"/>
  <c r="AS140" i="1" a="1"/>
  <c r="AS140" i="1" s="1"/>
  <c r="AS151" i="1" a="1"/>
  <c r="AS151" i="1" s="1"/>
  <c r="AS152" i="1" a="1"/>
  <c r="AS152" i="1" s="1"/>
  <c r="AS153" i="1" a="1"/>
  <c r="AS153" i="1" s="1"/>
  <c r="AS182" i="1" a="1"/>
  <c r="AS182" i="1" s="1"/>
  <c r="AS187" i="1" a="1"/>
  <c r="AS187" i="1" s="1"/>
  <c r="AS190" i="1" a="1"/>
  <c r="AS190" i="1" s="1"/>
  <c r="AS202" i="1" a="1"/>
  <c r="AS202" i="1" s="1"/>
  <c r="AS205" i="1" a="1"/>
  <c r="AS205" i="1" s="1"/>
  <c r="AS217" i="1" a="1"/>
  <c r="AS217" i="1" s="1"/>
  <c r="AS221" i="1" a="1"/>
  <c r="AS221" i="1" s="1"/>
  <c r="AS226" i="1" a="1"/>
  <c r="AS226" i="1" s="1"/>
  <c r="AS227" i="1" a="1"/>
  <c r="AS227" i="1" s="1"/>
  <c r="AS235" i="1" a="1"/>
  <c r="AS235" i="1" s="1"/>
  <c r="AS23" i="1" a="1"/>
  <c r="AS23" i="1" s="1"/>
  <c r="AS72" i="1" a="1"/>
  <c r="AS72" i="1" s="1"/>
  <c r="AS75" i="1" a="1"/>
  <c r="AS75" i="1" s="1"/>
  <c r="AS79" i="1" a="1"/>
  <c r="AS79" i="1" s="1"/>
  <c r="AS97" i="1" a="1"/>
  <c r="AS97" i="1" s="1"/>
  <c r="AS106" i="1" a="1"/>
  <c r="AS106" i="1" s="1"/>
  <c r="AS113" i="1" a="1"/>
  <c r="AS113" i="1" s="1"/>
  <c r="AS119" i="1" a="1"/>
  <c r="AS119" i="1" s="1"/>
  <c r="AS121" i="1" a="1"/>
  <c r="AS121" i="1" s="1"/>
  <c r="AS129" i="1" a="1"/>
  <c r="AS129" i="1" s="1"/>
  <c r="AS136" i="1" a="1"/>
  <c r="AS136" i="1" s="1"/>
  <c r="AS144" i="1" a="1"/>
  <c r="AS144" i="1" s="1"/>
  <c r="AS146" i="1" a="1"/>
  <c r="AS146" i="1" s="1"/>
  <c r="AS148" i="1" a="1"/>
  <c r="AS148" i="1" s="1"/>
  <c r="AS168" i="1" a="1"/>
  <c r="AS168" i="1" s="1"/>
  <c r="AS176" i="1" a="1"/>
  <c r="AS176" i="1" s="1"/>
  <c r="AS177" i="1" a="1"/>
  <c r="AS177" i="1" s="1"/>
  <c r="AS195" i="1" a="1"/>
  <c r="AS195" i="1" s="1"/>
  <c r="AS206" i="1" a="1"/>
  <c r="AS206" i="1" s="1"/>
  <c r="AS215" i="1" a="1"/>
  <c r="AS215" i="1" s="1"/>
  <c r="AS225" i="1" a="1"/>
  <c r="AS225" i="1" s="1"/>
  <c r="AS231" i="1" a="1"/>
  <c r="AS231" i="1" s="1"/>
  <c r="AS6" i="1" a="1"/>
  <c r="AS6" i="1" s="1"/>
  <c r="AS22" i="1" a="1"/>
  <c r="AS22" i="1" s="1"/>
  <c r="AS77" i="1" a="1"/>
  <c r="AS77" i="1" s="1"/>
  <c r="AS83" i="1" a="1"/>
  <c r="AS83" i="1" s="1"/>
  <c r="AS88" i="1" a="1"/>
  <c r="AS88" i="1" s="1"/>
  <c r="AS93" i="1" a="1"/>
  <c r="AS93" i="1" s="1"/>
  <c r="AS101" i="1" a="1"/>
  <c r="AS101" i="1" s="1"/>
  <c r="AS102" i="1" a="1"/>
  <c r="AS102" i="1" s="1"/>
  <c r="AS108" i="1" a="1"/>
  <c r="AS108" i="1" s="1"/>
  <c r="AS116" i="1" a="1"/>
  <c r="AS116" i="1" s="1"/>
  <c r="AS117" i="1" a="1"/>
  <c r="AS117" i="1" s="1"/>
  <c r="AS132" i="1" a="1"/>
  <c r="AS132" i="1" s="1"/>
  <c r="AS133" i="1" a="1"/>
  <c r="AS133" i="1" s="1"/>
  <c r="AS137" i="1" a="1"/>
  <c r="AS137" i="1" s="1"/>
  <c r="AS139" i="1" a="1"/>
  <c r="AS139" i="1" s="1"/>
  <c r="AS142" i="1" a="1"/>
  <c r="AS142" i="1" s="1"/>
  <c r="AS159" i="1" a="1"/>
  <c r="AS159" i="1" s="1"/>
  <c r="AS160" i="1" a="1"/>
  <c r="AS160" i="1" s="1"/>
  <c r="AS162" i="1" a="1"/>
  <c r="AS162" i="1" s="1"/>
  <c r="AS164" i="1" a="1"/>
  <c r="AS164" i="1" s="1"/>
  <c r="AS188" i="1" a="1"/>
  <c r="AS188" i="1" s="1"/>
  <c r="AS194" i="1" a="1"/>
  <c r="AS194" i="1" s="1"/>
  <c r="AS199" i="1" a="1"/>
  <c r="AS199" i="1" s="1"/>
  <c r="AS207" i="1" a="1"/>
  <c r="AS207" i="1" s="1"/>
  <c r="AS229" i="1" a="1"/>
  <c r="AS229" i="1" s="1"/>
  <c r="AS32" i="1" a="1"/>
  <c r="AS32" i="1" s="1"/>
  <c r="AS44" i="1" a="1"/>
  <c r="AS44" i="1" s="1"/>
  <c r="AS78" i="1" a="1"/>
  <c r="AS78" i="1" s="1"/>
  <c r="AS81" i="1" a="1"/>
  <c r="AS81" i="1" s="1"/>
  <c r="AS89" i="1" a="1"/>
  <c r="AS89" i="1" s="1"/>
  <c r="AS92" i="1" a="1"/>
  <c r="AS92" i="1" s="1"/>
  <c r="AS100" i="1" a="1"/>
  <c r="AS100" i="1" s="1"/>
  <c r="AS114" i="1" a="1"/>
  <c r="AS114" i="1" s="1"/>
  <c r="AS120" i="1" a="1"/>
  <c r="AS120" i="1" s="1"/>
  <c r="AS122" i="1" a="1"/>
  <c r="AS122" i="1" s="1"/>
  <c r="AS123" i="1" a="1"/>
  <c r="AS123" i="1" s="1"/>
  <c r="AS145" i="1" a="1"/>
  <c r="AS145" i="1" s="1"/>
  <c r="AS149" i="1" a="1"/>
  <c r="AS149" i="1" s="1"/>
  <c r="AS165" i="1" a="1"/>
  <c r="AS165" i="1" s="1"/>
  <c r="AS175" i="1" a="1"/>
  <c r="AS175" i="1" s="1"/>
  <c r="AS180" i="1" a="1"/>
  <c r="AS180" i="1" s="1"/>
  <c r="AS184" i="1" a="1"/>
  <c r="AS184" i="1" s="1"/>
  <c r="AS189" i="1" a="1"/>
  <c r="AS189" i="1" s="1"/>
  <c r="AS201" i="1" a="1"/>
  <c r="AS201" i="1" s="1"/>
  <c r="AS200" i="1" a="1"/>
  <c r="AS200" i="1" s="1"/>
  <c r="AS208" i="1" a="1"/>
  <c r="AS208" i="1" s="1"/>
  <c r="AS216" i="1" a="1"/>
  <c r="AS216" i="1" s="1"/>
  <c r="AS223" i="1" a="1"/>
  <c r="AS223" i="1" s="1"/>
  <c r="AS73" i="1" a="1"/>
  <c r="AS73" i="1" s="1"/>
  <c r="AS86" i="1" a="1"/>
  <c r="AS86" i="1" s="1"/>
  <c r="AS91" i="1" a="1"/>
  <c r="AS91" i="1" s="1"/>
  <c r="AS96" i="1" a="1"/>
  <c r="AS96" i="1" s="1"/>
  <c r="AS110" i="1" a="1"/>
  <c r="AS110" i="1" s="1"/>
  <c r="AS124" i="1" a="1"/>
  <c r="AS124" i="1" s="1"/>
  <c r="AS158" i="1" a="1"/>
  <c r="AS158" i="1" s="1"/>
  <c r="AS161" i="1" a="1"/>
  <c r="AS161" i="1" s="1"/>
  <c r="AS172" i="1" a="1"/>
  <c r="AS172" i="1" s="1"/>
  <c r="AS173" i="1" a="1"/>
  <c r="AS173" i="1" s="1"/>
  <c r="AS178" i="1" a="1"/>
  <c r="AS178" i="1" s="1"/>
  <c r="AS193" i="1" a="1"/>
  <c r="AS193" i="1" s="1"/>
  <c r="AS198" i="1" a="1"/>
  <c r="AS198" i="1" s="1"/>
  <c r="AS211" i="1" a="1"/>
  <c r="AS211" i="1" s="1"/>
  <c r="AS219" i="1" a="1"/>
  <c r="AS219" i="1" s="1"/>
  <c r="AS224" i="1" a="1"/>
  <c r="AS224" i="1" s="1"/>
  <c r="AS228" i="1" a="1"/>
  <c r="AS228" i="1" s="1"/>
  <c r="AS19" i="1" a="1"/>
  <c r="AS19" i="1" s="1"/>
  <c r="AS68" i="1" a="1"/>
  <c r="AS68" i="1" s="1"/>
  <c r="AS107" i="1" a="1"/>
  <c r="AS107" i="1" s="1"/>
  <c r="AS126" i="1" a="1"/>
  <c r="AS126" i="1" s="1"/>
  <c r="AS125" i="1" a="1"/>
  <c r="AS125" i="1" s="1"/>
  <c r="AS127" i="1" a="1"/>
  <c r="AS127" i="1" s="1"/>
  <c r="AS131" i="1" a="1"/>
  <c r="AS131" i="1" s="1"/>
  <c r="AS135" i="1" a="1"/>
  <c r="AS135" i="1" s="1"/>
  <c r="AS147" i="1" a="1"/>
  <c r="AS147" i="1" s="1"/>
  <c r="AS157" i="1" a="1"/>
  <c r="AS157" i="1" s="1"/>
  <c r="AS163" i="1" a="1"/>
  <c r="AS163" i="1" s="1"/>
  <c r="AS169" i="1" a="1"/>
  <c r="AS169" i="1" s="1"/>
  <c r="AS179" i="1" a="1"/>
  <c r="AS179" i="1" s="1"/>
  <c r="AS181" i="1" a="1"/>
  <c r="AS181" i="1" s="1"/>
  <c r="AS185" i="1" a="1"/>
  <c r="AS185" i="1" s="1"/>
  <c r="AS186" i="1" a="1"/>
  <c r="AS186" i="1" s="1"/>
  <c r="AS191" i="1" a="1"/>
  <c r="AS191" i="1" s="1"/>
  <c r="AS197" i="1" a="1"/>
  <c r="AS197" i="1" s="1"/>
  <c r="AS210" i="1" a="1"/>
  <c r="AS210" i="1" s="1"/>
  <c r="AS213" i="1" a="1"/>
  <c r="AS213" i="1" s="1"/>
  <c r="AS214" i="1" a="1"/>
  <c r="AS214" i="1" s="1"/>
  <c r="AS218" i="1" a="1"/>
  <c r="AS218" i="1" s="1"/>
  <c r="AS220" i="1" a="1"/>
  <c r="AS220" i="1" s="1"/>
  <c r="AS234" i="1" a="1"/>
  <c r="AS234" i="1" s="1"/>
  <c r="AS232" i="1" a="1"/>
  <c r="AS232" i="1" s="1"/>
  <c r="BO19" i="1"/>
  <c r="BO74" i="1"/>
  <c r="BQ104" i="1" s="1" a="1"/>
  <c r="BQ104" i="1" s="1"/>
  <c r="BO189" i="1"/>
  <c r="BO169" i="1"/>
  <c r="BO121" i="1"/>
  <c r="BQ137" i="1" s="1" a="1"/>
  <c r="BQ137" i="1" s="1"/>
  <c r="AS49" i="1" a="1"/>
  <c r="AS49" i="1" s="1"/>
  <c r="BO33" i="1"/>
  <c r="BQ40" i="1" s="1" a="1"/>
  <c r="BQ40" i="1" s="1"/>
  <c r="BO34" i="1"/>
  <c r="BQ43" i="1" s="1" a="1"/>
  <c r="BQ43" i="1" s="1"/>
  <c r="BO73" i="1"/>
  <c r="BO167" i="1"/>
  <c r="BO220" i="1"/>
  <c r="BO32" i="1"/>
  <c r="BO87" i="1"/>
  <c r="BQ100" i="1" s="1" a="1"/>
  <c r="BQ100" i="1" s="1"/>
  <c r="BO147" i="1"/>
  <c r="BQ170" i="1" s="1" a="1"/>
  <c r="BQ170" i="1" s="1"/>
  <c r="BO207" i="1"/>
  <c r="BO30" i="1"/>
  <c r="BQ44" i="1" s="1" a="1"/>
  <c r="BQ44" i="1" s="1"/>
  <c r="BO84" i="1"/>
  <c r="BQ106" i="1" s="1" a="1"/>
  <c r="BQ106" i="1" s="1"/>
  <c r="BO143" i="1"/>
  <c r="BQ148" i="1" s="1" a="1"/>
  <c r="BQ148" i="1" s="1"/>
  <c r="BO230" i="1"/>
  <c r="BO75" i="1"/>
  <c r="BQ95" i="1" s="1" a="1"/>
  <c r="BQ95" i="1" s="1"/>
  <c r="BO130" i="1"/>
  <c r="BO217" i="1"/>
  <c r="BO62" i="1"/>
  <c r="BQ74" i="1" s="1" a="1"/>
  <c r="BQ74" i="1" s="1"/>
  <c r="BO133" i="1"/>
  <c r="BQ154" i="1" s="1" a="1"/>
  <c r="BQ154" i="1" s="1"/>
  <c r="BO193" i="1"/>
  <c r="BO182" i="1"/>
  <c r="BO86" i="1"/>
  <c r="BO178" i="1"/>
  <c r="BO3" i="1"/>
  <c r="BO126" i="1"/>
  <c r="BQ130" i="1" s="1" a="1"/>
  <c r="BQ130" i="1" s="1"/>
  <c r="BO215" i="1"/>
  <c r="BO39" i="1"/>
  <c r="BQ56" i="1" s="1" a="1"/>
  <c r="BQ56" i="1" s="1"/>
  <c r="BO85" i="1"/>
  <c r="BO171" i="1"/>
  <c r="BO42" i="1"/>
  <c r="BQ63" i="1" s="1" a="1"/>
  <c r="BQ63" i="1" s="1"/>
  <c r="BO94" i="1"/>
  <c r="BQ113" i="1" s="1" a="1"/>
  <c r="BQ113" i="1" s="1"/>
  <c r="BO161" i="1"/>
  <c r="BO216" i="1"/>
  <c r="BO41" i="1"/>
  <c r="BO89" i="1"/>
  <c r="BQ103" i="1" s="1" a="1"/>
  <c r="BQ103" i="1" s="1"/>
  <c r="BO150" i="1"/>
  <c r="BQ173" i="1" s="1" a="1"/>
  <c r="BQ173" i="1" s="1"/>
  <c r="BO82" i="1"/>
  <c r="BQ99" i="1" s="1" a="1"/>
  <c r="BQ99" i="1" s="1"/>
  <c r="BO144" i="1"/>
  <c r="BO222" i="1"/>
  <c r="BO66" i="1"/>
  <c r="BQ78" i="1" s="1" a="1"/>
  <c r="BQ78" i="1" s="1"/>
  <c r="BO140" i="1"/>
  <c r="BQ157" i="1" s="1" a="1"/>
  <c r="BQ157" i="1" s="1"/>
  <c r="BO198" i="1"/>
  <c r="BO134" i="1"/>
  <c r="BQ156" i="1" s="1" a="1"/>
  <c r="BQ156" i="1" s="1"/>
  <c r="BO185" i="1"/>
  <c r="BO98" i="1"/>
  <c r="BQ117" i="1" s="1" a="1"/>
  <c r="BQ117" i="1" s="1"/>
  <c r="BO9" i="1"/>
  <c r="BQ27" i="1" s="1" a="1"/>
  <c r="BQ27" i="1" s="1"/>
  <c r="BO80" i="1"/>
  <c r="BQ92" i="1" s="1" a="1"/>
  <c r="BQ92" i="1" s="1"/>
  <c r="BO148" i="1"/>
  <c r="BO218" i="1"/>
  <c r="BO234" i="1"/>
  <c r="BO232" i="1"/>
  <c r="BO45" i="1"/>
  <c r="BQ65" i="1" s="1" a="1"/>
  <c r="BQ65" i="1" s="1"/>
  <c r="BO99" i="1"/>
  <c r="BQ116" i="1" s="1" a="1"/>
  <c r="BQ116" i="1" s="1"/>
  <c r="BO175" i="1"/>
  <c r="BO43" i="1"/>
  <c r="BQ69" i="1" s="1" a="1"/>
  <c r="BQ69" i="1" s="1"/>
  <c r="BO105" i="1"/>
  <c r="BQ119" i="1" s="1" a="1"/>
  <c r="BQ119" i="1" s="1"/>
  <c r="BO174" i="1"/>
  <c r="BO224" i="1"/>
  <c r="BO49" i="1"/>
  <c r="BQ59" i="1" s="1" a="1"/>
  <c r="BQ59" i="1" s="1"/>
  <c r="BO91" i="1"/>
  <c r="BQ101" i="1" s="1" a="1"/>
  <c r="BQ101" i="1" s="1"/>
  <c r="BO156" i="1"/>
  <c r="BO24" i="1"/>
  <c r="BQ47" i="1" s="1" a="1"/>
  <c r="BQ47" i="1" s="1"/>
  <c r="BO90" i="1"/>
  <c r="BQ97" i="1" s="1" a="1"/>
  <c r="BQ97" i="1" s="1"/>
  <c r="BO152" i="1"/>
  <c r="BO229" i="1"/>
  <c r="BO68" i="1"/>
  <c r="BQ82" i="1" s="1" a="1"/>
  <c r="BQ82" i="1" s="1"/>
  <c r="BO149" i="1"/>
  <c r="BQ164" i="1" s="1" a="1"/>
  <c r="BQ164" i="1" s="1"/>
  <c r="BO202" i="1"/>
  <c r="BO13" i="1"/>
  <c r="BQ20" i="1" s="1" a="1"/>
  <c r="BQ20" i="1" s="1"/>
  <c r="AQ230" i="1"/>
  <c r="BO16" i="1"/>
  <c r="BQ32" i="1" s="1" a="1"/>
  <c r="BQ32" i="1" s="1"/>
  <c r="BO17" i="1"/>
  <c r="BQ28" i="1" s="1" a="1"/>
  <c r="BQ28" i="1" s="1"/>
  <c r="BO83" i="1"/>
  <c r="BQ98" i="1" s="1" a="1"/>
  <c r="BQ98" i="1" s="1"/>
  <c r="BO48" i="1"/>
  <c r="BQ58" i="1" s="1" a="1"/>
  <c r="BQ58" i="1" s="1"/>
  <c r="BO102" i="1"/>
  <c r="BO179" i="1"/>
  <c r="BO59" i="1"/>
  <c r="BQ80" i="1" s="1" a="1"/>
  <c r="BQ80" i="1" s="1"/>
  <c r="BO108" i="1"/>
  <c r="BO183" i="1"/>
  <c r="BO228" i="1"/>
  <c r="BO52" i="1"/>
  <c r="BQ60" i="1" s="1" a="1"/>
  <c r="BQ60" i="1" s="1"/>
  <c r="BO96" i="1"/>
  <c r="BQ115" i="1" s="1" a="1"/>
  <c r="BQ115" i="1" s="1"/>
  <c r="BO165" i="1"/>
  <c r="BO12" i="1"/>
  <c r="BO97" i="1"/>
  <c r="BO159" i="1"/>
  <c r="BQ168" i="1" s="1" a="1"/>
  <c r="BQ168" i="1" s="1"/>
  <c r="BO93" i="1"/>
  <c r="BQ118" i="1" s="1" a="1"/>
  <c r="BQ118" i="1" s="1"/>
  <c r="BO158" i="1"/>
  <c r="BO225" i="1"/>
  <c r="BO95" i="1"/>
  <c r="BQ114" i="1" s="1" a="1"/>
  <c r="BQ114" i="1" s="1"/>
  <c r="BO155" i="1"/>
  <c r="BQ165" i="1" s="1" a="1"/>
  <c r="BQ165" i="1" s="1"/>
  <c r="BO197" i="1"/>
  <c r="BO15" i="1"/>
  <c r="BQ22" i="1" s="1" a="1"/>
  <c r="BQ22" i="1" s="1"/>
  <c r="BO88" i="1"/>
  <c r="BQ102" i="1" s="1" a="1"/>
  <c r="BQ102" i="1" s="1"/>
  <c r="BO50" i="1"/>
  <c r="BO124" i="1"/>
  <c r="BQ138" i="1" s="1" a="1"/>
  <c r="BQ138" i="1" s="1"/>
  <c r="BO5" i="1"/>
  <c r="BQ24" i="1" s="1" a="1"/>
  <c r="BQ24" i="1" s="1"/>
  <c r="BO64" i="1"/>
  <c r="BO113" i="1"/>
  <c r="BQ141" i="1" s="1" a="1"/>
  <c r="BQ141" i="1" s="1"/>
  <c r="BO187" i="1"/>
  <c r="K228" i="5"/>
  <c r="K227" i="5"/>
  <c r="K230" i="5"/>
  <c r="K541" i="5"/>
  <c r="K234" i="5"/>
  <c r="K544" i="5"/>
  <c r="K542" i="5"/>
  <c r="K233" i="5"/>
  <c r="K231" i="5"/>
  <c r="K229" i="5"/>
  <c r="K546" i="5"/>
  <c r="BO54" i="1"/>
  <c r="BQ62" i="1" s="1" a="1"/>
  <c r="BQ62" i="1" s="1"/>
  <c r="BO125" i="1"/>
  <c r="BO176" i="1"/>
  <c r="BO11" i="1"/>
  <c r="BQ34" i="1" s="1" a="1"/>
  <c r="BQ34" i="1" s="1"/>
  <c r="BO104" i="1"/>
  <c r="BQ112" i="1" s="1" a="1"/>
  <c r="BQ112" i="1" s="1"/>
  <c r="BO188" i="1"/>
  <c r="BO103" i="1"/>
  <c r="BO168" i="1"/>
  <c r="BO233" i="1"/>
  <c r="BO18" i="1"/>
  <c r="BQ26" i="1" s="1" a="1"/>
  <c r="BQ26" i="1" s="1"/>
  <c r="BO100" i="1"/>
  <c r="BO157" i="1"/>
  <c r="BQ169" i="1" s="1" a="1"/>
  <c r="BQ169" i="1" s="1"/>
  <c r="BO204" i="1"/>
  <c r="BO26" i="1"/>
  <c r="BO92" i="1"/>
  <c r="BQ111" i="1" s="1" a="1"/>
  <c r="BQ111" i="1" s="1"/>
  <c r="BO14" i="1"/>
  <c r="BQ33" i="1" s="1" a="1"/>
  <c r="BQ33" i="1" s="1"/>
  <c r="BO55" i="1"/>
  <c r="BQ57" i="1" s="1" a="1"/>
  <c r="BQ57" i="1" s="1"/>
  <c r="BO146" i="1"/>
  <c r="BQ166" i="1" s="1" a="1"/>
  <c r="BQ166" i="1" s="1"/>
  <c r="BO22" i="1"/>
  <c r="BQ46" i="1" s="1" a="1"/>
  <c r="BQ46" i="1" s="1"/>
  <c r="BO127" i="1"/>
  <c r="BO191" i="1"/>
  <c r="BO23" i="1"/>
  <c r="BQ41" i="1" s="1" a="1"/>
  <c r="BQ41" i="1" s="1"/>
  <c r="BO61" i="1"/>
  <c r="BQ75" i="1" s="1" a="1"/>
  <c r="BQ75" i="1" s="1"/>
  <c r="BO128" i="1"/>
  <c r="BO180" i="1"/>
  <c r="BO31" i="1"/>
  <c r="BO109" i="1"/>
  <c r="BQ110" i="1" s="1" a="1"/>
  <c r="BQ110" i="1" s="1"/>
  <c r="BO196" i="1"/>
  <c r="BO112" i="1"/>
  <c r="BQ133" i="1" s="1" a="1"/>
  <c r="BQ133" i="1" s="1"/>
  <c r="BO173" i="1"/>
  <c r="BO111" i="1"/>
  <c r="BQ134" i="1" s="1" a="1"/>
  <c r="BQ134" i="1" s="1"/>
  <c r="BO160" i="1"/>
  <c r="BO2" i="1"/>
  <c r="BO35" i="1"/>
  <c r="BQ39" i="1" s="1" a="1"/>
  <c r="BQ39" i="1" s="1"/>
  <c r="BO107" i="1"/>
  <c r="BQ120" i="1" s="1" a="1"/>
  <c r="BQ120" i="1" s="1"/>
  <c r="BO181" i="1"/>
  <c r="BO6" i="1"/>
  <c r="BQ29" i="1" s="1" a="1"/>
  <c r="BQ29" i="1" s="1"/>
  <c r="BO58" i="1"/>
  <c r="BQ85" i="1" s="1" a="1"/>
  <c r="BQ85" i="1" s="1"/>
  <c r="BO162" i="1"/>
  <c r="BQ171" i="1" s="1" a="1"/>
  <c r="BQ171" i="1" s="1"/>
  <c r="BO201" i="1"/>
  <c r="BO7" i="1"/>
  <c r="BQ30" i="1" s="1" a="1"/>
  <c r="BQ30" i="1" s="1"/>
  <c r="BO77" i="1"/>
  <c r="BQ96" i="1" s="1" a="1"/>
  <c r="BQ96" i="1" s="1"/>
  <c r="BO138" i="1"/>
  <c r="BQ151" i="1" s="1" a="1"/>
  <c r="BQ151" i="1" s="1"/>
  <c r="BO199" i="1"/>
  <c r="BO25" i="1"/>
  <c r="BQ42" i="1" s="1" a="1"/>
  <c r="BQ42" i="1" s="1"/>
  <c r="BO69" i="1"/>
  <c r="BQ83" i="1" s="1" a="1"/>
  <c r="BQ83" i="1" s="1"/>
  <c r="BO132" i="1"/>
  <c r="BQ146" i="1" s="1" a="1"/>
  <c r="BQ146" i="1" s="1"/>
  <c r="BO211" i="1"/>
  <c r="BO44" i="1"/>
  <c r="BO116" i="1"/>
  <c r="BO200" i="1"/>
  <c r="BO37" i="1"/>
  <c r="BO118" i="1"/>
  <c r="BQ135" i="1" s="1" a="1"/>
  <c r="BQ135" i="1" s="1"/>
  <c r="BO184" i="1"/>
  <c r="BO29" i="1"/>
  <c r="BQ48" i="1" s="1" a="1"/>
  <c r="BQ48" i="1" s="1"/>
  <c r="BO115" i="1"/>
  <c r="BQ132" i="1" s="1" a="1"/>
  <c r="BQ132" i="1" s="1"/>
  <c r="BO214" i="1"/>
  <c r="BO10" i="1"/>
  <c r="BQ23" i="1" s="1" a="1"/>
  <c r="BQ23" i="1" s="1"/>
  <c r="BO67" i="1"/>
  <c r="BO164" i="1"/>
  <c r="BO212" i="1"/>
  <c r="BO8" i="1"/>
  <c r="BQ31" i="1" s="1" a="1"/>
  <c r="BQ31" i="1" s="1"/>
  <c r="BO79" i="1"/>
  <c r="BQ94" i="1" s="1" a="1"/>
  <c r="BQ94" i="1" s="1"/>
  <c r="BO203" i="1"/>
  <c r="BO28" i="1"/>
  <c r="BO81" i="1"/>
  <c r="BQ93" i="1" s="1" a="1"/>
  <c r="BQ93" i="1" s="1"/>
  <c r="BO141" i="1"/>
  <c r="BQ155" i="1" s="1" a="1"/>
  <c r="BQ155" i="1" s="1"/>
  <c r="BO226" i="1"/>
  <c r="BO71" i="1"/>
  <c r="BQ84" i="1" s="1" a="1"/>
  <c r="BQ84" i="1" s="1"/>
  <c r="BO123" i="1"/>
  <c r="BQ131" i="1" s="1" a="1"/>
  <c r="BQ131" i="1" s="1"/>
  <c r="BO206" i="1"/>
  <c r="BO47" i="1"/>
  <c r="BQ64" i="1" s="1" a="1"/>
  <c r="BQ64" i="1" s="1"/>
  <c r="BO129" i="1"/>
  <c r="BQ158" i="1" s="1" a="1"/>
  <c r="BQ158" i="1" s="1"/>
  <c r="BO190" i="1"/>
  <c r="BO38" i="1"/>
  <c r="BQ67" i="1" s="1" a="1"/>
  <c r="BQ67" i="1" s="1"/>
  <c r="BO117" i="1"/>
  <c r="BQ140" i="1" s="1" a="1"/>
  <c r="BQ140" i="1" s="1"/>
  <c r="BO177" i="1"/>
  <c r="BO235" i="1"/>
  <c r="BC29" i="1"/>
  <c r="BD29" i="1"/>
  <c r="BC166" i="1"/>
  <c r="BD166" i="1"/>
  <c r="BC111" i="1"/>
  <c r="BD111" i="1"/>
  <c r="AN229" i="1"/>
  <c r="V229" i="1"/>
  <c r="AQ235" i="1"/>
  <c r="AQ229" i="1"/>
  <c r="BD13" i="1"/>
  <c r="BC13" i="1"/>
  <c r="BD10" i="1"/>
  <c r="BC10" i="1"/>
  <c r="BD99" i="1"/>
  <c r="BC99" i="1"/>
  <c r="BC146" i="1"/>
  <c r="BD146" i="1"/>
  <c r="BD5" i="1"/>
  <c r="BC5" i="1"/>
  <c r="BC43" i="1"/>
  <c r="BD43" i="1"/>
  <c r="BC220" i="1"/>
  <c r="BD220" i="1"/>
  <c r="BD59" i="1"/>
  <c r="BC59" i="1"/>
  <c r="BD223" i="1"/>
  <c r="BC223" i="1"/>
  <c r="BD225" i="1"/>
  <c r="BC225" i="1"/>
  <c r="U166" i="1"/>
  <c r="BC218" i="1"/>
  <c r="BD218" i="1"/>
  <c r="BD57" i="1"/>
  <c r="BC57" i="1"/>
  <c r="AN230" i="1"/>
  <c r="V230" i="1"/>
  <c r="AN232" i="1"/>
  <c r="V232" i="1"/>
  <c r="O236" i="6"/>
  <c r="R236" i="6" s="1"/>
  <c r="O17" i="6"/>
  <c r="R17" i="6" s="1"/>
  <c r="O14" i="6"/>
  <c r="R14" i="6" s="1"/>
  <c r="O5" i="6"/>
  <c r="R5" i="6" s="1"/>
  <c r="O24" i="6"/>
  <c r="R24" i="6" s="1"/>
  <c r="O22" i="6"/>
  <c r="R22" i="6" s="1"/>
  <c r="O12" i="6"/>
  <c r="R12" i="6" s="1"/>
  <c r="O16" i="6"/>
  <c r="R16" i="6" s="1"/>
  <c r="O11" i="6"/>
  <c r="R11" i="6" s="1"/>
  <c r="O8" i="6"/>
  <c r="R8" i="6" s="1"/>
  <c r="O6" i="6"/>
  <c r="R6" i="6" s="1"/>
  <c r="O7" i="6"/>
  <c r="R7" i="6" s="1"/>
  <c r="O18" i="6"/>
  <c r="R18" i="6" s="1"/>
  <c r="O25" i="6"/>
  <c r="R25" i="6" s="1"/>
  <c r="O21" i="6"/>
  <c r="R21" i="6" s="1"/>
  <c r="O13" i="6"/>
  <c r="R13" i="6" s="1"/>
  <c r="O26" i="6"/>
  <c r="R26" i="6" s="1"/>
  <c r="O19" i="6"/>
  <c r="R19" i="6" s="1"/>
  <c r="O9" i="6"/>
  <c r="R9" i="6" s="1"/>
  <c r="O15" i="6"/>
  <c r="R15" i="6" s="1"/>
  <c r="O3" i="6"/>
  <c r="R3" i="6" s="1"/>
  <c r="O4" i="6"/>
  <c r="R4" i="6" s="1"/>
  <c r="O23" i="6"/>
  <c r="R23" i="6" s="1"/>
  <c r="O10" i="6"/>
  <c r="R10" i="6" s="1"/>
  <c r="O27" i="6"/>
  <c r="R27" i="6" s="1"/>
  <c r="O28" i="6"/>
  <c r="R28" i="6" s="1"/>
  <c r="O29" i="6"/>
  <c r="R29" i="6" s="1"/>
  <c r="O30" i="6"/>
  <c r="R30" i="6" s="1"/>
  <c r="O32" i="6"/>
  <c r="R32" i="6" s="1"/>
  <c r="O31" i="6"/>
  <c r="R31" i="6" s="1"/>
  <c r="O39" i="6"/>
  <c r="R39" i="6" s="1"/>
  <c r="O41" i="6"/>
  <c r="R41" i="6" s="1"/>
  <c r="O40" i="6"/>
  <c r="R40" i="6" s="1"/>
  <c r="O44" i="6"/>
  <c r="R44" i="6" s="1"/>
  <c r="O43" i="6"/>
  <c r="R43" i="6" s="1"/>
  <c r="O45" i="6"/>
  <c r="R45" i="6" s="1"/>
  <c r="O42" i="6"/>
  <c r="R42" i="6" s="1"/>
  <c r="O46" i="6"/>
  <c r="R46" i="6" s="1"/>
  <c r="O47" i="6"/>
  <c r="R47" i="6" s="1"/>
  <c r="O49" i="6"/>
  <c r="R49" i="6" s="1"/>
  <c r="O48" i="6"/>
  <c r="R48" i="6" s="1"/>
  <c r="O57" i="6"/>
  <c r="R57" i="6" s="1"/>
  <c r="O59" i="6"/>
  <c r="R59" i="6" s="1"/>
  <c r="O58" i="6"/>
  <c r="R58" i="6" s="1"/>
  <c r="O60" i="6"/>
  <c r="R60" i="6" s="1"/>
  <c r="O61" i="6"/>
  <c r="R61" i="6" s="1"/>
  <c r="O62" i="6"/>
  <c r="R62" i="6" s="1"/>
  <c r="O63" i="6"/>
  <c r="R63" i="6" s="1"/>
  <c r="O66" i="6"/>
  <c r="R66" i="6" s="1"/>
  <c r="O64" i="6"/>
  <c r="R64" i="6" s="1"/>
  <c r="O65" i="6"/>
  <c r="R65" i="6" s="1"/>
  <c r="O67" i="6"/>
  <c r="R67" i="6" s="1"/>
  <c r="O75" i="6"/>
  <c r="R75" i="6" s="1"/>
  <c r="O77" i="6"/>
  <c r="R77" i="6" s="1"/>
  <c r="O76" i="6"/>
  <c r="R76" i="6" s="1"/>
  <c r="O80" i="6"/>
  <c r="R80" i="6" s="1"/>
  <c r="O82" i="6"/>
  <c r="R82" i="6" s="1"/>
  <c r="O79" i="6"/>
  <c r="R79" i="6" s="1"/>
  <c r="O78" i="6"/>
  <c r="R78" i="6" s="1"/>
  <c r="O81" i="6"/>
  <c r="R81" i="6" s="1"/>
  <c r="O83" i="6"/>
  <c r="R83" i="6" s="1"/>
  <c r="O85" i="6"/>
  <c r="R85" i="6" s="1"/>
  <c r="O84" i="6"/>
  <c r="R84" i="6" s="1"/>
  <c r="O86" i="6"/>
  <c r="R86" i="6" s="1"/>
  <c r="O93" i="6"/>
  <c r="R93" i="6" s="1"/>
  <c r="O96" i="6"/>
  <c r="R96" i="6" s="1"/>
  <c r="O94" i="6"/>
  <c r="R94" i="6" s="1"/>
  <c r="O98" i="6"/>
  <c r="R98" i="6" s="1"/>
  <c r="O97" i="6"/>
  <c r="R97" i="6" s="1"/>
  <c r="O95" i="6"/>
  <c r="R95" i="6" s="1"/>
  <c r="O99" i="6"/>
  <c r="R99" i="6" s="1"/>
  <c r="O100" i="6"/>
  <c r="R100" i="6" s="1"/>
  <c r="O101" i="6"/>
  <c r="R101" i="6" s="1"/>
  <c r="O111" i="6"/>
  <c r="R111" i="6" s="1"/>
  <c r="O113" i="6"/>
  <c r="R113" i="6" s="1"/>
  <c r="O115" i="6"/>
  <c r="R115" i="6" s="1"/>
  <c r="O112" i="6"/>
  <c r="R112" i="6" s="1"/>
  <c r="O114" i="6"/>
  <c r="R114" i="6" s="1"/>
  <c r="O119" i="6"/>
  <c r="R119" i="6" s="1"/>
  <c r="O117" i="6"/>
  <c r="R117" i="6" s="1"/>
  <c r="O121" i="6"/>
  <c r="R121" i="6" s="1"/>
  <c r="O116" i="6"/>
  <c r="R116" i="6" s="1"/>
  <c r="O118" i="6"/>
  <c r="R118" i="6" s="1"/>
  <c r="O120" i="6"/>
  <c r="R120" i="6" s="1"/>
  <c r="O122" i="6"/>
  <c r="R122" i="6" s="1"/>
  <c r="O129" i="6"/>
  <c r="R129" i="6" s="1"/>
  <c r="O130" i="6"/>
  <c r="R130" i="6" s="1"/>
  <c r="O131" i="6"/>
  <c r="R131" i="6" s="1"/>
  <c r="O132" i="6"/>
  <c r="R132" i="6" s="1"/>
  <c r="O133" i="6"/>
  <c r="R133" i="6" s="1"/>
  <c r="O135" i="6"/>
  <c r="R135" i="6" s="1"/>
  <c r="O134" i="6"/>
  <c r="R134" i="6" s="1"/>
  <c r="O136" i="6"/>
  <c r="R136" i="6" s="1"/>
  <c r="O137" i="6"/>
  <c r="R137" i="6" s="1"/>
  <c r="O147" i="6"/>
  <c r="R147" i="6" s="1"/>
  <c r="O148" i="6"/>
  <c r="R148" i="6" s="1"/>
  <c r="O149" i="6"/>
  <c r="R149" i="6" s="1"/>
  <c r="O151" i="6"/>
  <c r="R151" i="6" s="1"/>
  <c r="O150" i="6"/>
  <c r="R150" i="6" s="1"/>
  <c r="O152" i="6"/>
  <c r="R152" i="6" s="1"/>
  <c r="O153" i="6"/>
  <c r="R153" i="6" s="1"/>
  <c r="O165" i="6"/>
  <c r="R165" i="6" s="1"/>
  <c r="O166" i="6"/>
  <c r="R166" i="6" s="1"/>
  <c r="O168" i="6"/>
  <c r="R168" i="6" s="1"/>
  <c r="O167" i="6"/>
  <c r="R167" i="6" s="1"/>
  <c r="O169" i="6"/>
  <c r="R169" i="6" s="1"/>
  <c r="O170" i="6"/>
  <c r="R170" i="6" s="1"/>
  <c r="O171" i="6"/>
  <c r="R171" i="6" s="1"/>
  <c r="O172" i="6"/>
  <c r="R172" i="6" s="1"/>
  <c r="O183" i="6"/>
  <c r="R183" i="6" s="1"/>
  <c r="O184" i="6"/>
  <c r="R184" i="6" s="1"/>
  <c r="O186" i="6"/>
  <c r="R186" i="6" s="1"/>
  <c r="O185" i="6"/>
  <c r="R185" i="6" s="1"/>
  <c r="O187" i="6"/>
  <c r="R187" i="6" s="1"/>
  <c r="O188" i="6"/>
  <c r="R188" i="6" s="1"/>
  <c r="O189" i="6"/>
  <c r="R189" i="6" s="1"/>
  <c r="O190" i="6"/>
  <c r="R190" i="6" s="1"/>
  <c r="O191" i="6"/>
  <c r="R191" i="6" s="1"/>
  <c r="O202" i="6"/>
  <c r="R202" i="6" s="1"/>
  <c r="O201" i="6"/>
  <c r="R201" i="6" s="1"/>
  <c r="O204" i="6"/>
  <c r="R204" i="6" s="1"/>
  <c r="O206" i="6"/>
  <c r="R206" i="6" s="1"/>
  <c r="O203" i="6"/>
  <c r="R203" i="6" s="1"/>
  <c r="O205" i="6"/>
  <c r="R205" i="6" s="1"/>
  <c r="O219" i="6"/>
  <c r="R219" i="6" s="1"/>
  <c r="O220" i="6"/>
  <c r="R220" i="6" s="1"/>
  <c r="O223" i="6"/>
  <c r="R223" i="6" s="1"/>
  <c r="O221" i="6"/>
  <c r="R221" i="6" s="1"/>
  <c r="O222" i="6"/>
  <c r="R222" i="6" s="1"/>
  <c r="O225" i="6"/>
  <c r="R225" i="6" s="1"/>
  <c r="O224" i="6"/>
  <c r="R224" i="6" s="1"/>
  <c r="O226" i="6"/>
  <c r="R226" i="6" s="1"/>
  <c r="O227" i="6"/>
  <c r="R227" i="6" s="1"/>
  <c r="O228" i="6"/>
  <c r="R228" i="6" s="1"/>
  <c r="BC98" i="1"/>
  <c r="BD98" i="1"/>
  <c r="BD149" i="1"/>
  <c r="BC149" i="1"/>
  <c r="BC168" i="1"/>
  <c r="BD168" i="1"/>
  <c r="CX4" i="1"/>
  <c r="CX13" i="1"/>
  <c r="DA4" i="1"/>
  <c r="DA10" i="1"/>
  <c r="CX8" i="1"/>
  <c r="CX6" i="1"/>
  <c r="DA5" i="1"/>
  <c r="DA14" i="1"/>
  <c r="L84" i="3"/>
  <c r="L166" i="3"/>
  <c r="CX12" i="1"/>
  <c r="CX15" i="1"/>
  <c r="DA9" i="1"/>
  <c r="DA12" i="1"/>
  <c r="L138" i="3"/>
  <c r="L196" i="3"/>
  <c r="L32" i="3"/>
  <c r="L115" i="3"/>
  <c r="K88" i="3"/>
  <c r="K194" i="3"/>
  <c r="K221" i="3"/>
  <c r="K167" i="3"/>
  <c r="J166" i="3"/>
  <c r="J115" i="3"/>
  <c r="I115" i="3"/>
  <c r="H219" i="3"/>
  <c r="J31" i="3"/>
  <c r="I113" i="3"/>
  <c r="H193" i="3"/>
  <c r="J30" i="3"/>
  <c r="I88" i="3"/>
  <c r="J7" i="3"/>
  <c r="I57" i="3"/>
  <c r="H138" i="3"/>
  <c r="G223" i="3"/>
  <c r="G7" i="3"/>
  <c r="H112" i="3"/>
  <c r="G192" i="3"/>
  <c r="H57" i="3"/>
  <c r="G142" i="3"/>
  <c r="F221" i="3"/>
  <c r="H7" i="3"/>
  <c r="G111" i="3"/>
  <c r="F196" i="3"/>
  <c r="E111" i="3"/>
  <c r="F88" i="3"/>
  <c r="E194" i="3"/>
  <c r="E30" i="3"/>
  <c r="E141" i="3"/>
  <c r="F169" i="3"/>
  <c r="E112" i="3"/>
  <c r="D111" i="3" a="1"/>
  <c r="D111" i="3" s="1"/>
  <c r="D115" i="3" a="1"/>
  <c r="D115" i="3" s="1"/>
  <c r="D112" i="3" a="1"/>
  <c r="D112" i="3" s="1"/>
  <c r="D59" i="3" a="1"/>
  <c r="D59" i="3" s="1"/>
  <c r="A5" i="5"/>
  <c r="D83" i="3" a="1"/>
  <c r="D83" i="3" s="1"/>
  <c r="CX7" i="1"/>
  <c r="CX11" i="1"/>
  <c r="DA8" i="1"/>
  <c r="L30" i="3"/>
  <c r="L88" i="3"/>
  <c r="L165" i="3"/>
  <c r="L31" i="3"/>
  <c r="K220" i="3"/>
  <c r="K7" i="3"/>
  <c r="K111" i="3"/>
  <c r="K193" i="3"/>
  <c r="J192" i="3"/>
  <c r="J88" i="3"/>
  <c r="K139" i="3"/>
  <c r="I31" i="3"/>
  <c r="J219" i="3"/>
  <c r="I30" i="3"/>
  <c r="I196" i="3"/>
  <c r="H59" i="3"/>
  <c r="G139" i="3"/>
  <c r="H34" i="3"/>
  <c r="G113" i="3"/>
  <c r="F193" i="3"/>
  <c r="G58" i="3"/>
  <c r="H139" i="3"/>
  <c r="G32" i="3"/>
  <c r="F113" i="3"/>
  <c r="E219" i="3"/>
  <c r="E31" i="3"/>
  <c r="E138" i="3"/>
  <c r="F140" i="3"/>
  <c r="E61" i="3"/>
  <c r="F85" i="3"/>
  <c r="E220" i="3"/>
  <c r="E60" i="3"/>
  <c r="D168" i="3" a="1"/>
  <c r="D168" i="3" s="1"/>
  <c r="D7" i="3" a="1"/>
  <c r="D7" i="3" s="1"/>
  <c r="D165" i="3" a="1"/>
  <c r="D165" i="3" s="1"/>
  <c r="D32" i="3" a="1"/>
  <c r="D32" i="3" s="1"/>
  <c r="D194" i="3" a="1"/>
  <c r="D194" i="3" s="1"/>
  <c r="D140" i="3" a="1"/>
  <c r="D140" i="3" s="1"/>
  <c r="D6" i="3" a="1"/>
  <c r="D6" i="3" s="1"/>
  <c r="A5" i="6"/>
  <c r="G29" i="3"/>
  <c r="CX5" i="1"/>
  <c r="DA3" i="1"/>
  <c r="L58" i="3"/>
  <c r="L140" i="3"/>
  <c r="L223" i="3"/>
  <c r="K196" i="3"/>
  <c r="K86" i="3"/>
  <c r="K169" i="3"/>
  <c r="J167" i="3"/>
  <c r="J58" i="3"/>
  <c r="K30" i="3"/>
  <c r="I223" i="3"/>
  <c r="I7" i="3"/>
  <c r="J194" i="3"/>
  <c r="I220" i="3"/>
  <c r="J193" i="3"/>
  <c r="I219" i="3"/>
  <c r="I165" i="3"/>
  <c r="H30" i="3"/>
  <c r="G115" i="3"/>
  <c r="F219" i="3"/>
  <c r="G84" i="3"/>
  <c r="H165" i="3"/>
  <c r="G34" i="3"/>
  <c r="H115" i="3"/>
  <c r="G219" i="3"/>
  <c r="F84" i="3"/>
  <c r="E195" i="3"/>
  <c r="E7" i="3"/>
  <c r="E114" i="3"/>
  <c r="F111" i="3"/>
  <c r="E221" i="3"/>
  <c r="E57" i="3"/>
  <c r="F61" i="3"/>
  <c r="E196" i="3"/>
  <c r="E32" i="3"/>
  <c r="D192" i="3" a="1"/>
  <c r="D192" i="3" s="1"/>
  <c r="D57" i="3" a="1"/>
  <c r="D57" i="3" s="1"/>
  <c r="D169" i="3" a="1"/>
  <c r="D169" i="3" s="1"/>
  <c r="D33" i="3" a="1"/>
  <c r="D33" i="3" s="1"/>
  <c r="D220" i="3" a="1"/>
  <c r="D220" i="3" s="1"/>
  <c r="D167" i="3" a="1"/>
  <c r="D167" i="3" s="1"/>
  <c r="D136" i="3" a="1"/>
  <c r="D136" i="3" s="1"/>
  <c r="K217" i="3"/>
  <c r="K245" i="3"/>
  <c r="D190" i="3" a="1"/>
  <c r="D190" i="3" s="1"/>
  <c r="I191" i="3"/>
  <c r="D82" i="3" a="1"/>
  <c r="D82" i="3" s="1"/>
  <c r="D215" i="3" a="1"/>
  <c r="D215" i="3" s="1"/>
  <c r="D243" i="3" a="1"/>
  <c r="D243" i="3" s="1"/>
  <c r="D108" i="3" a="1"/>
  <c r="D108" i="3" s="1"/>
  <c r="CX9" i="1"/>
  <c r="DA6" i="1"/>
  <c r="L221" i="3"/>
  <c r="L34" i="3"/>
  <c r="L111" i="3"/>
  <c r="L193" i="3"/>
  <c r="K166" i="3"/>
  <c r="K57" i="3"/>
  <c r="K85" i="3"/>
  <c r="J138" i="3"/>
  <c r="J34" i="3"/>
  <c r="I194" i="3"/>
  <c r="J111" i="3"/>
  <c r="I193" i="3"/>
  <c r="J169" i="3"/>
  <c r="I166" i="3"/>
  <c r="J165" i="3"/>
  <c r="I140" i="3"/>
  <c r="H220" i="3"/>
  <c r="G85" i="3"/>
  <c r="F194" i="3"/>
  <c r="G59" i="3"/>
  <c r="H140" i="3"/>
  <c r="G220" i="3"/>
  <c r="H85" i="3"/>
  <c r="G194" i="3"/>
  <c r="F59" i="3"/>
  <c r="E167" i="3"/>
  <c r="F166" i="3"/>
  <c r="E86" i="3"/>
  <c r="F86" i="3"/>
  <c r="E193" i="3"/>
  <c r="E33" i="3"/>
  <c r="F31" i="3"/>
  <c r="E192" i="3"/>
  <c r="A6" i="2"/>
  <c r="A7" i="2" s="1"/>
  <c r="A8" i="2" s="1"/>
  <c r="A9" i="2" s="1"/>
  <c r="A10" i="2" s="1"/>
  <c r="A11" i="2" s="1"/>
  <c r="A12" i="2" s="1"/>
  <c r="A13" i="2" s="1"/>
  <c r="A14" i="2" s="1"/>
  <c r="A15" i="2" s="1"/>
  <c r="A16" i="2" s="1"/>
  <c r="A17" i="2" s="1"/>
  <c r="A18" i="2" s="1"/>
  <c r="A19" i="2" s="1"/>
  <c r="A20" i="2" s="1"/>
  <c r="A21" i="2" s="1"/>
  <c r="A22" i="2" s="1"/>
  <c r="A23" i="2" s="1"/>
  <c r="D196" i="3" a="1"/>
  <c r="D196" i="3" s="1"/>
  <c r="D61" i="3" a="1"/>
  <c r="D61" i="3" s="1"/>
  <c r="D193" i="3" a="1"/>
  <c r="D193" i="3" s="1"/>
  <c r="D58" i="3" a="1"/>
  <c r="D58" i="3" s="1"/>
  <c r="D195" i="3" a="1"/>
  <c r="D195" i="3" s="1"/>
  <c r="CX14" i="1"/>
  <c r="L220" i="3"/>
  <c r="L57" i="3"/>
  <c r="K219" i="3"/>
  <c r="J196" i="3"/>
  <c r="J139" i="3"/>
  <c r="I138" i="3"/>
  <c r="J57" i="3"/>
  <c r="H192" i="3"/>
  <c r="I86" i="3"/>
  <c r="H142" i="3"/>
  <c r="G166" i="3"/>
  <c r="H31" i="3"/>
  <c r="F220" i="3"/>
  <c r="E115" i="3"/>
  <c r="E222" i="3"/>
  <c r="F32" i="3"/>
  <c r="E140" i="3"/>
  <c r="D223" i="3" a="1"/>
  <c r="D223" i="3" s="1"/>
  <c r="D34" i="3" a="1"/>
  <c r="D34" i="3" s="1"/>
  <c r="D164" i="3" a="1"/>
  <c r="D164" i="3" s="1"/>
  <c r="I163" i="3"/>
  <c r="D27" i="3" a="1"/>
  <c r="D27" i="3" s="1"/>
  <c r="D109" i="3" a="1"/>
  <c r="D109" i="3" s="1"/>
  <c r="D218" i="3" a="1"/>
  <c r="D218" i="3" s="1"/>
  <c r="E134" i="3"/>
  <c r="D161" i="3" a="1"/>
  <c r="D161" i="3" s="1"/>
  <c r="I244" i="3"/>
  <c r="I217" i="3"/>
  <c r="H190" i="3"/>
  <c r="G190" i="3"/>
  <c r="E164" i="3"/>
  <c r="F163" i="3"/>
  <c r="F164" i="3"/>
  <c r="G135" i="3"/>
  <c r="K136" i="3"/>
  <c r="F107" i="3"/>
  <c r="G109" i="3"/>
  <c r="K80" i="3"/>
  <c r="J83" i="3"/>
  <c r="F56" i="3"/>
  <c r="H56" i="3"/>
  <c r="J27" i="3"/>
  <c r="I28" i="3"/>
  <c r="J29" i="3"/>
  <c r="I245" i="3"/>
  <c r="G162" i="3"/>
  <c r="F218" i="3"/>
  <c r="H189" i="3"/>
  <c r="J189" i="3"/>
  <c r="DA13" i="1"/>
  <c r="L142" i="3"/>
  <c r="K165" i="3"/>
  <c r="J142" i="3"/>
  <c r="J61" i="3"/>
  <c r="H194" i="3"/>
  <c r="I84" i="3"/>
  <c r="K115" i="3"/>
  <c r="I32" i="3"/>
  <c r="G193" i="3"/>
  <c r="H88" i="3"/>
  <c r="G112" i="3"/>
  <c r="F167" i="3"/>
  <c r="E87" i="3"/>
  <c r="E166" i="3"/>
  <c r="F139" i="3"/>
  <c r="E88" i="3"/>
  <c r="D87" i="3" a="1"/>
  <c r="D87" i="3" s="1"/>
  <c r="J164" i="3"/>
  <c r="I27" i="3"/>
  <c r="L109" i="3"/>
  <c r="D162" i="3" a="1"/>
  <c r="D162" i="3" s="1"/>
  <c r="D107" i="3" a="1"/>
  <c r="D107" i="3" s="1"/>
  <c r="E218" i="3"/>
  <c r="D81" i="3" a="1"/>
  <c r="D81" i="3" s="1"/>
  <c r="J161" i="3"/>
  <c r="E244" i="3"/>
  <c r="J245" i="3"/>
  <c r="E216" i="3"/>
  <c r="J217" i="3"/>
  <c r="K191" i="3"/>
  <c r="G191" i="3"/>
  <c r="E162" i="3"/>
  <c r="G163" i="3"/>
  <c r="H163" i="3"/>
  <c r="I136" i="3"/>
  <c r="H135" i="3"/>
  <c r="E108" i="3"/>
  <c r="E110" i="3"/>
  <c r="F110" i="3"/>
  <c r="G82" i="3"/>
  <c r="E81" i="3"/>
  <c r="E82" i="3"/>
  <c r="E80" i="3"/>
  <c r="E55" i="3"/>
  <c r="G56" i="3"/>
  <c r="E28" i="3"/>
  <c r="I26" i="3"/>
  <c r="J134" i="3"/>
  <c r="F242" i="3"/>
  <c r="E188" i="3"/>
  <c r="H53" i="3"/>
  <c r="G218" i="3"/>
  <c r="G189" i="3"/>
  <c r="DA7" i="1"/>
  <c r="L192" i="3"/>
  <c r="L7" i="3"/>
  <c r="L169" i="3"/>
  <c r="K142" i="3"/>
  <c r="K32" i="3"/>
  <c r="J113" i="3"/>
  <c r="I169" i="3"/>
  <c r="J86" i="3"/>
  <c r="I142" i="3"/>
  <c r="J140" i="3"/>
  <c r="H196" i="3"/>
  <c r="G61" i="3"/>
  <c r="H111" i="3"/>
  <c r="G165" i="3"/>
  <c r="F30" i="3"/>
  <c r="F142" i="3"/>
  <c r="E58" i="3"/>
  <c r="E169" i="3"/>
  <c r="F7" i="3"/>
  <c r="D60" i="3" a="1"/>
  <c r="D60" i="3" s="1"/>
  <c r="D85" i="3" a="1"/>
  <c r="D85" i="3" s="1"/>
  <c r="D86" i="3" a="1"/>
  <c r="D86" i="3" s="1"/>
  <c r="D221" i="3" a="1"/>
  <c r="D221" i="3" s="1"/>
  <c r="D56" i="3" a="1"/>
  <c r="D56" i="3" s="1"/>
  <c r="D245" i="3" a="1"/>
  <c r="D245" i="3" s="1"/>
  <c r="F26" i="3"/>
  <c r="D54" i="3" a="1"/>
  <c r="D54" i="3" s="1"/>
  <c r="I162" i="3"/>
  <c r="F216" i="3"/>
  <c r="H243" i="3"/>
  <c r="I243" i="3"/>
  <c r="E215" i="3"/>
  <c r="H216" i="3"/>
  <c r="F190" i="3"/>
  <c r="I190" i="3"/>
  <c r="I164" i="3"/>
  <c r="K162" i="3"/>
  <c r="E135" i="3"/>
  <c r="I135" i="3"/>
  <c r="H134" i="3"/>
  <c r="H110" i="3"/>
  <c r="H109" i="3"/>
  <c r="G107" i="3"/>
  <c r="G80" i="3"/>
  <c r="F80" i="3"/>
  <c r="E83" i="3"/>
  <c r="H80" i="3"/>
  <c r="G55" i="3"/>
  <c r="F54" i="3"/>
  <c r="L27" i="3"/>
  <c r="G28" i="3"/>
  <c r="E26" i="3"/>
  <c r="E53" i="3"/>
  <c r="K218" i="3"/>
  <c r="E245" i="3"/>
  <c r="H215" i="3"/>
  <c r="H108" i="3"/>
  <c r="I242" i="3"/>
  <c r="F189" i="3"/>
  <c r="DA15" i="1"/>
  <c r="L167" i="3"/>
  <c r="L139" i="3"/>
  <c r="K112" i="3"/>
  <c r="K192" i="3"/>
  <c r="I139" i="3"/>
  <c r="J59" i="3"/>
  <c r="H223" i="3"/>
  <c r="I112" i="3"/>
  <c r="J84" i="3"/>
  <c r="H167" i="3"/>
  <c r="G31" i="3"/>
  <c r="G221" i="3"/>
  <c r="H86" i="3"/>
  <c r="G140" i="3"/>
  <c r="F112" i="3"/>
  <c r="E34" i="3"/>
  <c r="E165" i="3"/>
  <c r="D84" i="3" a="1"/>
  <c r="D84" i="3" s="1"/>
  <c r="D88" i="3" a="1"/>
  <c r="D88" i="3" s="1"/>
  <c r="E56" i="3"/>
  <c r="D242" i="3" a="1"/>
  <c r="D242" i="3" s="1"/>
  <c r="D55" i="3" a="1"/>
  <c r="D55" i="3" s="1"/>
  <c r="D135" i="3" a="1"/>
  <c r="D135" i="3" s="1"/>
  <c r="D189" i="3" a="1"/>
  <c r="D189" i="3" s="1"/>
  <c r="G244" i="3"/>
  <c r="H244" i="3"/>
  <c r="G216" i="3"/>
  <c r="J216" i="3"/>
  <c r="J191" i="3"/>
  <c r="J163" i="3"/>
  <c r="F162" i="3"/>
  <c r="F134" i="3"/>
  <c r="K135" i="3"/>
  <c r="I137" i="3"/>
  <c r="J110" i="3"/>
  <c r="J107" i="3"/>
  <c r="H107" i="3"/>
  <c r="I82" i="3"/>
  <c r="H81" i="3"/>
  <c r="H83" i="3"/>
  <c r="H55" i="3"/>
  <c r="F55" i="3"/>
  <c r="F27" i="3"/>
  <c r="H27" i="3"/>
  <c r="F29" i="3"/>
  <c r="F53" i="3"/>
  <c r="K243" i="3"/>
  <c r="E161" i="3"/>
  <c r="I215" i="3"/>
  <c r="K242" i="3"/>
  <c r="H218" i="3"/>
  <c r="G108" i="3"/>
  <c r="K189" i="3"/>
  <c r="CX3" i="1"/>
  <c r="L59" i="3"/>
  <c r="L194" i="3"/>
  <c r="L61" i="3"/>
  <c r="K34" i="3"/>
  <c r="K113" i="3"/>
  <c r="K59" i="3"/>
  <c r="I192" i="3"/>
  <c r="I61" i="3"/>
  <c r="I34" i="3"/>
  <c r="H84" i="3"/>
  <c r="G138" i="3"/>
  <c r="H169" i="3"/>
  <c r="G57" i="3"/>
  <c r="E223" i="3"/>
  <c r="F34" i="3"/>
  <c r="F165" i="3"/>
  <c r="E85" i="3"/>
  <c r="D141" i="3" a="1"/>
  <c r="D141" i="3" s="1"/>
  <c r="D142" i="3" a="1"/>
  <c r="D142" i="3" s="1"/>
  <c r="D166" i="3" a="1"/>
  <c r="D166" i="3" s="1"/>
  <c r="D31" i="3" a="1"/>
  <c r="D31" i="3" s="1"/>
  <c r="D163" i="3" a="1"/>
  <c r="D163" i="3" s="1"/>
  <c r="D244" i="3" a="1"/>
  <c r="D244" i="3" s="1"/>
  <c r="D110" i="3" a="1"/>
  <c r="D110" i="3" s="1"/>
  <c r="H188" i="3"/>
  <c r="K215" i="3"/>
  <c r="J53" i="3"/>
  <c r="D80" i="3" a="1"/>
  <c r="D80" i="3" s="1"/>
  <c r="G242" i="3"/>
  <c r="E243" i="3"/>
  <c r="H217" i="3"/>
  <c r="F217" i="3"/>
  <c r="K190" i="3"/>
  <c r="H191" i="3"/>
  <c r="G164" i="3"/>
  <c r="H136" i="3"/>
  <c r="E136" i="3"/>
  <c r="E137" i="3"/>
  <c r="K107" i="3"/>
  <c r="E109" i="3"/>
  <c r="K109" i="3"/>
  <c r="K83" i="3"/>
  <c r="K81" i="3"/>
  <c r="I83" i="3"/>
  <c r="K56" i="3"/>
  <c r="J54" i="3"/>
  <c r="I54" i="3"/>
  <c r="E27" i="3"/>
  <c r="G27" i="3"/>
  <c r="J28" i="3"/>
  <c r="E189" i="3"/>
  <c r="J215" i="3"/>
  <c r="J108" i="3"/>
  <c r="F215" i="3"/>
  <c r="K134" i="3"/>
  <c r="I161" i="3"/>
  <c r="G161" i="3"/>
  <c r="L219" i="3"/>
  <c r="K140" i="3"/>
  <c r="J223" i="3"/>
  <c r="K223" i="3"/>
  <c r="G30" i="3"/>
  <c r="G86" i="3"/>
  <c r="E142" i="3"/>
  <c r="E168" i="3"/>
  <c r="D139" i="3" a="1"/>
  <c r="D139" i="3" s="1"/>
  <c r="I189" i="3"/>
  <c r="J242" i="3"/>
  <c r="E191" i="3"/>
  <c r="G110" i="3"/>
  <c r="L82" i="3"/>
  <c r="I55" i="3"/>
  <c r="L29" i="3"/>
  <c r="J26" i="3"/>
  <c r="G53" i="3"/>
  <c r="K53" i="3"/>
  <c r="G215" i="3"/>
  <c r="H161" i="3"/>
  <c r="K61" i="3"/>
  <c r="I85" i="3"/>
  <c r="H32" i="3"/>
  <c r="F138" i="3"/>
  <c r="F57" i="3"/>
  <c r="D114" i="3" a="1"/>
  <c r="D114" i="3" s="1"/>
  <c r="D113" i="3" a="1"/>
  <c r="D113" i="3" s="1"/>
  <c r="D217" i="3" a="1"/>
  <c r="D217" i="3" s="1"/>
  <c r="D26" i="3" a="1"/>
  <c r="D26" i="3" s="1"/>
  <c r="H28" i="3"/>
  <c r="K108" i="3"/>
  <c r="E217" i="3"/>
  <c r="E190" i="3"/>
  <c r="E163" i="3"/>
  <c r="G137" i="3"/>
  <c r="F108" i="3"/>
  <c r="H82" i="3"/>
  <c r="G54" i="3"/>
  <c r="I29" i="3"/>
  <c r="K161" i="3"/>
  <c r="I188" i="3"/>
  <c r="L85" i="3"/>
  <c r="J221" i="3"/>
  <c r="I58" i="3"/>
  <c r="G169" i="3"/>
  <c r="G196" i="3"/>
  <c r="D222" i="3" a="1"/>
  <c r="D222" i="3" s="1"/>
  <c r="D30" i="3" a="1"/>
  <c r="D30" i="3" s="1"/>
  <c r="H242" i="3"/>
  <c r="I107" i="3"/>
  <c r="D137" i="3" a="1"/>
  <c r="D137" i="3" s="1"/>
  <c r="G217" i="3"/>
  <c r="G188" i="3"/>
  <c r="J137" i="3"/>
  <c r="F109" i="3"/>
  <c r="J82" i="3"/>
  <c r="I56" i="3"/>
  <c r="E29" i="3"/>
  <c r="I218" i="3"/>
  <c r="F161" i="3"/>
  <c r="CX10" i="1"/>
  <c r="DA11" i="1"/>
  <c r="K84" i="3"/>
  <c r="H221" i="3"/>
  <c r="G88" i="3"/>
  <c r="E139" i="3"/>
  <c r="E113" i="3"/>
  <c r="K244" i="3"/>
  <c r="D188" i="3" a="1"/>
  <c r="D188" i="3" s="1"/>
  <c r="K137" i="3"/>
  <c r="E242" i="3"/>
  <c r="I216" i="3"/>
  <c r="F191" i="3"/>
  <c r="K164" i="3"/>
  <c r="F137" i="3"/>
  <c r="H137" i="3"/>
  <c r="I110" i="3"/>
  <c r="F83" i="3"/>
  <c r="E54" i="3"/>
  <c r="G26" i="3"/>
  <c r="J188" i="3"/>
  <c r="G245" i="3"/>
  <c r="K58" i="3"/>
  <c r="J112" i="3"/>
  <c r="I167" i="3"/>
  <c r="H58" i="3"/>
  <c r="H61" i="3"/>
  <c r="F58" i="3"/>
  <c r="F115" i="3"/>
  <c r="D219" i="3" a="1"/>
  <c r="D219" i="3" s="1"/>
  <c r="D29" i="3" a="1"/>
  <c r="D29" i="3" s="1"/>
  <c r="K54" i="3"/>
  <c r="D216" i="3" a="1"/>
  <c r="D216" i="3" s="1"/>
  <c r="D134" i="3" a="1"/>
  <c r="D134" i="3" s="1"/>
  <c r="J243" i="3"/>
  <c r="H164" i="3"/>
  <c r="G134" i="3"/>
  <c r="I109" i="3"/>
  <c r="G83" i="3"/>
  <c r="I80" i="3"/>
  <c r="H54" i="3"/>
  <c r="L28" i="3"/>
  <c r="H245" i="3"/>
  <c r="I134" i="3"/>
  <c r="K138" i="3"/>
  <c r="I111" i="3"/>
  <c r="E59" i="3"/>
  <c r="D53" i="3" a="1"/>
  <c r="D53" i="3" s="1"/>
  <c r="G136" i="3"/>
  <c r="K55" i="3"/>
  <c r="I108" i="3"/>
  <c r="L245" i="3"/>
  <c r="L80" i="3"/>
  <c r="L162" i="3"/>
  <c r="J32" i="3"/>
  <c r="D191" i="3" a="1"/>
  <c r="D191" i="3" s="1"/>
  <c r="F243" i="3"/>
  <c r="G81" i="3"/>
  <c r="L108" i="3"/>
  <c r="J85" i="3"/>
  <c r="H162" i="3"/>
  <c r="J109" i="3"/>
  <c r="J220" i="3"/>
  <c r="H113" i="3"/>
  <c r="I81" i="3"/>
  <c r="J136" i="3"/>
  <c r="J81" i="3"/>
  <c r="F28" i="3"/>
  <c r="I53" i="3"/>
  <c r="F188" i="3"/>
  <c r="K29" i="3"/>
  <c r="L110" i="3"/>
  <c r="L244" i="3"/>
  <c r="L243" i="3"/>
  <c r="L161" i="3"/>
  <c r="G167" i="3"/>
  <c r="H29" i="3"/>
  <c r="K26" i="3"/>
  <c r="L218" i="3"/>
  <c r="D138" i="3" a="1"/>
  <c r="D138" i="3" s="1"/>
  <c r="J135" i="3"/>
  <c r="J55" i="3"/>
  <c r="F245" i="3"/>
  <c r="I221" i="3"/>
  <c r="H166" i="3"/>
  <c r="E6" i="3"/>
  <c r="J190" i="3"/>
  <c r="J80" i="3"/>
  <c r="K188" i="3"/>
  <c r="F135" i="3"/>
  <c r="F82" i="3"/>
  <c r="H26" i="3"/>
  <c r="K28" i="3"/>
  <c r="L107" i="3"/>
  <c r="L164" i="3"/>
  <c r="L26" i="3"/>
  <c r="L134" i="3"/>
  <c r="L113" i="3"/>
  <c r="A30" i="2"/>
  <c r="A31" i="2" s="1"/>
  <c r="A32" i="2" s="1"/>
  <c r="A33" i="2" s="1"/>
  <c r="A34" i="2" s="1"/>
  <c r="A35" i="2" s="1"/>
  <c r="A36" i="2" s="1"/>
  <c r="A37" i="2" s="1"/>
  <c r="A38" i="2" s="1"/>
  <c r="A39" i="2" s="1"/>
  <c r="A40" i="2" s="1"/>
  <c r="A41" i="2" s="1"/>
  <c r="A42" i="2" s="1"/>
  <c r="A43" i="2" s="1"/>
  <c r="A44" i="2" s="1"/>
  <c r="A45" i="2" s="1"/>
  <c r="A46" i="2" s="1"/>
  <c r="A47" i="2" s="1"/>
  <c r="F136" i="3"/>
  <c r="G243" i="3"/>
  <c r="L215" i="3"/>
  <c r="L242" i="3"/>
  <c r="L112" i="3"/>
  <c r="F223" i="3"/>
  <c r="D28" i="3" a="1"/>
  <c r="D28" i="3" s="1"/>
  <c r="F244" i="3"/>
  <c r="E107" i="3"/>
  <c r="F81" i="3"/>
  <c r="L191" i="3"/>
  <c r="L188" i="3"/>
  <c r="L217" i="3"/>
  <c r="L55" i="3"/>
  <c r="J244" i="3"/>
  <c r="L189" i="3"/>
  <c r="L137" i="3"/>
  <c r="L136" i="3"/>
  <c r="L216" i="3"/>
  <c r="L86" i="3"/>
  <c r="I59" i="3"/>
  <c r="F192" i="3"/>
  <c r="E84" i="3"/>
  <c r="K82" i="3"/>
  <c r="K163" i="3"/>
  <c r="J218" i="3"/>
  <c r="L54" i="3"/>
  <c r="L81" i="3"/>
  <c r="L53" i="3"/>
  <c r="K27" i="3"/>
  <c r="L83" i="3"/>
  <c r="J162" i="3"/>
  <c r="L56" i="3"/>
  <c r="L190" i="3"/>
  <c r="K110" i="3"/>
  <c r="K216" i="3"/>
  <c r="L135" i="3"/>
  <c r="K31" i="3"/>
  <c r="J56" i="3"/>
  <c r="L163" i="3"/>
  <c r="AQ234" i="1"/>
  <c r="BC12" i="1"/>
  <c r="BD12" i="1"/>
  <c r="U168" i="1"/>
  <c r="BD77" i="1"/>
  <c r="BC77" i="1"/>
  <c r="AN234" i="1"/>
  <c r="V234" i="1"/>
  <c r="AQ233" i="1"/>
  <c r="BD112" i="1"/>
  <c r="BC112" i="1"/>
  <c r="U57" i="1"/>
  <c r="BD188" i="1"/>
  <c r="BC188" i="1"/>
  <c r="BD187" i="1"/>
  <c r="BC187" i="1"/>
  <c r="AQ232" i="1"/>
  <c r="BD221" i="1"/>
  <c r="BC221" i="1"/>
  <c r="BC150" i="1"/>
  <c r="BD150" i="1"/>
  <c r="BD186" i="1"/>
  <c r="BC186" i="1"/>
  <c r="BC121" i="1"/>
  <c r="BD121" i="1"/>
  <c r="BD200" i="1"/>
  <c r="BC200" i="1"/>
  <c r="BC20" i="1"/>
  <c r="BD20" i="1"/>
  <c r="U150" i="1"/>
  <c r="U98" i="1"/>
  <c r="BC204" i="1"/>
  <c r="BD204" i="1"/>
  <c r="BA235" i="1"/>
  <c r="BB235" i="1"/>
  <c r="U5" i="1"/>
  <c r="BC94" i="1"/>
  <c r="BD94" i="1"/>
  <c r="U223" i="1"/>
  <c r="AQ231" i="1"/>
  <c r="U29" i="1"/>
  <c r="BC75" i="1"/>
  <c r="BD75" i="1"/>
  <c r="BC128" i="1"/>
  <c r="BD128" i="1"/>
  <c r="BD42" i="1"/>
  <c r="BC42" i="1"/>
  <c r="BC219" i="1"/>
  <c r="BV20" i="1" l="1" a="1"/>
  <c r="BV20" i="1" s="1"/>
  <c r="BW20" i="1" s="1" a="1"/>
  <c r="BW20" i="1" s="1"/>
  <c r="BX20" i="1" s="1"/>
  <c r="CF20" i="1" s="1"/>
  <c r="B32" i="8" s="1"/>
  <c r="BV21" i="1" a="1"/>
  <c r="BV21" i="1" s="1"/>
  <c r="BW21" i="1" s="1" a="1"/>
  <c r="BW21" i="1" s="1"/>
  <c r="BX21" i="1" s="1"/>
  <c r="CF21" i="1" s="1"/>
  <c r="BV22" i="1" a="1"/>
  <c r="BV22" i="1" s="1"/>
  <c r="BW22" i="1" s="1" a="1"/>
  <c r="BW22" i="1" s="1"/>
  <c r="BX22" i="1" s="1"/>
  <c r="CF22" i="1" s="1"/>
  <c r="BV23" i="1" a="1"/>
  <c r="BV23" i="1" s="1"/>
  <c r="BW23" i="1" s="1" a="1"/>
  <c r="BW23" i="1" s="1"/>
  <c r="BX23" i="1" s="1"/>
  <c r="CF23" i="1" s="1"/>
  <c r="BV24" i="1" a="1"/>
  <c r="BV24" i="1" s="1"/>
  <c r="BW24" i="1" s="1" a="1"/>
  <c r="BW24" i="1" s="1"/>
  <c r="BX24" i="1" s="1"/>
  <c r="CF24" i="1" s="1"/>
  <c r="BV25" i="1" a="1"/>
  <c r="BV25" i="1" s="1"/>
  <c r="BW25" i="1" s="1" a="1"/>
  <c r="BW25" i="1" s="1"/>
  <c r="BX25" i="1" s="1"/>
  <c r="CF25" i="1" s="1"/>
  <c r="BV26" i="1" a="1"/>
  <c r="BV26" i="1" s="1"/>
  <c r="BW26" i="1" s="1" a="1"/>
  <c r="BW26" i="1" s="1"/>
  <c r="BX26" i="1" s="1"/>
  <c r="CF26" i="1" s="1"/>
  <c r="BV27" i="1" a="1"/>
  <c r="BV27" i="1" s="1"/>
  <c r="BW27" i="1" s="1" a="1"/>
  <c r="BW27" i="1" s="1"/>
  <c r="BX27" i="1" s="1"/>
  <c r="CF27" i="1" s="1"/>
  <c r="BV28" i="1" a="1"/>
  <c r="BV28" i="1" s="1"/>
  <c r="BW28" i="1" s="1" a="1"/>
  <c r="BW28" i="1" s="1"/>
  <c r="BX28" i="1" s="1"/>
  <c r="CF28" i="1" s="1"/>
  <c r="BV29" i="1" a="1"/>
  <c r="BV29" i="1" s="1"/>
  <c r="BW29" i="1" s="1" a="1"/>
  <c r="BW29" i="1" s="1"/>
  <c r="BX29" i="1" s="1"/>
  <c r="CF29" i="1" s="1"/>
  <c r="BV30" i="1" a="1"/>
  <c r="BV30" i="1" s="1"/>
  <c r="BW30" i="1" s="1" a="1"/>
  <c r="BW30" i="1" s="1"/>
  <c r="BX30" i="1" s="1"/>
  <c r="CF30" i="1" s="1"/>
  <c r="BV31" i="1" a="1"/>
  <c r="BV31" i="1" s="1"/>
  <c r="BW31" i="1" s="1" a="1"/>
  <c r="BW31" i="1" s="1"/>
  <c r="BX31" i="1" s="1"/>
  <c r="CF31" i="1" s="1"/>
  <c r="BV32" i="1" a="1"/>
  <c r="BV32" i="1" s="1"/>
  <c r="BW32" i="1" s="1" a="1"/>
  <c r="BW32" i="1" s="1"/>
  <c r="BX32" i="1" s="1"/>
  <c r="CF32" i="1" s="1"/>
  <c r="BV33" i="1" a="1"/>
  <c r="BV33" i="1" s="1"/>
  <c r="BW33" i="1" s="1" a="1"/>
  <c r="BW33" i="1" s="1"/>
  <c r="BX33" i="1" s="1"/>
  <c r="CF33" i="1" s="1"/>
  <c r="BV34" i="1" a="1"/>
  <c r="BV34" i="1" s="1"/>
  <c r="BW34" i="1" s="1" a="1"/>
  <c r="BW34" i="1" s="1"/>
  <c r="BX34" i="1" s="1"/>
  <c r="CF34" i="1" s="1"/>
  <c r="BV35" i="1" a="1"/>
  <c r="BV35" i="1" s="1"/>
  <c r="BW35" i="1" s="1" a="1"/>
  <c r="BW35" i="1" s="1"/>
  <c r="BX35" i="1" s="1"/>
  <c r="CF35" i="1" s="1"/>
  <c r="BV36" i="1" a="1"/>
  <c r="BV36" i="1" s="1"/>
  <c r="BW36" i="1" s="1" a="1"/>
  <c r="BW36" i="1" s="1"/>
  <c r="BX36" i="1" s="1"/>
  <c r="CF36" i="1" s="1"/>
  <c r="BV37" i="1" a="1"/>
  <c r="BV37" i="1" s="1"/>
  <c r="BW37" i="1" s="1" a="1"/>
  <c r="BW37" i="1" s="1"/>
  <c r="BX37" i="1" s="1"/>
  <c r="CF37" i="1" s="1"/>
  <c r="BR164" i="1"/>
  <c r="BR165" i="1"/>
  <c r="BR166" i="1"/>
  <c r="BR167" i="1"/>
  <c r="BR168" i="1"/>
  <c r="BR169" i="1"/>
  <c r="BR170" i="1"/>
  <c r="BR171" i="1"/>
  <c r="BR172" i="1"/>
  <c r="BR173" i="1"/>
  <c r="BR174" i="1"/>
  <c r="BR175" i="1"/>
  <c r="BR176" i="1"/>
  <c r="BR177" i="1"/>
  <c r="BR178" i="1"/>
  <c r="BR179" i="1"/>
  <c r="BR180" i="1"/>
  <c r="BR181" i="1"/>
  <c r="BR56" i="1"/>
  <c r="BR57" i="1"/>
  <c r="BR58" i="1"/>
  <c r="BR59" i="1"/>
  <c r="BR60" i="1"/>
  <c r="BR61" i="1"/>
  <c r="BR62" i="1"/>
  <c r="BR63" i="1"/>
  <c r="BR64" i="1"/>
  <c r="BR65" i="1"/>
  <c r="BR66" i="1"/>
  <c r="BR67" i="1"/>
  <c r="BR68" i="1"/>
  <c r="BR69" i="1"/>
  <c r="BR70" i="1"/>
  <c r="BR71" i="1"/>
  <c r="BR72" i="1"/>
  <c r="BR73" i="1"/>
  <c r="BR110" i="1"/>
  <c r="BR111" i="1"/>
  <c r="BR112" i="1"/>
  <c r="BR113" i="1"/>
  <c r="BR114" i="1"/>
  <c r="BR115" i="1"/>
  <c r="BR116" i="1"/>
  <c r="BR117" i="1"/>
  <c r="BR118" i="1"/>
  <c r="BR119" i="1"/>
  <c r="BR120" i="1"/>
  <c r="BR121" i="1"/>
  <c r="BR122" i="1"/>
  <c r="BR123" i="1"/>
  <c r="BR124" i="1"/>
  <c r="BR125" i="1"/>
  <c r="BR126" i="1"/>
  <c r="BR127" i="1"/>
  <c r="BR74" i="1"/>
  <c r="BR75" i="1"/>
  <c r="BR76" i="1"/>
  <c r="BR77" i="1"/>
  <c r="BR78" i="1"/>
  <c r="BR79" i="1"/>
  <c r="BR80" i="1"/>
  <c r="BR81" i="1"/>
  <c r="BR82" i="1"/>
  <c r="BR83" i="1"/>
  <c r="BR84" i="1"/>
  <c r="BR85" i="1"/>
  <c r="BR86" i="1"/>
  <c r="BR87" i="1"/>
  <c r="BR88" i="1"/>
  <c r="BR89" i="1"/>
  <c r="BR90" i="1"/>
  <c r="BR91" i="1"/>
  <c r="BR38" i="1"/>
  <c r="BR39" i="1"/>
  <c r="BR40" i="1"/>
  <c r="BR41" i="1"/>
  <c r="BR42" i="1"/>
  <c r="BR43" i="1"/>
  <c r="BR44" i="1"/>
  <c r="BR45" i="1"/>
  <c r="BR46" i="1"/>
  <c r="BR47" i="1"/>
  <c r="BR48" i="1"/>
  <c r="BR49" i="1"/>
  <c r="BR50" i="1"/>
  <c r="BR51" i="1"/>
  <c r="BR52" i="1"/>
  <c r="BR53" i="1"/>
  <c r="BR54" i="1"/>
  <c r="BR55" i="1"/>
  <c r="BR128" i="1"/>
  <c r="BR129" i="1"/>
  <c r="BR130" i="1"/>
  <c r="BR131" i="1"/>
  <c r="BR132" i="1"/>
  <c r="BR133" i="1"/>
  <c r="BR134" i="1"/>
  <c r="BR135" i="1"/>
  <c r="BR136" i="1"/>
  <c r="BR137" i="1"/>
  <c r="BR138" i="1"/>
  <c r="BR139" i="1"/>
  <c r="BR140" i="1"/>
  <c r="BR141" i="1"/>
  <c r="BR142" i="1"/>
  <c r="BR143" i="1"/>
  <c r="BR144" i="1"/>
  <c r="BR145" i="1"/>
  <c r="BR2" i="1"/>
  <c r="BR3" i="1"/>
  <c r="BR4" i="1"/>
  <c r="BR5" i="1"/>
  <c r="BR6" i="1"/>
  <c r="BR7" i="1"/>
  <c r="BR8" i="1"/>
  <c r="BR9" i="1"/>
  <c r="BR10" i="1"/>
  <c r="BR11" i="1"/>
  <c r="BR12" i="1"/>
  <c r="BR13" i="1"/>
  <c r="BR14" i="1"/>
  <c r="BR15" i="1"/>
  <c r="BR16" i="1"/>
  <c r="BR17" i="1"/>
  <c r="BR18" i="1"/>
  <c r="BR19" i="1"/>
  <c r="BQ25" i="1" a="1"/>
  <c r="BQ25" i="1" s="1"/>
  <c r="BR25" i="1" s="1"/>
  <c r="BR92" i="1"/>
  <c r="BR93" i="1"/>
  <c r="BR94" i="1"/>
  <c r="BR95" i="1"/>
  <c r="BR96" i="1"/>
  <c r="BR97" i="1"/>
  <c r="BR98" i="1"/>
  <c r="BR99" i="1"/>
  <c r="BR100" i="1"/>
  <c r="BR101" i="1"/>
  <c r="BR102" i="1"/>
  <c r="BR103" i="1"/>
  <c r="BR104" i="1"/>
  <c r="BR105" i="1"/>
  <c r="BR106" i="1"/>
  <c r="BR107" i="1"/>
  <c r="BR108" i="1"/>
  <c r="BR109" i="1"/>
  <c r="BR146" i="1"/>
  <c r="BR147" i="1"/>
  <c r="BR148" i="1"/>
  <c r="BR149" i="1"/>
  <c r="BR150" i="1"/>
  <c r="BR151" i="1"/>
  <c r="BR152" i="1"/>
  <c r="BR153" i="1"/>
  <c r="BR154" i="1"/>
  <c r="BR155" i="1"/>
  <c r="BR156" i="1"/>
  <c r="BR157" i="1"/>
  <c r="BR158" i="1"/>
  <c r="BR159" i="1"/>
  <c r="BR160" i="1"/>
  <c r="BR161" i="1"/>
  <c r="BR162" i="1"/>
  <c r="BR163" i="1"/>
  <c r="U169" i="1"/>
  <c r="BD154" i="1"/>
  <c r="BC154" i="1"/>
  <c r="U154" i="1"/>
  <c r="U120" i="1"/>
  <c r="BD153" i="1"/>
  <c r="BC153" i="1"/>
  <c r="U153" i="1"/>
  <c r="U115" i="1"/>
  <c r="BD137" i="1"/>
  <c r="BC137" i="1"/>
  <c r="U137" i="1"/>
  <c r="C12" i="8" a="1"/>
  <c r="C12" i="8" s="1"/>
  <c r="B25" i="8" a="1"/>
  <c r="B25" i="8" s="1"/>
  <c r="B19" i="8" a="1"/>
  <c r="B19" i="8" s="1"/>
  <c r="B17" i="8" a="1"/>
  <c r="B17" i="8" s="1"/>
  <c r="C14" i="8" a="1"/>
  <c r="C14" i="8" s="1"/>
  <c r="B24" i="8" a="1"/>
  <c r="B24" i="8" s="1"/>
  <c r="B22" i="8" a="1"/>
  <c r="B22" i="8" s="1"/>
  <c r="B16" i="8" a="1"/>
  <c r="B16" i="8" s="1"/>
  <c r="B14" i="8" a="1"/>
  <c r="B14" i="8" s="1"/>
  <c r="B10" i="8" a="1"/>
  <c r="B10" i="8" s="1"/>
  <c r="B21" i="8" a="1"/>
  <c r="B21" i="8" s="1"/>
  <c r="C19" i="8" a="1"/>
  <c r="C19" i="8" s="1"/>
  <c r="B11" i="8" a="1"/>
  <c r="B11" i="8" s="1"/>
  <c r="C24" i="8" a="1"/>
  <c r="C24" i="8" s="1"/>
  <c r="C18" i="8" a="1"/>
  <c r="C18" i="8" s="1"/>
  <c r="C16" i="8" a="1"/>
  <c r="C16" i="8" s="1"/>
  <c r="B13" i="8" a="1"/>
  <c r="B13" i="8" s="1"/>
  <c r="C10" i="8" a="1"/>
  <c r="C10" i="8" s="1"/>
  <c r="B26" i="8" a="1"/>
  <c r="B26" i="8" s="1"/>
  <c r="C21" i="8" a="1"/>
  <c r="C21" i="8" s="1"/>
  <c r="B15" i="8" a="1"/>
  <c r="B15" i="8" s="1"/>
  <c r="C13" i="8" a="1"/>
  <c r="C13" i="8" s="1"/>
  <c r="C11" i="8" a="1"/>
  <c r="C11" i="8" s="1"/>
  <c r="C26" i="8" a="1"/>
  <c r="C26" i="8" s="1"/>
  <c r="B23" i="8" a="1"/>
  <c r="B23" i="8" s="1"/>
  <c r="B20" i="8" a="1"/>
  <c r="B20" i="8" s="1"/>
  <c r="B18" i="8" a="1"/>
  <c r="B18" i="8" s="1"/>
  <c r="C23" i="8" a="1"/>
  <c r="C23" i="8" s="1"/>
  <c r="C17" i="8" a="1"/>
  <c r="C17" i="8" s="1"/>
  <c r="C15" i="8" a="1"/>
  <c r="C15" i="8" s="1"/>
  <c r="B12" i="8" a="1"/>
  <c r="B12" i="8" s="1"/>
  <c r="C25" i="8" a="1"/>
  <c r="C25" i="8" s="1"/>
  <c r="C22" i="8" a="1"/>
  <c r="C22" i="8" s="1"/>
  <c r="C20" i="8" a="1"/>
  <c r="C20" i="8" s="1"/>
  <c r="BC103" i="1"/>
  <c r="U103" i="1"/>
  <c r="BD103" i="1"/>
  <c r="BD102" i="1"/>
  <c r="U102" i="1"/>
  <c r="BC102" i="1"/>
  <c r="U65" i="1"/>
  <c r="BD69" i="1"/>
  <c r="U69" i="1"/>
  <c r="BC69" i="1"/>
  <c r="U68" i="1"/>
  <c r="BD68" i="1"/>
  <c r="BC68" i="1"/>
  <c r="U67" i="1"/>
  <c r="BD67" i="1"/>
  <c r="BC67" i="1"/>
  <c r="BD34" i="1"/>
  <c r="BC34" i="1"/>
  <c r="U34" i="1"/>
  <c r="BC33" i="1"/>
  <c r="BD33" i="1"/>
  <c r="U33" i="1"/>
  <c r="U32" i="1"/>
  <c r="BD32" i="1"/>
  <c r="BC32" i="1"/>
  <c r="U212" i="1"/>
  <c r="BD212" i="1"/>
  <c r="BC212" i="1"/>
  <c r="BD211" i="1"/>
  <c r="BC211" i="1"/>
  <c r="U211" i="1"/>
  <c r="U210" i="1"/>
  <c r="BD210" i="1"/>
  <c r="BC210" i="1"/>
  <c r="BD209" i="1"/>
  <c r="U209" i="1"/>
  <c r="BC209" i="1"/>
  <c r="U208" i="1"/>
  <c r="BC208" i="1"/>
  <c r="BD208" i="1"/>
  <c r="BD115" i="1"/>
  <c r="BC170" i="1"/>
  <c r="BC167" i="1"/>
  <c r="BD169" i="1"/>
  <c r="BD207" i="1"/>
  <c r="BC207" i="1"/>
  <c r="U207" i="1"/>
  <c r="BD167" i="1"/>
  <c r="BC132" i="1"/>
  <c r="U132" i="1"/>
  <c r="BD170" i="1"/>
  <c r="BD206" i="1"/>
  <c r="U206" i="1"/>
  <c r="BC206" i="1"/>
  <c r="BD198" i="1"/>
  <c r="BC198" i="1"/>
  <c r="U198" i="1"/>
  <c r="U197" i="1"/>
  <c r="BD197" i="1"/>
  <c r="BC197" i="1"/>
  <c r="U196" i="1"/>
  <c r="BD196" i="1"/>
  <c r="BC196" i="1"/>
  <c r="BD195" i="1"/>
  <c r="U195" i="1"/>
  <c r="BC195" i="1"/>
  <c r="U194" i="1"/>
  <c r="BD194" i="1"/>
  <c r="BC194" i="1"/>
  <c r="BC193" i="1"/>
  <c r="U193" i="1"/>
  <c r="BD193" i="1"/>
  <c r="BC192" i="1"/>
  <c r="U192" i="1"/>
  <c r="BD192" i="1"/>
  <c r="BC191" i="1"/>
  <c r="U191" i="1"/>
  <c r="BD191" i="1"/>
  <c r="U180" i="1"/>
  <c r="BC180" i="1"/>
  <c r="BD180" i="1"/>
  <c r="BC179" i="1"/>
  <c r="U179" i="1"/>
  <c r="BD179" i="1"/>
  <c r="U178" i="1"/>
  <c r="BC178" i="1"/>
  <c r="BD178" i="1"/>
  <c r="BD177" i="1"/>
  <c r="U177" i="1"/>
  <c r="BC177" i="1"/>
  <c r="BD176" i="1"/>
  <c r="U176" i="1"/>
  <c r="BC176" i="1"/>
  <c r="U175" i="1"/>
  <c r="BD175" i="1"/>
  <c r="BC175" i="1"/>
  <c r="U174" i="1"/>
  <c r="BD174" i="1"/>
  <c r="BC174" i="1"/>
  <c r="BC173" i="1"/>
  <c r="BD173" i="1"/>
  <c r="U173" i="1"/>
  <c r="BD172" i="1"/>
  <c r="BC172" i="1"/>
  <c r="U172" i="1"/>
  <c r="BD63" i="1"/>
  <c r="BD120" i="1"/>
  <c r="BD163" i="1"/>
  <c r="U163" i="1"/>
  <c r="BC163" i="1"/>
  <c r="BD162" i="1"/>
  <c r="U162" i="1"/>
  <c r="BC162" i="1"/>
  <c r="BC161" i="1"/>
  <c r="U161" i="1"/>
  <c r="BD161" i="1"/>
  <c r="BD160" i="1"/>
  <c r="U160" i="1"/>
  <c r="BC160" i="1"/>
  <c r="BD159" i="1"/>
  <c r="U159" i="1"/>
  <c r="BC159" i="1"/>
  <c r="BC158" i="1"/>
  <c r="U158" i="1"/>
  <c r="BD158" i="1"/>
  <c r="BD157" i="1"/>
  <c r="U157" i="1"/>
  <c r="BC157" i="1"/>
  <c r="BC156" i="1"/>
  <c r="U156" i="1"/>
  <c r="BD156" i="1"/>
  <c r="BC155" i="1"/>
  <c r="BD155" i="1"/>
  <c r="U155" i="1"/>
  <c r="BD145" i="1"/>
  <c r="U145" i="1"/>
  <c r="BC145" i="1"/>
  <c r="U144" i="1"/>
  <c r="BC144" i="1"/>
  <c r="BD144" i="1"/>
  <c r="BD143" i="1"/>
  <c r="U143" i="1"/>
  <c r="BC143" i="1"/>
  <c r="BC63" i="1"/>
  <c r="U142" i="1"/>
  <c r="BD142" i="1"/>
  <c r="BC142" i="1"/>
  <c r="BC62" i="1"/>
  <c r="BD62" i="1"/>
  <c r="BC141" i="1"/>
  <c r="U141" i="1"/>
  <c r="BD141" i="1"/>
  <c r="U140" i="1"/>
  <c r="BC140" i="1"/>
  <c r="BD140" i="1"/>
  <c r="BD139" i="1"/>
  <c r="U139" i="1"/>
  <c r="BC139" i="1"/>
  <c r="BD138" i="1"/>
  <c r="BC138" i="1"/>
  <c r="U138" i="1"/>
  <c r="BD127" i="1"/>
  <c r="BC127" i="1"/>
  <c r="U127" i="1"/>
  <c r="BD126" i="1"/>
  <c r="U126" i="1"/>
  <c r="BC126" i="1"/>
  <c r="BD125" i="1"/>
  <c r="U125" i="1"/>
  <c r="BC125" i="1"/>
  <c r="BD124" i="1"/>
  <c r="U124" i="1"/>
  <c r="BC124" i="1"/>
  <c r="U123" i="1"/>
  <c r="BD123" i="1"/>
  <c r="BC123" i="1"/>
  <c r="U122" i="1"/>
  <c r="BC122" i="1"/>
  <c r="BD122" i="1"/>
  <c r="BD65" i="1"/>
  <c r="BD109" i="1"/>
  <c r="U109" i="1"/>
  <c r="BC109" i="1"/>
  <c r="U108" i="1"/>
  <c r="BD108" i="1"/>
  <c r="BC108" i="1"/>
  <c r="BC85" i="1"/>
  <c r="BD85" i="1"/>
  <c r="U107" i="1"/>
  <c r="BD107" i="1"/>
  <c r="BC107" i="1"/>
  <c r="U106" i="1"/>
  <c r="BD106" i="1"/>
  <c r="BC106" i="1"/>
  <c r="U105" i="1"/>
  <c r="BD105" i="1"/>
  <c r="BC105" i="1"/>
  <c r="U104" i="1"/>
  <c r="BC104" i="1"/>
  <c r="BD104" i="1"/>
  <c r="BD101" i="1"/>
  <c r="U101" i="1"/>
  <c r="BC101" i="1"/>
  <c r="U91" i="1"/>
  <c r="BC91" i="1"/>
  <c r="BD91" i="1"/>
  <c r="U90" i="1"/>
  <c r="BC90" i="1"/>
  <c r="BD90" i="1"/>
  <c r="U89" i="1"/>
  <c r="BD89" i="1"/>
  <c r="BC89" i="1"/>
  <c r="U88" i="1"/>
  <c r="BD88" i="1"/>
  <c r="BC88" i="1"/>
  <c r="BD87" i="1"/>
  <c r="U87" i="1"/>
  <c r="BC87" i="1"/>
  <c r="U73" i="1"/>
  <c r="BC73" i="1"/>
  <c r="BD73" i="1"/>
  <c r="U72" i="1"/>
  <c r="BD72" i="1"/>
  <c r="BC72" i="1"/>
  <c r="U71" i="1"/>
  <c r="BD71" i="1"/>
  <c r="BC71" i="1"/>
  <c r="BC70" i="1"/>
  <c r="U70" i="1"/>
  <c r="BD70" i="1"/>
  <c r="BC55" i="1"/>
  <c r="BD55" i="1"/>
  <c r="U55" i="1"/>
  <c r="BC48" i="1"/>
  <c r="BD48" i="1"/>
  <c r="BD54" i="1"/>
  <c r="U54" i="1"/>
  <c r="BC54" i="1"/>
  <c r="BD53" i="1"/>
  <c r="U53" i="1"/>
  <c r="BC53" i="1"/>
  <c r="BD47" i="1"/>
  <c r="BC47" i="1"/>
  <c r="U22" i="1"/>
  <c r="BD21" i="1"/>
  <c r="BC37" i="1"/>
  <c r="BD37" i="1"/>
  <c r="U37" i="1"/>
  <c r="BC21" i="1"/>
  <c r="BC9" i="1"/>
  <c r="BD9" i="1"/>
  <c r="BC22" i="1"/>
  <c r="BD26" i="1"/>
  <c r="U26" i="1"/>
  <c r="BC24" i="1"/>
  <c r="BD7" i="1"/>
  <c r="BD36" i="1"/>
  <c r="U36" i="1"/>
  <c r="BC36" i="1"/>
  <c r="U24" i="1"/>
  <c r="M245" i="3"/>
  <c r="C245" i="3"/>
  <c r="B246" i="3" s="1"/>
  <c r="BD19" i="1"/>
  <c r="BC19" i="1"/>
  <c r="U19" i="1"/>
  <c r="B9" i="8" a="1"/>
  <c r="B9" i="8" s="1"/>
  <c r="C9" i="8" a="1"/>
  <c r="C9" i="8" s="1"/>
  <c r="BD219" i="1"/>
  <c r="BC183" i="1"/>
  <c r="BC2" i="1"/>
  <c r="BD2" i="1"/>
  <c r="BD165" i="1"/>
  <c r="BD4" i="1"/>
  <c r="BC118" i="1"/>
  <c r="BD113" i="1"/>
  <c r="U136" i="1"/>
  <c r="BC113" i="1"/>
  <c r="BD136" i="1"/>
  <c r="BD118" i="1"/>
  <c r="BD131" i="1"/>
  <c r="BC38" i="1"/>
  <c r="BC131" i="1"/>
  <c r="U151" i="1"/>
  <c r="BC202" i="1"/>
  <c r="BC133" i="1"/>
  <c r="BD93" i="1"/>
  <c r="BD151" i="1"/>
  <c r="BD133" i="1"/>
  <c r="BD202" i="1"/>
  <c r="BC171" i="1"/>
  <c r="BC222" i="1"/>
  <c r="BC27" i="1"/>
  <c r="BD78" i="1"/>
  <c r="U3" i="1"/>
  <c r="BD3" i="1"/>
  <c r="BD60" i="1"/>
  <c r="U60" i="1"/>
  <c r="BD28" i="1"/>
  <c r="BC28" i="1"/>
  <c r="BD44" i="1"/>
  <c r="BC44" i="1"/>
  <c r="BC15" i="1"/>
  <c r="BD15" i="1"/>
  <c r="BC110" i="1"/>
  <c r="BD92" i="1"/>
  <c r="BC117" i="1"/>
  <c r="U130" i="1"/>
  <c r="BC6" i="1"/>
  <c r="BD6" i="1"/>
  <c r="U79" i="1"/>
  <c r="BC130" i="1"/>
  <c r="BC79" i="1"/>
  <c r="BC30" i="1"/>
  <c r="BD97" i="1"/>
  <c r="BD129" i="1"/>
  <c r="BC129" i="1"/>
  <c r="BC164" i="1"/>
  <c r="BC82" i="1"/>
  <c r="BD117" i="1"/>
  <c r="BD82" i="1"/>
  <c r="BD110" i="1"/>
  <c r="BD61" i="1"/>
  <c r="BC92" i="1"/>
  <c r="BD119" i="1"/>
  <c r="BC119" i="1"/>
  <c r="BD184" i="1"/>
  <c r="BD39" i="1"/>
  <c r="BC184" i="1"/>
  <c r="BC39" i="1"/>
  <c r="AJ120" i="1"/>
  <c r="AK120" i="1" s="1"/>
  <c r="BC61" i="1"/>
  <c r="CW3" i="1"/>
  <c r="DD3" i="1" s="1"/>
  <c r="BC83" i="1"/>
  <c r="AJ130" i="1"/>
  <c r="AK130" i="1" s="1"/>
  <c r="U7" i="1"/>
  <c r="BC96" i="1"/>
  <c r="BC135" i="1"/>
  <c r="BD96" i="1"/>
  <c r="AJ139" i="1"/>
  <c r="BC23" i="1"/>
  <c r="BD205" i="1"/>
  <c r="BD135" i="1"/>
  <c r="BD23" i="1"/>
  <c r="AJ138" i="1"/>
  <c r="BD226" i="1"/>
  <c r="BC226" i="1"/>
  <c r="BC205" i="1"/>
  <c r="AJ202" i="1"/>
  <c r="AK202" i="1" s="1"/>
  <c r="BD83" i="1"/>
  <c r="BD95" i="1"/>
  <c r="BC189" i="1"/>
  <c r="BD189" i="1"/>
  <c r="BC95" i="1"/>
  <c r="BD152" i="1"/>
  <c r="BC16" i="1"/>
  <c r="BC152" i="1"/>
  <c r="BD16" i="1"/>
  <c r="BC201" i="1"/>
  <c r="U201" i="1"/>
  <c r="BD201" i="1"/>
  <c r="AJ204" i="1"/>
  <c r="AK204" i="1" s="1"/>
  <c r="BD116" i="1"/>
  <c r="BD56" i="1"/>
  <c r="BC116" i="1"/>
  <c r="BD80" i="1"/>
  <c r="U165" i="1"/>
  <c r="AJ127" i="1"/>
  <c r="AJ126" i="1"/>
  <c r="BC80" i="1"/>
  <c r="BC8" i="1"/>
  <c r="BD31" i="1"/>
  <c r="BC4" i="1"/>
  <c r="AJ133" i="1"/>
  <c r="AK133" i="1" s="1"/>
  <c r="AJ111" i="1"/>
  <c r="AK111" i="1" s="1"/>
  <c r="AJ114" i="1"/>
  <c r="AK114" i="1" s="1"/>
  <c r="BC64" i="1"/>
  <c r="BD8" i="1"/>
  <c r="BD183" i="1"/>
  <c r="AJ125" i="1"/>
  <c r="BC56" i="1"/>
  <c r="AJ117" i="1"/>
  <c r="AK117" i="1" s="1"/>
  <c r="AJ116" i="1"/>
  <c r="AK116" i="1" s="1"/>
  <c r="BD64" i="1"/>
  <c r="AJ118" i="1"/>
  <c r="AK118" i="1" s="1"/>
  <c r="AJ115" i="1"/>
  <c r="AK115" i="1" s="1"/>
  <c r="AJ124" i="1"/>
  <c r="AJ123" i="1"/>
  <c r="BC114" i="1"/>
  <c r="AJ122" i="1"/>
  <c r="BC17" i="1"/>
  <c r="BD114" i="1"/>
  <c r="AJ172" i="1"/>
  <c r="AJ183" i="1"/>
  <c r="AK183" i="1" s="1"/>
  <c r="AJ121" i="1"/>
  <c r="AK121" i="1" s="1"/>
  <c r="AJ135" i="1"/>
  <c r="AK135" i="1" s="1"/>
  <c r="BD17" i="1"/>
  <c r="BC45" i="1"/>
  <c r="BD45" i="1"/>
  <c r="AJ113" i="1"/>
  <c r="AK113" i="1" s="1"/>
  <c r="BD46" i="1"/>
  <c r="AJ107" i="1"/>
  <c r="AJ93" i="1"/>
  <c r="AK93" i="1" s="1"/>
  <c r="AJ109" i="1"/>
  <c r="AJ97" i="1"/>
  <c r="AK97" i="1" s="1"/>
  <c r="AJ110" i="1"/>
  <c r="AK110" i="1" s="1"/>
  <c r="AJ106" i="1"/>
  <c r="AJ94" i="1"/>
  <c r="AK94" i="1" s="1"/>
  <c r="BC81" i="1"/>
  <c r="AJ104" i="1"/>
  <c r="BC147" i="1"/>
  <c r="AJ181" i="1"/>
  <c r="BD185" i="1"/>
  <c r="BC40" i="1"/>
  <c r="AJ167" i="1"/>
  <c r="AK167" i="1" s="1"/>
  <c r="AJ219" i="1"/>
  <c r="AK219" i="1" s="1"/>
  <c r="AJ137" i="1"/>
  <c r="AJ105" i="1"/>
  <c r="BC224" i="1"/>
  <c r="BD164" i="1"/>
  <c r="AJ145" i="1"/>
  <c r="BD81" i="1"/>
  <c r="BC14" i="1"/>
  <c r="AJ144" i="1"/>
  <c r="BD14" i="1"/>
  <c r="U185" i="1"/>
  <c r="AJ103" i="1"/>
  <c r="AJ180" i="1"/>
  <c r="BC185" i="1"/>
  <c r="BD40" i="1"/>
  <c r="BD224" i="1"/>
  <c r="AJ91" i="1"/>
  <c r="AJ232" i="1"/>
  <c r="BC134" i="1"/>
  <c r="AJ102" i="1"/>
  <c r="AJ178" i="1"/>
  <c r="AJ166" i="1"/>
  <c r="AK166" i="1" s="1"/>
  <c r="BD100" i="1"/>
  <c r="AJ98" i="1"/>
  <c r="AK98" i="1" s="1"/>
  <c r="U97" i="1"/>
  <c r="U30" i="1"/>
  <c r="BD227" i="1"/>
  <c r="AJ140" i="1"/>
  <c r="U147" i="1"/>
  <c r="BC227" i="1"/>
  <c r="AJ229" i="1"/>
  <c r="BD134" i="1"/>
  <c r="AJ177" i="1"/>
  <c r="BC100" i="1"/>
  <c r="AJ168" i="1"/>
  <c r="AK168" i="1" s="1"/>
  <c r="AJ112" i="1"/>
  <c r="AK112" i="1" s="1"/>
  <c r="AJ191" i="1"/>
  <c r="AJ30" i="1"/>
  <c r="AK30" i="1" s="1"/>
  <c r="AJ35" i="1"/>
  <c r="AJ119" i="1"/>
  <c r="AK119" i="1" s="1"/>
  <c r="AJ142" i="1"/>
  <c r="AJ141" i="1"/>
  <c r="BC46" i="1"/>
  <c r="AJ92" i="1"/>
  <c r="AK92" i="1" s="1"/>
  <c r="AJ228" i="1"/>
  <c r="AJ173" i="1"/>
  <c r="AJ164" i="1"/>
  <c r="AK164" i="1" s="1"/>
  <c r="AJ31" i="1"/>
  <c r="AK31" i="1" s="1"/>
  <c r="AJ86" i="1"/>
  <c r="BD203" i="1"/>
  <c r="U25" i="1"/>
  <c r="BD18" i="1"/>
  <c r="BC25" i="1"/>
  <c r="AJ215" i="1"/>
  <c r="AJ199" i="1"/>
  <c r="BD25" i="1"/>
  <c r="AJ82" i="1"/>
  <c r="AK82" i="1" s="1"/>
  <c r="AJ131" i="1"/>
  <c r="AK131" i="1" s="1"/>
  <c r="BD38" i="1"/>
  <c r="BD66" i="1"/>
  <c r="BC18" i="1"/>
  <c r="AJ205" i="1"/>
  <c r="AK205" i="1" s="1"/>
  <c r="AJ79" i="1"/>
  <c r="AK79" i="1" s="1"/>
  <c r="AJ65" i="1"/>
  <c r="AK65" i="1" s="1"/>
  <c r="AJ188" i="1"/>
  <c r="AK188" i="1" s="1"/>
  <c r="BD190" i="1"/>
  <c r="BC74" i="1"/>
  <c r="AJ212" i="1"/>
  <c r="AJ143" i="1"/>
  <c r="U58" i="1"/>
  <c r="BC58" i="1"/>
  <c r="AJ210" i="1"/>
  <c r="AJ193" i="1"/>
  <c r="AJ5" i="1"/>
  <c r="AK5" i="1" s="1"/>
  <c r="BC66" i="1"/>
  <c r="AJ67" i="1"/>
  <c r="AJ61" i="1"/>
  <c r="AK61" i="1" s="1"/>
  <c r="AJ58" i="1"/>
  <c r="AK58" i="1" s="1"/>
  <c r="AJ90" i="1"/>
  <c r="AJ196" i="1"/>
  <c r="AJ207" i="1"/>
  <c r="U182" i="1"/>
  <c r="AJ132" i="1"/>
  <c r="AK132" i="1" s="1"/>
  <c r="AJ14" i="1"/>
  <c r="AK14" i="1" s="1"/>
  <c r="AJ213" i="1"/>
  <c r="BC190" i="1"/>
  <c r="BD74" i="1"/>
  <c r="AJ17" i="1"/>
  <c r="AK17" i="1" s="1"/>
  <c r="U203" i="1"/>
  <c r="AJ19" i="1"/>
  <c r="AK19" i="1" s="1"/>
  <c r="AJ6" i="1"/>
  <c r="AK6" i="1" s="1"/>
  <c r="AJ129" i="1"/>
  <c r="AK129" i="1" s="1"/>
  <c r="BC11" i="1"/>
  <c r="BD84" i="1"/>
  <c r="AJ16" i="1"/>
  <c r="AK16" i="1" s="1"/>
  <c r="AJ15" i="1"/>
  <c r="AK15" i="1" s="1"/>
  <c r="AJ128" i="1"/>
  <c r="AK128" i="1" s="1"/>
  <c r="AJ76" i="1"/>
  <c r="AK76" i="1" s="1"/>
  <c r="AJ96" i="1"/>
  <c r="AK96" i="1" s="1"/>
  <c r="AJ185" i="1"/>
  <c r="AK185" i="1" s="1"/>
  <c r="AJ217" i="1"/>
  <c r="AJ209" i="1"/>
  <c r="AJ88" i="1"/>
  <c r="AJ195" i="1"/>
  <c r="AJ184" i="1"/>
  <c r="AK184" i="1" s="1"/>
  <c r="AJ75" i="1"/>
  <c r="AJ216" i="1"/>
  <c r="AJ208" i="1"/>
  <c r="AJ87" i="1"/>
  <c r="AJ194" i="1"/>
  <c r="AJ186" i="1"/>
  <c r="AK186" i="1" s="1"/>
  <c r="AJ201" i="1"/>
  <c r="AK201" i="1" s="1"/>
  <c r="AJ136" i="1"/>
  <c r="AK136" i="1" s="1"/>
  <c r="AJ134" i="1"/>
  <c r="AK134" i="1" s="1"/>
  <c r="AJ214" i="1"/>
  <c r="AJ206" i="1"/>
  <c r="BC203" i="1"/>
  <c r="AJ192" i="1"/>
  <c r="AJ182" i="1"/>
  <c r="AK182" i="1" s="1"/>
  <c r="AJ78" i="1"/>
  <c r="AK78" i="1" s="1"/>
  <c r="BD76" i="1"/>
  <c r="AJ80" i="1"/>
  <c r="AK80" i="1" s="1"/>
  <c r="AJ200" i="1"/>
  <c r="AK200" i="1" s="1"/>
  <c r="AJ198" i="1"/>
  <c r="BD182" i="1"/>
  <c r="BC76" i="1"/>
  <c r="AJ211" i="1"/>
  <c r="AJ89" i="1"/>
  <c r="AJ197" i="1"/>
  <c r="BC182" i="1"/>
  <c r="AJ189" i="1"/>
  <c r="AK189" i="1" s="1"/>
  <c r="AJ227" i="1"/>
  <c r="AK227" i="1" s="1"/>
  <c r="AJ37" i="1"/>
  <c r="AJ99" i="1"/>
  <c r="AK99" i="1" s="1"/>
  <c r="BD171" i="1"/>
  <c r="BC78" i="1"/>
  <c r="AJ108" i="1"/>
  <c r="AJ101" i="1"/>
  <c r="BC93" i="1"/>
  <c r="AJ176" i="1"/>
  <c r="AJ77" i="1"/>
  <c r="AK77" i="1" s="1"/>
  <c r="AJ220" i="1"/>
  <c r="AK220" i="1" s="1"/>
  <c r="AJ7" i="1"/>
  <c r="AK7" i="1" s="1"/>
  <c r="AJ95" i="1"/>
  <c r="AK95" i="1" s="1"/>
  <c r="AJ8" i="1"/>
  <c r="AK8" i="1" s="1"/>
  <c r="AJ218" i="1"/>
  <c r="AK218" i="1" s="1"/>
  <c r="AJ10" i="1"/>
  <c r="AK10" i="1" s="1"/>
  <c r="AJ171" i="1"/>
  <c r="AK171" i="1" s="1"/>
  <c r="AJ222" i="1"/>
  <c r="AK222" i="1" s="1"/>
  <c r="AJ13" i="1"/>
  <c r="AK13" i="1" s="1"/>
  <c r="AJ226" i="1"/>
  <c r="AK226" i="1" s="1"/>
  <c r="AJ187" i="1"/>
  <c r="AK187" i="1" s="1"/>
  <c r="AJ36" i="1"/>
  <c r="AJ165" i="1"/>
  <c r="AK165" i="1" s="1"/>
  <c r="AJ174" i="1"/>
  <c r="AJ85" i="1"/>
  <c r="AK85" i="1" s="1"/>
  <c r="AJ223" i="1"/>
  <c r="AJ74" i="1"/>
  <c r="AK74" i="1" s="1"/>
  <c r="AJ28" i="1"/>
  <c r="AK28" i="1" s="1"/>
  <c r="AJ2" i="1"/>
  <c r="AK2" i="1" s="1"/>
  <c r="AJ3" i="1"/>
  <c r="AK3" i="1" s="1"/>
  <c r="AJ233" i="1"/>
  <c r="AJ175" i="1"/>
  <c r="BD27" i="1"/>
  <c r="AJ12" i="1"/>
  <c r="AK12" i="1" s="1"/>
  <c r="AJ81" i="1"/>
  <c r="AK81" i="1" s="1"/>
  <c r="AJ11" i="1"/>
  <c r="AK11" i="1" s="1"/>
  <c r="AJ221" i="1"/>
  <c r="AK221" i="1" s="1"/>
  <c r="AJ231" i="1"/>
  <c r="AJ225" i="1"/>
  <c r="AK225" i="1" s="1"/>
  <c r="AJ83" i="1"/>
  <c r="AK83" i="1" s="1"/>
  <c r="AJ84" i="1"/>
  <c r="AK84" i="1" s="1"/>
  <c r="AJ170" i="1"/>
  <c r="AK170" i="1" s="1"/>
  <c r="BD222" i="1"/>
  <c r="AJ230" i="1"/>
  <c r="AJ179" i="1"/>
  <c r="BD11" i="1"/>
  <c r="BC84" i="1"/>
  <c r="AJ18" i="1"/>
  <c r="AK18" i="1" s="1"/>
  <c r="AJ9" i="1"/>
  <c r="AK9" i="1" s="1"/>
  <c r="AJ4" i="1"/>
  <c r="AK4" i="1" s="1"/>
  <c r="AJ169" i="1"/>
  <c r="AK169" i="1" s="1"/>
  <c r="AJ100" i="1"/>
  <c r="AK100" i="1" s="1"/>
  <c r="AJ34" i="1"/>
  <c r="AJ73" i="1"/>
  <c r="AJ23" i="1"/>
  <c r="AK23" i="1" s="1"/>
  <c r="AJ62" i="1"/>
  <c r="AK62" i="1" s="1"/>
  <c r="AJ224" i="1"/>
  <c r="AK224" i="1" s="1"/>
  <c r="AJ235" i="1"/>
  <c r="AJ72" i="1"/>
  <c r="AJ21" i="1"/>
  <c r="AK21" i="1" s="1"/>
  <c r="AJ56" i="1"/>
  <c r="AK56" i="1" s="1"/>
  <c r="AJ59" i="1"/>
  <c r="AK59" i="1" s="1"/>
  <c r="AJ33" i="1"/>
  <c r="AJ22" i="1"/>
  <c r="AK22" i="1" s="1"/>
  <c r="AJ71" i="1"/>
  <c r="AJ63" i="1"/>
  <c r="AK63" i="1" s="1"/>
  <c r="AJ64" i="1"/>
  <c r="AK64" i="1" s="1"/>
  <c r="AJ27" i="1"/>
  <c r="AK27" i="1" s="1"/>
  <c r="AJ32" i="1"/>
  <c r="AJ29" i="1"/>
  <c r="AK29" i="1" s="1"/>
  <c r="AJ26" i="1"/>
  <c r="AJ70" i="1"/>
  <c r="AJ20" i="1"/>
  <c r="AK20" i="1" s="1"/>
  <c r="AJ60" i="1"/>
  <c r="AK60" i="1" s="1"/>
  <c r="AJ234" i="1"/>
  <c r="AJ69" i="1"/>
  <c r="AJ66" i="1"/>
  <c r="AK66" i="1" s="1"/>
  <c r="AJ25" i="1"/>
  <c r="AK25" i="1" s="1"/>
  <c r="BC31" i="1"/>
  <c r="AJ24" i="1"/>
  <c r="AK24" i="1" s="1"/>
  <c r="AJ68" i="1"/>
  <c r="AJ57" i="1"/>
  <c r="AK57" i="1" s="1"/>
  <c r="AJ52" i="1"/>
  <c r="CW4" i="1"/>
  <c r="DD4" i="1" s="1"/>
  <c r="AJ40" i="1"/>
  <c r="AK40" i="1" s="1"/>
  <c r="AJ161" i="1"/>
  <c r="AJ153" i="1"/>
  <c r="CW5" i="1"/>
  <c r="DB5" i="1" s="1"/>
  <c r="CV12" i="1"/>
  <c r="E14" i="4" s="1"/>
  <c r="CW8" i="1"/>
  <c r="DD8" i="1" s="1"/>
  <c r="AJ147" i="1"/>
  <c r="AK147" i="1" s="1"/>
  <c r="AJ203" i="1"/>
  <c r="AK203" i="1" s="1"/>
  <c r="CV5" i="1"/>
  <c r="E7" i="4" s="1"/>
  <c r="BC41" i="1"/>
  <c r="CW10" i="1"/>
  <c r="DD10" i="1" s="1"/>
  <c r="AJ160" i="1"/>
  <c r="AJ51" i="1"/>
  <c r="AJ38" i="1"/>
  <c r="AK38" i="1" s="1"/>
  <c r="AJ150" i="1"/>
  <c r="AK150" i="1" s="1"/>
  <c r="BD41" i="1"/>
  <c r="CW11" i="1"/>
  <c r="DD11" i="1" s="1"/>
  <c r="AJ159" i="1"/>
  <c r="AJ50" i="1"/>
  <c r="AJ151" i="1"/>
  <c r="AK151" i="1" s="1"/>
  <c r="AJ42" i="1"/>
  <c r="AK42" i="1" s="1"/>
  <c r="AJ41" i="1"/>
  <c r="AK41" i="1" s="1"/>
  <c r="AJ46" i="1"/>
  <c r="AK46" i="1" s="1"/>
  <c r="CW7" i="1"/>
  <c r="DD7" i="1" s="1"/>
  <c r="CV13" i="1"/>
  <c r="E15" i="4" s="1"/>
  <c r="AJ158" i="1"/>
  <c r="AJ49" i="1"/>
  <c r="AJ146" i="1"/>
  <c r="AK146" i="1" s="1"/>
  <c r="AJ48" i="1"/>
  <c r="AK48" i="1" s="1"/>
  <c r="AJ157" i="1"/>
  <c r="AJ152" i="1"/>
  <c r="AK152" i="1" s="1"/>
  <c r="AJ45" i="1"/>
  <c r="AK45" i="1" s="1"/>
  <c r="AJ44" i="1"/>
  <c r="AK44" i="1" s="1"/>
  <c r="BC148" i="1"/>
  <c r="AJ156" i="1"/>
  <c r="AJ55" i="1"/>
  <c r="AJ149" i="1"/>
  <c r="AK149" i="1" s="1"/>
  <c r="AJ148" i="1"/>
  <c r="AK148" i="1" s="1"/>
  <c r="AJ43" i="1"/>
  <c r="AK43" i="1" s="1"/>
  <c r="BD148" i="1"/>
  <c r="CV14" i="1"/>
  <c r="E16" i="4" s="1"/>
  <c r="CV9" i="1"/>
  <c r="E11" i="4" s="1"/>
  <c r="AJ163" i="1"/>
  <c r="AJ155" i="1"/>
  <c r="AJ54" i="1"/>
  <c r="CW12" i="1"/>
  <c r="DB12" i="1" s="1"/>
  <c r="CV15" i="1"/>
  <c r="E17" i="4" s="1"/>
  <c r="CV6" i="1"/>
  <c r="E8" i="4" s="1"/>
  <c r="AJ162" i="1"/>
  <c r="AJ154" i="1"/>
  <c r="AJ53" i="1"/>
  <c r="AJ39" i="1"/>
  <c r="AK39" i="1" s="1"/>
  <c r="AJ47" i="1"/>
  <c r="AK47" i="1" s="1"/>
  <c r="AJ190" i="1"/>
  <c r="AK190" i="1" s="1"/>
  <c r="AT87" i="1" a="1"/>
  <c r="AT87" i="1" s="1"/>
  <c r="CW13" i="1"/>
  <c r="F15" i="4" s="1"/>
  <c r="AT73" i="1" a="1"/>
  <c r="AT73" i="1" s="1"/>
  <c r="CV7" i="1"/>
  <c r="E9" i="4" s="1"/>
  <c r="CW9" i="1"/>
  <c r="DD9" i="1" s="1"/>
  <c r="CV11" i="1"/>
  <c r="E13" i="4" s="1"/>
  <c r="AT31" i="1" a="1"/>
  <c r="AT31" i="1" s="1"/>
  <c r="CW14" i="1"/>
  <c r="DB14" i="1" s="1"/>
  <c r="AT79" i="1" a="1"/>
  <c r="AT79" i="1" s="1"/>
  <c r="AT95" i="1" a="1"/>
  <c r="AT95" i="1" s="1"/>
  <c r="CV4" i="1"/>
  <c r="E6" i="4" s="1"/>
  <c r="CV10" i="1"/>
  <c r="E12" i="4" s="1"/>
  <c r="CW15" i="1"/>
  <c r="DD15" i="1" s="1"/>
  <c r="AT223" i="1" a="1"/>
  <c r="AT223" i="1" s="1"/>
  <c r="CW6" i="1"/>
  <c r="DB6" i="1" s="1"/>
  <c r="AT159" i="1" a="1"/>
  <c r="AT159" i="1" s="1"/>
  <c r="AT13" i="1" a="1"/>
  <c r="AT13" i="1" s="1"/>
  <c r="AT56" i="1" a="1"/>
  <c r="AT56" i="1" s="1"/>
  <c r="AT103" i="1" a="1"/>
  <c r="AT103" i="1" s="1"/>
  <c r="AT210" i="1" a="1"/>
  <c r="AT210" i="1" s="1"/>
  <c r="AT64" i="1" a="1"/>
  <c r="AT64" i="1" s="1"/>
  <c r="AT137" i="1" a="1"/>
  <c r="AT137" i="1" s="1"/>
  <c r="K226" i="6"/>
  <c r="AT39" i="1" a="1"/>
  <c r="AT39" i="1" s="1"/>
  <c r="AT167" i="1" a="1"/>
  <c r="AT167" i="1" s="1"/>
  <c r="AT47" i="1" a="1"/>
  <c r="AT47" i="1" s="1"/>
  <c r="AT111" i="1" a="1"/>
  <c r="AT111" i="1" s="1"/>
  <c r="AT175" i="1" a="1"/>
  <c r="AT175" i="1" s="1"/>
  <c r="AT80" i="1" a="1"/>
  <c r="AT80" i="1" s="1"/>
  <c r="AT55" i="1" a="1"/>
  <c r="AT55" i="1" s="1"/>
  <c r="AT119" i="1" a="1"/>
  <c r="AT119" i="1" s="1"/>
  <c r="AT183" i="1" a="1"/>
  <c r="AT183" i="1" s="1"/>
  <c r="AT8" i="1" a="1"/>
  <c r="AT8" i="1" s="1"/>
  <c r="AT88" i="1" a="1"/>
  <c r="AT88" i="1" s="1"/>
  <c r="AT63" i="1" a="1"/>
  <c r="AT63" i="1" s="1"/>
  <c r="AT127" i="1" a="1"/>
  <c r="AT127" i="1" s="1"/>
  <c r="AT191" i="1" a="1"/>
  <c r="AT191" i="1" s="1"/>
  <c r="AT20" i="1" a="1"/>
  <c r="AT20" i="1" s="1"/>
  <c r="AT96" i="1" a="1"/>
  <c r="AT96" i="1" s="1"/>
  <c r="AT12" i="1" a="1"/>
  <c r="AT12" i="1" s="1"/>
  <c r="AT71" i="1" a="1"/>
  <c r="AT71" i="1" s="1"/>
  <c r="AT135" i="1" a="1"/>
  <c r="AT135" i="1" s="1"/>
  <c r="AT199" i="1" a="1"/>
  <c r="AT199" i="1" s="1"/>
  <c r="AT15" i="1" a="1"/>
  <c r="AT15" i="1" s="1"/>
  <c r="AT120" i="1" a="1"/>
  <c r="AT120" i="1" s="1"/>
  <c r="AT207" i="1" a="1"/>
  <c r="AT207" i="1" s="1"/>
  <c r="AT32" i="1" a="1"/>
  <c r="AT32" i="1" s="1"/>
  <c r="AT128" i="1" a="1"/>
  <c r="AT128" i="1" s="1"/>
  <c r="AT143" i="1" a="1"/>
  <c r="AT143" i="1" s="1"/>
  <c r="AT22" i="1" a="1"/>
  <c r="AT22" i="1" s="1"/>
  <c r="AT151" i="1" a="1"/>
  <c r="AT151" i="1" s="1"/>
  <c r="AT215" i="1" a="1"/>
  <c r="AT215" i="1" s="1"/>
  <c r="AT40" i="1" a="1"/>
  <c r="AT40" i="1" s="1"/>
  <c r="AT192" i="1" a="1"/>
  <c r="AT192" i="1" s="1"/>
  <c r="AT5" i="1" a="1"/>
  <c r="AT5" i="1" s="1"/>
  <c r="AT72" i="1" a="1"/>
  <c r="AT72" i="1" s="1"/>
  <c r="AT136" i="1" a="1"/>
  <c r="AT136" i="1" s="1"/>
  <c r="AT200" i="1" a="1"/>
  <c r="AT200" i="1" s="1"/>
  <c r="AT2" i="1" a="1"/>
  <c r="AT2" i="1" s="1"/>
  <c r="AT81" i="1" a="1"/>
  <c r="AT81" i="1" s="1"/>
  <c r="AT145" i="1" a="1"/>
  <c r="AT145" i="1" s="1"/>
  <c r="AT209" i="1" a="1"/>
  <c r="AT209" i="1" s="1"/>
  <c r="AT50" i="1" a="1"/>
  <c r="AT50" i="1" s="1"/>
  <c r="AT114" i="1" a="1"/>
  <c r="AT114" i="1" s="1"/>
  <c r="AT178" i="1" a="1"/>
  <c r="AT178" i="1" s="1"/>
  <c r="AT144" i="1" a="1"/>
  <c r="AT144" i="1" s="1"/>
  <c r="AT208" i="1" a="1"/>
  <c r="AT208" i="1" s="1"/>
  <c r="AT25" i="1" a="1"/>
  <c r="AT25" i="1" s="1"/>
  <c r="AT89" i="1" a="1"/>
  <c r="AT89" i="1" s="1"/>
  <c r="AT153" i="1" a="1"/>
  <c r="AT153" i="1" s="1"/>
  <c r="AT217" i="1" a="1"/>
  <c r="AT217" i="1" s="1"/>
  <c r="D121" i="3" a="1"/>
  <c r="D121" i="3" s="1"/>
  <c r="D65" i="3" a="1"/>
  <c r="D65" i="3" s="1"/>
  <c r="D76" i="3" a="1"/>
  <c r="D76" i="3" s="1"/>
  <c r="D48" i="3" a="1"/>
  <c r="D48" i="3" s="1"/>
  <c r="D209" i="3" a="1"/>
  <c r="D209" i="3" s="1"/>
  <c r="D230" i="3" a="1"/>
  <c r="D230" i="3" s="1"/>
  <c r="D186" i="3" a="1"/>
  <c r="D186" i="3" s="1"/>
  <c r="D52" i="3" a="1"/>
  <c r="D52" i="3" s="1"/>
  <c r="D144" i="3" a="1"/>
  <c r="D144" i="3" s="1"/>
  <c r="D89" i="3" a="1"/>
  <c r="D89" i="3" s="1"/>
  <c r="D132" i="3" a="1"/>
  <c r="D132" i="3" s="1"/>
  <c r="D157" i="3" a="1"/>
  <c r="D157" i="3" s="1"/>
  <c r="D214" i="3" a="1"/>
  <c r="D214" i="3" s="1"/>
  <c r="D202" i="3" a="1"/>
  <c r="D202" i="3" s="1"/>
  <c r="D99" i="3" a="1"/>
  <c r="D99" i="3" s="1"/>
  <c r="D79" i="3" a="1"/>
  <c r="D79" i="3" s="1"/>
  <c r="D74" i="3" a="1"/>
  <c r="D74" i="3" s="1"/>
  <c r="D66" i="3" a="1"/>
  <c r="D66" i="3" s="1"/>
  <c r="D180" i="3" a="1"/>
  <c r="D180" i="3" s="1"/>
  <c r="D225" i="3" a="1"/>
  <c r="D225" i="3" s="1"/>
  <c r="D143" i="3" a="1"/>
  <c r="D143" i="3" s="1"/>
  <c r="D72" i="3" a="1"/>
  <c r="D72" i="3" s="1"/>
  <c r="D172" i="3" a="1"/>
  <c r="D172" i="3" s="1"/>
  <c r="D24" i="3" a="1"/>
  <c r="D24" i="3" s="1"/>
  <c r="D69" i="3" a="1"/>
  <c r="D69" i="3" s="1"/>
  <c r="D213" i="3" a="1"/>
  <c r="D213" i="3" s="1"/>
  <c r="D174" i="3" a="1"/>
  <c r="D174" i="3" s="1"/>
  <c r="D49" i="3" a="1"/>
  <c r="D49" i="3" s="1"/>
  <c r="D131" i="3" a="1"/>
  <c r="D131" i="3" s="1"/>
  <c r="D95" i="3" a="1"/>
  <c r="D95" i="3" s="1"/>
  <c r="D93" i="3" a="1"/>
  <c r="D93" i="3" s="1"/>
  <c r="D41" i="3" a="1"/>
  <c r="D41" i="3" s="1"/>
  <c r="D179" i="3" a="1"/>
  <c r="D179" i="3" s="1"/>
  <c r="D184" i="3" a="1"/>
  <c r="D184" i="3" s="1"/>
  <c r="D77" i="3" a="1"/>
  <c r="D77" i="3" s="1"/>
  <c r="D207" i="3" a="1"/>
  <c r="D207" i="3" s="1"/>
  <c r="D239" i="3" a="1"/>
  <c r="D239" i="3" s="1"/>
  <c r="D203" i="3" a="1"/>
  <c r="D203" i="3" s="1"/>
  <c r="D103" i="3" a="1"/>
  <c r="D103" i="3" s="1"/>
  <c r="D70" i="3" a="1"/>
  <c r="D70" i="3" s="1"/>
  <c r="D10" i="3" a="1"/>
  <c r="D10" i="3" s="1"/>
  <c r="D91" i="3" a="1"/>
  <c r="D91" i="3" s="1"/>
  <c r="D12" i="3" a="1"/>
  <c r="D12" i="3" s="1"/>
  <c r="D150" i="3" a="1"/>
  <c r="D150" i="3" s="1"/>
  <c r="D238" i="3" a="1"/>
  <c r="D238" i="3" s="1"/>
  <c r="D14" i="3" a="1"/>
  <c r="D14" i="3" s="1"/>
  <c r="D104" i="3" a="1"/>
  <c r="D104" i="3" s="1"/>
  <c r="D119" i="3" a="1"/>
  <c r="D119" i="3" s="1"/>
  <c r="D210" i="3" a="1"/>
  <c r="D210" i="3" s="1"/>
  <c r="D63" i="3" a="1"/>
  <c r="D63" i="3" s="1"/>
  <c r="D90" i="3" a="1"/>
  <c r="D90" i="3" s="1"/>
  <c r="D187" i="3" a="1"/>
  <c r="D187" i="3" s="1"/>
  <c r="D127" i="3" a="1"/>
  <c r="D127" i="3" s="1"/>
  <c r="D128" i="3" a="1"/>
  <c r="D128" i="3" s="1"/>
  <c r="D158" i="3" a="1"/>
  <c r="D158" i="3" s="1"/>
  <c r="D13" i="3" a="1"/>
  <c r="D13" i="3" s="1"/>
  <c r="D152" i="3" a="1"/>
  <c r="D152" i="3" s="1"/>
  <c r="D23" i="3" a="1"/>
  <c r="D23" i="3" s="1"/>
  <c r="D149" i="3" a="1"/>
  <c r="D149" i="3" s="1"/>
  <c r="D170" i="3" a="1"/>
  <c r="D170" i="3" s="1"/>
  <c r="D46" i="3" a="1"/>
  <c r="D46" i="3" s="1"/>
  <c r="D38" i="3" a="1"/>
  <c r="D38" i="3" s="1"/>
  <c r="D126" i="3" a="1"/>
  <c r="D126" i="3" s="1"/>
  <c r="D237" i="3" a="1"/>
  <c r="D237" i="3" s="1"/>
  <c r="D117" i="3" a="1"/>
  <c r="D117" i="3" s="1"/>
  <c r="D133" i="3" a="1"/>
  <c r="D133" i="3" s="1"/>
  <c r="D224" i="3" a="1"/>
  <c r="D224" i="3" s="1"/>
  <c r="D200" i="3" a="1"/>
  <c r="D200" i="3" s="1"/>
  <c r="D229" i="3" a="1"/>
  <c r="D229" i="3" s="1"/>
  <c r="D102" i="3" a="1"/>
  <c r="D102" i="3" s="1"/>
  <c r="D17" i="3" a="1"/>
  <c r="D17" i="3" s="1"/>
  <c r="D44" i="3" a="1"/>
  <c r="D44" i="3" s="1"/>
  <c r="D120" i="3" a="1"/>
  <c r="D120" i="3" s="1"/>
  <c r="D101" i="3" a="1"/>
  <c r="D101" i="3" s="1"/>
  <c r="D9" i="3" a="1"/>
  <c r="D9" i="3" s="1"/>
  <c r="D71" i="3" a="1"/>
  <c r="D71" i="3" s="1"/>
  <c r="D234" i="3" a="1"/>
  <c r="D234" i="3" s="1"/>
  <c r="D240" i="3" a="1"/>
  <c r="D240" i="3" s="1"/>
  <c r="D231" i="3" a="1"/>
  <c r="D231" i="3" s="1"/>
  <c r="D204" i="3" a="1"/>
  <c r="D204" i="3" s="1"/>
  <c r="D201" i="3" a="1"/>
  <c r="D201" i="3" s="1"/>
  <c r="D145" i="3" a="1"/>
  <c r="D145" i="3" s="1"/>
  <c r="D148" i="3" a="1"/>
  <c r="D148" i="3" s="1"/>
  <c r="D156" i="3" a="1"/>
  <c r="D156" i="3" s="1"/>
  <c r="D67" i="3" a="1"/>
  <c r="D67" i="3" s="1"/>
  <c r="D185" i="3" a="1"/>
  <c r="D185" i="3" s="1"/>
  <c r="D42" i="3" a="1"/>
  <c r="D42" i="3" s="1"/>
  <c r="D124" i="3" a="1"/>
  <c r="D124" i="3" s="1"/>
  <c r="D241" i="3" a="1"/>
  <c r="D241" i="3" s="1"/>
  <c r="D75" i="3" a="1"/>
  <c r="D75" i="3" s="1"/>
  <c r="D208" i="3" a="1"/>
  <c r="D208" i="3" s="1"/>
  <c r="D8" i="3" a="1"/>
  <c r="D8" i="3" s="1"/>
  <c r="D151" i="3" a="1"/>
  <c r="D151" i="3" s="1"/>
  <c r="D25" i="3" a="1"/>
  <c r="D25" i="3" s="1"/>
  <c r="D47" i="3" a="1"/>
  <c r="D47" i="3" s="1"/>
  <c r="D106" i="3" a="1"/>
  <c r="D106" i="3" s="1"/>
  <c r="D226" i="3" a="1"/>
  <c r="D226" i="3" s="1"/>
  <c r="D181" i="3" a="1"/>
  <c r="D181" i="3" s="1"/>
  <c r="D178" i="3" a="1"/>
  <c r="D178" i="3" s="1"/>
  <c r="D39" i="3" a="1"/>
  <c r="D39" i="3" s="1"/>
  <c r="D232" i="3" a="1"/>
  <c r="D232" i="3" s="1"/>
  <c r="D147" i="3" a="1"/>
  <c r="D147" i="3" s="1"/>
  <c r="D129" i="3" a="1"/>
  <c r="D129" i="3" s="1"/>
  <c r="D36" i="3" a="1"/>
  <c r="D36" i="3" s="1"/>
  <c r="D21" i="3" a="1"/>
  <c r="D21" i="3" s="1"/>
  <c r="D50" i="3" a="1"/>
  <c r="D50" i="3" s="1"/>
  <c r="D211" i="3" a="1"/>
  <c r="D211" i="3" s="1"/>
  <c r="D68" i="3" a="1"/>
  <c r="D68" i="3" s="1"/>
  <c r="D146" i="3" a="1"/>
  <c r="D146" i="3" s="1"/>
  <c r="D122" i="3" a="1"/>
  <c r="D122" i="3" s="1"/>
  <c r="D22" i="3" a="1"/>
  <c r="D22" i="3" s="1"/>
  <c r="D171" i="3" a="1"/>
  <c r="D171" i="3" s="1"/>
  <c r="D183" i="3" a="1"/>
  <c r="D183" i="3" s="1"/>
  <c r="D94" i="3" a="1"/>
  <c r="D94" i="3" s="1"/>
  <c r="D45" i="3" a="1"/>
  <c r="D45" i="3" s="1"/>
  <c r="D125" i="3" a="1"/>
  <c r="D125" i="3" s="1"/>
  <c r="D206" i="3" a="1"/>
  <c r="D206" i="3" s="1"/>
  <c r="D198" i="3" a="1"/>
  <c r="D198" i="3" s="1"/>
  <c r="D96" i="3" a="1"/>
  <c r="D96" i="3" s="1"/>
  <c r="D227" i="3" a="1"/>
  <c r="D227" i="3" s="1"/>
  <c r="D155" i="3" a="1"/>
  <c r="D155" i="3" s="1"/>
  <c r="D130" i="3" a="1"/>
  <c r="D130" i="3" s="1"/>
  <c r="D105" i="3" a="1"/>
  <c r="D105" i="3" s="1"/>
  <c r="D154" i="3" a="1"/>
  <c r="D154" i="3" s="1"/>
  <c r="D16" i="3" a="1"/>
  <c r="D16" i="3" s="1"/>
  <c r="D182" i="3" a="1"/>
  <c r="D182" i="3" s="1"/>
  <c r="D159" i="3" a="1"/>
  <c r="D159" i="3" s="1"/>
  <c r="D176" i="3" a="1"/>
  <c r="D176" i="3" s="1"/>
  <c r="D92" i="3" a="1"/>
  <c r="D92" i="3" s="1"/>
  <c r="D118" i="3" a="1"/>
  <c r="D118" i="3" s="1"/>
  <c r="D64" i="3" a="1"/>
  <c r="D64" i="3" s="1"/>
  <c r="D123" i="3" a="1"/>
  <c r="D123" i="3" s="1"/>
  <c r="D100" i="3" a="1"/>
  <c r="D100" i="3" s="1"/>
  <c r="D177" i="3" a="1"/>
  <c r="D177" i="3" s="1"/>
  <c r="D18" i="3" a="1"/>
  <c r="D18" i="3" s="1"/>
  <c r="D98" i="3" a="1"/>
  <c r="D98" i="3" s="1"/>
  <c r="D51" i="3" a="1"/>
  <c r="D51" i="3" s="1"/>
  <c r="D15" i="3" a="1"/>
  <c r="D15" i="3" s="1"/>
  <c r="D62" i="3" a="1"/>
  <c r="D62" i="3" s="1"/>
  <c r="D228" i="3" a="1"/>
  <c r="D228" i="3" s="1"/>
  <c r="D173" i="3" a="1"/>
  <c r="D173" i="3" s="1"/>
  <c r="D205" i="3" a="1"/>
  <c r="D205" i="3" s="1"/>
  <c r="D235" i="3" a="1"/>
  <c r="D235" i="3" s="1"/>
  <c r="D160" i="3" a="1"/>
  <c r="D160" i="3" s="1"/>
  <c r="D199" i="3" a="1"/>
  <c r="D199" i="3" s="1"/>
  <c r="D43" i="3" a="1"/>
  <c r="D43" i="3" s="1"/>
  <c r="D97" i="3" a="1"/>
  <c r="D97" i="3" s="1"/>
  <c r="D175" i="3" a="1"/>
  <c r="D175" i="3" s="1"/>
  <c r="D212" i="3" a="1"/>
  <c r="D212" i="3" s="1"/>
  <c r="D40" i="3" a="1"/>
  <c r="D40" i="3" s="1"/>
  <c r="D197" i="3" a="1"/>
  <c r="D197" i="3" s="1"/>
  <c r="D11" i="3" a="1"/>
  <c r="D11" i="3" s="1"/>
  <c r="D153" i="3" a="1"/>
  <c r="D153" i="3" s="1"/>
  <c r="D78" i="3" a="1"/>
  <c r="D78" i="3" s="1"/>
  <c r="D20" i="3" a="1"/>
  <c r="D20" i="3" s="1"/>
  <c r="D35" i="3" a="1"/>
  <c r="D35" i="3" s="1"/>
  <c r="D116" i="3" a="1"/>
  <c r="D116" i="3" s="1"/>
  <c r="D19" i="3" a="1"/>
  <c r="D19" i="3" s="1"/>
  <c r="D233" i="3" a="1"/>
  <c r="D233" i="3" s="1"/>
  <c r="D73" i="3" a="1"/>
  <c r="D73" i="3" s="1"/>
  <c r="D37" i="3" a="1"/>
  <c r="D37" i="3" s="1"/>
  <c r="AT58" i="1" a="1"/>
  <c r="AT58" i="1" s="1"/>
  <c r="AT122" i="1" a="1"/>
  <c r="AT122" i="1" s="1"/>
  <c r="AT186" i="1" a="1"/>
  <c r="AT186" i="1" s="1"/>
  <c r="AT152" i="1" a="1"/>
  <c r="AT152" i="1" s="1"/>
  <c r="AT216" i="1" a="1"/>
  <c r="AT216" i="1" s="1"/>
  <c r="AT33" i="1" a="1"/>
  <c r="AT33" i="1" s="1"/>
  <c r="AT97" i="1" a="1"/>
  <c r="AT97" i="1" s="1"/>
  <c r="AT161" i="1" a="1"/>
  <c r="AT161" i="1" s="1"/>
  <c r="AT225" i="1" a="1"/>
  <c r="AT225" i="1" s="1"/>
  <c r="AT3" i="1" a="1"/>
  <c r="AT3" i="1" s="1"/>
  <c r="AT66" i="1" a="1"/>
  <c r="AT66" i="1" s="1"/>
  <c r="AT130" i="1" a="1"/>
  <c r="AT130" i="1" s="1"/>
  <c r="AT194" i="1" a="1"/>
  <c r="AT194" i="1" s="1"/>
  <c r="AT160" i="1" a="1"/>
  <c r="AT160" i="1" s="1"/>
  <c r="AT224" i="1" a="1"/>
  <c r="AT224" i="1" s="1"/>
  <c r="AT41" i="1" a="1"/>
  <c r="AT41" i="1" s="1"/>
  <c r="AT105" i="1" a="1"/>
  <c r="AT105" i="1" s="1"/>
  <c r="AT169" i="1" a="1"/>
  <c r="AT169" i="1" s="1"/>
  <c r="AT233" i="1" a="1"/>
  <c r="AT233" i="1" s="1"/>
  <c r="AT14" i="1" a="1"/>
  <c r="AT14" i="1" s="1"/>
  <c r="AT74" i="1" a="1"/>
  <c r="AT74" i="1" s="1"/>
  <c r="AT138" i="1" a="1"/>
  <c r="AT138" i="1" s="1"/>
  <c r="AT202" i="1" a="1"/>
  <c r="AT202" i="1" s="1"/>
  <c r="AT104" i="1" a="1"/>
  <c r="AT104" i="1" s="1"/>
  <c r="AT168" i="1" a="1"/>
  <c r="AT168" i="1" s="1"/>
  <c r="AT232" i="1" a="1"/>
  <c r="AT232" i="1" s="1"/>
  <c r="AT49" i="1" a="1"/>
  <c r="AT49" i="1" s="1"/>
  <c r="AT113" i="1" a="1"/>
  <c r="AT113" i="1" s="1"/>
  <c r="AT177" i="1" a="1"/>
  <c r="AT177" i="1" s="1"/>
  <c r="AT18" i="1" a="1"/>
  <c r="AT18" i="1" s="1"/>
  <c r="AT82" i="1" a="1"/>
  <c r="AT82" i="1" s="1"/>
  <c r="AT146" i="1" a="1"/>
  <c r="AT146" i="1" s="1"/>
  <c r="D236" i="3" a="1"/>
  <c r="D236" i="3" s="1"/>
  <c r="AT231" i="1" a="1"/>
  <c r="AT231" i="1" s="1"/>
  <c r="AT9" i="1" a="1"/>
  <c r="AT9" i="1" s="1"/>
  <c r="AT181" i="1" a="1"/>
  <c r="AT181" i="1" s="1"/>
  <c r="AT117" i="1" a="1"/>
  <c r="AT117" i="1" s="1"/>
  <c r="AT53" i="1" a="1"/>
  <c r="AT53" i="1" s="1"/>
  <c r="AT196" i="1" a="1"/>
  <c r="AT196" i="1" s="1"/>
  <c r="AT132" i="1" a="1"/>
  <c r="AT132" i="1" s="1"/>
  <c r="AT68" i="1" a="1"/>
  <c r="AT68" i="1" s="1"/>
  <c r="AT19" i="1" a="1"/>
  <c r="AT19" i="1" s="1"/>
  <c r="AT227" i="1" a="1"/>
  <c r="AT227" i="1" s="1"/>
  <c r="AT163" i="1" a="1"/>
  <c r="AT163" i="1" s="1"/>
  <c r="AT99" i="1" a="1"/>
  <c r="AT99" i="1" s="1"/>
  <c r="AT35" i="1" a="1"/>
  <c r="AT35" i="1" s="1"/>
  <c r="AT134" i="1" a="1"/>
  <c r="AT134" i="1" s="1"/>
  <c r="AT70" i="1" a="1"/>
  <c r="AT70" i="1" s="1"/>
  <c r="AT4" i="1" a="1"/>
  <c r="AT4" i="1" s="1"/>
  <c r="AT173" i="1" a="1"/>
  <c r="AT173" i="1" s="1"/>
  <c r="AT109" i="1" a="1"/>
  <c r="AT109" i="1" s="1"/>
  <c r="AT45" i="1" a="1"/>
  <c r="AT45" i="1" s="1"/>
  <c r="AT188" i="1" a="1"/>
  <c r="AT188" i="1" s="1"/>
  <c r="AT124" i="1" a="1"/>
  <c r="AT124" i="1" s="1"/>
  <c r="AT60" i="1" a="1"/>
  <c r="AT60" i="1" s="1"/>
  <c r="AT219" i="1" a="1"/>
  <c r="AT219" i="1" s="1"/>
  <c r="AT155" i="1" a="1"/>
  <c r="AT155" i="1" s="1"/>
  <c r="AT91" i="1" a="1"/>
  <c r="AT91" i="1" s="1"/>
  <c r="AT27" i="1" a="1"/>
  <c r="AT27" i="1" s="1"/>
  <c r="AT165" i="1" a="1"/>
  <c r="AT165" i="1" s="1"/>
  <c r="AT101" i="1" a="1"/>
  <c r="AT101" i="1" s="1"/>
  <c r="AT37" i="1" a="1"/>
  <c r="AT37" i="1" s="1"/>
  <c r="AT180" i="1" a="1"/>
  <c r="AT180" i="1" s="1"/>
  <c r="AT116" i="1" a="1"/>
  <c r="AT116" i="1" s="1"/>
  <c r="AT52" i="1" a="1"/>
  <c r="AT52" i="1" s="1"/>
  <c r="AT211" i="1" a="1"/>
  <c r="AT211" i="1" s="1"/>
  <c r="AT147" i="1" a="1"/>
  <c r="AT147" i="1" s="1"/>
  <c r="AT83" i="1" a="1"/>
  <c r="AT83" i="1" s="1"/>
  <c r="AT17" i="1" a="1"/>
  <c r="AT17" i="1" s="1"/>
  <c r="AT221" i="1" a="1"/>
  <c r="AT221" i="1" s="1"/>
  <c r="AT157" i="1" a="1"/>
  <c r="AT157" i="1" s="1"/>
  <c r="AT93" i="1" a="1"/>
  <c r="AT93" i="1" s="1"/>
  <c r="AT29" i="1" a="1"/>
  <c r="AT29" i="1" s="1"/>
  <c r="AT172" i="1" a="1"/>
  <c r="AT172" i="1" s="1"/>
  <c r="AT108" i="1" a="1"/>
  <c r="AT108" i="1" s="1"/>
  <c r="AT44" i="1" a="1"/>
  <c r="AT44" i="1" s="1"/>
  <c r="AT203" i="1" a="1"/>
  <c r="AT203" i="1" s="1"/>
  <c r="AT139" i="1" a="1"/>
  <c r="AT139" i="1" s="1"/>
  <c r="AT75" i="1" a="1"/>
  <c r="AT75" i="1" s="1"/>
  <c r="AT21" i="1" a="1"/>
  <c r="AT21" i="1" s="1"/>
  <c r="AT213" i="1" a="1"/>
  <c r="AT213" i="1" s="1"/>
  <c r="AT149" i="1" a="1"/>
  <c r="AT149" i="1" s="1"/>
  <c r="AT85" i="1" a="1"/>
  <c r="AT85" i="1" s="1"/>
  <c r="AT24" i="1" a="1"/>
  <c r="AT24" i="1" s="1"/>
  <c r="AT228" i="1" a="1"/>
  <c r="AT228" i="1" s="1"/>
  <c r="AT164" i="1" a="1"/>
  <c r="AT164" i="1" s="1"/>
  <c r="AT100" i="1" a="1"/>
  <c r="AT100" i="1" s="1"/>
  <c r="AT36" i="1" a="1"/>
  <c r="AT36" i="1" s="1"/>
  <c r="AT195" i="1" a="1"/>
  <c r="AT195" i="1" s="1"/>
  <c r="AT131" i="1" a="1"/>
  <c r="AT131" i="1" s="1"/>
  <c r="AT67" i="1" a="1"/>
  <c r="AT67" i="1" s="1"/>
  <c r="AT11" i="1" a="1"/>
  <c r="AT11" i="1" s="1"/>
  <c r="AT102" i="1" a="1"/>
  <c r="AT102" i="1" s="1"/>
  <c r="AT38" i="1" a="1"/>
  <c r="AT38" i="1" s="1"/>
  <c r="AT205" i="1" a="1"/>
  <c r="AT205" i="1" s="1"/>
  <c r="AT141" i="1" a="1"/>
  <c r="AT141" i="1" s="1"/>
  <c r="AT77" i="1" a="1"/>
  <c r="AT77" i="1" s="1"/>
  <c r="AT23" i="1" a="1"/>
  <c r="AT23" i="1" s="1"/>
  <c r="AT220" i="1" a="1"/>
  <c r="AT220" i="1" s="1"/>
  <c r="AT156" i="1" a="1"/>
  <c r="AT156" i="1" s="1"/>
  <c r="AT92" i="1" a="1"/>
  <c r="AT92" i="1" s="1"/>
  <c r="AT28" i="1" a="1"/>
  <c r="AT28" i="1" s="1"/>
  <c r="AT187" i="1" a="1"/>
  <c r="AT187" i="1" s="1"/>
  <c r="AT123" i="1" a="1"/>
  <c r="AT123" i="1" s="1"/>
  <c r="AT59" i="1" a="1"/>
  <c r="AT59" i="1" s="1"/>
  <c r="AT197" i="1" a="1"/>
  <c r="AT197" i="1" s="1"/>
  <c r="AT133" i="1" a="1"/>
  <c r="AT133" i="1" s="1"/>
  <c r="AT69" i="1" a="1"/>
  <c r="AT69" i="1" s="1"/>
  <c r="AT212" i="1" a="1"/>
  <c r="AT212" i="1" s="1"/>
  <c r="AT148" i="1" a="1"/>
  <c r="AT148" i="1" s="1"/>
  <c r="AT84" i="1" a="1"/>
  <c r="AT84" i="1" s="1"/>
  <c r="AT6" i="1" a="1"/>
  <c r="AT6" i="1" s="1"/>
  <c r="AT179" i="1" a="1"/>
  <c r="AT179" i="1" s="1"/>
  <c r="AT115" i="1" a="1"/>
  <c r="AT115" i="1" s="1"/>
  <c r="AT51" i="1" a="1"/>
  <c r="AT51" i="1" s="1"/>
  <c r="AT150" i="1" a="1"/>
  <c r="AT150" i="1" s="1"/>
  <c r="AT86" i="1" a="1"/>
  <c r="AT86" i="1" s="1"/>
  <c r="AT10" i="1" a="1"/>
  <c r="AT10" i="1" s="1"/>
  <c r="AT189" i="1" a="1"/>
  <c r="AT189" i="1" s="1"/>
  <c r="AT125" i="1" a="1"/>
  <c r="AT125" i="1" s="1"/>
  <c r="AT61" i="1" a="1"/>
  <c r="AT61" i="1" s="1"/>
  <c r="AT204" i="1" a="1"/>
  <c r="AT204" i="1" s="1"/>
  <c r="AT140" i="1" a="1"/>
  <c r="AT140" i="1" s="1"/>
  <c r="AT76" i="1" a="1"/>
  <c r="AT76" i="1" s="1"/>
  <c r="AT7" i="1" a="1"/>
  <c r="AT7" i="1" s="1"/>
  <c r="AT171" i="1" a="1"/>
  <c r="AT171" i="1" s="1"/>
  <c r="AT107" i="1" a="1"/>
  <c r="AT107" i="1" s="1"/>
  <c r="AT43" i="1" a="1"/>
  <c r="AT43" i="1" s="1"/>
  <c r="AT48" i="1" a="1"/>
  <c r="AT48" i="1" s="1"/>
  <c r="AT112" i="1" a="1"/>
  <c r="AT112" i="1" s="1"/>
  <c r="AT176" i="1" a="1"/>
  <c r="AT176" i="1" s="1"/>
  <c r="AT57" i="1" a="1"/>
  <c r="AT57" i="1" s="1"/>
  <c r="AT121" i="1" a="1"/>
  <c r="AT121" i="1" s="1"/>
  <c r="AT185" i="1" a="1"/>
  <c r="AT185" i="1" s="1"/>
  <c r="AT26" i="1" a="1"/>
  <c r="AT26" i="1" s="1"/>
  <c r="AT90" i="1" a="1"/>
  <c r="AT90" i="1" s="1"/>
  <c r="AT154" i="1" a="1"/>
  <c r="AT154" i="1" s="1"/>
  <c r="AT218" i="1" a="1"/>
  <c r="AT218" i="1" s="1"/>
  <c r="AT184" i="1" a="1"/>
  <c r="AT184" i="1" s="1"/>
  <c r="AT16" i="1" a="1"/>
  <c r="AT16" i="1" s="1"/>
  <c r="AT65" i="1" a="1"/>
  <c r="AT65" i="1" s="1"/>
  <c r="AT129" i="1" a="1"/>
  <c r="AT129" i="1" s="1"/>
  <c r="AT193" i="1" a="1"/>
  <c r="AT193" i="1" s="1"/>
  <c r="AT34" i="1" a="1"/>
  <c r="AT34" i="1" s="1"/>
  <c r="AT98" i="1" a="1"/>
  <c r="AT98" i="1" s="1"/>
  <c r="AT162" i="1" a="1"/>
  <c r="AT162" i="1" s="1"/>
  <c r="AT226" i="1" a="1"/>
  <c r="AT226" i="1" s="1"/>
  <c r="AT182" i="1" a="1"/>
  <c r="AT182" i="1" s="1"/>
  <c r="AT201" i="1" a="1"/>
  <c r="AT201" i="1" s="1"/>
  <c r="AT42" i="1" a="1"/>
  <c r="AT42" i="1" s="1"/>
  <c r="AT106" i="1" a="1"/>
  <c r="AT106" i="1" s="1"/>
  <c r="AT170" i="1" a="1"/>
  <c r="AT170" i="1" s="1"/>
  <c r="AT234" i="1" a="1"/>
  <c r="AT234" i="1" s="1"/>
  <c r="K225" i="6"/>
  <c r="K206" i="6"/>
  <c r="K187" i="6"/>
  <c r="K169" i="6"/>
  <c r="K151" i="6"/>
  <c r="K133" i="6"/>
  <c r="K116" i="6"/>
  <c r="K111" i="6"/>
  <c r="K96" i="6"/>
  <c r="K79" i="6"/>
  <c r="K64" i="6"/>
  <c r="K57" i="6"/>
  <c r="K44" i="6"/>
  <c r="K28" i="6"/>
  <c r="K19" i="6"/>
  <c r="K8" i="6"/>
  <c r="K17" i="6"/>
  <c r="AT214" i="1" a="1"/>
  <c r="AT214" i="1" s="1"/>
  <c r="CV3" i="1"/>
  <c r="K222" i="6"/>
  <c r="K204" i="6"/>
  <c r="K185" i="6"/>
  <c r="K167" i="6"/>
  <c r="K149" i="6"/>
  <c r="K132" i="6"/>
  <c r="K121" i="6"/>
  <c r="K101" i="6"/>
  <c r="K93" i="6"/>
  <c r="K82" i="6"/>
  <c r="K66" i="6"/>
  <c r="K48" i="6"/>
  <c r="K40" i="6"/>
  <c r="K27" i="6"/>
  <c r="K26" i="6"/>
  <c r="K11" i="6"/>
  <c r="K236" i="6"/>
  <c r="AT30" i="1" a="1"/>
  <c r="AT30" i="1" s="1"/>
  <c r="AT94" i="1" a="1"/>
  <c r="AT94" i="1" s="1"/>
  <c r="AT158" i="1" a="1"/>
  <c r="AT158" i="1" s="1"/>
  <c r="AT222" i="1" a="1"/>
  <c r="AT222" i="1" s="1"/>
  <c r="CV8" i="1"/>
  <c r="K221" i="6"/>
  <c r="K201" i="6"/>
  <c r="K186" i="6"/>
  <c r="K168" i="6"/>
  <c r="K148" i="6"/>
  <c r="K131" i="6"/>
  <c r="K117" i="6"/>
  <c r="K100" i="6"/>
  <c r="K86" i="6"/>
  <c r="K80" i="6"/>
  <c r="K63" i="6"/>
  <c r="K49" i="6"/>
  <c r="K41" i="6"/>
  <c r="K10" i="6"/>
  <c r="K13" i="6"/>
  <c r="K16" i="6"/>
  <c r="AT166" i="1" a="1"/>
  <c r="AT166" i="1" s="1"/>
  <c r="K223" i="6"/>
  <c r="K202" i="6"/>
  <c r="K184" i="6"/>
  <c r="K166" i="6"/>
  <c r="K147" i="6"/>
  <c r="K130" i="6"/>
  <c r="K119" i="6"/>
  <c r="K99" i="6"/>
  <c r="K84" i="6"/>
  <c r="K76" i="6"/>
  <c r="K62" i="6"/>
  <c r="K47" i="6"/>
  <c r="K39" i="6"/>
  <c r="K23" i="6"/>
  <c r="K21" i="6"/>
  <c r="K12" i="6"/>
  <c r="AT46" i="1" a="1"/>
  <c r="AT46" i="1" s="1"/>
  <c r="AT110" i="1" a="1"/>
  <c r="AT110" i="1" s="1"/>
  <c r="AT174" i="1" a="1"/>
  <c r="AT174" i="1" s="1"/>
  <c r="AT230" i="1" a="1"/>
  <c r="AT230" i="1" s="1"/>
  <c r="D5" i="5"/>
  <c r="B5" i="5"/>
  <c r="C5" i="5"/>
  <c r="A6" i="5"/>
  <c r="K228" i="6"/>
  <c r="K220" i="6"/>
  <c r="K191" i="6"/>
  <c r="K183" i="6"/>
  <c r="K165" i="6"/>
  <c r="K137" i="6"/>
  <c r="K129" i="6"/>
  <c r="K114" i="6"/>
  <c r="K95" i="6"/>
  <c r="K85" i="6"/>
  <c r="K77" i="6"/>
  <c r="K61" i="6"/>
  <c r="K46" i="6"/>
  <c r="K31" i="6"/>
  <c r="K4" i="6"/>
  <c r="K25" i="6"/>
  <c r="K22" i="6"/>
  <c r="AT54" i="1" a="1"/>
  <c r="AT54" i="1" s="1"/>
  <c r="AT118" i="1" a="1"/>
  <c r="AT118" i="1" s="1"/>
  <c r="K227" i="6"/>
  <c r="K219" i="6"/>
  <c r="K190" i="6"/>
  <c r="K172" i="6"/>
  <c r="K153" i="6"/>
  <c r="K136" i="6"/>
  <c r="K122" i="6"/>
  <c r="K112" i="6"/>
  <c r="K97" i="6"/>
  <c r="K83" i="6"/>
  <c r="K75" i="6"/>
  <c r="K60" i="6"/>
  <c r="K42" i="6"/>
  <c r="K32" i="6"/>
  <c r="K20" i="6"/>
  <c r="K3" i="6"/>
  <c r="K33" i="6"/>
  <c r="K34" i="6"/>
  <c r="K35" i="6"/>
  <c r="K37" i="6"/>
  <c r="K36" i="6"/>
  <c r="K38" i="6"/>
  <c r="K50" i="6"/>
  <c r="K51" i="6"/>
  <c r="K53" i="6"/>
  <c r="K52" i="6"/>
  <c r="K55" i="6"/>
  <c r="K54" i="6"/>
  <c r="K56" i="6"/>
  <c r="K68" i="6"/>
  <c r="K70" i="6"/>
  <c r="K69" i="6"/>
  <c r="K71" i="6"/>
  <c r="K72" i="6"/>
  <c r="K73" i="6"/>
  <c r="K74" i="6"/>
  <c r="K87" i="6"/>
  <c r="K89" i="6"/>
  <c r="K88" i="6"/>
  <c r="K91" i="6"/>
  <c r="K90" i="6"/>
  <c r="K92" i="6"/>
  <c r="K102" i="6"/>
  <c r="K103" i="6"/>
  <c r="K104" i="6"/>
  <c r="K105" i="6"/>
  <c r="K107" i="6"/>
  <c r="K106" i="6"/>
  <c r="K108" i="6"/>
  <c r="K109" i="6"/>
  <c r="K110" i="6"/>
  <c r="K123" i="6"/>
  <c r="K124" i="6"/>
  <c r="K125" i="6"/>
  <c r="K127" i="6"/>
  <c r="K126" i="6"/>
  <c r="K128" i="6"/>
  <c r="K139" i="6"/>
  <c r="K138" i="6"/>
  <c r="K140" i="6"/>
  <c r="K141" i="6"/>
  <c r="K143" i="6"/>
  <c r="K142" i="6"/>
  <c r="K144" i="6"/>
  <c r="K145" i="6"/>
  <c r="K146" i="6"/>
  <c r="K154" i="6"/>
  <c r="K155" i="6"/>
  <c r="K156" i="6"/>
  <c r="K157" i="6"/>
  <c r="K158" i="6"/>
  <c r="K160" i="6"/>
  <c r="K159" i="6"/>
  <c r="K162" i="6"/>
  <c r="K161" i="6"/>
  <c r="K163" i="6"/>
  <c r="K164" i="6"/>
  <c r="K173" i="6"/>
  <c r="K175" i="6"/>
  <c r="K174" i="6"/>
  <c r="K176" i="6"/>
  <c r="K177" i="6"/>
  <c r="K178" i="6"/>
  <c r="K179" i="6"/>
  <c r="K180" i="6"/>
  <c r="K181" i="6"/>
  <c r="K182" i="6"/>
  <c r="K192" i="6"/>
  <c r="K193" i="6"/>
  <c r="K194" i="6"/>
  <c r="K196" i="6"/>
  <c r="K195" i="6"/>
  <c r="K197" i="6"/>
  <c r="K198" i="6"/>
  <c r="K199" i="6"/>
  <c r="K200" i="6"/>
  <c r="K207" i="6"/>
  <c r="K208" i="6"/>
  <c r="K209" i="6"/>
  <c r="K210" i="6"/>
  <c r="K211" i="6"/>
  <c r="K212" i="6"/>
  <c r="K213" i="6"/>
  <c r="K214" i="6"/>
  <c r="K215" i="6"/>
  <c r="K216" i="6"/>
  <c r="K217" i="6"/>
  <c r="K218" i="6"/>
  <c r="K229" i="6"/>
  <c r="K230" i="6"/>
  <c r="K231" i="6"/>
  <c r="K232" i="6"/>
  <c r="K233" i="6"/>
  <c r="K234" i="6"/>
  <c r="K235" i="6"/>
  <c r="K18" i="6"/>
  <c r="K24" i="6"/>
  <c r="AT229" i="1" a="1"/>
  <c r="AT229" i="1" s="1"/>
  <c r="AT62" i="1" a="1"/>
  <c r="AT62" i="1" s="1"/>
  <c r="AT126" i="1" a="1"/>
  <c r="AT126" i="1" s="1"/>
  <c r="AT190" i="1" a="1"/>
  <c r="AT190" i="1" s="1"/>
  <c r="K205" i="6"/>
  <c r="K189" i="6"/>
  <c r="K171" i="6"/>
  <c r="K152" i="6"/>
  <c r="K134" i="6"/>
  <c r="K120" i="6"/>
  <c r="K115" i="6"/>
  <c r="K98" i="6"/>
  <c r="K81" i="6"/>
  <c r="K67" i="6"/>
  <c r="K58" i="6"/>
  <c r="K45" i="6"/>
  <c r="K30" i="6"/>
  <c r="K15" i="6"/>
  <c r="K7" i="6"/>
  <c r="K5" i="6"/>
  <c r="AT235" i="1" a="1"/>
  <c r="AT235" i="1" s="1"/>
  <c r="AT198" i="1" a="1"/>
  <c r="AT198" i="1" s="1"/>
  <c r="K224" i="6"/>
  <c r="K203" i="6"/>
  <c r="K188" i="6"/>
  <c r="K170" i="6"/>
  <c r="K150" i="6"/>
  <c r="K135" i="6"/>
  <c r="K118" i="6"/>
  <c r="K113" i="6"/>
  <c r="K94" i="6"/>
  <c r="K78" i="6"/>
  <c r="K65" i="6"/>
  <c r="K59" i="6"/>
  <c r="K43" i="6"/>
  <c r="K29" i="6"/>
  <c r="K9" i="6"/>
  <c r="K6" i="6"/>
  <c r="K14" i="6"/>
  <c r="AT78" i="1" a="1"/>
  <c r="AT78" i="1" s="1"/>
  <c r="AT142" i="1" a="1"/>
  <c r="AT142" i="1" s="1"/>
  <c r="AT206" i="1" a="1"/>
  <c r="AT206" i="1" s="1"/>
  <c r="BZ35" i="1" l="1"/>
  <c r="CA35" i="1"/>
  <c r="CB35" i="1"/>
  <c r="CA27" i="1"/>
  <c r="BZ27" i="1"/>
  <c r="CB27" i="1"/>
  <c r="BZ34" i="1"/>
  <c r="CA34" i="1"/>
  <c r="CB34" i="1"/>
  <c r="CA26" i="1"/>
  <c r="CB26" i="1"/>
  <c r="BZ26" i="1"/>
  <c r="BZ33" i="1"/>
  <c r="CA33" i="1"/>
  <c r="CB33" i="1"/>
  <c r="CB25" i="1"/>
  <c r="BZ25" i="1"/>
  <c r="CA25" i="1"/>
  <c r="CB32" i="1"/>
  <c r="BZ32" i="1"/>
  <c r="CA32" i="1"/>
  <c r="BZ24" i="1"/>
  <c r="CA24" i="1"/>
  <c r="CB24" i="1"/>
  <c r="CB31" i="1"/>
  <c r="BZ31" i="1"/>
  <c r="CA31" i="1"/>
  <c r="BZ23" i="1"/>
  <c r="CA23" i="1"/>
  <c r="CB23" i="1"/>
  <c r="CA30" i="1"/>
  <c r="CB30" i="1"/>
  <c r="BZ30" i="1"/>
  <c r="CB22" i="1"/>
  <c r="BZ22" i="1"/>
  <c r="CA22" i="1"/>
  <c r="CA37" i="1"/>
  <c r="BZ37" i="1"/>
  <c r="CB37" i="1"/>
  <c r="CA29" i="1"/>
  <c r="CB29" i="1"/>
  <c r="BZ29" i="1"/>
  <c r="CB21" i="1"/>
  <c r="BZ21" i="1"/>
  <c r="CA21" i="1"/>
  <c r="CA36" i="1"/>
  <c r="BZ36" i="1"/>
  <c r="CB36" i="1"/>
  <c r="CB28" i="1"/>
  <c r="BZ28" i="1"/>
  <c r="CA28" i="1"/>
  <c r="CB20" i="1"/>
  <c r="BZ20" i="1"/>
  <c r="CA20" i="1"/>
  <c r="BR32" i="1"/>
  <c r="BT32" i="1" s="1" a="1"/>
  <c r="BT32" i="1" s="1"/>
  <c r="BR31" i="1"/>
  <c r="BT31" i="1" s="1" a="1"/>
  <c r="BT31" i="1" s="1"/>
  <c r="BR24" i="1"/>
  <c r="BT24" i="1" s="1" a="1"/>
  <c r="BT24" i="1" s="1"/>
  <c r="BR23" i="1"/>
  <c r="BT25" i="1" a="1"/>
  <c r="BT25" i="1" s="1"/>
  <c r="BS25" i="1"/>
  <c r="BU25" i="1" s="1" a="1"/>
  <c r="BU25" i="1" s="1"/>
  <c r="BT160" i="1" a="1"/>
  <c r="BT160" i="1" s="1"/>
  <c r="BS160" i="1"/>
  <c r="BU160" i="1" s="1" a="1"/>
  <c r="BU160" i="1" s="1"/>
  <c r="BS152" i="1"/>
  <c r="BU152" i="1" s="1" a="1"/>
  <c r="BU152" i="1" s="1"/>
  <c r="BT152" i="1" a="1"/>
  <c r="BT152" i="1" s="1"/>
  <c r="BT108" i="1" a="1"/>
  <c r="BT108" i="1" s="1"/>
  <c r="BS108" i="1"/>
  <c r="BU108" i="1" s="1" a="1"/>
  <c r="BU108" i="1" s="1"/>
  <c r="BS100" i="1"/>
  <c r="BU100" i="1" s="1" a="1"/>
  <c r="BU100" i="1" s="1"/>
  <c r="BT100" i="1" a="1"/>
  <c r="BT100" i="1" s="1"/>
  <c r="BT92" i="1" a="1"/>
  <c r="BT92" i="1" s="1"/>
  <c r="BS92" i="1"/>
  <c r="BU92" i="1" s="1" a="1"/>
  <c r="BU92" i="1" s="1"/>
  <c r="BT13" i="1" a="1"/>
  <c r="BT13" i="1" s="1"/>
  <c r="CH13" i="1" s="1"/>
  <c r="CI13" i="1" s="1"/>
  <c r="CJ13" i="1" s="1"/>
  <c r="BS13" i="1"/>
  <c r="BU13" i="1" s="1" a="1"/>
  <c r="BU13" i="1" s="1"/>
  <c r="BS5" i="1"/>
  <c r="BU5" i="1" s="1" a="1"/>
  <c r="BU5" i="1" s="1"/>
  <c r="BT5" i="1" a="1"/>
  <c r="BT5" i="1" s="1"/>
  <c r="CH5" i="1" s="1"/>
  <c r="CI5" i="1" s="1"/>
  <c r="CJ5" i="1" s="1"/>
  <c r="BT141" i="1" a="1"/>
  <c r="BT141" i="1" s="1"/>
  <c r="BS141" i="1"/>
  <c r="BU141" i="1" s="1" a="1"/>
  <c r="BU141" i="1" s="1"/>
  <c r="BS133" i="1"/>
  <c r="BU133" i="1" s="1" a="1"/>
  <c r="BU133" i="1" s="1"/>
  <c r="BT133" i="1" a="1"/>
  <c r="BT133" i="1" s="1"/>
  <c r="BS53" i="1"/>
  <c r="BU53" i="1" s="1" a="1"/>
  <c r="BU53" i="1" s="1"/>
  <c r="BT53" i="1" a="1"/>
  <c r="BT53" i="1" s="1"/>
  <c r="BT45" i="1" a="1"/>
  <c r="BT45" i="1" s="1"/>
  <c r="BS45" i="1"/>
  <c r="BU45" i="1" s="1" a="1"/>
  <c r="BU45" i="1" s="1"/>
  <c r="BT91" i="1" a="1"/>
  <c r="BT91" i="1" s="1"/>
  <c r="BS91" i="1"/>
  <c r="BU91" i="1" s="1" a="1"/>
  <c r="BU91" i="1" s="1"/>
  <c r="BT83" i="1" a="1"/>
  <c r="BT83" i="1" s="1"/>
  <c r="BS83" i="1"/>
  <c r="BU83" i="1" s="1" a="1"/>
  <c r="BU83" i="1" s="1"/>
  <c r="BT75" i="1" a="1"/>
  <c r="BT75" i="1" s="1"/>
  <c r="BS75" i="1"/>
  <c r="BU75" i="1" s="1" a="1"/>
  <c r="BU75" i="1" s="1"/>
  <c r="BS121" i="1"/>
  <c r="BU121" i="1" s="1" a="1"/>
  <c r="BU121" i="1" s="1"/>
  <c r="BT121" i="1" a="1"/>
  <c r="BT121" i="1" s="1"/>
  <c r="BT113" i="1" a="1"/>
  <c r="BT113" i="1" s="1"/>
  <c r="BS113" i="1"/>
  <c r="BU113" i="1" s="1" a="1"/>
  <c r="BU113" i="1" s="1"/>
  <c r="BT69" i="1" a="1"/>
  <c r="BT69" i="1" s="1"/>
  <c r="BS69" i="1"/>
  <c r="BU69" i="1" s="1" a="1"/>
  <c r="BU69" i="1" s="1"/>
  <c r="BT61" i="1" a="1"/>
  <c r="BT61" i="1" s="1"/>
  <c r="BS61" i="1"/>
  <c r="BU61" i="1" s="1" a="1"/>
  <c r="BU61" i="1" s="1"/>
  <c r="BT179" i="1" a="1"/>
  <c r="BT179" i="1" s="1"/>
  <c r="BS179" i="1"/>
  <c r="BU179" i="1" s="1" a="1"/>
  <c r="BU179" i="1" s="1"/>
  <c r="BT171" i="1" a="1"/>
  <c r="BT171" i="1" s="1"/>
  <c r="BS171" i="1"/>
  <c r="BU171" i="1" s="1" a="1"/>
  <c r="BU171" i="1" s="1"/>
  <c r="BT23" i="1" a="1"/>
  <c r="BT23" i="1" s="1"/>
  <c r="BS23" i="1"/>
  <c r="BU23" i="1" s="1" a="1"/>
  <c r="BU23" i="1" s="1"/>
  <c r="BT159" i="1" a="1"/>
  <c r="BT159" i="1" s="1"/>
  <c r="BS159" i="1"/>
  <c r="BU159" i="1" s="1" a="1"/>
  <c r="BU159" i="1" s="1"/>
  <c r="BT151" i="1" a="1"/>
  <c r="BT151" i="1" s="1"/>
  <c r="BS151" i="1"/>
  <c r="BU151" i="1" s="1" a="1"/>
  <c r="BU151" i="1" s="1"/>
  <c r="BT107" i="1" a="1"/>
  <c r="BT107" i="1" s="1"/>
  <c r="BS107" i="1"/>
  <c r="BU107" i="1" s="1" a="1"/>
  <c r="BU107" i="1" s="1"/>
  <c r="BT99" i="1" a="1"/>
  <c r="BT99" i="1" s="1"/>
  <c r="BS99" i="1"/>
  <c r="BU99" i="1" s="1" a="1"/>
  <c r="BU99" i="1" s="1"/>
  <c r="BS12" i="1"/>
  <c r="BU12" i="1" s="1" a="1"/>
  <c r="BU12" i="1" s="1"/>
  <c r="BT12" i="1" a="1"/>
  <c r="BT12" i="1" s="1"/>
  <c r="CH12" i="1" s="1"/>
  <c r="CI12" i="1" s="1"/>
  <c r="CJ12" i="1" s="1"/>
  <c r="BT4" i="1" a="1"/>
  <c r="BT4" i="1" s="1"/>
  <c r="CH4" i="1" s="1"/>
  <c r="CI4" i="1" s="1"/>
  <c r="CJ4" i="1" s="1"/>
  <c r="BS4" i="1"/>
  <c r="BU4" i="1" s="1" a="1"/>
  <c r="BU4" i="1" s="1"/>
  <c r="BT140" i="1" a="1"/>
  <c r="BT140" i="1" s="1"/>
  <c r="BS140" i="1"/>
  <c r="BU140" i="1" s="1" a="1"/>
  <c r="BU140" i="1" s="1"/>
  <c r="BS132" i="1"/>
  <c r="BU132" i="1" s="1" a="1"/>
  <c r="BU132" i="1" s="1"/>
  <c r="BT132" i="1" a="1"/>
  <c r="BT132" i="1" s="1"/>
  <c r="BT52" i="1" a="1"/>
  <c r="BT52" i="1" s="1"/>
  <c r="BS52" i="1"/>
  <c r="BU52" i="1" s="1" a="1"/>
  <c r="BU52" i="1" s="1"/>
  <c r="BT44" i="1" a="1"/>
  <c r="BT44" i="1" s="1"/>
  <c r="BS44" i="1"/>
  <c r="BU44" i="1" s="1" a="1"/>
  <c r="BU44" i="1" s="1"/>
  <c r="BS90" i="1"/>
  <c r="BU90" i="1" s="1" a="1"/>
  <c r="BU90" i="1" s="1"/>
  <c r="BT90" i="1" a="1"/>
  <c r="BT90" i="1" s="1"/>
  <c r="BT82" i="1" a="1"/>
  <c r="BT82" i="1" s="1"/>
  <c r="BS82" i="1"/>
  <c r="BU82" i="1" s="1" a="1"/>
  <c r="BU82" i="1" s="1"/>
  <c r="BS74" i="1"/>
  <c r="BU74" i="1" s="1" a="1"/>
  <c r="BU74" i="1" s="1"/>
  <c r="BT74" i="1" a="1"/>
  <c r="BT74" i="1" s="1"/>
  <c r="BT120" i="1" a="1"/>
  <c r="BT120" i="1" s="1"/>
  <c r="BS120" i="1"/>
  <c r="BU120" i="1" s="1" a="1"/>
  <c r="BU120" i="1" s="1"/>
  <c r="BT112" i="1" a="1"/>
  <c r="BT112" i="1" s="1"/>
  <c r="BS112" i="1"/>
  <c r="BU112" i="1" s="1" a="1"/>
  <c r="BU112" i="1" s="1"/>
  <c r="BT68" i="1" a="1"/>
  <c r="BT68" i="1" s="1"/>
  <c r="BS68" i="1"/>
  <c r="BU68" i="1" s="1" a="1"/>
  <c r="BU68" i="1" s="1"/>
  <c r="BT60" i="1" a="1"/>
  <c r="BT60" i="1" s="1"/>
  <c r="BS60" i="1"/>
  <c r="BU60" i="1" s="1" a="1"/>
  <c r="BU60" i="1" s="1"/>
  <c r="BS178" i="1"/>
  <c r="BU178" i="1" s="1" a="1"/>
  <c r="BU178" i="1" s="1"/>
  <c r="BT178" i="1" a="1"/>
  <c r="BT178" i="1" s="1"/>
  <c r="BT170" i="1" a="1"/>
  <c r="BT170" i="1" s="1"/>
  <c r="BS170" i="1"/>
  <c r="BU170" i="1" s="1" a="1"/>
  <c r="BU170" i="1" s="1"/>
  <c r="BR30" i="1"/>
  <c r="BR22" i="1"/>
  <c r="BT158" i="1" a="1"/>
  <c r="BT158" i="1" s="1"/>
  <c r="BS158" i="1"/>
  <c r="BU158" i="1" s="1" a="1"/>
  <c r="BU158" i="1" s="1"/>
  <c r="BT150" i="1" a="1"/>
  <c r="BT150" i="1" s="1"/>
  <c r="BS150" i="1"/>
  <c r="BU150" i="1" s="1" a="1"/>
  <c r="BU150" i="1" s="1"/>
  <c r="BS106" i="1"/>
  <c r="BU106" i="1" s="1" a="1"/>
  <c r="BU106" i="1" s="1"/>
  <c r="BT106" i="1" a="1"/>
  <c r="BT106" i="1" s="1"/>
  <c r="BS98" i="1"/>
  <c r="BU98" i="1" s="1" a="1"/>
  <c r="BU98" i="1" s="1"/>
  <c r="BT98" i="1" a="1"/>
  <c r="BT98" i="1" s="1"/>
  <c r="BT19" i="1" a="1"/>
  <c r="BT19" i="1" s="1"/>
  <c r="CH19" i="1" s="1"/>
  <c r="CI19" i="1" s="1"/>
  <c r="CJ19" i="1" s="1"/>
  <c r="BS19" i="1"/>
  <c r="BU19" i="1" s="1" a="1"/>
  <c r="BU19" i="1" s="1"/>
  <c r="BT11" i="1" a="1"/>
  <c r="BT11" i="1" s="1"/>
  <c r="CH11" i="1" s="1"/>
  <c r="CI11" i="1" s="1"/>
  <c r="CJ11" i="1" s="1"/>
  <c r="BS11" i="1"/>
  <c r="BU11" i="1" s="1" a="1"/>
  <c r="BU11" i="1" s="1"/>
  <c r="BT3" i="1" a="1"/>
  <c r="BT3" i="1" s="1"/>
  <c r="CH3" i="1" s="1"/>
  <c r="CI3" i="1" s="1"/>
  <c r="CJ3" i="1" s="1"/>
  <c r="BS3" i="1"/>
  <c r="BU3" i="1" s="1" a="1"/>
  <c r="BU3" i="1" s="1"/>
  <c r="BT139" i="1" a="1"/>
  <c r="BT139" i="1" s="1"/>
  <c r="BS139" i="1"/>
  <c r="BU139" i="1" s="1" a="1"/>
  <c r="BU139" i="1" s="1"/>
  <c r="BT131" i="1" a="1"/>
  <c r="BT131" i="1" s="1"/>
  <c r="BS131" i="1"/>
  <c r="BU131" i="1" s="1" a="1"/>
  <c r="BU131" i="1" s="1"/>
  <c r="BT51" i="1" a="1"/>
  <c r="BT51" i="1" s="1"/>
  <c r="BS51" i="1"/>
  <c r="BU51" i="1" s="1" a="1"/>
  <c r="BU51" i="1" s="1"/>
  <c r="BT43" i="1" a="1"/>
  <c r="BT43" i="1" s="1"/>
  <c r="BS43" i="1"/>
  <c r="BU43" i="1" s="1" a="1"/>
  <c r="BU43" i="1" s="1"/>
  <c r="BT89" i="1" a="1"/>
  <c r="BT89" i="1" s="1"/>
  <c r="BS89" i="1"/>
  <c r="BU89" i="1" s="1" a="1"/>
  <c r="BU89" i="1" s="1"/>
  <c r="BT81" i="1" a="1"/>
  <c r="BT81" i="1" s="1"/>
  <c r="BS81" i="1"/>
  <c r="BU81" i="1" s="1" a="1"/>
  <c r="BU81" i="1" s="1"/>
  <c r="BT127" i="1" a="1"/>
  <c r="BT127" i="1" s="1"/>
  <c r="BS127" i="1"/>
  <c r="BU127" i="1" s="1" a="1"/>
  <c r="BU127" i="1" s="1"/>
  <c r="BS119" i="1"/>
  <c r="BU119" i="1" s="1" a="1"/>
  <c r="BU119" i="1" s="1"/>
  <c r="BT119" i="1" a="1"/>
  <c r="BT119" i="1" s="1"/>
  <c r="BT111" i="1" a="1"/>
  <c r="BT111" i="1" s="1"/>
  <c r="BS111" i="1"/>
  <c r="BU111" i="1" s="1" a="1"/>
  <c r="BU111" i="1" s="1"/>
  <c r="BS67" i="1"/>
  <c r="BU67" i="1" s="1" a="1"/>
  <c r="BU67" i="1" s="1"/>
  <c r="BT67" i="1" a="1"/>
  <c r="BT67" i="1" s="1"/>
  <c r="BS59" i="1"/>
  <c r="BU59" i="1" s="1" a="1"/>
  <c r="BU59" i="1" s="1"/>
  <c r="BT59" i="1" a="1"/>
  <c r="BT59" i="1" s="1"/>
  <c r="BT177" i="1" a="1"/>
  <c r="BT177" i="1" s="1"/>
  <c r="BS177" i="1"/>
  <c r="BU177" i="1" s="1" a="1"/>
  <c r="BU177" i="1" s="1"/>
  <c r="BT169" i="1" a="1"/>
  <c r="BT169" i="1" s="1"/>
  <c r="BS169" i="1"/>
  <c r="BU169" i="1" s="1" a="1"/>
  <c r="BU169" i="1" s="1"/>
  <c r="BR37" i="1"/>
  <c r="BR29" i="1"/>
  <c r="BR21" i="1"/>
  <c r="BT157" i="1" a="1"/>
  <c r="BT157" i="1" s="1"/>
  <c r="BS157" i="1"/>
  <c r="BU157" i="1" s="1" a="1"/>
  <c r="BU157" i="1" s="1"/>
  <c r="BT149" i="1" a="1"/>
  <c r="BT149" i="1" s="1"/>
  <c r="BS149" i="1"/>
  <c r="BU149" i="1" s="1" a="1"/>
  <c r="BU149" i="1" s="1"/>
  <c r="BT105" i="1" a="1"/>
  <c r="BT105" i="1" s="1"/>
  <c r="BS105" i="1"/>
  <c r="BU105" i="1" s="1" a="1"/>
  <c r="BU105" i="1" s="1"/>
  <c r="BT97" i="1" a="1"/>
  <c r="BT97" i="1" s="1"/>
  <c r="BS97" i="1"/>
  <c r="BU97" i="1" s="1" a="1"/>
  <c r="BU97" i="1" s="1"/>
  <c r="BS18" i="1"/>
  <c r="BU18" i="1" s="1" a="1"/>
  <c r="BU18" i="1" s="1"/>
  <c r="BT18" i="1" a="1"/>
  <c r="BT18" i="1" s="1"/>
  <c r="CH18" i="1" s="1"/>
  <c r="CI18" i="1" s="1"/>
  <c r="CJ18" i="1" s="1"/>
  <c r="BS10" i="1"/>
  <c r="BU10" i="1" s="1" a="1"/>
  <c r="BU10" i="1" s="1"/>
  <c r="BT10" i="1" a="1"/>
  <c r="BT10" i="1" s="1"/>
  <c r="CH10" i="1" s="1"/>
  <c r="CI10" i="1" s="1"/>
  <c r="CJ10" i="1" s="1"/>
  <c r="BS2" i="1"/>
  <c r="BU2" i="1" s="1" a="1"/>
  <c r="BU2" i="1" s="1"/>
  <c r="BT2" i="1" a="1"/>
  <c r="BT2" i="1" s="1"/>
  <c r="CH2" i="1" s="1"/>
  <c r="BS138" i="1"/>
  <c r="BU138" i="1" s="1" a="1"/>
  <c r="BU138" i="1" s="1"/>
  <c r="BT138" i="1" a="1"/>
  <c r="BT138" i="1" s="1"/>
  <c r="BS130" i="1"/>
  <c r="BU130" i="1" s="1" a="1"/>
  <c r="BU130" i="1" s="1"/>
  <c r="BT130" i="1" a="1"/>
  <c r="BT130" i="1" s="1"/>
  <c r="BS50" i="1"/>
  <c r="BU50" i="1" s="1" a="1"/>
  <c r="BU50" i="1" s="1"/>
  <c r="BT50" i="1" a="1"/>
  <c r="BT50" i="1" s="1"/>
  <c r="BS42" i="1"/>
  <c r="BU42" i="1" s="1" a="1"/>
  <c r="BU42" i="1" s="1"/>
  <c r="BT42" i="1" a="1"/>
  <c r="BT42" i="1" s="1"/>
  <c r="BT88" i="1" a="1"/>
  <c r="BT88" i="1" s="1"/>
  <c r="BS88" i="1"/>
  <c r="BU88" i="1" s="1" a="1"/>
  <c r="BU88" i="1" s="1"/>
  <c r="BT80" i="1" a="1"/>
  <c r="BT80" i="1" s="1"/>
  <c r="BS80" i="1"/>
  <c r="BU80" i="1" s="1" a="1"/>
  <c r="BU80" i="1" s="1"/>
  <c r="BT126" i="1" a="1"/>
  <c r="BT126" i="1" s="1"/>
  <c r="BS126" i="1"/>
  <c r="BU126" i="1" s="1" a="1"/>
  <c r="BU126" i="1" s="1"/>
  <c r="BT118" i="1" a="1"/>
  <c r="BT118" i="1" s="1"/>
  <c r="BS118" i="1"/>
  <c r="BU118" i="1" s="1" a="1"/>
  <c r="BU118" i="1" s="1"/>
  <c r="BT110" i="1" a="1"/>
  <c r="BT110" i="1" s="1"/>
  <c r="BS110" i="1"/>
  <c r="BU110" i="1" s="1" a="1"/>
  <c r="BU110" i="1" s="1"/>
  <c r="BS66" i="1"/>
  <c r="BU66" i="1" s="1" a="1"/>
  <c r="BU66" i="1" s="1"/>
  <c r="BT66" i="1" a="1"/>
  <c r="BT66" i="1" s="1"/>
  <c r="BS58" i="1"/>
  <c r="BU58" i="1" s="1" a="1"/>
  <c r="BU58" i="1" s="1"/>
  <c r="BT58" i="1" a="1"/>
  <c r="BT58" i="1" s="1"/>
  <c r="BT176" i="1" a="1"/>
  <c r="BT176" i="1" s="1"/>
  <c r="BS176" i="1"/>
  <c r="BU176" i="1" s="1" a="1"/>
  <c r="BU176" i="1" s="1"/>
  <c r="BT168" i="1" a="1"/>
  <c r="BT168" i="1" s="1"/>
  <c r="BS168" i="1"/>
  <c r="BU168" i="1" s="1" a="1"/>
  <c r="BU168" i="1" s="1"/>
  <c r="BR36" i="1"/>
  <c r="BR28" i="1"/>
  <c r="BR20" i="1"/>
  <c r="BT156" i="1" a="1"/>
  <c r="BT156" i="1" s="1"/>
  <c r="BS156" i="1"/>
  <c r="BU156" i="1" s="1" a="1"/>
  <c r="BU156" i="1" s="1"/>
  <c r="BT148" i="1" a="1"/>
  <c r="BT148" i="1" s="1"/>
  <c r="BS148" i="1"/>
  <c r="BU148" i="1" s="1" a="1"/>
  <c r="BU148" i="1" s="1"/>
  <c r="BT104" i="1" a="1"/>
  <c r="BT104" i="1" s="1"/>
  <c r="BS104" i="1"/>
  <c r="BU104" i="1" s="1" a="1"/>
  <c r="BU104" i="1" s="1"/>
  <c r="BT96" i="1" a="1"/>
  <c r="BT96" i="1" s="1"/>
  <c r="BS96" i="1"/>
  <c r="BU96" i="1" s="1" a="1"/>
  <c r="BU96" i="1" s="1"/>
  <c r="BT17" i="1" a="1"/>
  <c r="BT17" i="1" s="1"/>
  <c r="CH17" i="1" s="1"/>
  <c r="CI17" i="1" s="1"/>
  <c r="CJ17" i="1" s="1"/>
  <c r="BS17" i="1"/>
  <c r="BU17" i="1" s="1" a="1"/>
  <c r="BU17" i="1" s="1"/>
  <c r="BT9" i="1" a="1"/>
  <c r="BT9" i="1" s="1"/>
  <c r="CH9" i="1" s="1"/>
  <c r="CI9" i="1" s="1"/>
  <c r="CJ9" i="1" s="1"/>
  <c r="BS9" i="1"/>
  <c r="BU9" i="1" s="1" a="1"/>
  <c r="BU9" i="1" s="1"/>
  <c r="BS145" i="1"/>
  <c r="BU145" i="1" s="1" a="1"/>
  <c r="BU145" i="1" s="1"/>
  <c r="BT145" i="1" a="1"/>
  <c r="BT145" i="1" s="1"/>
  <c r="BT137" i="1" a="1"/>
  <c r="BT137" i="1" s="1"/>
  <c r="BS137" i="1"/>
  <c r="BU137" i="1" s="1" a="1"/>
  <c r="BU137" i="1" s="1"/>
  <c r="BT129" i="1" a="1"/>
  <c r="BT129" i="1" s="1"/>
  <c r="BS129" i="1"/>
  <c r="BU129" i="1" s="1" a="1"/>
  <c r="BU129" i="1" s="1"/>
  <c r="BT49" i="1" a="1"/>
  <c r="BT49" i="1" s="1"/>
  <c r="BS49" i="1"/>
  <c r="BU49" i="1" s="1" a="1"/>
  <c r="BU49" i="1" s="1"/>
  <c r="BT41" i="1" a="1"/>
  <c r="BT41" i="1" s="1"/>
  <c r="BS41" i="1"/>
  <c r="BU41" i="1" s="1" a="1"/>
  <c r="BU41" i="1" s="1"/>
  <c r="BS87" i="1"/>
  <c r="BU87" i="1" s="1" a="1"/>
  <c r="BU87" i="1" s="1"/>
  <c r="BT87" i="1" a="1"/>
  <c r="BT87" i="1" s="1"/>
  <c r="BT79" i="1" a="1"/>
  <c r="BT79" i="1" s="1"/>
  <c r="BS79" i="1"/>
  <c r="BU79" i="1" s="1" a="1"/>
  <c r="BU79" i="1" s="1"/>
  <c r="BT125" i="1" a="1"/>
  <c r="BT125" i="1" s="1"/>
  <c r="BS125" i="1"/>
  <c r="BU125" i="1" s="1" a="1"/>
  <c r="BU125" i="1" s="1"/>
  <c r="BT117" i="1" a="1"/>
  <c r="BT117" i="1" s="1"/>
  <c r="BS117" i="1"/>
  <c r="BU117" i="1" s="1" a="1"/>
  <c r="BU117" i="1" s="1"/>
  <c r="BT73" i="1" a="1"/>
  <c r="BT73" i="1" s="1"/>
  <c r="BS73" i="1"/>
  <c r="BU73" i="1" s="1" a="1"/>
  <c r="BU73" i="1" s="1"/>
  <c r="BT65" i="1" a="1"/>
  <c r="BT65" i="1" s="1"/>
  <c r="BS65" i="1"/>
  <c r="BU65" i="1" s="1" a="1"/>
  <c r="BU65" i="1" s="1"/>
  <c r="BT57" i="1" a="1"/>
  <c r="BT57" i="1" s="1"/>
  <c r="BS57" i="1"/>
  <c r="BU57" i="1" s="1" a="1"/>
  <c r="BU57" i="1" s="1"/>
  <c r="BT175" i="1" a="1"/>
  <c r="BT175" i="1" s="1"/>
  <c r="BS175" i="1"/>
  <c r="BU175" i="1" s="1" a="1"/>
  <c r="BU175" i="1" s="1"/>
  <c r="BT167" i="1" a="1"/>
  <c r="BT167" i="1" s="1"/>
  <c r="BS167" i="1"/>
  <c r="BU167" i="1" s="1" a="1"/>
  <c r="BU167" i="1" s="1"/>
  <c r="BR35" i="1"/>
  <c r="BR27" i="1"/>
  <c r="BS163" i="1"/>
  <c r="BU163" i="1" s="1" a="1"/>
  <c r="BU163" i="1" s="1"/>
  <c r="BT163" i="1" a="1"/>
  <c r="BT163" i="1" s="1"/>
  <c r="BT155" i="1" a="1"/>
  <c r="BT155" i="1" s="1"/>
  <c r="BS155" i="1"/>
  <c r="BU155" i="1" s="1" a="1"/>
  <c r="BU155" i="1" s="1"/>
  <c r="BT147" i="1" a="1"/>
  <c r="BT147" i="1" s="1"/>
  <c r="BS147" i="1"/>
  <c r="BU147" i="1" s="1" a="1"/>
  <c r="BU147" i="1" s="1"/>
  <c r="BT103" i="1" a="1"/>
  <c r="BT103" i="1" s="1"/>
  <c r="BS103" i="1"/>
  <c r="BU103" i="1" s="1" a="1"/>
  <c r="BU103" i="1" s="1"/>
  <c r="BT95" i="1" a="1"/>
  <c r="BT95" i="1" s="1"/>
  <c r="BS95" i="1"/>
  <c r="BU95" i="1" s="1" a="1"/>
  <c r="BU95" i="1" s="1"/>
  <c r="BT16" i="1" a="1"/>
  <c r="BT16" i="1" s="1"/>
  <c r="CH16" i="1" s="1"/>
  <c r="CI16" i="1" s="1"/>
  <c r="CJ16" i="1" s="1"/>
  <c r="BS16" i="1"/>
  <c r="BU16" i="1" s="1" a="1"/>
  <c r="BU16" i="1" s="1"/>
  <c r="BS8" i="1"/>
  <c r="BU8" i="1" s="1" a="1"/>
  <c r="BU8" i="1" s="1"/>
  <c r="BT8" i="1" a="1"/>
  <c r="BT8" i="1" s="1"/>
  <c r="CH8" i="1" s="1"/>
  <c r="CI8" i="1" s="1"/>
  <c r="CJ8" i="1" s="1"/>
  <c r="BS144" i="1"/>
  <c r="BU144" i="1" s="1" a="1"/>
  <c r="BU144" i="1" s="1"/>
  <c r="BT144" i="1" a="1"/>
  <c r="BT144" i="1" s="1"/>
  <c r="BT136" i="1" a="1"/>
  <c r="BT136" i="1" s="1"/>
  <c r="BS136" i="1"/>
  <c r="BU136" i="1" s="1" a="1"/>
  <c r="BU136" i="1" s="1"/>
  <c r="BT128" i="1" a="1"/>
  <c r="BT128" i="1" s="1"/>
  <c r="BS128" i="1"/>
  <c r="BU128" i="1" s="1" a="1"/>
  <c r="BU128" i="1" s="1"/>
  <c r="BT48" i="1" a="1"/>
  <c r="BT48" i="1" s="1"/>
  <c r="BS48" i="1"/>
  <c r="BU48" i="1" s="1" a="1"/>
  <c r="BU48" i="1" s="1"/>
  <c r="BT40" i="1" a="1"/>
  <c r="BT40" i="1" s="1"/>
  <c r="BS40" i="1"/>
  <c r="BU40" i="1" s="1" a="1"/>
  <c r="BU40" i="1" s="1"/>
  <c r="BT86" i="1" a="1"/>
  <c r="BT86" i="1" s="1"/>
  <c r="BS86" i="1"/>
  <c r="BU86" i="1" s="1" a="1"/>
  <c r="BU86" i="1" s="1"/>
  <c r="BT78" i="1" a="1"/>
  <c r="BT78" i="1" s="1"/>
  <c r="BS78" i="1"/>
  <c r="BU78" i="1" s="1" a="1"/>
  <c r="BU78" i="1" s="1"/>
  <c r="BT124" i="1" a="1"/>
  <c r="BT124" i="1" s="1"/>
  <c r="BS124" i="1"/>
  <c r="BU124" i="1" s="1" a="1"/>
  <c r="BU124" i="1" s="1"/>
  <c r="BT116" i="1" a="1"/>
  <c r="BT116" i="1" s="1"/>
  <c r="BS116" i="1"/>
  <c r="BU116" i="1" s="1" a="1"/>
  <c r="BU116" i="1" s="1"/>
  <c r="BT72" i="1" a="1"/>
  <c r="BT72" i="1" s="1"/>
  <c r="BS72" i="1"/>
  <c r="BU72" i="1" s="1" a="1"/>
  <c r="BU72" i="1" s="1"/>
  <c r="BT64" i="1" a="1"/>
  <c r="BT64" i="1" s="1"/>
  <c r="BS64" i="1"/>
  <c r="BU64" i="1" s="1" a="1"/>
  <c r="BU64" i="1" s="1"/>
  <c r="BT56" i="1" a="1"/>
  <c r="BT56" i="1" s="1"/>
  <c r="BS56" i="1"/>
  <c r="BU56" i="1" s="1" a="1"/>
  <c r="BU56" i="1" s="1"/>
  <c r="BT174" i="1" a="1"/>
  <c r="BT174" i="1" s="1"/>
  <c r="BS174" i="1"/>
  <c r="BU174" i="1" s="1" a="1"/>
  <c r="BU174" i="1" s="1"/>
  <c r="BT166" i="1" a="1"/>
  <c r="BT166" i="1" s="1"/>
  <c r="BS166" i="1"/>
  <c r="BU166" i="1" s="1" a="1"/>
  <c r="BU166" i="1" s="1"/>
  <c r="BR34" i="1"/>
  <c r="BR26" i="1"/>
  <c r="BT162" i="1" a="1"/>
  <c r="BT162" i="1" s="1"/>
  <c r="BS162" i="1"/>
  <c r="BU162" i="1" s="1" a="1"/>
  <c r="BU162" i="1" s="1"/>
  <c r="BS154" i="1"/>
  <c r="BU154" i="1" s="1" a="1"/>
  <c r="BU154" i="1" s="1"/>
  <c r="BT154" i="1" a="1"/>
  <c r="BT154" i="1" s="1"/>
  <c r="BT146" i="1" a="1"/>
  <c r="BT146" i="1" s="1"/>
  <c r="BS146" i="1"/>
  <c r="BU146" i="1" s="1" a="1"/>
  <c r="BU146" i="1" s="1"/>
  <c r="BT102" i="1" a="1"/>
  <c r="BT102" i="1" s="1"/>
  <c r="BS102" i="1"/>
  <c r="BU102" i="1" s="1" a="1"/>
  <c r="BU102" i="1" s="1"/>
  <c r="BS94" i="1"/>
  <c r="BU94" i="1" s="1" a="1"/>
  <c r="BU94" i="1" s="1"/>
  <c r="BT94" i="1" a="1"/>
  <c r="BT94" i="1" s="1"/>
  <c r="BT15" i="1" a="1"/>
  <c r="BT15" i="1" s="1"/>
  <c r="CH15" i="1" s="1"/>
  <c r="CI15" i="1" s="1"/>
  <c r="CJ15" i="1" s="1"/>
  <c r="BS15" i="1"/>
  <c r="BU15" i="1" s="1" a="1"/>
  <c r="BU15" i="1" s="1"/>
  <c r="BT7" i="1" a="1"/>
  <c r="BT7" i="1" s="1"/>
  <c r="CH7" i="1" s="1"/>
  <c r="CI7" i="1" s="1"/>
  <c r="CJ7" i="1" s="1"/>
  <c r="BS7" i="1"/>
  <c r="BU7" i="1" s="1" a="1"/>
  <c r="BU7" i="1" s="1"/>
  <c r="BT143" i="1" a="1"/>
  <c r="BT143" i="1" s="1"/>
  <c r="BS143" i="1"/>
  <c r="BU143" i="1" s="1" a="1"/>
  <c r="BU143" i="1" s="1"/>
  <c r="BS135" i="1"/>
  <c r="BU135" i="1" s="1" a="1"/>
  <c r="BU135" i="1" s="1"/>
  <c r="BT135" i="1" a="1"/>
  <c r="BT135" i="1" s="1"/>
  <c r="BT55" i="1" a="1"/>
  <c r="BT55" i="1" s="1"/>
  <c r="BS55" i="1"/>
  <c r="BU55" i="1" s="1" a="1"/>
  <c r="BU55" i="1" s="1"/>
  <c r="BT47" i="1" a="1"/>
  <c r="BT47" i="1" s="1"/>
  <c r="BS47" i="1"/>
  <c r="BU47" i="1" s="1" a="1"/>
  <c r="BU47" i="1" s="1"/>
  <c r="BS39" i="1"/>
  <c r="BU39" i="1" s="1" a="1"/>
  <c r="BU39" i="1" s="1"/>
  <c r="BT39" i="1" a="1"/>
  <c r="BT39" i="1" s="1"/>
  <c r="BT85" i="1" a="1"/>
  <c r="BT85" i="1" s="1"/>
  <c r="BS85" i="1"/>
  <c r="BU85" i="1" s="1" a="1"/>
  <c r="BU85" i="1" s="1"/>
  <c r="BT77" i="1" a="1"/>
  <c r="BT77" i="1" s="1"/>
  <c r="BS77" i="1"/>
  <c r="BU77" i="1" s="1" a="1"/>
  <c r="BU77" i="1" s="1"/>
  <c r="BT123" i="1" a="1"/>
  <c r="BT123" i="1" s="1"/>
  <c r="BS123" i="1"/>
  <c r="BU123" i="1" s="1" a="1"/>
  <c r="BU123" i="1" s="1"/>
  <c r="BT115" i="1" a="1"/>
  <c r="BT115" i="1" s="1"/>
  <c r="BS115" i="1"/>
  <c r="BU115" i="1" s="1" a="1"/>
  <c r="BU115" i="1" s="1"/>
  <c r="BT71" i="1" a="1"/>
  <c r="BT71" i="1" s="1"/>
  <c r="BS71" i="1"/>
  <c r="BU71" i="1" s="1" a="1"/>
  <c r="BU71" i="1" s="1"/>
  <c r="BT63" i="1" a="1"/>
  <c r="BT63" i="1" s="1"/>
  <c r="BS63" i="1"/>
  <c r="BU63" i="1" s="1" a="1"/>
  <c r="BU63" i="1" s="1"/>
  <c r="BS181" i="1"/>
  <c r="BU181" i="1" s="1" a="1"/>
  <c r="BU181" i="1" s="1"/>
  <c r="BT181" i="1" a="1"/>
  <c r="BT181" i="1" s="1"/>
  <c r="BT173" i="1" a="1"/>
  <c r="BT173" i="1" s="1"/>
  <c r="BS173" i="1"/>
  <c r="BU173" i="1" s="1" a="1"/>
  <c r="BU173" i="1" s="1"/>
  <c r="BT165" i="1" a="1"/>
  <c r="BT165" i="1" s="1"/>
  <c r="BS165" i="1"/>
  <c r="BU165" i="1" s="1" a="1"/>
  <c r="BU165" i="1" s="1"/>
  <c r="BR33" i="1"/>
  <c r="BT161" i="1" a="1"/>
  <c r="BT161" i="1" s="1"/>
  <c r="BS161" i="1"/>
  <c r="BU161" i="1" s="1" a="1"/>
  <c r="BU161" i="1" s="1"/>
  <c r="BT153" i="1" a="1"/>
  <c r="BT153" i="1" s="1"/>
  <c r="BS153" i="1"/>
  <c r="BU153" i="1" s="1" a="1"/>
  <c r="BU153" i="1" s="1"/>
  <c r="BS109" i="1"/>
  <c r="BU109" i="1" s="1" a="1"/>
  <c r="BU109" i="1" s="1"/>
  <c r="BT109" i="1" a="1"/>
  <c r="BT109" i="1" s="1"/>
  <c r="BT101" i="1" a="1"/>
  <c r="BT101" i="1" s="1"/>
  <c r="BS101" i="1"/>
  <c r="BU101" i="1" s="1" a="1"/>
  <c r="BU101" i="1" s="1"/>
  <c r="BT93" i="1" a="1"/>
  <c r="BT93" i="1" s="1"/>
  <c r="BS93" i="1"/>
  <c r="BU93" i="1" s="1" a="1"/>
  <c r="BU93" i="1" s="1"/>
  <c r="BT14" i="1" a="1"/>
  <c r="BT14" i="1" s="1"/>
  <c r="CH14" i="1" s="1"/>
  <c r="CI14" i="1" s="1"/>
  <c r="CJ14" i="1" s="1"/>
  <c r="BS14" i="1"/>
  <c r="BU14" i="1" s="1" a="1"/>
  <c r="BU14" i="1" s="1"/>
  <c r="BT6" i="1" a="1"/>
  <c r="BT6" i="1" s="1"/>
  <c r="CH6" i="1" s="1"/>
  <c r="CI6" i="1" s="1"/>
  <c r="CJ6" i="1" s="1"/>
  <c r="BS6" i="1"/>
  <c r="BU6" i="1" s="1" a="1"/>
  <c r="BU6" i="1" s="1"/>
  <c r="BS142" i="1"/>
  <c r="BU142" i="1" s="1" a="1"/>
  <c r="BU142" i="1" s="1"/>
  <c r="BT142" i="1" a="1"/>
  <c r="BT142" i="1" s="1"/>
  <c r="BT134" i="1" a="1"/>
  <c r="BT134" i="1" s="1"/>
  <c r="BS134" i="1"/>
  <c r="BU134" i="1" s="1" a="1"/>
  <c r="BU134" i="1" s="1"/>
  <c r="BT54" i="1" a="1"/>
  <c r="BT54" i="1" s="1"/>
  <c r="BS54" i="1"/>
  <c r="BU54" i="1" s="1" a="1"/>
  <c r="BU54" i="1" s="1"/>
  <c r="BT46" i="1" a="1"/>
  <c r="BT46" i="1" s="1"/>
  <c r="BS46" i="1"/>
  <c r="BU46" i="1" s="1" a="1"/>
  <c r="BU46" i="1" s="1"/>
  <c r="BT38" i="1" a="1"/>
  <c r="BT38" i="1" s="1"/>
  <c r="BS38" i="1"/>
  <c r="BU38" i="1" s="1" a="1"/>
  <c r="BU38" i="1" s="1"/>
  <c r="BT84" i="1" a="1"/>
  <c r="BT84" i="1" s="1"/>
  <c r="BS84" i="1"/>
  <c r="BU84" i="1" s="1" a="1"/>
  <c r="BU84" i="1" s="1"/>
  <c r="BT76" i="1" a="1"/>
  <c r="BT76" i="1" s="1"/>
  <c r="BS76" i="1"/>
  <c r="BU76" i="1" s="1" a="1"/>
  <c r="BU76" i="1" s="1"/>
  <c r="BS122" i="1"/>
  <c r="BU122" i="1" s="1" a="1"/>
  <c r="BU122" i="1" s="1"/>
  <c r="BT122" i="1" a="1"/>
  <c r="BT122" i="1" s="1"/>
  <c r="BS114" i="1"/>
  <c r="BU114" i="1" s="1" a="1"/>
  <c r="BU114" i="1" s="1"/>
  <c r="BT114" i="1" a="1"/>
  <c r="BT114" i="1" s="1"/>
  <c r="BT70" i="1" a="1"/>
  <c r="BT70" i="1" s="1"/>
  <c r="BS70" i="1"/>
  <c r="BU70" i="1" s="1" a="1"/>
  <c r="BU70" i="1" s="1"/>
  <c r="BT62" i="1" a="1"/>
  <c r="BT62" i="1" s="1"/>
  <c r="BS62" i="1"/>
  <c r="BU62" i="1" s="1" a="1"/>
  <c r="BU62" i="1" s="1"/>
  <c r="BT180" i="1" a="1"/>
  <c r="BT180" i="1" s="1"/>
  <c r="BS180" i="1"/>
  <c r="BU180" i="1" s="1" a="1"/>
  <c r="BU180" i="1" s="1"/>
  <c r="BT172" i="1" a="1"/>
  <c r="BT172" i="1" s="1"/>
  <c r="BS172" i="1"/>
  <c r="BU172" i="1" s="1" a="1"/>
  <c r="BU172" i="1" s="1"/>
  <c r="BT164" i="1" a="1"/>
  <c r="BT164" i="1" s="1"/>
  <c r="BS164" i="1"/>
  <c r="BU164" i="1" s="1" a="1"/>
  <c r="BU164" i="1" s="1"/>
  <c r="M246" i="3"/>
  <c r="C246" i="3"/>
  <c r="B247" i="3" s="1"/>
  <c r="I246" i="3"/>
  <c r="L246" i="3"/>
  <c r="F246" i="3"/>
  <c r="E246" i="3"/>
  <c r="H246" i="3"/>
  <c r="J246" i="3"/>
  <c r="K246" i="3"/>
  <c r="D246" i="3" a="1"/>
  <c r="D246" i="3" s="1"/>
  <c r="G246" i="3"/>
  <c r="AK162" i="1"/>
  <c r="AK158" i="1"/>
  <c r="AK159" i="1"/>
  <c r="AK161" i="1"/>
  <c r="AK73" i="1"/>
  <c r="AK231" i="1"/>
  <c r="AK36" i="1"/>
  <c r="AK108" i="1"/>
  <c r="AK197" i="1"/>
  <c r="AK207" i="1"/>
  <c r="AK193" i="1"/>
  <c r="AK86" i="1"/>
  <c r="AK141" i="1"/>
  <c r="AK102" i="1"/>
  <c r="AK104" i="1"/>
  <c r="AK107" i="1"/>
  <c r="AK50" i="1"/>
  <c r="AK33" i="1"/>
  <c r="AK233" i="1"/>
  <c r="AK144" i="1"/>
  <c r="AK124" i="1"/>
  <c r="AK32" i="1"/>
  <c r="AK34" i="1"/>
  <c r="AK179" i="1"/>
  <c r="AK89" i="1"/>
  <c r="AK195" i="1"/>
  <c r="AK196" i="1"/>
  <c r="AK210" i="1"/>
  <c r="AK142" i="1"/>
  <c r="AK172" i="1"/>
  <c r="AK126" i="1"/>
  <c r="AK138" i="1"/>
  <c r="AK69" i="1"/>
  <c r="AK230" i="1"/>
  <c r="AK211" i="1"/>
  <c r="AK88" i="1"/>
  <c r="AK90" i="1"/>
  <c r="AK199" i="1"/>
  <c r="AK177" i="1"/>
  <c r="AK232" i="1"/>
  <c r="AK145" i="1"/>
  <c r="AK127" i="1"/>
  <c r="AK101" i="1"/>
  <c r="AK140" i="1"/>
  <c r="AK52" i="1"/>
  <c r="AK234" i="1"/>
  <c r="AK72" i="1"/>
  <c r="AK192" i="1"/>
  <c r="AK194" i="1"/>
  <c r="AK209" i="1"/>
  <c r="AK215" i="1"/>
  <c r="AK35" i="1"/>
  <c r="AK180" i="1"/>
  <c r="AK106" i="1"/>
  <c r="AK154" i="1"/>
  <c r="AK49" i="1"/>
  <c r="AK178" i="1"/>
  <c r="AK54" i="1"/>
  <c r="AK157" i="1"/>
  <c r="AK235" i="1"/>
  <c r="AK37" i="1"/>
  <c r="AK87" i="1"/>
  <c r="AK217" i="1"/>
  <c r="AK213" i="1"/>
  <c r="AK143" i="1"/>
  <c r="AK173" i="1"/>
  <c r="AK229" i="1"/>
  <c r="AK91" i="1"/>
  <c r="AK103" i="1"/>
  <c r="AK122" i="1"/>
  <c r="AK55" i="1"/>
  <c r="AK51" i="1"/>
  <c r="AK71" i="1"/>
  <c r="AK176" i="1"/>
  <c r="AK198" i="1"/>
  <c r="AK206" i="1"/>
  <c r="AK208" i="1"/>
  <c r="AK67" i="1"/>
  <c r="AK212" i="1"/>
  <c r="AK228" i="1"/>
  <c r="AK191" i="1"/>
  <c r="AK105" i="1"/>
  <c r="AK153" i="1"/>
  <c r="AK155" i="1"/>
  <c r="AK68" i="1"/>
  <c r="AK53" i="1"/>
  <c r="AK163" i="1"/>
  <c r="AK156" i="1"/>
  <c r="AK160" i="1"/>
  <c r="AK70" i="1"/>
  <c r="AK175" i="1"/>
  <c r="AK174" i="1"/>
  <c r="AK214" i="1"/>
  <c r="AK216" i="1"/>
  <c r="AK137" i="1"/>
  <c r="AK181" i="1"/>
  <c r="AK109" i="1"/>
  <c r="AK123" i="1"/>
  <c r="AK125" i="1"/>
  <c r="AK139" i="1"/>
  <c r="AM16" i="1"/>
  <c r="AM15" i="1"/>
  <c r="AK223" i="1"/>
  <c r="AM14" i="1"/>
  <c r="AM17" i="1"/>
  <c r="AK26" i="1"/>
  <c r="AK75" i="1"/>
  <c r="AM18" i="1"/>
  <c r="AM13" i="1"/>
  <c r="F5" i="4"/>
  <c r="DB3" i="1"/>
  <c r="F12" i="4"/>
  <c r="F7" i="4"/>
  <c r="DD5" i="1"/>
  <c r="F11" i="4"/>
  <c r="DB10" i="1"/>
  <c r="DB13" i="1"/>
  <c r="F13" i="4"/>
  <c r="DD13" i="1"/>
  <c r="DB11" i="1"/>
  <c r="F9" i="4"/>
  <c r="DB4" i="1"/>
  <c r="F6" i="4"/>
  <c r="DB7" i="1"/>
  <c r="DB9" i="1"/>
  <c r="DB8" i="1"/>
  <c r="F10" i="4"/>
  <c r="F14" i="4"/>
  <c r="DD12" i="1"/>
  <c r="DD14" i="1"/>
  <c r="DB15" i="1"/>
  <c r="F16" i="4"/>
  <c r="DD6" i="1"/>
  <c r="F17" i="4"/>
  <c r="F8" i="4"/>
  <c r="C5" i="6"/>
  <c r="A6" i="6"/>
  <c r="B6" i="6" s="1"/>
  <c r="B5" i="6"/>
  <c r="J98" i="3"/>
  <c r="I98" i="3"/>
  <c r="E98" i="3"/>
  <c r="H98" i="3"/>
  <c r="G98" i="3"/>
  <c r="F98" i="3"/>
  <c r="G208" i="3"/>
  <c r="H208" i="3"/>
  <c r="I208" i="3"/>
  <c r="F208" i="3"/>
  <c r="J208" i="3"/>
  <c r="E208" i="3"/>
  <c r="G149" i="3"/>
  <c r="F149" i="3"/>
  <c r="H149" i="3"/>
  <c r="J149" i="3"/>
  <c r="I149" i="3"/>
  <c r="E149" i="3"/>
  <c r="E95" i="3"/>
  <c r="G95" i="3"/>
  <c r="J95" i="3"/>
  <c r="H95" i="3"/>
  <c r="F95" i="3"/>
  <c r="I95" i="3"/>
  <c r="D5" i="6"/>
  <c r="F73" i="3"/>
  <c r="I73" i="3"/>
  <c r="E73" i="3"/>
  <c r="J73" i="3"/>
  <c r="G73" i="3"/>
  <c r="H73" i="3"/>
  <c r="E153" i="3"/>
  <c r="F153" i="3"/>
  <c r="G153" i="3"/>
  <c r="H153" i="3"/>
  <c r="J153" i="3"/>
  <c r="I153" i="3"/>
  <c r="G43" i="3"/>
  <c r="F43" i="3"/>
  <c r="H43" i="3"/>
  <c r="E43" i="3"/>
  <c r="J43" i="3"/>
  <c r="I43" i="3"/>
  <c r="H18" i="3"/>
  <c r="E18" i="3"/>
  <c r="J18" i="3"/>
  <c r="I18" i="3"/>
  <c r="G18" i="3"/>
  <c r="F18" i="3"/>
  <c r="E130" i="3"/>
  <c r="F130" i="3"/>
  <c r="G130" i="3"/>
  <c r="J130" i="3"/>
  <c r="H130" i="3"/>
  <c r="I130" i="3"/>
  <c r="E22" i="3"/>
  <c r="J22" i="3"/>
  <c r="I22" i="3"/>
  <c r="H22" i="3"/>
  <c r="G22" i="3"/>
  <c r="F22" i="3"/>
  <c r="H36" i="3"/>
  <c r="J36" i="3"/>
  <c r="E36" i="3"/>
  <c r="I36" i="3"/>
  <c r="G36" i="3"/>
  <c r="F36" i="3"/>
  <c r="F75" i="3"/>
  <c r="H75" i="3"/>
  <c r="I75" i="3"/>
  <c r="E75" i="3"/>
  <c r="G75" i="3"/>
  <c r="J75" i="3"/>
  <c r="E67" i="3"/>
  <c r="G67" i="3"/>
  <c r="I67" i="3"/>
  <c r="J67" i="3"/>
  <c r="H67" i="3"/>
  <c r="F67" i="3"/>
  <c r="J231" i="3"/>
  <c r="F231" i="3"/>
  <c r="H231" i="3"/>
  <c r="E231" i="3"/>
  <c r="G231" i="3"/>
  <c r="I231" i="3"/>
  <c r="E120" i="3"/>
  <c r="J120" i="3"/>
  <c r="F120" i="3"/>
  <c r="G120" i="3"/>
  <c r="H120" i="3"/>
  <c r="I120" i="3"/>
  <c r="F200" i="3"/>
  <c r="I200" i="3"/>
  <c r="G200" i="3"/>
  <c r="E200" i="3"/>
  <c r="H200" i="3"/>
  <c r="J200" i="3"/>
  <c r="I38" i="3"/>
  <c r="E38" i="3"/>
  <c r="H38" i="3"/>
  <c r="F38" i="3"/>
  <c r="G38" i="3"/>
  <c r="J38" i="3"/>
  <c r="E23" i="3"/>
  <c r="G23" i="3"/>
  <c r="J23" i="3"/>
  <c r="F23" i="3"/>
  <c r="I23" i="3"/>
  <c r="H23" i="3"/>
  <c r="E104" i="3"/>
  <c r="G104" i="3"/>
  <c r="J104" i="3"/>
  <c r="F104" i="3"/>
  <c r="H104" i="3"/>
  <c r="I104" i="3"/>
  <c r="I24" i="3"/>
  <c r="G24" i="3"/>
  <c r="H24" i="3"/>
  <c r="F24" i="3"/>
  <c r="E24" i="3"/>
  <c r="J24" i="3"/>
  <c r="E66" i="3"/>
  <c r="J66" i="3"/>
  <c r="G66" i="3"/>
  <c r="I66" i="3"/>
  <c r="F66" i="3"/>
  <c r="H66" i="3"/>
  <c r="E132" i="3"/>
  <c r="G132" i="3"/>
  <c r="I132" i="3"/>
  <c r="H132" i="3"/>
  <c r="J132" i="3"/>
  <c r="F132" i="3"/>
  <c r="E97" i="3"/>
  <c r="I97" i="3"/>
  <c r="F97" i="3"/>
  <c r="G97" i="3"/>
  <c r="J97" i="3"/>
  <c r="H97" i="3"/>
  <c r="G21" i="3"/>
  <c r="E21" i="3"/>
  <c r="I21" i="3"/>
  <c r="F21" i="3"/>
  <c r="H21" i="3"/>
  <c r="J21" i="3"/>
  <c r="I119" i="3"/>
  <c r="H119" i="3"/>
  <c r="J119" i="3"/>
  <c r="F119" i="3"/>
  <c r="G119" i="3"/>
  <c r="E119" i="3"/>
  <c r="E48" i="3"/>
  <c r="I48" i="3"/>
  <c r="H48" i="3"/>
  <c r="J48" i="3"/>
  <c r="G48" i="3"/>
  <c r="F48" i="3"/>
  <c r="DE3" i="1" a="1"/>
  <c r="DE3" i="1" s="1"/>
  <c r="E5" i="4"/>
  <c r="G233" i="3"/>
  <c r="E233" i="3"/>
  <c r="J233" i="3"/>
  <c r="F233" i="3"/>
  <c r="H233" i="3"/>
  <c r="I233" i="3"/>
  <c r="G11" i="3"/>
  <c r="E11" i="3"/>
  <c r="H11" i="3"/>
  <c r="J11" i="3"/>
  <c r="F11" i="3"/>
  <c r="I11" i="3"/>
  <c r="F173" i="3"/>
  <c r="J173" i="3"/>
  <c r="H173" i="3"/>
  <c r="G173" i="3"/>
  <c r="E173" i="3"/>
  <c r="I173" i="3"/>
  <c r="F177" i="3"/>
  <c r="H177" i="3"/>
  <c r="I177" i="3"/>
  <c r="E177" i="3"/>
  <c r="J177" i="3"/>
  <c r="G177" i="3"/>
  <c r="F176" i="3"/>
  <c r="G176" i="3"/>
  <c r="E176" i="3"/>
  <c r="I176" i="3"/>
  <c r="J176" i="3"/>
  <c r="H176" i="3"/>
  <c r="F206" i="3"/>
  <c r="H206" i="3"/>
  <c r="I206" i="3"/>
  <c r="G206" i="3"/>
  <c r="E206" i="3"/>
  <c r="J206" i="3"/>
  <c r="E122" i="3"/>
  <c r="I122" i="3"/>
  <c r="H122" i="3"/>
  <c r="J122" i="3"/>
  <c r="G122" i="3"/>
  <c r="F122" i="3"/>
  <c r="H129" i="3"/>
  <c r="E129" i="3"/>
  <c r="F129" i="3"/>
  <c r="G129" i="3"/>
  <c r="J129" i="3"/>
  <c r="I129" i="3"/>
  <c r="I106" i="3"/>
  <c r="H106" i="3"/>
  <c r="J106" i="3"/>
  <c r="G106" i="3"/>
  <c r="E106" i="3"/>
  <c r="F106" i="3"/>
  <c r="J156" i="3"/>
  <c r="F156" i="3"/>
  <c r="E156" i="3"/>
  <c r="G156" i="3"/>
  <c r="I156" i="3"/>
  <c r="H156" i="3"/>
  <c r="E240" i="3"/>
  <c r="H240" i="3"/>
  <c r="G240" i="3"/>
  <c r="J240" i="3"/>
  <c r="F240" i="3"/>
  <c r="I240" i="3"/>
  <c r="G224" i="3"/>
  <c r="E224" i="3"/>
  <c r="I224" i="3"/>
  <c r="F224" i="3"/>
  <c r="J224" i="3"/>
  <c r="H224" i="3"/>
  <c r="G152" i="3"/>
  <c r="F152" i="3"/>
  <c r="E152" i="3"/>
  <c r="I152" i="3"/>
  <c r="J152" i="3"/>
  <c r="H152" i="3"/>
  <c r="G187" i="3"/>
  <c r="I187" i="3"/>
  <c r="J187" i="3"/>
  <c r="H187" i="3"/>
  <c r="E187" i="3"/>
  <c r="F187" i="3"/>
  <c r="H14" i="3"/>
  <c r="G14" i="3"/>
  <c r="I14" i="3"/>
  <c r="E14" i="3"/>
  <c r="F14" i="3"/>
  <c r="J14" i="3"/>
  <c r="G10" i="3"/>
  <c r="I10" i="3"/>
  <c r="F10" i="3"/>
  <c r="E10" i="3"/>
  <c r="H10" i="3"/>
  <c r="J10" i="3"/>
  <c r="H131" i="3"/>
  <c r="I131" i="3"/>
  <c r="G131" i="3"/>
  <c r="F131" i="3"/>
  <c r="E131" i="3"/>
  <c r="J131" i="3"/>
  <c r="H172" i="3"/>
  <c r="J172" i="3"/>
  <c r="F172" i="3"/>
  <c r="E172" i="3"/>
  <c r="G172" i="3"/>
  <c r="I172" i="3"/>
  <c r="H74" i="3"/>
  <c r="F74" i="3"/>
  <c r="I74" i="3"/>
  <c r="G74" i="3"/>
  <c r="E74" i="3"/>
  <c r="J74" i="3"/>
  <c r="H89" i="3"/>
  <c r="I89" i="3"/>
  <c r="J89" i="3"/>
  <c r="G89" i="3"/>
  <c r="F89" i="3"/>
  <c r="E89" i="3"/>
  <c r="H76" i="3"/>
  <c r="E76" i="3"/>
  <c r="F76" i="3"/>
  <c r="G76" i="3"/>
  <c r="K76" i="3"/>
  <c r="I76" i="3"/>
  <c r="J76" i="3"/>
  <c r="E171" i="3"/>
  <c r="G171" i="3"/>
  <c r="H171" i="3"/>
  <c r="F171" i="3"/>
  <c r="I171" i="3"/>
  <c r="J171" i="3"/>
  <c r="F101" i="3"/>
  <c r="H101" i="3"/>
  <c r="E101" i="3"/>
  <c r="G101" i="3"/>
  <c r="I101" i="3"/>
  <c r="J101" i="3"/>
  <c r="I184" i="3"/>
  <c r="H184" i="3"/>
  <c r="G184" i="3"/>
  <c r="F184" i="3"/>
  <c r="J184" i="3"/>
  <c r="E184" i="3"/>
  <c r="B6" i="5"/>
  <c r="C6" i="5"/>
  <c r="A7" i="5"/>
  <c r="D6" i="5"/>
  <c r="I19" i="3"/>
  <c r="J19" i="3"/>
  <c r="G19" i="3"/>
  <c r="F19" i="3"/>
  <c r="H19" i="3"/>
  <c r="E19" i="3"/>
  <c r="F197" i="3"/>
  <c r="H197" i="3"/>
  <c r="G197" i="3"/>
  <c r="I197" i="3"/>
  <c r="J197" i="3"/>
  <c r="E197" i="3"/>
  <c r="G199" i="3"/>
  <c r="J199" i="3"/>
  <c r="I199" i="3"/>
  <c r="E199" i="3"/>
  <c r="H199" i="3"/>
  <c r="F199" i="3"/>
  <c r="J228" i="3"/>
  <c r="E228" i="3"/>
  <c r="G228" i="3"/>
  <c r="F228" i="3"/>
  <c r="H228" i="3"/>
  <c r="I228" i="3"/>
  <c r="J100" i="3"/>
  <c r="F100" i="3"/>
  <c r="H100" i="3"/>
  <c r="I100" i="3"/>
  <c r="E100" i="3"/>
  <c r="G100" i="3"/>
  <c r="J159" i="3"/>
  <c r="G159" i="3"/>
  <c r="H159" i="3"/>
  <c r="E159" i="3"/>
  <c r="I159" i="3"/>
  <c r="F159" i="3"/>
  <c r="E155" i="3"/>
  <c r="G155" i="3"/>
  <c r="F155" i="3"/>
  <c r="I155" i="3"/>
  <c r="J155" i="3"/>
  <c r="H155" i="3"/>
  <c r="J125" i="3"/>
  <c r="G125" i="3"/>
  <c r="I125" i="3"/>
  <c r="E125" i="3"/>
  <c r="F125" i="3"/>
  <c r="H125" i="3"/>
  <c r="G146" i="3"/>
  <c r="J146" i="3"/>
  <c r="I146" i="3"/>
  <c r="E146" i="3"/>
  <c r="H146" i="3"/>
  <c r="F146" i="3"/>
  <c r="G147" i="3"/>
  <c r="I147" i="3"/>
  <c r="H147" i="3"/>
  <c r="E147" i="3"/>
  <c r="J147" i="3"/>
  <c r="F147" i="3"/>
  <c r="F47" i="3"/>
  <c r="G47" i="3"/>
  <c r="I47" i="3"/>
  <c r="H47" i="3"/>
  <c r="E47" i="3"/>
  <c r="J47" i="3"/>
  <c r="E145" i="3"/>
  <c r="J145" i="3"/>
  <c r="I145" i="3"/>
  <c r="F145" i="3"/>
  <c r="G145" i="3"/>
  <c r="H145" i="3"/>
  <c r="F234" i="3"/>
  <c r="I234" i="3"/>
  <c r="G234" i="3"/>
  <c r="J234" i="3"/>
  <c r="E234" i="3"/>
  <c r="H234" i="3"/>
  <c r="E44" i="3"/>
  <c r="H44" i="3"/>
  <c r="G44" i="3"/>
  <c r="J44" i="3"/>
  <c r="I44" i="3"/>
  <c r="F44" i="3"/>
  <c r="I133" i="3"/>
  <c r="E133" i="3"/>
  <c r="J133" i="3"/>
  <c r="G133" i="3"/>
  <c r="F133" i="3"/>
  <c r="H133" i="3"/>
  <c r="G46" i="3"/>
  <c r="E46" i="3"/>
  <c r="F46" i="3"/>
  <c r="I46" i="3"/>
  <c r="J46" i="3"/>
  <c r="H46" i="3"/>
  <c r="F13" i="3"/>
  <c r="E13" i="3"/>
  <c r="J13" i="3"/>
  <c r="H13" i="3"/>
  <c r="I13" i="3"/>
  <c r="G13" i="3"/>
  <c r="I90" i="3"/>
  <c r="E90" i="3"/>
  <c r="G90" i="3"/>
  <c r="J90" i="3"/>
  <c r="F90" i="3"/>
  <c r="H90" i="3"/>
  <c r="G238" i="3"/>
  <c r="E238" i="3"/>
  <c r="H238" i="3"/>
  <c r="I238" i="3"/>
  <c r="J238" i="3"/>
  <c r="F238" i="3"/>
  <c r="J70" i="3"/>
  <c r="F70" i="3"/>
  <c r="H70" i="3"/>
  <c r="E70" i="3"/>
  <c r="I70" i="3"/>
  <c r="G70" i="3"/>
  <c r="J239" i="3"/>
  <c r="I239" i="3"/>
  <c r="F239" i="3"/>
  <c r="E239" i="3"/>
  <c r="H239" i="3"/>
  <c r="G239" i="3"/>
  <c r="F179" i="3"/>
  <c r="H179" i="3"/>
  <c r="J179" i="3"/>
  <c r="G179" i="3"/>
  <c r="E179" i="3"/>
  <c r="I179" i="3"/>
  <c r="J49" i="3"/>
  <c r="E49" i="3"/>
  <c r="G49" i="3"/>
  <c r="I49" i="3"/>
  <c r="F49" i="3"/>
  <c r="H49" i="3"/>
  <c r="F72" i="3"/>
  <c r="J72" i="3"/>
  <c r="E72" i="3"/>
  <c r="G72" i="3"/>
  <c r="I72" i="3"/>
  <c r="H72" i="3"/>
  <c r="H79" i="3"/>
  <c r="F79" i="3"/>
  <c r="E79" i="3"/>
  <c r="G79" i="3"/>
  <c r="I79" i="3"/>
  <c r="J79" i="3"/>
  <c r="E144" i="3"/>
  <c r="I144" i="3"/>
  <c r="H144" i="3"/>
  <c r="F144" i="3"/>
  <c r="J144" i="3"/>
  <c r="G144" i="3"/>
  <c r="I65" i="3"/>
  <c r="F65" i="3"/>
  <c r="J65" i="3"/>
  <c r="E65" i="3"/>
  <c r="G65" i="3"/>
  <c r="H65" i="3"/>
  <c r="J226" i="3"/>
  <c r="H226" i="3"/>
  <c r="I226" i="3"/>
  <c r="F226" i="3"/>
  <c r="G226" i="3"/>
  <c r="E226" i="3"/>
  <c r="G69" i="3"/>
  <c r="H69" i="3"/>
  <c r="E69" i="3"/>
  <c r="I69" i="3"/>
  <c r="J69" i="3"/>
  <c r="F69" i="3"/>
  <c r="E10" i="4"/>
  <c r="E236" i="3"/>
  <c r="G236" i="3"/>
  <c r="I236" i="3"/>
  <c r="H236" i="3"/>
  <c r="F236" i="3"/>
  <c r="J236" i="3"/>
  <c r="J116" i="3"/>
  <c r="H116" i="3"/>
  <c r="F116" i="3"/>
  <c r="G116" i="3"/>
  <c r="I116" i="3"/>
  <c r="E116" i="3"/>
  <c r="I62" i="3"/>
  <c r="H62" i="3"/>
  <c r="F62" i="3"/>
  <c r="E62" i="3"/>
  <c r="J62" i="3"/>
  <c r="G62" i="3"/>
  <c r="E123" i="3"/>
  <c r="G123" i="3"/>
  <c r="F123" i="3"/>
  <c r="J123" i="3"/>
  <c r="H123" i="3"/>
  <c r="I123" i="3"/>
  <c r="I182" i="3"/>
  <c r="F182" i="3"/>
  <c r="E182" i="3"/>
  <c r="H182" i="3"/>
  <c r="J182" i="3"/>
  <c r="G182" i="3"/>
  <c r="G227" i="3"/>
  <c r="F227" i="3"/>
  <c r="E227" i="3"/>
  <c r="I227" i="3"/>
  <c r="H227" i="3"/>
  <c r="J227" i="3"/>
  <c r="J45" i="3"/>
  <c r="E45" i="3"/>
  <c r="G45" i="3"/>
  <c r="I45" i="3"/>
  <c r="F45" i="3"/>
  <c r="H45" i="3"/>
  <c r="E68" i="3"/>
  <c r="H68" i="3"/>
  <c r="F68" i="3"/>
  <c r="I68" i="3"/>
  <c r="G68" i="3"/>
  <c r="J68" i="3"/>
  <c r="F232" i="3"/>
  <c r="H232" i="3"/>
  <c r="J232" i="3"/>
  <c r="G232" i="3"/>
  <c r="E232" i="3"/>
  <c r="I232" i="3"/>
  <c r="F25" i="3"/>
  <c r="E25" i="3"/>
  <c r="J25" i="3"/>
  <c r="H25" i="3"/>
  <c r="G25" i="3"/>
  <c r="I25" i="3"/>
  <c r="I241" i="3"/>
  <c r="J241" i="3"/>
  <c r="F241" i="3"/>
  <c r="E241" i="3"/>
  <c r="G241" i="3"/>
  <c r="H241" i="3"/>
  <c r="J201" i="3"/>
  <c r="H201" i="3"/>
  <c r="I201" i="3"/>
  <c r="G201" i="3"/>
  <c r="F201" i="3"/>
  <c r="E201" i="3"/>
  <c r="J158" i="3"/>
  <c r="I158" i="3"/>
  <c r="F158" i="3"/>
  <c r="G158" i="3"/>
  <c r="E158" i="3"/>
  <c r="H158" i="3"/>
  <c r="J63" i="3"/>
  <c r="I63" i="3"/>
  <c r="H63" i="3"/>
  <c r="G63" i="3"/>
  <c r="F63" i="3"/>
  <c r="E63" i="3"/>
  <c r="H150" i="3"/>
  <c r="E150" i="3"/>
  <c r="F150" i="3"/>
  <c r="J150" i="3"/>
  <c r="G150" i="3"/>
  <c r="I150" i="3"/>
  <c r="E207" i="3"/>
  <c r="J207" i="3"/>
  <c r="F207" i="3"/>
  <c r="H207" i="3"/>
  <c r="G207" i="3"/>
  <c r="I207" i="3"/>
  <c r="I41" i="3"/>
  <c r="F41" i="3"/>
  <c r="J41" i="3"/>
  <c r="H41" i="3"/>
  <c r="E41" i="3"/>
  <c r="G41" i="3"/>
  <c r="E174" i="3"/>
  <c r="G174" i="3"/>
  <c r="I174" i="3"/>
  <c r="F174" i="3"/>
  <c r="H174" i="3"/>
  <c r="J174" i="3"/>
  <c r="F143" i="3"/>
  <c r="J143" i="3"/>
  <c r="H143" i="3"/>
  <c r="G143" i="3"/>
  <c r="I143" i="3"/>
  <c r="E143" i="3"/>
  <c r="I99" i="3"/>
  <c r="F99" i="3"/>
  <c r="E99" i="3"/>
  <c r="J99" i="3"/>
  <c r="G99" i="3"/>
  <c r="H99" i="3"/>
  <c r="H52" i="3"/>
  <c r="I52" i="3"/>
  <c r="G52" i="3"/>
  <c r="F52" i="3"/>
  <c r="J52" i="3"/>
  <c r="E52" i="3"/>
  <c r="I121" i="3"/>
  <c r="J121" i="3"/>
  <c r="E121" i="3"/>
  <c r="F121" i="3"/>
  <c r="H121" i="3"/>
  <c r="G121" i="3"/>
  <c r="E105" i="3"/>
  <c r="J105" i="3"/>
  <c r="H105" i="3"/>
  <c r="F105" i="3"/>
  <c r="G105" i="3"/>
  <c r="I105" i="3"/>
  <c r="E91" i="3"/>
  <c r="I91" i="3"/>
  <c r="H91" i="3"/>
  <c r="F91" i="3"/>
  <c r="J91" i="3"/>
  <c r="G91" i="3"/>
  <c r="G157" i="3"/>
  <c r="E157" i="3"/>
  <c r="F157" i="3"/>
  <c r="I157" i="3"/>
  <c r="H157" i="3"/>
  <c r="J157" i="3"/>
  <c r="E35" i="3"/>
  <c r="J35" i="3"/>
  <c r="H35" i="3"/>
  <c r="I35" i="3"/>
  <c r="F35" i="3"/>
  <c r="G35" i="3"/>
  <c r="E40" i="3"/>
  <c r="G40" i="3"/>
  <c r="J40" i="3"/>
  <c r="F40" i="3"/>
  <c r="I40" i="3"/>
  <c r="H40" i="3"/>
  <c r="I160" i="3"/>
  <c r="H160" i="3"/>
  <c r="E160" i="3"/>
  <c r="G160" i="3"/>
  <c r="F160" i="3"/>
  <c r="J160" i="3"/>
  <c r="G16" i="3"/>
  <c r="F16" i="3"/>
  <c r="I16" i="3"/>
  <c r="E16" i="3"/>
  <c r="H16" i="3"/>
  <c r="J16" i="3"/>
  <c r="G94" i="3"/>
  <c r="I94" i="3"/>
  <c r="J94" i="3"/>
  <c r="H94" i="3"/>
  <c r="F94" i="3"/>
  <c r="E94" i="3"/>
  <c r="G211" i="3"/>
  <c r="I211" i="3"/>
  <c r="J211" i="3"/>
  <c r="F211" i="3"/>
  <c r="E211" i="3"/>
  <c r="H211" i="3"/>
  <c r="I39" i="3"/>
  <c r="F39" i="3"/>
  <c r="J39" i="3"/>
  <c r="E39" i="3"/>
  <c r="G39" i="3"/>
  <c r="H39" i="3"/>
  <c r="E151" i="3"/>
  <c r="H151" i="3"/>
  <c r="G151" i="3"/>
  <c r="J151" i="3"/>
  <c r="I151" i="3"/>
  <c r="F151" i="3"/>
  <c r="J124" i="3"/>
  <c r="I124" i="3"/>
  <c r="F124" i="3"/>
  <c r="G124" i="3"/>
  <c r="H124" i="3"/>
  <c r="E124" i="3"/>
  <c r="J204" i="3"/>
  <c r="I204" i="3"/>
  <c r="G204" i="3"/>
  <c r="F204" i="3"/>
  <c r="E204" i="3"/>
  <c r="H204" i="3"/>
  <c r="I17" i="3"/>
  <c r="E17" i="3"/>
  <c r="F17" i="3"/>
  <c r="H17" i="3"/>
  <c r="G17" i="3"/>
  <c r="J17" i="3"/>
  <c r="J117" i="3"/>
  <c r="G117" i="3"/>
  <c r="H117" i="3"/>
  <c r="I117" i="3"/>
  <c r="F117" i="3"/>
  <c r="E117" i="3"/>
  <c r="F128" i="3"/>
  <c r="E128" i="3"/>
  <c r="G128" i="3"/>
  <c r="J128" i="3"/>
  <c r="H128" i="3"/>
  <c r="I128" i="3"/>
  <c r="E93" i="3"/>
  <c r="G93" i="3"/>
  <c r="H93" i="3"/>
  <c r="F93" i="3"/>
  <c r="I93" i="3"/>
  <c r="J93" i="3"/>
  <c r="G225" i="3"/>
  <c r="F225" i="3"/>
  <c r="E225" i="3"/>
  <c r="J225" i="3"/>
  <c r="H225" i="3"/>
  <c r="I225" i="3"/>
  <c r="E202" i="3"/>
  <c r="G202" i="3"/>
  <c r="H202" i="3"/>
  <c r="I202" i="3"/>
  <c r="F202" i="3"/>
  <c r="J202" i="3"/>
  <c r="I186" i="3"/>
  <c r="G186" i="3"/>
  <c r="J186" i="3"/>
  <c r="F186" i="3"/>
  <c r="H186" i="3"/>
  <c r="E186" i="3"/>
  <c r="F37" i="3"/>
  <c r="G37" i="3"/>
  <c r="E37" i="3"/>
  <c r="I37" i="3"/>
  <c r="H37" i="3"/>
  <c r="J37" i="3"/>
  <c r="G198" i="3"/>
  <c r="F198" i="3"/>
  <c r="I198" i="3"/>
  <c r="E198" i="3"/>
  <c r="J198" i="3"/>
  <c r="H198" i="3"/>
  <c r="I229" i="3"/>
  <c r="J229" i="3"/>
  <c r="G229" i="3"/>
  <c r="E229" i="3"/>
  <c r="F229" i="3"/>
  <c r="H229" i="3"/>
  <c r="E203" i="3"/>
  <c r="G203" i="3"/>
  <c r="H203" i="3"/>
  <c r="J203" i="3"/>
  <c r="F203" i="3"/>
  <c r="I203" i="3"/>
  <c r="G20" i="3"/>
  <c r="H20" i="3"/>
  <c r="E20" i="3"/>
  <c r="I20" i="3"/>
  <c r="J20" i="3"/>
  <c r="F20" i="3"/>
  <c r="H212" i="3"/>
  <c r="J212" i="3"/>
  <c r="I212" i="3"/>
  <c r="G212" i="3"/>
  <c r="F212" i="3"/>
  <c r="E212" i="3"/>
  <c r="I235" i="3"/>
  <c r="H235" i="3"/>
  <c r="J235" i="3"/>
  <c r="F235" i="3"/>
  <c r="G235" i="3"/>
  <c r="E235" i="3"/>
  <c r="F15" i="3"/>
  <c r="G15" i="3"/>
  <c r="E15" i="3"/>
  <c r="J15" i="3"/>
  <c r="I15" i="3"/>
  <c r="H15" i="3"/>
  <c r="H64" i="3"/>
  <c r="F64" i="3"/>
  <c r="J64" i="3"/>
  <c r="G64" i="3"/>
  <c r="I64" i="3"/>
  <c r="E64" i="3"/>
  <c r="I154" i="3"/>
  <c r="E154" i="3"/>
  <c r="G154" i="3"/>
  <c r="J154" i="3"/>
  <c r="H154" i="3"/>
  <c r="F154" i="3"/>
  <c r="H183" i="3"/>
  <c r="E183" i="3"/>
  <c r="J183" i="3"/>
  <c r="F183" i="3"/>
  <c r="I183" i="3"/>
  <c r="G183" i="3"/>
  <c r="H50" i="3"/>
  <c r="I50" i="3"/>
  <c r="G50" i="3"/>
  <c r="F50" i="3"/>
  <c r="K50" i="3"/>
  <c r="E50" i="3"/>
  <c r="J50" i="3"/>
  <c r="I178" i="3"/>
  <c r="H178" i="3"/>
  <c r="G178" i="3"/>
  <c r="E178" i="3"/>
  <c r="J178" i="3"/>
  <c r="F178" i="3"/>
  <c r="J42" i="3"/>
  <c r="H42" i="3"/>
  <c r="I42" i="3"/>
  <c r="F42" i="3"/>
  <c r="E42" i="3"/>
  <c r="G42" i="3"/>
  <c r="I71" i="3"/>
  <c r="J71" i="3"/>
  <c r="F71" i="3"/>
  <c r="G71" i="3"/>
  <c r="H71" i="3"/>
  <c r="E71" i="3"/>
  <c r="E102" i="3"/>
  <c r="H102" i="3"/>
  <c r="I102" i="3"/>
  <c r="G102" i="3"/>
  <c r="F102" i="3"/>
  <c r="J102" i="3"/>
  <c r="I237" i="3"/>
  <c r="H237" i="3"/>
  <c r="E237" i="3"/>
  <c r="F237" i="3"/>
  <c r="G237" i="3"/>
  <c r="J237" i="3"/>
  <c r="J170" i="3"/>
  <c r="H170" i="3"/>
  <c r="E170" i="3"/>
  <c r="I170" i="3"/>
  <c r="G170" i="3"/>
  <c r="F170" i="3"/>
  <c r="G210" i="3"/>
  <c r="E210" i="3"/>
  <c r="J210" i="3"/>
  <c r="H210" i="3"/>
  <c r="I210" i="3"/>
  <c r="F210" i="3"/>
  <c r="G103" i="3"/>
  <c r="I103" i="3"/>
  <c r="J103" i="3"/>
  <c r="H103" i="3"/>
  <c r="F103" i="3"/>
  <c r="E103" i="3"/>
  <c r="J77" i="3"/>
  <c r="E77" i="3"/>
  <c r="I77" i="3"/>
  <c r="H77" i="3"/>
  <c r="G77" i="3"/>
  <c r="F77" i="3"/>
  <c r="G213" i="3"/>
  <c r="H213" i="3"/>
  <c r="E213" i="3"/>
  <c r="I213" i="3"/>
  <c r="F213" i="3"/>
  <c r="J213" i="3"/>
  <c r="J230" i="3"/>
  <c r="E230" i="3"/>
  <c r="H230" i="3"/>
  <c r="F230" i="3"/>
  <c r="G230" i="3"/>
  <c r="I230" i="3"/>
  <c r="H92" i="3"/>
  <c r="J92" i="3"/>
  <c r="E92" i="3"/>
  <c r="I92" i="3"/>
  <c r="F92" i="3"/>
  <c r="G92" i="3"/>
  <c r="I78" i="3"/>
  <c r="H78" i="3"/>
  <c r="E78" i="3"/>
  <c r="J78" i="3"/>
  <c r="G78" i="3"/>
  <c r="F78" i="3"/>
  <c r="E175" i="3"/>
  <c r="J175" i="3"/>
  <c r="F175" i="3"/>
  <c r="I175" i="3"/>
  <c r="H175" i="3"/>
  <c r="G175" i="3"/>
  <c r="E205" i="3"/>
  <c r="H205" i="3"/>
  <c r="F205" i="3"/>
  <c r="I205" i="3"/>
  <c r="G205" i="3"/>
  <c r="J205" i="3"/>
  <c r="H51" i="3"/>
  <c r="I51" i="3"/>
  <c r="F51" i="3"/>
  <c r="J51" i="3"/>
  <c r="G51" i="3"/>
  <c r="E51" i="3"/>
  <c r="F118" i="3"/>
  <c r="H118" i="3"/>
  <c r="I118" i="3"/>
  <c r="E118" i="3"/>
  <c r="J118" i="3"/>
  <c r="G118" i="3"/>
  <c r="I96" i="3"/>
  <c r="H96" i="3"/>
  <c r="F96" i="3"/>
  <c r="E96" i="3"/>
  <c r="J96" i="3"/>
  <c r="G96" i="3"/>
  <c r="I181" i="3"/>
  <c r="F181" i="3"/>
  <c r="H181" i="3"/>
  <c r="E181" i="3"/>
  <c r="J181" i="3"/>
  <c r="G181" i="3"/>
  <c r="J8" i="3"/>
  <c r="E8" i="3"/>
  <c r="G8" i="3"/>
  <c r="H8" i="3"/>
  <c r="I8" i="3"/>
  <c r="F8" i="3"/>
  <c r="I185" i="3"/>
  <c r="J185" i="3"/>
  <c r="H185" i="3"/>
  <c r="F185" i="3"/>
  <c r="E185" i="3"/>
  <c r="G185" i="3"/>
  <c r="J148" i="3"/>
  <c r="F148" i="3"/>
  <c r="I148" i="3"/>
  <c r="H148" i="3"/>
  <c r="G148" i="3"/>
  <c r="E148" i="3"/>
  <c r="H9" i="3"/>
  <c r="F9" i="3"/>
  <c r="E9" i="3"/>
  <c r="J9" i="3"/>
  <c r="G9" i="3"/>
  <c r="I9" i="3"/>
  <c r="F126" i="3"/>
  <c r="J126" i="3"/>
  <c r="I126" i="3"/>
  <c r="H126" i="3"/>
  <c r="G126" i="3"/>
  <c r="E126" i="3"/>
  <c r="E127" i="3"/>
  <c r="I127" i="3"/>
  <c r="F127" i="3"/>
  <c r="J127" i="3"/>
  <c r="G127" i="3"/>
  <c r="H127" i="3"/>
  <c r="H12" i="3"/>
  <c r="I12" i="3"/>
  <c r="E12" i="3"/>
  <c r="J12" i="3"/>
  <c r="F12" i="3"/>
  <c r="G12" i="3"/>
  <c r="H180" i="3"/>
  <c r="F180" i="3"/>
  <c r="E180" i="3"/>
  <c r="I180" i="3"/>
  <c r="G180" i="3"/>
  <c r="J180" i="3"/>
  <c r="G214" i="3"/>
  <c r="F214" i="3"/>
  <c r="E214" i="3"/>
  <c r="J214" i="3"/>
  <c r="H214" i="3"/>
  <c r="I214" i="3"/>
  <c r="H209" i="3"/>
  <c r="J209" i="3"/>
  <c r="G209" i="3"/>
  <c r="F209" i="3"/>
  <c r="I209" i="3"/>
  <c r="E209" i="3"/>
  <c r="CI2" i="1" l="1"/>
  <c r="CJ2" i="1" s="1"/>
  <c r="M13" i="3" s="1"/>
  <c r="F31" i="8"/>
  <c r="G31" i="8" s="1" a="1"/>
  <c r="G31" i="8" s="1"/>
  <c r="G32" i="8" a="1"/>
  <c r="G32" i="8" s="1"/>
  <c r="D32" i="8"/>
  <c r="BY23" i="1"/>
  <c r="CG23" i="1" s="1"/>
  <c r="BS31" i="1"/>
  <c r="BU31" i="1" s="1" a="1"/>
  <c r="BU31" i="1" s="1"/>
  <c r="BY31" i="1" s="1"/>
  <c r="CG31" i="1" s="1"/>
  <c r="BY25" i="1"/>
  <c r="AL12" i="1"/>
  <c r="K14" i="3" s="1"/>
  <c r="AL7" i="1"/>
  <c r="AM7" i="1" s="1"/>
  <c r="AL11" i="1"/>
  <c r="AM11" i="1" s="1"/>
  <c r="AL4" i="1"/>
  <c r="K12" i="3" s="1"/>
  <c r="AL10" i="1"/>
  <c r="AL6" i="1"/>
  <c r="K18" i="3" s="1"/>
  <c r="AL8" i="1"/>
  <c r="K10" i="3" s="1"/>
  <c r="AL3" i="1"/>
  <c r="K15" i="3" s="1"/>
  <c r="AL9" i="1"/>
  <c r="AM9" i="1" s="1"/>
  <c r="AL5" i="1"/>
  <c r="AM5" i="1" s="1"/>
  <c r="CE23" i="1"/>
  <c r="CC23" i="1"/>
  <c r="CH23" i="1" s="1"/>
  <c r="CI23" i="1" s="1"/>
  <c r="CD23" i="1"/>
  <c r="CD25" i="1"/>
  <c r="BS24" i="1"/>
  <c r="BU24" i="1" s="1" a="1"/>
  <c r="BU24" i="1" s="1"/>
  <c r="BY24" i="1" s="1"/>
  <c r="CG24" i="1" s="1"/>
  <c r="BS32" i="1"/>
  <c r="BU32" i="1" s="1" a="1"/>
  <c r="BU32" i="1" s="1"/>
  <c r="BY32" i="1" s="1"/>
  <c r="CG32" i="1" s="1"/>
  <c r="BT20" i="1" a="1"/>
  <c r="BT20" i="1" s="1"/>
  <c r="BS20" i="1"/>
  <c r="BU20" i="1" s="1" a="1"/>
  <c r="BU20" i="1" s="1"/>
  <c r="BT28" i="1" a="1"/>
  <c r="BT28" i="1" s="1"/>
  <c r="BS28" i="1"/>
  <c r="BU28" i="1" s="1" a="1"/>
  <c r="BU28" i="1" s="1"/>
  <c r="BS26" i="1"/>
  <c r="BU26" i="1" s="1" a="1"/>
  <c r="BU26" i="1" s="1"/>
  <c r="BT26" i="1" a="1"/>
  <c r="BT26" i="1" s="1"/>
  <c r="BT36" i="1" a="1"/>
  <c r="BT36" i="1" s="1"/>
  <c r="BS36" i="1"/>
  <c r="BU36" i="1" s="1" a="1"/>
  <c r="BU36" i="1" s="1"/>
  <c r="BT34" i="1" a="1"/>
  <c r="BT34" i="1" s="1"/>
  <c r="BS34" i="1"/>
  <c r="BU34" i="1" s="1" a="1"/>
  <c r="BU34" i="1" s="1"/>
  <c r="BT21" i="1" a="1"/>
  <c r="BT21" i="1" s="1"/>
  <c r="BS21" i="1"/>
  <c r="BU21" i="1" s="1" a="1"/>
  <c r="BU21" i="1" s="1"/>
  <c r="BS29" i="1"/>
  <c r="BU29" i="1" s="1" a="1"/>
  <c r="BU29" i="1" s="1"/>
  <c r="BT29" i="1" a="1"/>
  <c r="BT29" i="1" s="1"/>
  <c r="BT37" i="1" a="1"/>
  <c r="BT37" i="1" s="1"/>
  <c r="BS37" i="1"/>
  <c r="BU37" i="1" s="1" a="1"/>
  <c r="BU37" i="1" s="1"/>
  <c r="BT27" i="1" a="1"/>
  <c r="BT27" i="1" s="1"/>
  <c r="BS27" i="1"/>
  <c r="BU27" i="1" s="1" a="1"/>
  <c r="BU27" i="1" s="1"/>
  <c r="BT22" i="1" a="1"/>
  <c r="BT22" i="1" s="1"/>
  <c r="BS22" i="1"/>
  <c r="BU22" i="1" s="1" a="1"/>
  <c r="BU22" i="1" s="1"/>
  <c r="BT33" i="1" a="1"/>
  <c r="BT33" i="1" s="1"/>
  <c r="BS33" i="1"/>
  <c r="BU33" i="1" s="1" a="1"/>
  <c r="BU33" i="1" s="1"/>
  <c r="BT35" i="1" a="1"/>
  <c r="BT35" i="1" s="1"/>
  <c r="BS35" i="1"/>
  <c r="BU35" i="1" s="1" a="1"/>
  <c r="BU35" i="1" s="1"/>
  <c r="BT30" i="1" a="1"/>
  <c r="BT30" i="1" s="1"/>
  <c r="BS30" i="1"/>
  <c r="BU30" i="1" s="1" a="1"/>
  <c r="BU30" i="1" s="1"/>
  <c r="M24" i="3"/>
  <c r="M22" i="3"/>
  <c r="M23" i="3"/>
  <c r="M247" i="3"/>
  <c r="C247" i="3"/>
  <c r="B248" i="3" s="1"/>
  <c r="K247" i="3"/>
  <c r="F247" i="3"/>
  <c r="H247" i="3"/>
  <c r="D247" i="3" a="1"/>
  <c r="D247" i="3" s="1"/>
  <c r="L247" i="3"/>
  <c r="I247" i="3"/>
  <c r="E247" i="3"/>
  <c r="G247" i="3"/>
  <c r="J247" i="3"/>
  <c r="L24" i="3"/>
  <c r="K23" i="3"/>
  <c r="K22" i="3"/>
  <c r="AM10" i="1"/>
  <c r="K20" i="3"/>
  <c r="K24" i="3"/>
  <c r="AM231" i="1"/>
  <c r="AM225" i="1"/>
  <c r="K21" i="3"/>
  <c r="AM234" i="1"/>
  <c r="A7" i="6"/>
  <c r="C7" i="6" s="1"/>
  <c r="AM224" i="1"/>
  <c r="AM227" i="1"/>
  <c r="AM233" i="1"/>
  <c r="AM229" i="1"/>
  <c r="AM226" i="1"/>
  <c r="K11" i="3"/>
  <c r="AM235" i="1"/>
  <c r="AM228" i="1"/>
  <c r="AM223" i="1"/>
  <c r="AM232" i="1"/>
  <c r="AM230" i="1"/>
  <c r="C6" i="6"/>
  <c r="D6" i="6"/>
  <c r="F18" i="4"/>
  <c r="B7" i="5"/>
  <c r="D7" i="5"/>
  <c r="C7" i="5"/>
  <c r="A8" i="5"/>
  <c r="DF3" i="1"/>
  <c r="M15" i="3" s="1"/>
  <c r="DE4" i="1" a="1"/>
  <c r="DE4" i="1" s="1"/>
  <c r="K17" i="3" l="1"/>
  <c r="AM12" i="1"/>
  <c r="L14" i="3" s="1"/>
  <c r="AM6" i="1"/>
  <c r="L18" i="3" s="1"/>
  <c r="AM8" i="1"/>
  <c r="L10" i="3" s="1"/>
  <c r="CE25" i="1"/>
  <c r="CG25" i="1"/>
  <c r="K9" i="3"/>
  <c r="AL2" i="1"/>
  <c r="AM2" i="1" s="1"/>
  <c r="L13" i="3" s="1"/>
  <c r="AM35" i="1"/>
  <c r="L50" i="3" s="1"/>
  <c r="AM4" i="1"/>
  <c r="L12" i="3" s="1"/>
  <c r="K8" i="3"/>
  <c r="AM3" i="1"/>
  <c r="L15" i="3" s="1"/>
  <c r="BY28" i="1"/>
  <c r="CG28" i="1" s="1"/>
  <c r="CC31" i="1"/>
  <c r="CH31" i="1" s="1"/>
  <c r="CI31" i="1" s="1"/>
  <c r="CJ31" i="1" s="1"/>
  <c r="CD31" i="1"/>
  <c r="CE31" i="1"/>
  <c r="BY33" i="1"/>
  <c r="CG33" i="1" s="1"/>
  <c r="BY22" i="1"/>
  <c r="CG22" i="1" s="1"/>
  <c r="BY21" i="1"/>
  <c r="CG21" i="1" s="1"/>
  <c r="K16" i="3"/>
  <c r="CJ23" i="1"/>
  <c r="AL23" i="1"/>
  <c r="CC25" i="1"/>
  <c r="CH25" i="1" s="1"/>
  <c r="CI25" i="1" s="1"/>
  <c r="CE32" i="1"/>
  <c r="CD32" i="1"/>
  <c r="CC32" i="1"/>
  <c r="CH32" i="1" s="1"/>
  <c r="CI32" i="1" s="1"/>
  <c r="CC24" i="1"/>
  <c r="CH24" i="1" s="1"/>
  <c r="CI24" i="1" s="1"/>
  <c r="CE24" i="1"/>
  <c r="CD24" i="1"/>
  <c r="CE21" i="1"/>
  <c r="CC28" i="1"/>
  <c r="CH28" i="1" s="1"/>
  <c r="CI28" i="1" s="1"/>
  <c r="BY30" i="1"/>
  <c r="CG30" i="1" s="1"/>
  <c r="BY27" i="1"/>
  <c r="CG27" i="1" s="1"/>
  <c r="BY34" i="1"/>
  <c r="CG34" i="1" s="1"/>
  <c r="BY20" i="1"/>
  <c r="CG20" i="1" s="1"/>
  <c r="C32" i="8" s="1"/>
  <c r="BY35" i="1"/>
  <c r="CG35" i="1" s="1"/>
  <c r="BY37" i="1"/>
  <c r="CG37" i="1" s="1"/>
  <c r="BY36" i="1"/>
  <c r="CG36" i="1" s="1"/>
  <c r="BY29" i="1"/>
  <c r="CG29" i="1" s="1"/>
  <c r="BY26" i="1"/>
  <c r="CG26" i="1" s="1"/>
  <c r="CC33" i="1"/>
  <c r="CH33" i="1" s="1"/>
  <c r="CI33" i="1" s="1"/>
  <c r="CD33" i="1"/>
  <c r="CE33" i="1"/>
  <c r="M248" i="3"/>
  <c r="C248" i="3"/>
  <c r="B249" i="3" s="1"/>
  <c r="I248" i="3"/>
  <c r="J248" i="3"/>
  <c r="H248" i="3"/>
  <c r="E248" i="3"/>
  <c r="G248" i="3"/>
  <c r="F248" i="3"/>
  <c r="K248" i="3"/>
  <c r="L248" i="3"/>
  <c r="D248" i="3" a="1"/>
  <c r="D248" i="3" s="1"/>
  <c r="L21" i="3"/>
  <c r="L22" i="3"/>
  <c r="L23" i="3"/>
  <c r="L20" i="3"/>
  <c r="L11" i="3"/>
  <c r="L17" i="3"/>
  <c r="L16" i="3"/>
  <c r="A8" i="6"/>
  <c r="A9" i="6" s="1"/>
  <c r="B7" i="6"/>
  <c r="D7" i="6"/>
  <c r="L8" i="3"/>
  <c r="L9" i="3"/>
  <c r="AR234" i="1" a="1"/>
  <c r="AR234" i="1" s="1"/>
  <c r="AY234" i="1" s="1"/>
  <c r="AR224" i="1" a="1"/>
  <c r="AR224" i="1" s="1"/>
  <c r="AY224" i="1" s="1"/>
  <c r="AR232" i="1" a="1"/>
  <c r="AR232" i="1" s="1"/>
  <c r="AY232" i="1" s="1"/>
  <c r="AR223" i="1" a="1"/>
  <c r="AR223" i="1" s="1"/>
  <c r="AV223" i="1" s="1"/>
  <c r="AW223" i="1" s="1"/>
  <c r="AR233" i="1" a="1"/>
  <c r="AR233" i="1" s="1"/>
  <c r="AV233" i="1" s="1"/>
  <c r="AW233" i="1" s="1"/>
  <c r="AR225" i="1" a="1"/>
  <c r="AR225" i="1" s="1"/>
  <c r="AY225" i="1" s="1"/>
  <c r="AR227" i="1" a="1"/>
  <c r="AR227" i="1" s="1"/>
  <c r="AV227" i="1" s="1"/>
  <c r="AW227" i="1" s="1"/>
  <c r="AR235" i="1" a="1"/>
  <c r="AR235" i="1" s="1"/>
  <c r="AY235" i="1" s="1"/>
  <c r="AR226" i="1" a="1"/>
  <c r="AR226" i="1" s="1"/>
  <c r="AY226" i="1" s="1"/>
  <c r="AR229" i="1" a="1"/>
  <c r="AR229" i="1" s="1"/>
  <c r="AV229" i="1" s="1"/>
  <c r="AW229" i="1" s="1"/>
  <c r="AR230" i="1" a="1"/>
  <c r="AR230" i="1" s="1"/>
  <c r="AV230" i="1" s="1"/>
  <c r="AW230" i="1" s="1"/>
  <c r="AR228" i="1" a="1"/>
  <c r="AR228" i="1" s="1"/>
  <c r="AY228" i="1" s="1"/>
  <c r="AR231" i="1" a="1"/>
  <c r="AR231" i="1" s="1"/>
  <c r="AY231" i="1" s="1"/>
  <c r="DE5" i="1" a="1"/>
  <c r="DE5" i="1" s="1"/>
  <c r="C8" i="5"/>
  <c r="D8" i="5"/>
  <c r="B8" i="5"/>
  <c r="A9" i="5"/>
  <c r="DF4" i="1"/>
  <c r="M12" i="3" s="1"/>
  <c r="CD28" i="1" l="1"/>
  <c r="CE28" i="1"/>
  <c r="CD21" i="1"/>
  <c r="CC21" i="1"/>
  <c r="CH21" i="1" s="1"/>
  <c r="CI21" i="1" s="1"/>
  <c r="AL21" i="1" s="1"/>
  <c r="CD22" i="1"/>
  <c r="CC22" i="1"/>
  <c r="CH22" i="1" s="1"/>
  <c r="CI22" i="1" s="1"/>
  <c r="AL22" i="1" s="1"/>
  <c r="CE22" i="1"/>
  <c r="K13" i="3"/>
  <c r="AL31" i="1"/>
  <c r="CJ33" i="1"/>
  <c r="AL33" i="1"/>
  <c r="CJ25" i="1"/>
  <c r="AL25" i="1"/>
  <c r="CJ22" i="1"/>
  <c r="CJ28" i="1"/>
  <c r="AL28" i="1"/>
  <c r="CJ24" i="1"/>
  <c r="AL24" i="1"/>
  <c r="CJ32" i="1"/>
  <c r="AL32" i="1"/>
  <c r="CD27" i="1"/>
  <c r="CC27" i="1"/>
  <c r="CH27" i="1" s="1"/>
  <c r="CI27" i="1" s="1"/>
  <c r="CE27" i="1"/>
  <c r="CC26" i="1"/>
  <c r="CH26" i="1" s="1"/>
  <c r="CI26" i="1" s="1"/>
  <c r="CD26" i="1"/>
  <c r="CE26" i="1"/>
  <c r="CE30" i="1"/>
  <c r="CD30" i="1"/>
  <c r="CC30" i="1"/>
  <c r="CH30" i="1" s="1"/>
  <c r="CI30" i="1" s="1"/>
  <c r="CD29" i="1"/>
  <c r="CC29" i="1"/>
  <c r="CH29" i="1" s="1"/>
  <c r="CI29" i="1" s="1"/>
  <c r="CE29" i="1"/>
  <c r="CE36" i="1"/>
  <c r="CD36" i="1"/>
  <c r="CC36" i="1"/>
  <c r="CH36" i="1" s="1"/>
  <c r="CI36" i="1" s="1"/>
  <c r="CJ36" i="1" s="1"/>
  <c r="CD37" i="1"/>
  <c r="CE37" i="1"/>
  <c r="CC37" i="1"/>
  <c r="CH37" i="1" s="1"/>
  <c r="CI37" i="1" s="1"/>
  <c r="CJ37" i="1" s="1"/>
  <c r="CE35" i="1"/>
  <c r="CD35" i="1"/>
  <c r="CC35" i="1"/>
  <c r="CH35" i="1" s="1"/>
  <c r="CI35" i="1" s="1"/>
  <c r="CJ35" i="1" s="1"/>
  <c r="CE20" i="1"/>
  <c r="CD20" i="1"/>
  <c r="CC20" i="1"/>
  <c r="CE34" i="1"/>
  <c r="CD34" i="1"/>
  <c r="CC34" i="1"/>
  <c r="CH34" i="1" s="1"/>
  <c r="CI34" i="1" s="1"/>
  <c r="C249" i="3"/>
  <c r="B250" i="3" s="1"/>
  <c r="E249" i="3"/>
  <c r="D249" i="3" a="1"/>
  <c r="D249" i="3" s="1"/>
  <c r="C8" i="6"/>
  <c r="D8" i="6"/>
  <c r="B8" i="6"/>
  <c r="AV224" i="1"/>
  <c r="AW224" i="1" s="1"/>
  <c r="AV226" i="1"/>
  <c r="AW226" i="1" s="1"/>
  <c r="AV234" i="1"/>
  <c r="AW234" i="1" s="1"/>
  <c r="AV235" i="1"/>
  <c r="AW235" i="1" s="1"/>
  <c r="AY229" i="1"/>
  <c r="AV232" i="1"/>
  <c r="AW232" i="1" s="1"/>
  <c r="AY233" i="1"/>
  <c r="AY230" i="1"/>
  <c r="AY223" i="1"/>
  <c r="AV225" i="1"/>
  <c r="AW225" i="1" s="1"/>
  <c r="AV231" i="1"/>
  <c r="AW231" i="1" s="1"/>
  <c r="AY227" i="1"/>
  <c r="AV228" i="1"/>
  <c r="AW228" i="1" s="1"/>
  <c r="D9" i="5"/>
  <c r="B9" i="5"/>
  <c r="C9" i="5"/>
  <c r="A10" i="5"/>
  <c r="D9" i="6"/>
  <c r="A10" i="6"/>
  <c r="B9" i="6"/>
  <c r="C9" i="6"/>
  <c r="DF5" i="1"/>
  <c r="M8" i="3" s="1"/>
  <c r="DE6" i="1" a="1"/>
  <c r="DE6" i="1" s="1"/>
  <c r="CJ21" i="1" l="1"/>
  <c r="CH20" i="1"/>
  <c r="BV42" i="1" s="1" a="1"/>
  <c r="BV42" i="1" s="1"/>
  <c r="BW42" i="1" s="1" a="1"/>
  <c r="BW42" i="1" s="1"/>
  <c r="BX42" i="1" s="1"/>
  <c r="CF42" i="1" s="1"/>
  <c r="E32" i="8"/>
  <c r="CJ27" i="1"/>
  <c r="AL27" i="1"/>
  <c r="CJ30" i="1"/>
  <c r="AL30" i="1"/>
  <c r="CJ26" i="1"/>
  <c r="AL26" i="1"/>
  <c r="CJ34" i="1"/>
  <c r="AL34" i="1"/>
  <c r="CJ29" i="1"/>
  <c r="AL29" i="1"/>
  <c r="M250" i="3"/>
  <c r="C250" i="3"/>
  <c r="B251" i="3" s="1"/>
  <c r="F250" i="3"/>
  <c r="G250" i="3"/>
  <c r="E250" i="3"/>
  <c r="D250" i="3" a="1"/>
  <c r="D250" i="3" s="1"/>
  <c r="H250" i="3"/>
  <c r="I250" i="3"/>
  <c r="J250" i="3"/>
  <c r="L250" i="3"/>
  <c r="K250" i="3"/>
  <c r="AZ223" i="1" a="1"/>
  <c r="AZ223" i="1" s="1"/>
  <c r="AX230" i="1"/>
  <c r="AX223" i="1"/>
  <c r="AX232" i="1"/>
  <c r="AX224" i="1"/>
  <c r="AX228" i="1"/>
  <c r="AX231" i="1"/>
  <c r="AX234" i="1"/>
  <c r="AX233" i="1"/>
  <c r="AX229" i="1"/>
  <c r="AX225" i="1"/>
  <c r="AX235" i="1"/>
  <c r="AX226" i="1"/>
  <c r="AX227" i="1"/>
  <c r="AZ227" i="1" a="1"/>
  <c r="AZ227" i="1" s="1"/>
  <c r="AZ232" i="1" a="1"/>
  <c r="AZ232" i="1" s="1"/>
  <c r="AZ228" i="1" a="1"/>
  <c r="AZ228" i="1" s="1"/>
  <c r="AZ225" i="1" a="1"/>
  <c r="AZ225" i="1" s="1"/>
  <c r="AZ231" i="1" a="1"/>
  <c r="AZ231" i="1" s="1"/>
  <c r="AZ229" i="1" a="1"/>
  <c r="AZ229" i="1" s="1"/>
  <c r="AZ233" i="1" a="1"/>
  <c r="AZ233" i="1" s="1"/>
  <c r="AZ234" i="1" a="1"/>
  <c r="AZ234" i="1" s="1"/>
  <c r="AZ226" i="1" a="1"/>
  <c r="AZ226" i="1" s="1"/>
  <c r="AZ230" i="1" a="1"/>
  <c r="AZ230" i="1" s="1"/>
  <c r="AZ224" i="1" a="1"/>
  <c r="AZ224" i="1" s="1"/>
  <c r="AZ235" i="1" a="1"/>
  <c r="AZ235" i="1" s="1"/>
  <c r="DF6" i="1"/>
  <c r="M18" i="3" s="1"/>
  <c r="A11" i="6"/>
  <c r="B10" i="6"/>
  <c r="C10" i="6"/>
  <c r="D10" i="6"/>
  <c r="DE7" i="1" a="1"/>
  <c r="DE7" i="1" s="1"/>
  <c r="DF7" i="1" s="1"/>
  <c r="M17" i="3" s="1"/>
  <c r="C10" i="5"/>
  <c r="A11" i="5"/>
  <c r="D10" i="5"/>
  <c r="B10" i="5"/>
  <c r="BV49" i="1" l="1" a="1"/>
  <c r="BV49" i="1" s="1"/>
  <c r="BW49" i="1" s="1" a="1"/>
  <c r="BW49" i="1" s="1"/>
  <c r="BX49" i="1" s="1"/>
  <c r="CF49" i="1" s="1"/>
  <c r="BV44" i="1" a="1"/>
  <c r="BV44" i="1" s="1"/>
  <c r="BW44" i="1" s="1" a="1"/>
  <c r="BW44" i="1" s="1"/>
  <c r="BX44" i="1" s="1"/>
  <c r="CF44" i="1" s="1"/>
  <c r="BV41" i="1" a="1"/>
  <c r="BV41" i="1" s="1"/>
  <c r="BW41" i="1" s="1" a="1"/>
  <c r="BW41" i="1" s="1"/>
  <c r="BX41" i="1" s="1"/>
  <c r="CF41" i="1" s="1"/>
  <c r="BV52" i="1" a="1"/>
  <c r="BV52" i="1" s="1"/>
  <c r="BW52" i="1" s="1" a="1"/>
  <c r="BW52" i="1" s="1"/>
  <c r="BX52" i="1" s="1"/>
  <c r="CF52" i="1" s="1"/>
  <c r="BV48" i="1" a="1"/>
  <c r="BV48" i="1" s="1"/>
  <c r="BW48" i="1" s="1" a="1"/>
  <c r="BW48" i="1" s="1"/>
  <c r="BX48" i="1" s="1"/>
  <c r="CF48" i="1" s="1"/>
  <c r="BV40" i="1" a="1"/>
  <c r="BV40" i="1" s="1"/>
  <c r="BW40" i="1" s="1" a="1"/>
  <c r="BW40" i="1" s="1"/>
  <c r="BX40" i="1" s="1"/>
  <c r="CF40" i="1" s="1"/>
  <c r="BV55" i="1" a="1"/>
  <c r="BV55" i="1" s="1"/>
  <c r="BW55" i="1" s="1" a="1"/>
  <c r="BW55" i="1" s="1"/>
  <c r="BX55" i="1" s="1"/>
  <c r="CF55" i="1" s="1"/>
  <c r="BV47" i="1" a="1"/>
  <c r="BV47" i="1" s="1"/>
  <c r="BW47" i="1" s="1" a="1"/>
  <c r="BW47" i="1" s="1"/>
  <c r="BX47" i="1" s="1"/>
  <c r="CF47" i="1" s="1"/>
  <c r="BV39" i="1" a="1"/>
  <c r="BV39" i="1" s="1"/>
  <c r="BW39" i="1" s="1" a="1"/>
  <c r="BW39" i="1" s="1"/>
  <c r="BX39" i="1" s="1"/>
  <c r="CF39" i="1" s="1"/>
  <c r="BV54" i="1" a="1"/>
  <c r="BV54" i="1" s="1"/>
  <c r="BW54" i="1" s="1" a="1"/>
  <c r="BW54" i="1" s="1"/>
  <c r="BX54" i="1" s="1"/>
  <c r="CF54" i="1" s="1"/>
  <c r="BV46" i="1" a="1"/>
  <c r="BV46" i="1" s="1"/>
  <c r="BW46" i="1" s="1" a="1"/>
  <c r="BW46" i="1" s="1"/>
  <c r="BX46" i="1" s="1"/>
  <c r="CF46" i="1" s="1"/>
  <c r="BV38" i="1" a="1"/>
  <c r="BV38" i="1" s="1"/>
  <c r="BW38" i="1" s="1" a="1"/>
  <c r="BW38" i="1" s="1"/>
  <c r="BX38" i="1" s="1"/>
  <c r="CF38" i="1" s="1"/>
  <c r="B33" i="8" s="1"/>
  <c r="BV53" i="1" a="1"/>
  <c r="BV53" i="1" s="1"/>
  <c r="BW53" i="1" s="1" a="1"/>
  <c r="BW53" i="1" s="1"/>
  <c r="BX53" i="1" s="1"/>
  <c r="CF53" i="1" s="1"/>
  <c r="BV45" i="1" a="1"/>
  <c r="BV45" i="1" s="1"/>
  <c r="BW45" i="1" s="1" a="1"/>
  <c r="BW45" i="1" s="1"/>
  <c r="BX45" i="1" s="1"/>
  <c r="CF45" i="1" s="1"/>
  <c r="CI20" i="1"/>
  <c r="CJ20" i="1" s="1"/>
  <c r="BV51" i="1" a="1"/>
  <c r="BV51" i="1" s="1"/>
  <c r="BW51" i="1" s="1" a="1"/>
  <c r="BW51" i="1" s="1"/>
  <c r="BX51" i="1" s="1"/>
  <c r="CF51" i="1" s="1"/>
  <c r="BV43" i="1" a="1"/>
  <c r="BV43" i="1" s="1"/>
  <c r="BW43" i="1" s="1" a="1"/>
  <c r="BW43" i="1" s="1"/>
  <c r="BX43" i="1" s="1"/>
  <c r="CF43" i="1" s="1"/>
  <c r="BV50" i="1" a="1"/>
  <c r="BV50" i="1" s="1"/>
  <c r="BW50" i="1" s="1" a="1"/>
  <c r="BW50" i="1" s="1"/>
  <c r="BX50" i="1" s="1"/>
  <c r="CF50" i="1" s="1"/>
  <c r="F32" i="8"/>
  <c r="BY52" i="1"/>
  <c r="CG52" i="1" s="1"/>
  <c r="CB52" i="1"/>
  <c r="BZ52" i="1"/>
  <c r="CA52" i="1"/>
  <c r="BZ44" i="1"/>
  <c r="CA44" i="1"/>
  <c r="CB44" i="1"/>
  <c r="BY44" i="1"/>
  <c r="CG44" i="1" s="1"/>
  <c r="CB54" i="1"/>
  <c r="CB42" i="1"/>
  <c r="CA42" i="1"/>
  <c r="BY42" i="1"/>
  <c r="CG42" i="1" s="1"/>
  <c r="BZ42" i="1"/>
  <c r="CB49" i="1"/>
  <c r="BZ49" i="1"/>
  <c r="BY49" i="1"/>
  <c r="CG49" i="1" s="1"/>
  <c r="CA49" i="1"/>
  <c r="CB41" i="1"/>
  <c r="CA41" i="1"/>
  <c r="BY41" i="1"/>
  <c r="CG41" i="1" s="1"/>
  <c r="BZ41" i="1"/>
  <c r="CB48" i="1"/>
  <c r="BZ48" i="1"/>
  <c r="BY48" i="1"/>
  <c r="CG48" i="1" s="1"/>
  <c r="CA48" i="1"/>
  <c r="CB40" i="1"/>
  <c r="BZ40" i="1"/>
  <c r="BY40" i="1"/>
  <c r="CG40" i="1" s="1"/>
  <c r="CA40" i="1"/>
  <c r="BY55" i="1"/>
  <c r="CG55" i="1" s="1"/>
  <c r="CB55" i="1"/>
  <c r="CA55" i="1"/>
  <c r="BZ47" i="1"/>
  <c r="BY47" i="1"/>
  <c r="CG47" i="1" s="1"/>
  <c r="BY39" i="1"/>
  <c r="CG39" i="1" s="1"/>
  <c r="CA39" i="1"/>
  <c r="BZ46" i="1"/>
  <c r="BY46" i="1"/>
  <c r="CG46" i="1" s="1"/>
  <c r="CB46" i="1"/>
  <c r="CB38" i="1"/>
  <c r="BY38" i="1"/>
  <c r="CG38" i="1" s="1"/>
  <c r="C33" i="8" s="1"/>
  <c r="BZ38" i="1"/>
  <c r="BY53" i="1"/>
  <c r="CG53" i="1" s="1"/>
  <c r="CA53" i="1"/>
  <c r="CB53" i="1"/>
  <c r="CB45" i="1"/>
  <c r="BY45" i="1"/>
  <c r="CG45" i="1" s="1"/>
  <c r="CA45" i="1"/>
  <c r="C251" i="3"/>
  <c r="B252" i="3" s="1"/>
  <c r="D251" i="3" a="1"/>
  <c r="D251" i="3" s="1"/>
  <c r="D11" i="6"/>
  <c r="A12" i="6"/>
  <c r="B11" i="6"/>
  <c r="C11" i="6"/>
  <c r="C11" i="5"/>
  <c r="D11" i="5"/>
  <c r="B11" i="5"/>
  <c r="A12" i="5"/>
  <c r="DE8" i="1" a="1"/>
  <c r="DE8" i="1" s="1"/>
  <c r="CB39" i="1" l="1"/>
  <c r="BY43" i="1"/>
  <c r="CG43" i="1" s="1"/>
  <c r="BZ53" i="1"/>
  <c r="CA46" i="1"/>
  <c r="CA47" i="1"/>
  <c r="BZ50" i="1"/>
  <c r="BZ54" i="1"/>
  <c r="CB51" i="1"/>
  <c r="CB43" i="1"/>
  <c r="BY54" i="1"/>
  <c r="CG54" i="1" s="1"/>
  <c r="CB47" i="1"/>
  <c r="CA50" i="1"/>
  <c r="BZ45" i="1"/>
  <c r="BZ39" i="1"/>
  <c r="BZ43" i="1"/>
  <c r="CA54" i="1"/>
  <c r="CA43" i="1"/>
  <c r="CA51" i="1"/>
  <c r="CA38" i="1"/>
  <c r="D33" i="8" s="1"/>
  <c r="BZ55" i="1"/>
  <c r="CB50" i="1"/>
  <c r="BZ51" i="1"/>
  <c r="G33" i="8" a="1"/>
  <c r="G33" i="8" s="1"/>
  <c r="BY50" i="1"/>
  <c r="CG50" i="1" s="1"/>
  <c r="BY51" i="1"/>
  <c r="CG51" i="1" s="1"/>
  <c r="AL20" i="1"/>
  <c r="CD50" i="1"/>
  <c r="CC50" i="1"/>
  <c r="CH50" i="1" s="1"/>
  <c r="CI50" i="1" s="1"/>
  <c r="CJ50" i="1" s="1"/>
  <c r="CE50" i="1"/>
  <c r="CC44" i="1"/>
  <c r="CH44" i="1" s="1"/>
  <c r="CI44" i="1" s="1"/>
  <c r="CE44" i="1"/>
  <c r="CD44" i="1"/>
  <c r="CC38" i="1"/>
  <c r="CE38" i="1"/>
  <c r="CD38" i="1"/>
  <c r="CC39" i="1"/>
  <c r="CH39" i="1" s="1"/>
  <c r="CI39" i="1" s="1"/>
  <c r="CD39" i="1"/>
  <c r="CE39" i="1"/>
  <c r="CC48" i="1"/>
  <c r="CH48" i="1" s="1"/>
  <c r="CI48" i="1" s="1"/>
  <c r="CE48" i="1"/>
  <c r="CD48" i="1"/>
  <c r="CC49" i="1"/>
  <c r="CH49" i="1" s="1"/>
  <c r="CI49" i="1" s="1"/>
  <c r="CJ49" i="1" s="1"/>
  <c r="CE49" i="1"/>
  <c r="CD49" i="1"/>
  <c r="CE45" i="1"/>
  <c r="CC45" i="1"/>
  <c r="CD45" i="1"/>
  <c r="CC55" i="1"/>
  <c r="CH55" i="1" s="1"/>
  <c r="CI55" i="1" s="1"/>
  <c r="CJ55" i="1" s="1"/>
  <c r="CD55" i="1"/>
  <c r="CE55" i="1"/>
  <c r="CE47" i="1"/>
  <c r="CC47" i="1"/>
  <c r="CH47" i="1" s="1"/>
  <c r="CI47" i="1" s="1"/>
  <c r="CD47" i="1"/>
  <c r="CC46" i="1"/>
  <c r="CH46" i="1" s="1"/>
  <c r="CI46" i="1" s="1"/>
  <c r="CE46" i="1"/>
  <c r="CD46" i="1"/>
  <c r="CC40" i="1"/>
  <c r="CH40" i="1" s="1"/>
  <c r="CI40" i="1" s="1"/>
  <c r="CE40" i="1"/>
  <c r="CD40" i="1"/>
  <c r="CC41" i="1"/>
  <c r="CH41" i="1" s="1"/>
  <c r="CI41" i="1" s="1"/>
  <c r="CE41" i="1"/>
  <c r="CD41" i="1"/>
  <c r="CD42" i="1"/>
  <c r="CE42" i="1"/>
  <c r="CC42" i="1"/>
  <c r="CH42" i="1" s="1"/>
  <c r="CI42" i="1" s="1"/>
  <c r="CE54" i="1"/>
  <c r="CD54" i="1"/>
  <c r="CC54" i="1"/>
  <c r="CH54" i="1" s="1"/>
  <c r="CI54" i="1" s="1"/>
  <c r="CJ54" i="1" s="1"/>
  <c r="CD53" i="1"/>
  <c r="CC53" i="1"/>
  <c r="CH53" i="1" s="1"/>
  <c r="CI53" i="1" s="1"/>
  <c r="CJ53" i="1" s="1"/>
  <c r="CE53" i="1"/>
  <c r="CC43" i="1"/>
  <c r="CH43" i="1" s="1"/>
  <c r="CI43" i="1" s="1"/>
  <c r="CE43" i="1"/>
  <c r="CD43" i="1"/>
  <c r="CD52" i="1"/>
  <c r="CC52" i="1"/>
  <c r="CH52" i="1" s="1"/>
  <c r="CI52" i="1" s="1"/>
  <c r="CJ52" i="1" s="1"/>
  <c r="CE52" i="1"/>
  <c r="G251" i="3"/>
  <c r="E251" i="3"/>
  <c r="F251" i="3"/>
  <c r="J251" i="3"/>
  <c r="I251" i="3"/>
  <c r="H251" i="3"/>
  <c r="C252" i="3"/>
  <c r="B253" i="3" s="1"/>
  <c r="D252" i="3" a="1"/>
  <c r="D252" i="3" s="1"/>
  <c r="B12" i="6"/>
  <c r="C12" i="6"/>
  <c r="A13" i="6"/>
  <c r="D12" i="6"/>
  <c r="C12" i="5"/>
  <c r="D12" i="5"/>
  <c r="A13" i="5"/>
  <c r="B12" i="5"/>
  <c r="DF8" i="1"/>
  <c r="M10" i="3" s="1"/>
  <c r="DE9" i="1" a="1"/>
  <c r="DE9" i="1" s="1"/>
  <c r="CH45" i="1" l="1"/>
  <c r="CI45" i="1" s="1"/>
  <c r="CD51" i="1"/>
  <c r="CE51" i="1"/>
  <c r="CC51" i="1"/>
  <c r="CH51" i="1" s="1"/>
  <c r="CI51" i="1" s="1"/>
  <c r="CJ51" i="1" s="1"/>
  <c r="CH38" i="1"/>
  <c r="BV58" i="1" s="1" a="1"/>
  <c r="BV58" i="1" s="1"/>
  <c r="BW58" i="1" s="1" a="1"/>
  <c r="BW58" i="1" s="1"/>
  <c r="BX58" i="1" s="1"/>
  <c r="CF58" i="1" s="1"/>
  <c r="E33" i="8"/>
  <c r="CJ41" i="1"/>
  <c r="AL41" i="1"/>
  <c r="CJ43" i="1"/>
  <c r="AL43" i="1"/>
  <c r="CJ48" i="1"/>
  <c r="AL48" i="1"/>
  <c r="CJ45" i="1"/>
  <c r="AL45" i="1"/>
  <c r="CJ44" i="1"/>
  <c r="AL44" i="1"/>
  <c r="CJ47" i="1"/>
  <c r="AL47" i="1"/>
  <c r="CJ39" i="1"/>
  <c r="AL39" i="1"/>
  <c r="CJ42" i="1"/>
  <c r="AL42" i="1"/>
  <c r="CJ40" i="1"/>
  <c r="AL40" i="1"/>
  <c r="CJ46" i="1"/>
  <c r="AL46" i="1"/>
  <c r="BV56" i="1" a="1"/>
  <c r="BV56" i="1" s="1"/>
  <c r="BW56" i="1" s="1" a="1"/>
  <c r="BW56" i="1" s="1"/>
  <c r="BX56" i="1" s="1"/>
  <c r="CF56" i="1" s="1"/>
  <c r="B34" i="8" s="1"/>
  <c r="BV57" i="1" a="1"/>
  <c r="BV57" i="1" s="1"/>
  <c r="BW57" i="1" s="1" a="1"/>
  <c r="BW57" i="1" s="1"/>
  <c r="BX57" i="1" s="1"/>
  <c r="CF57" i="1" s="1"/>
  <c r="BV63" i="1" a="1"/>
  <c r="BV63" i="1" s="1"/>
  <c r="BW63" i="1" s="1" a="1"/>
  <c r="BW63" i="1" s="1"/>
  <c r="BX63" i="1" s="1"/>
  <c r="CF63" i="1" s="1"/>
  <c r="BV64" i="1" a="1"/>
  <c r="BV64" i="1" s="1"/>
  <c r="BW64" i="1" s="1" a="1"/>
  <c r="BW64" i="1" s="1"/>
  <c r="BX64" i="1" s="1"/>
  <c r="CF64" i="1" s="1"/>
  <c r="BV65" i="1" a="1"/>
  <c r="BV65" i="1" s="1"/>
  <c r="BW65" i="1" s="1" a="1"/>
  <c r="BW65" i="1" s="1"/>
  <c r="BX65" i="1" s="1"/>
  <c r="CF65" i="1" s="1"/>
  <c r="BV66" i="1" a="1"/>
  <c r="BV66" i="1" s="1"/>
  <c r="BW66" i="1" s="1" a="1"/>
  <c r="BW66" i="1" s="1"/>
  <c r="BX66" i="1" s="1"/>
  <c r="CF66" i="1" s="1"/>
  <c r="BV72" i="1" a="1"/>
  <c r="BV72" i="1" s="1"/>
  <c r="BW72" i="1" s="1" a="1"/>
  <c r="BW72" i="1" s="1"/>
  <c r="BX72" i="1" s="1"/>
  <c r="CF72" i="1" s="1"/>
  <c r="BV73" i="1" a="1"/>
  <c r="BV73" i="1" s="1"/>
  <c r="BW73" i="1" s="1" a="1"/>
  <c r="BW73" i="1" s="1"/>
  <c r="BX73" i="1" s="1"/>
  <c r="CF73" i="1" s="1"/>
  <c r="J252" i="3"/>
  <c r="I252" i="3"/>
  <c r="E252" i="3"/>
  <c r="F252" i="3"/>
  <c r="H252" i="3"/>
  <c r="G252" i="3"/>
  <c r="C253" i="3"/>
  <c r="B254" i="3" s="1"/>
  <c r="D253" i="3" a="1"/>
  <c r="D253" i="3" s="1"/>
  <c r="I253" i="3" s="1"/>
  <c r="DF9" i="1"/>
  <c r="M16" i="3" s="1"/>
  <c r="DE10" i="1" a="1"/>
  <c r="DE10" i="1" s="1"/>
  <c r="C13" i="6"/>
  <c r="D13" i="6"/>
  <c r="A14" i="6"/>
  <c r="B13" i="6"/>
  <c r="A14" i="5"/>
  <c r="C13" i="5"/>
  <c r="B13" i="5"/>
  <c r="D13" i="5"/>
  <c r="BV71" i="1" l="1" a="1"/>
  <c r="BV71" i="1" s="1"/>
  <c r="BW71" i="1" s="1" a="1"/>
  <c r="BW71" i="1" s="1"/>
  <c r="BX71" i="1" s="1"/>
  <c r="CF71" i="1" s="1"/>
  <c r="BV62" i="1" a="1"/>
  <c r="BV62" i="1" s="1"/>
  <c r="BW62" i="1" s="1" a="1"/>
  <c r="BW62" i="1" s="1"/>
  <c r="BX62" i="1" s="1"/>
  <c r="CF62" i="1" s="1"/>
  <c r="BV69" i="1" a="1"/>
  <c r="BV69" i="1" s="1"/>
  <c r="BW69" i="1" s="1" a="1"/>
  <c r="BW69" i="1" s="1"/>
  <c r="BX69" i="1" s="1"/>
  <c r="CF69" i="1" s="1"/>
  <c r="BV61" i="1" a="1"/>
  <c r="BV61" i="1" s="1"/>
  <c r="BW61" i="1" s="1" a="1"/>
  <c r="BW61" i="1" s="1"/>
  <c r="BX61" i="1" s="1"/>
  <c r="CF61" i="1" s="1"/>
  <c r="BV68" i="1" a="1"/>
  <c r="BV68" i="1" s="1"/>
  <c r="BW68" i="1" s="1" a="1"/>
  <c r="BW68" i="1" s="1"/>
  <c r="BX68" i="1" s="1"/>
  <c r="CF68" i="1" s="1"/>
  <c r="BV60" i="1" a="1"/>
  <c r="BV60" i="1" s="1"/>
  <c r="BW60" i="1" s="1" a="1"/>
  <c r="BW60" i="1" s="1"/>
  <c r="BX60" i="1" s="1"/>
  <c r="CF60" i="1" s="1"/>
  <c r="CI38" i="1"/>
  <c r="BV70" i="1" a="1"/>
  <c r="BV70" i="1" s="1"/>
  <c r="BW70" i="1" s="1" a="1"/>
  <c r="BW70" i="1" s="1"/>
  <c r="BX70" i="1" s="1"/>
  <c r="CF70" i="1" s="1"/>
  <c r="BV67" i="1" a="1"/>
  <c r="BV67" i="1" s="1"/>
  <c r="BW67" i="1" s="1" a="1"/>
  <c r="BW67" i="1" s="1"/>
  <c r="BX67" i="1" s="1"/>
  <c r="CF67" i="1" s="1"/>
  <c r="BV59" i="1" a="1"/>
  <c r="BV59" i="1" s="1"/>
  <c r="BW59" i="1" s="1" a="1"/>
  <c r="BW59" i="1" s="1"/>
  <c r="BX59" i="1" s="1"/>
  <c r="CF59" i="1" s="1"/>
  <c r="F33" i="8"/>
  <c r="G34" i="8" a="1"/>
  <c r="G34" i="8" s="1"/>
  <c r="CJ38" i="1"/>
  <c r="AL38" i="1"/>
  <c r="CB69" i="1"/>
  <c r="BY69" i="1"/>
  <c r="CG69" i="1" s="1"/>
  <c r="BZ69" i="1"/>
  <c r="CA69" i="1"/>
  <c r="CB61" i="1"/>
  <c r="BY61" i="1"/>
  <c r="CG61" i="1" s="1"/>
  <c r="BZ70" i="1"/>
  <c r="CA70" i="1"/>
  <c r="CB70" i="1"/>
  <c r="BY68" i="1"/>
  <c r="CG68" i="1" s="1"/>
  <c r="BZ68" i="1"/>
  <c r="CA68" i="1"/>
  <c r="CA60" i="1"/>
  <c r="CB60" i="1"/>
  <c r="CA67" i="1"/>
  <c r="BY66" i="1"/>
  <c r="CG66" i="1" s="1"/>
  <c r="CA66" i="1"/>
  <c r="BZ66" i="1"/>
  <c r="CB66" i="1"/>
  <c r="CB58" i="1"/>
  <c r="CA58" i="1"/>
  <c r="BZ58" i="1"/>
  <c r="BY58" i="1"/>
  <c r="CG58" i="1" s="1"/>
  <c r="BZ73" i="1"/>
  <c r="CA73" i="1"/>
  <c r="BY73" i="1"/>
  <c r="CG73" i="1" s="1"/>
  <c r="CB73" i="1"/>
  <c r="BZ65" i="1"/>
  <c r="CA65" i="1"/>
  <c r="CB65" i="1"/>
  <c r="BY65" i="1"/>
  <c r="CG65" i="1" s="1"/>
  <c r="CB57" i="1"/>
  <c r="BY57" i="1"/>
  <c r="CG57" i="1" s="1"/>
  <c r="CA57" i="1"/>
  <c r="BZ57" i="1"/>
  <c r="BZ72" i="1"/>
  <c r="CA72" i="1"/>
  <c r="CB72" i="1"/>
  <c r="BY72" i="1"/>
  <c r="CG72" i="1" s="1"/>
  <c r="CA64" i="1"/>
  <c r="CB64" i="1"/>
  <c r="BZ64" i="1"/>
  <c r="BY64" i="1"/>
  <c r="CG64" i="1" s="1"/>
  <c r="CA56" i="1"/>
  <c r="CB56" i="1"/>
  <c r="BY56" i="1"/>
  <c r="CG56" i="1" s="1"/>
  <c r="C34" i="8" s="1"/>
  <c r="BZ56" i="1"/>
  <c r="BY71" i="1"/>
  <c r="CG71" i="1" s="1"/>
  <c r="BZ71" i="1"/>
  <c r="CB71" i="1"/>
  <c r="BZ63" i="1"/>
  <c r="CB63" i="1"/>
  <c r="BY63" i="1"/>
  <c r="CG63" i="1" s="1"/>
  <c r="CA63" i="1"/>
  <c r="F253" i="3"/>
  <c r="G253" i="3"/>
  <c r="H253" i="3"/>
  <c r="J253" i="3"/>
  <c r="E253" i="3"/>
  <c r="C254" i="3"/>
  <c r="B255" i="3" s="1"/>
  <c r="D254" i="3" a="1"/>
  <c r="D254" i="3" s="1"/>
  <c r="C14" i="5"/>
  <c r="A15" i="5"/>
  <c r="D14" i="5"/>
  <c r="B14" i="5"/>
  <c r="D14" i="6"/>
  <c r="A15" i="6"/>
  <c r="C14" i="6"/>
  <c r="B14" i="6"/>
  <c r="DF10" i="1"/>
  <c r="M11" i="3" s="1"/>
  <c r="DE11" i="1" a="1"/>
  <c r="DE11" i="1" s="1"/>
  <c r="BZ60" i="1" l="1"/>
  <c r="CB62" i="1"/>
  <c r="CA71" i="1"/>
  <c r="BY60" i="1"/>
  <c r="CG60" i="1" s="1"/>
  <c r="BY70" i="1"/>
  <c r="CG70" i="1" s="1"/>
  <c r="BZ62" i="1"/>
  <c r="BY67" i="1"/>
  <c r="CG67" i="1" s="1"/>
  <c r="BZ67" i="1"/>
  <c r="CA61" i="1"/>
  <c r="BY62" i="1"/>
  <c r="CG62" i="1" s="1"/>
  <c r="CB67" i="1"/>
  <c r="CB68" i="1"/>
  <c r="BZ61" i="1"/>
  <c r="CA62" i="1"/>
  <c r="BY59" i="1"/>
  <c r="CG59" i="1" s="1"/>
  <c r="BZ59" i="1"/>
  <c r="CA59" i="1"/>
  <c r="CB59" i="1"/>
  <c r="D34" i="8"/>
  <c r="CE65" i="1"/>
  <c r="CD65" i="1"/>
  <c r="CC65" i="1"/>
  <c r="CE63" i="1"/>
  <c r="CD63" i="1"/>
  <c r="CC63" i="1"/>
  <c r="CH63" i="1" s="1"/>
  <c r="CI63" i="1" s="1"/>
  <c r="CE56" i="1"/>
  <c r="CD56" i="1"/>
  <c r="CC56" i="1"/>
  <c r="CD60" i="1"/>
  <c r="CC60" i="1"/>
  <c r="CH60" i="1" s="1"/>
  <c r="CI60" i="1" s="1"/>
  <c r="CE60" i="1"/>
  <c r="CD69" i="1"/>
  <c r="CC69" i="1"/>
  <c r="CH69" i="1" s="1"/>
  <c r="CI69" i="1" s="1"/>
  <c r="CE69" i="1"/>
  <c r="CC58" i="1"/>
  <c r="CH58" i="1" s="1"/>
  <c r="CI58" i="1" s="1"/>
  <c r="CE58" i="1"/>
  <c r="CD58" i="1"/>
  <c r="CC59" i="1"/>
  <c r="CH59" i="1" s="1"/>
  <c r="CI59" i="1" s="1"/>
  <c r="CD59" i="1"/>
  <c r="CE59" i="1"/>
  <c r="CH65" i="1"/>
  <c r="CI65" i="1" s="1"/>
  <c r="CE70" i="1"/>
  <c r="CD70" i="1"/>
  <c r="CC70" i="1"/>
  <c r="CH70" i="1" s="1"/>
  <c r="CI70" i="1" s="1"/>
  <c r="CJ70" i="1" s="1"/>
  <c r="CE67" i="1"/>
  <c r="CD67" i="1"/>
  <c r="CC67" i="1"/>
  <c r="CH67" i="1" s="1"/>
  <c r="CI67" i="1" s="1"/>
  <c r="CD61" i="1"/>
  <c r="CE61" i="1"/>
  <c r="CC61" i="1"/>
  <c r="CD64" i="1"/>
  <c r="CC64" i="1"/>
  <c r="CH64" i="1" s="1"/>
  <c r="CI64" i="1" s="1"/>
  <c r="CE64" i="1"/>
  <c r="CC73" i="1"/>
  <c r="CE73" i="1"/>
  <c r="CD73" i="1"/>
  <c r="CE57" i="1"/>
  <c r="CD57" i="1"/>
  <c r="CC57" i="1"/>
  <c r="CH57" i="1" s="1"/>
  <c r="CI57" i="1" s="1"/>
  <c r="CC68" i="1"/>
  <c r="CH68" i="1" s="1"/>
  <c r="CI68" i="1" s="1"/>
  <c r="CE68" i="1"/>
  <c r="CD68" i="1"/>
  <c r="CC62" i="1"/>
  <c r="CH62" i="1" s="1"/>
  <c r="CI62" i="1" s="1"/>
  <c r="CE62" i="1"/>
  <c r="CD62" i="1"/>
  <c r="CE72" i="1"/>
  <c r="CC72" i="1"/>
  <c r="CH72" i="1" s="1"/>
  <c r="CI72" i="1" s="1"/>
  <c r="CJ72" i="1" s="1"/>
  <c r="CD72" i="1"/>
  <c r="CD71" i="1"/>
  <c r="CE71" i="1"/>
  <c r="CC71" i="1"/>
  <c r="CH71" i="1" s="1"/>
  <c r="CI71" i="1" s="1"/>
  <c r="CJ71" i="1" s="1"/>
  <c r="CH73" i="1"/>
  <c r="CI73" i="1" s="1"/>
  <c r="CJ73" i="1" s="1"/>
  <c r="CC66" i="1"/>
  <c r="CH66" i="1" s="1"/>
  <c r="CI66" i="1" s="1"/>
  <c r="CD66" i="1"/>
  <c r="CE66" i="1"/>
  <c r="CH61" i="1"/>
  <c r="CI61" i="1" s="1"/>
  <c r="H254" i="3"/>
  <c r="E254" i="3"/>
  <c r="G254" i="3"/>
  <c r="I254" i="3"/>
  <c r="F254" i="3"/>
  <c r="J254" i="3"/>
  <c r="C255" i="3"/>
  <c r="B256" i="3" s="1"/>
  <c r="D255" i="3" a="1"/>
  <c r="D255" i="3" s="1"/>
  <c r="I255" i="3" s="1"/>
  <c r="A16" i="6"/>
  <c r="C15" i="6"/>
  <c r="D15" i="6"/>
  <c r="B15" i="6"/>
  <c r="B15" i="5"/>
  <c r="D15" i="5"/>
  <c r="A16" i="5"/>
  <c r="C15" i="5"/>
  <c r="DF11" i="1"/>
  <c r="M9" i="3" s="1"/>
  <c r="DE12" i="1" a="1"/>
  <c r="DE12" i="1" s="1"/>
  <c r="CH56" i="1" l="1"/>
  <c r="CI56" i="1" s="1"/>
  <c r="E34" i="8"/>
  <c r="CJ64" i="1"/>
  <c r="AL64" i="1"/>
  <c r="CJ58" i="1"/>
  <c r="AL58" i="1"/>
  <c r="CJ66" i="1"/>
  <c r="AL66" i="1"/>
  <c r="CJ69" i="1"/>
  <c r="AL69" i="1"/>
  <c r="CJ63" i="1"/>
  <c r="AL63" i="1"/>
  <c r="CJ62" i="1"/>
  <c r="AL62" i="1"/>
  <c r="CJ65" i="1"/>
  <c r="AL65" i="1"/>
  <c r="CJ67" i="1"/>
  <c r="AL67" i="1"/>
  <c r="CJ59" i="1"/>
  <c r="AL59" i="1"/>
  <c r="CJ60" i="1"/>
  <c r="AL60" i="1"/>
  <c r="CJ61" i="1"/>
  <c r="AL61" i="1"/>
  <c r="CJ68" i="1"/>
  <c r="AL68" i="1"/>
  <c r="CJ57" i="1"/>
  <c r="AL57" i="1"/>
  <c r="BV76" i="1" a="1"/>
  <c r="BV76" i="1" s="1"/>
  <c r="BW76" i="1" s="1" a="1"/>
  <c r="BW76" i="1" s="1"/>
  <c r="BX76" i="1" s="1"/>
  <c r="CF76" i="1" s="1"/>
  <c r="BV77" i="1" a="1"/>
  <c r="BV77" i="1" s="1"/>
  <c r="BW77" i="1" s="1" a="1"/>
  <c r="BW77" i="1" s="1"/>
  <c r="BX77" i="1" s="1"/>
  <c r="CF77" i="1" s="1"/>
  <c r="BV79" i="1" a="1"/>
  <c r="BV79" i="1" s="1"/>
  <c r="BW79" i="1" s="1" a="1"/>
  <c r="BW79" i="1" s="1"/>
  <c r="BX79" i="1" s="1"/>
  <c r="CF79" i="1" s="1"/>
  <c r="BV80" i="1" a="1"/>
  <c r="BV80" i="1" s="1"/>
  <c r="BW80" i="1" s="1" a="1"/>
  <c r="BW80" i="1" s="1"/>
  <c r="BX80" i="1" s="1"/>
  <c r="CF80" i="1" s="1"/>
  <c r="BV84" i="1" a="1"/>
  <c r="BV84" i="1" s="1"/>
  <c r="BW84" i="1" s="1" a="1"/>
  <c r="BW84" i="1" s="1"/>
  <c r="BX84" i="1" s="1"/>
  <c r="CF84" i="1" s="1"/>
  <c r="BV88" i="1" a="1"/>
  <c r="BV88" i="1" s="1"/>
  <c r="BW88" i="1" s="1" a="1"/>
  <c r="BW88" i="1" s="1"/>
  <c r="BX88" i="1" s="1"/>
  <c r="CF88" i="1" s="1"/>
  <c r="F255" i="3"/>
  <c r="G255" i="3"/>
  <c r="E255" i="3"/>
  <c r="J255" i="3"/>
  <c r="H255" i="3"/>
  <c r="C256" i="3"/>
  <c r="B257" i="3" s="1"/>
  <c r="D256" i="3" a="1"/>
  <c r="D256" i="3" s="1"/>
  <c r="C16" i="6"/>
  <c r="D16" i="6"/>
  <c r="B16" i="6"/>
  <c r="A17" i="6"/>
  <c r="DE13" i="1" a="1"/>
  <c r="DE13" i="1" s="1"/>
  <c r="DF12" i="1"/>
  <c r="M14" i="3" s="1"/>
  <c r="B16" i="5"/>
  <c r="D16" i="5"/>
  <c r="C16" i="5"/>
  <c r="A17" i="5"/>
  <c r="BV78" i="1" l="1" a="1"/>
  <c r="BV78" i="1" s="1"/>
  <c r="BW78" i="1" s="1" a="1"/>
  <c r="BW78" i="1" s="1"/>
  <c r="BX78" i="1" s="1"/>
  <c r="CF78" i="1" s="1"/>
  <c r="BV86" i="1" a="1"/>
  <c r="BV86" i="1" s="1"/>
  <c r="BW86" i="1" s="1" a="1"/>
  <c r="BW86" i="1" s="1"/>
  <c r="BX86" i="1" s="1"/>
  <c r="CF86" i="1" s="1"/>
  <c r="BV87" i="1" a="1"/>
  <c r="BV87" i="1" s="1"/>
  <c r="BW87" i="1" s="1" a="1"/>
  <c r="BW87" i="1" s="1"/>
  <c r="BX87" i="1" s="1"/>
  <c r="CF87" i="1" s="1"/>
  <c r="BV85" i="1" a="1"/>
  <c r="BV85" i="1" s="1"/>
  <c r="BW85" i="1" s="1" a="1"/>
  <c r="BW85" i="1" s="1"/>
  <c r="BX85" i="1" s="1"/>
  <c r="CF85" i="1" s="1"/>
  <c r="BV91" i="1" a="1"/>
  <c r="BV91" i="1" s="1"/>
  <c r="BW91" i="1" s="1" a="1"/>
  <c r="BW91" i="1" s="1"/>
  <c r="BX91" i="1" s="1"/>
  <c r="CF91" i="1" s="1"/>
  <c r="BV83" i="1" a="1"/>
  <c r="BV83" i="1" s="1"/>
  <c r="BW83" i="1" s="1" a="1"/>
  <c r="BW83" i="1" s="1"/>
  <c r="BX83" i="1" s="1"/>
  <c r="CF83" i="1" s="1"/>
  <c r="BV75" i="1" a="1"/>
  <c r="BV75" i="1" s="1"/>
  <c r="BW75" i="1" s="1" a="1"/>
  <c r="BW75" i="1" s="1"/>
  <c r="BX75" i="1" s="1"/>
  <c r="CF75" i="1" s="1"/>
  <c r="BV90" i="1" a="1"/>
  <c r="BV90" i="1" s="1"/>
  <c r="BW90" i="1" s="1" a="1"/>
  <c r="BW90" i="1" s="1"/>
  <c r="BX90" i="1" s="1"/>
  <c r="CF90" i="1" s="1"/>
  <c r="BV82" i="1" a="1"/>
  <c r="BV82" i="1" s="1"/>
  <c r="BW82" i="1" s="1" a="1"/>
  <c r="BW82" i="1" s="1"/>
  <c r="BX82" i="1" s="1"/>
  <c r="CF82" i="1" s="1"/>
  <c r="BV74" i="1" a="1"/>
  <c r="BV74" i="1" s="1"/>
  <c r="BW74" i="1" s="1" a="1"/>
  <c r="BW74" i="1" s="1"/>
  <c r="BX74" i="1" s="1"/>
  <c r="CF74" i="1" s="1"/>
  <c r="B35" i="8" s="1"/>
  <c r="BV89" i="1" a="1"/>
  <c r="BV89" i="1" s="1"/>
  <c r="BW89" i="1" s="1" a="1"/>
  <c r="BW89" i="1" s="1"/>
  <c r="BX89" i="1" s="1"/>
  <c r="CF89" i="1" s="1"/>
  <c r="BV81" i="1" a="1"/>
  <c r="BV81" i="1" s="1"/>
  <c r="BW81" i="1" s="1" a="1"/>
  <c r="BW81" i="1" s="1"/>
  <c r="BX81" i="1" s="1"/>
  <c r="CF81" i="1" s="1"/>
  <c r="F34" i="8"/>
  <c r="CJ56" i="1"/>
  <c r="AL56" i="1"/>
  <c r="BZ88" i="1"/>
  <c r="CA88" i="1"/>
  <c r="BY88" i="1"/>
  <c r="CG88" i="1" s="1"/>
  <c r="CB88" i="1"/>
  <c r="BZ87" i="1"/>
  <c r="CA79" i="1"/>
  <c r="BZ79" i="1"/>
  <c r="CB79" i="1"/>
  <c r="BY79" i="1"/>
  <c r="CG79" i="1" s="1"/>
  <c r="CB80" i="1"/>
  <c r="CA80" i="1"/>
  <c r="BZ80" i="1"/>
  <c r="BY80" i="1"/>
  <c r="CG80" i="1" s="1"/>
  <c r="CB86" i="1"/>
  <c r="BZ86" i="1"/>
  <c r="CA86" i="1"/>
  <c r="BY86" i="1"/>
  <c r="CG86" i="1" s="1"/>
  <c r="CB78" i="1"/>
  <c r="BZ78" i="1"/>
  <c r="BZ85" i="1"/>
  <c r="CA85" i="1"/>
  <c r="CB85" i="1"/>
  <c r="BY85" i="1"/>
  <c r="CG85" i="1" s="1"/>
  <c r="CB77" i="1"/>
  <c r="BY77" i="1"/>
  <c r="CG77" i="1" s="1"/>
  <c r="BZ77" i="1"/>
  <c r="CA77" i="1"/>
  <c r="BY84" i="1"/>
  <c r="CG84" i="1" s="1"/>
  <c r="CB84" i="1"/>
  <c r="BZ84" i="1"/>
  <c r="CA84" i="1"/>
  <c r="CB76" i="1"/>
  <c r="BY76" i="1"/>
  <c r="CG76" i="1" s="1"/>
  <c r="BZ76" i="1"/>
  <c r="CA76" i="1"/>
  <c r="CB91" i="1"/>
  <c r="CA91" i="1"/>
  <c r="BZ91" i="1"/>
  <c r="BY91" i="1"/>
  <c r="CG91" i="1" s="1"/>
  <c r="BZ83" i="1"/>
  <c r="CA83" i="1"/>
  <c r="BY83" i="1"/>
  <c r="CG83" i="1" s="1"/>
  <c r="CB83" i="1"/>
  <c r="BZ75" i="1"/>
  <c r="BY75" i="1"/>
  <c r="CG75" i="1" s="1"/>
  <c r="CA75" i="1"/>
  <c r="CB75" i="1"/>
  <c r="CB82" i="1"/>
  <c r="CB74" i="1"/>
  <c r="CA74" i="1"/>
  <c r="BY74" i="1"/>
  <c r="CG74" i="1" s="1"/>
  <c r="C35" i="8" s="1"/>
  <c r="BZ74" i="1"/>
  <c r="D35" i="8" s="1"/>
  <c r="BZ89" i="1"/>
  <c r="F256" i="3"/>
  <c r="E256" i="3"/>
  <c r="G256" i="3"/>
  <c r="I256" i="3"/>
  <c r="J256" i="3"/>
  <c r="H256" i="3"/>
  <c r="C257" i="3"/>
  <c r="B258" i="3" s="1"/>
  <c r="D257" i="3" a="1"/>
  <c r="D257" i="3" s="1"/>
  <c r="DF13" i="1"/>
  <c r="DE14" i="1" a="1"/>
  <c r="DE14" i="1" s="1"/>
  <c r="C17" i="5"/>
  <c r="B17" i="5"/>
  <c r="A18" i="5"/>
  <c r="D17" i="5"/>
  <c r="B17" i="6"/>
  <c r="C17" i="6"/>
  <c r="A18" i="6"/>
  <c r="D17" i="6"/>
  <c r="CB89" i="1" l="1"/>
  <c r="BY82" i="1"/>
  <c r="CG82" i="1" s="1"/>
  <c r="BY78" i="1"/>
  <c r="CG78" i="1" s="1"/>
  <c r="BY87" i="1"/>
  <c r="CG87" i="1" s="1"/>
  <c r="BY89" i="1"/>
  <c r="CG89" i="1" s="1"/>
  <c r="BZ82" i="1"/>
  <c r="CA78" i="1"/>
  <c r="CA87" i="1"/>
  <c r="CA89" i="1"/>
  <c r="CA82" i="1"/>
  <c r="CB87" i="1"/>
  <c r="CB90" i="1"/>
  <c r="BY90" i="1"/>
  <c r="CG90" i="1" s="1"/>
  <c r="BZ90" i="1"/>
  <c r="CA90" i="1"/>
  <c r="G35" i="8" a="1"/>
  <c r="G35" i="8" s="1"/>
  <c r="CB81" i="1"/>
  <c r="BZ81" i="1"/>
  <c r="BY81" i="1"/>
  <c r="CG81" i="1" s="1"/>
  <c r="CA81" i="1"/>
  <c r="CC80" i="1"/>
  <c r="CH80" i="1" s="1"/>
  <c r="CI80" i="1" s="1"/>
  <c r="CE80" i="1"/>
  <c r="CD80" i="1"/>
  <c r="CD87" i="1"/>
  <c r="CC87" i="1"/>
  <c r="CH87" i="1" s="1"/>
  <c r="CI87" i="1" s="1"/>
  <c r="CJ87" i="1" s="1"/>
  <c r="CE87" i="1"/>
  <c r="CD74" i="1"/>
  <c r="CC74" i="1"/>
  <c r="CE74" i="1"/>
  <c r="CE83" i="1"/>
  <c r="CC83" i="1"/>
  <c r="CH83" i="1" s="1"/>
  <c r="CI83" i="1" s="1"/>
  <c r="CD83" i="1"/>
  <c r="CD78" i="1"/>
  <c r="CE78" i="1"/>
  <c r="CC78" i="1"/>
  <c r="CH78" i="1" s="1"/>
  <c r="CI78" i="1" s="1"/>
  <c r="CC90" i="1"/>
  <c r="CE90" i="1"/>
  <c r="CC76" i="1"/>
  <c r="CH76" i="1" s="1"/>
  <c r="CI76" i="1" s="1"/>
  <c r="CE76" i="1"/>
  <c r="CD76" i="1"/>
  <c r="CD77" i="1"/>
  <c r="CE77" i="1"/>
  <c r="CC77" i="1"/>
  <c r="CH77" i="1" s="1"/>
  <c r="CI77" i="1" s="1"/>
  <c r="CD82" i="1"/>
  <c r="CC82" i="1"/>
  <c r="CH82" i="1" s="1"/>
  <c r="CI82" i="1" s="1"/>
  <c r="CE82" i="1"/>
  <c r="CE91" i="1"/>
  <c r="CC91" i="1"/>
  <c r="CH91" i="1" s="1"/>
  <c r="CI91" i="1" s="1"/>
  <c r="CJ91" i="1" s="1"/>
  <c r="CD91" i="1"/>
  <c r="CE85" i="1"/>
  <c r="CD85" i="1"/>
  <c r="CC85" i="1"/>
  <c r="CH85" i="1" s="1"/>
  <c r="CI85" i="1" s="1"/>
  <c r="CD86" i="1"/>
  <c r="CE86" i="1"/>
  <c r="CC86" i="1"/>
  <c r="CH86" i="1" s="1"/>
  <c r="CI86" i="1" s="1"/>
  <c r="CJ86" i="1" s="1"/>
  <c r="CD79" i="1"/>
  <c r="CC79" i="1"/>
  <c r="CH79" i="1" s="1"/>
  <c r="CI79" i="1" s="1"/>
  <c r="CE79" i="1"/>
  <c r="CC89" i="1"/>
  <c r="CH89" i="1" s="1"/>
  <c r="CI89" i="1" s="1"/>
  <c r="CJ89" i="1" s="1"/>
  <c r="CE89" i="1"/>
  <c r="CD89" i="1"/>
  <c r="CC88" i="1"/>
  <c r="CH88" i="1" s="1"/>
  <c r="CI88" i="1" s="1"/>
  <c r="CJ88" i="1" s="1"/>
  <c r="CD88" i="1"/>
  <c r="CE88" i="1"/>
  <c r="CC75" i="1"/>
  <c r="CH75" i="1" s="1"/>
  <c r="CI75" i="1" s="1"/>
  <c r="CD75" i="1"/>
  <c r="CE75" i="1"/>
  <c r="CE84" i="1"/>
  <c r="CD84" i="1"/>
  <c r="CC84" i="1"/>
  <c r="CH84" i="1" s="1"/>
  <c r="CI84" i="1" s="1"/>
  <c r="G257" i="3"/>
  <c r="J257" i="3"/>
  <c r="I257" i="3"/>
  <c r="E257" i="3"/>
  <c r="F257" i="3"/>
  <c r="H257" i="3"/>
  <c r="C258" i="3"/>
  <c r="B259" i="3" s="1"/>
  <c r="D258" i="3" a="1"/>
  <c r="D258" i="3" s="1"/>
  <c r="B18" i="6"/>
  <c r="D18" i="6"/>
  <c r="C18" i="6"/>
  <c r="A19" i="6"/>
  <c r="DF14" i="1"/>
  <c r="M20" i="3" s="1"/>
  <c r="DE15" i="1" a="1"/>
  <c r="DE15" i="1" s="1"/>
  <c r="DF15" i="1" s="1"/>
  <c r="M21" i="3" s="1"/>
  <c r="D18" i="5"/>
  <c r="C18" i="5"/>
  <c r="A19" i="5"/>
  <c r="B18" i="5"/>
  <c r="CH90" i="1" l="1"/>
  <c r="CI90" i="1" s="1"/>
  <c r="CJ90" i="1" s="1"/>
  <c r="CE81" i="1"/>
  <c r="CC81" i="1"/>
  <c r="CH81" i="1" s="1"/>
  <c r="CI81" i="1" s="1"/>
  <c r="CJ81" i="1" s="1"/>
  <c r="CD81" i="1"/>
  <c r="CD90" i="1"/>
  <c r="CH74" i="1"/>
  <c r="BV96" i="1" s="1" a="1"/>
  <c r="BV96" i="1" s="1"/>
  <c r="BW96" i="1" s="1" a="1"/>
  <c r="BW96" i="1" s="1"/>
  <c r="BX96" i="1" s="1"/>
  <c r="CF96" i="1" s="1"/>
  <c r="E35" i="8"/>
  <c r="CJ85" i="1"/>
  <c r="AL85" i="1"/>
  <c r="CJ84" i="1"/>
  <c r="AL84" i="1"/>
  <c r="CJ77" i="1"/>
  <c r="AL77" i="1"/>
  <c r="CJ78" i="1"/>
  <c r="AL78" i="1"/>
  <c r="CJ82" i="1"/>
  <c r="AL82" i="1"/>
  <c r="CJ76" i="1"/>
  <c r="AL76" i="1"/>
  <c r="CJ83" i="1"/>
  <c r="AL83" i="1"/>
  <c r="CJ75" i="1"/>
  <c r="AL75" i="1"/>
  <c r="CJ79" i="1"/>
  <c r="AL79" i="1"/>
  <c r="CJ80" i="1"/>
  <c r="AL80" i="1"/>
  <c r="CI74" i="1"/>
  <c r="BV92" i="1" a="1"/>
  <c r="BV92" i="1" s="1"/>
  <c r="BW92" i="1" s="1" a="1"/>
  <c r="BW92" i="1" s="1"/>
  <c r="BX92" i="1" s="1"/>
  <c r="CF92" i="1" s="1"/>
  <c r="B36" i="8" s="1"/>
  <c r="BV93" i="1" a="1"/>
  <c r="BV93" i="1" s="1"/>
  <c r="BW93" i="1" s="1" a="1"/>
  <c r="BW93" i="1" s="1"/>
  <c r="BX93" i="1" s="1"/>
  <c r="CF93" i="1" s="1"/>
  <c r="BV99" i="1" a="1"/>
  <c r="BV99" i="1" s="1"/>
  <c r="BW99" i="1" s="1" a="1"/>
  <c r="BW99" i="1" s="1"/>
  <c r="BX99" i="1" s="1"/>
  <c r="CF99" i="1" s="1"/>
  <c r="BV100" i="1" a="1"/>
  <c r="BV100" i="1" s="1"/>
  <c r="BW100" i="1" s="1" a="1"/>
  <c r="BW100" i="1" s="1"/>
  <c r="BX100" i="1" s="1"/>
  <c r="CF100" i="1" s="1"/>
  <c r="BV101" i="1" a="1"/>
  <c r="BV101" i="1" s="1"/>
  <c r="BW101" i="1" s="1" a="1"/>
  <c r="BW101" i="1" s="1"/>
  <c r="BX101" i="1" s="1"/>
  <c r="CF101" i="1" s="1"/>
  <c r="BV107" i="1" a="1"/>
  <c r="BV107" i="1" s="1"/>
  <c r="BW107" i="1" s="1" a="1"/>
  <c r="BW107" i="1" s="1"/>
  <c r="BX107" i="1" s="1"/>
  <c r="CF107" i="1" s="1"/>
  <c r="BV108" i="1" a="1"/>
  <c r="BV108" i="1" s="1"/>
  <c r="BW108" i="1" s="1" a="1"/>
  <c r="BW108" i="1" s="1"/>
  <c r="BX108" i="1" s="1"/>
  <c r="CF108" i="1" s="1"/>
  <c r="BV109" i="1" a="1"/>
  <c r="BV109" i="1" s="1"/>
  <c r="BW109" i="1" s="1" a="1"/>
  <c r="BW109" i="1" s="1"/>
  <c r="BX109" i="1" s="1"/>
  <c r="CF109" i="1" s="1"/>
  <c r="E258" i="3"/>
  <c r="H258" i="3"/>
  <c r="J258" i="3"/>
  <c r="G258" i="3"/>
  <c r="I258" i="3"/>
  <c r="F258" i="3"/>
  <c r="C259" i="3"/>
  <c r="B260" i="3" s="1"/>
  <c r="D259" i="3" a="1"/>
  <c r="D259" i="3" s="1"/>
  <c r="B19" i="5"/>
  <c r="C19" i="5"/>
  <c r="A20" i="5"/>
  <c r="D19" i="5"/>
  <c r="C19" i="6"/>
  <c r="A20" i="6"/>
  <c r="D19" i="6"/>
  <c r="B19" i="6"/>
  <c r="AL81" i="1" l="1"/>
  <c r="BV94" i="1" a="1"/>
  <c r="BV94" i="1" s="1"/>
  <c r="BW94" i="1" s="1" a="1"/>
  <c r="BW94" i="1" s="1"/>
  <c r="BX94" i="1" s="1"/>
  <c r="CF94" i="1" s="1"/>
  <c r="BV102" i="1" a="1"/>
  <c r="BV102" i="1" s="1"/>
  <c r="BW102" i="1" s="1" a="1"/>
  <c r="BW102" i="1" s="1"/>
  <c r="BX102" i="1" s="1"/>
  <c r="CF102" i="1" s="1"/>
  <c r="BV98" i="1" a="1"/>
  <c r="BV98" i="1" s="1"/>
  <c r="BW98" i="1" s="1" a="1"/>
  <c r="BW98" i="1" s="1"/>
  <c r="BX98" i="1" s="1"/>
  <c r="CF98" i="1" s="1"/>
  <c r="BV105" i="1" a="1"/>
  <c r="BV105" i="1" s="1"/>
  <c r="BW105" i="1" s="1" a="1"/>
  <c r="BW105" i="1" s="1"/>
  <c r="BX105" i="1" s="1"/>
  <c r="CF105" i="1" s="1"/>
  <c r="BV97" i="1" a="1"/>
  <c r="BV97" i="1" s="1"/>
  <c r="BW97" i="1" s="1" a="1"/>
  <c r="BW97" i="1" s="1"/>
  <c r="BX97" i="1" s="1"/>
  <c r="CF97" i="1" s="1"/>
  <c r="BV104" i="1" a="1"/>
  <c r="BV104" i="1" s="1"/>
  <c r="BW104" i="1" s="1" a="1"/>
  <c r="BW104" i="1" s="1"/>
  <c r="BX104" i="1" s="1"/>
  <c r="CF104" i="1" s="1"/>
  <c r="F35" i="8"/>
  <c r="G36" i="8" a="1"/>
  <c r="G36" i="8" s="1"/>
  <c r="BV106" i="1" a="1"/>
  <c r="BV106" i="1" s="1"/>
  <c r="BW106" i="1" s="1" a="1"/>
  <c r="BW106" i="1" s="1"/>
  <c r="BX106" i="1" s="1"/>
  <c r="CF106" i="1" s="1"/>
  <c r="BV103" i="1" a="1"/>
  <c r="BV103" i="1" s="1"/>
  <c r="BW103" i="1" s="1" a="1"/>
  <c r="BW103" i="1" s="1"/>
  <c r="BX103" i="1" s="1"/>
  <c r="CF103" i="1" s="1"/>
  <c r="BV95" i="1" a="1"/>
  <c r="BV95" i="1" s="1"/>
  <c r="BW95" i="1" s="1" a="1"/>
  <c r="BW95" i="1" s="1"/>
  <c r="BX95" i="1" s="1"/>
  <c r="CF95" i="1" s="1"/>
  <c r="CJ74" i="1"/>
  <c r="AL74" i="1"/>
  <c r="CB105" i="1"/>
  <c r="BZ104" i="1"/>
  <c r="BY96" i="1"/>
  <c r="CG96" i="1" s="1"/>
  <c r="CB96" i="1"/>
  <c r="CA96" i="1"/>
  <c r="BZ96" i="1"/>
  <c r="BZ94" i="1"/>
  <c r="CA94" i="1"/>
  <c r="BY109" i="1"/>
  <c r="CG109" i="1" s="1"/>
  <c r="BZ109" i="1"/>
  <c r="CA109" i="1"/>
  <c r="CB109" i="1"/>
  <c r="BY101" i="1"/>
  <c r="CG101" i="1" s="1"/>
  <c r="BZ101" i="1"/>
  <c r="CA101" i="1"/>
  <c r="CB101" i="1"/>
  <c r="BY93" i="1"/>
  <c r="CG93" i="1" s="1"/>
  <c r="CA93" i="1"/>
  <c r="BZ93" i="1"/>
  <c r="CB93" i="1"/>
  <c r="CB108" i="1"/>
  <c r="BY108" i="1"/>
  <c r="CG108" i="1" s="1"/>
  <c r="BZ108" i="1"/>
  <c r="CA108" i="1"/>
  <c r="BY100" i="1"/>
  <c r="CG100" i="1" s="1"/>
  <c r="BZ100" i="1"/>
  <c r="CA100" i="1"/>
  <c r="CB100" i="1"/>
  <c r="BZ92" i="1"/>
  <c r="CB92" i="1"/>
  <c r="BY92" i="1"/>
  <c r="CG92" i="1" s="1"/>
  <c r="C36" i="8" s="1"/>
  <c r="CA92" i="1"/>
  <c r="BY107" i="1"/>
  <c r="CG107" i="1" s="1"/>
  <c r="CA107" i="1"/>
  <c r="CB107" i="1"/>
  <c r="BZ107" i="1"/>
  <c r="CA99" i="1"/>
  <c r="BZ99" i="1"/>
  <c r="CB99" i="1"/>
  <c r="BY99" i="1"/>
  <c r="CG99" i="1" s="1"/>
  <c r="I259" i="3"/>
  <c r="F259" i="3"/>
  <c r="J259" i="3"/>
  <c r="G259" i="3"/>
  <c r="H259" i="3"/>
  <c r="E259" i="3"/>
  <c r="C260" i="3"/>
  <c r="B261" i="3" s="1"/>
  <c r="D260" i="3" a="1"/>
  <c r="D260" i="3" s="1"/>
  <c r="B20" i="5"/>
  <c r="D20" i="5"/>
  <c r="A21" i="5"/>
  <c r="C20" i="5"/>
  <c r="A21" i="6"/>
  <c r="B20" i="6"/>
  <c r="C20" i="6"/>
  <c r="D20" i="6"/>
  <c r="BY102" i="1" l="1"/>
  <c r="CG102" i="1" s="1"/>
  <c r="BZ105" i="1"/>
  <c r="BZ102" i="1"/>
  <c r="CB94" i="1"/>
  <c r="CB106" i="1"/>
  <c r="CA102" i="1"/>
  <c r="BY104" i="1"/>
  <c r="CG104" i="1" s="1"/>
  <c r="CA105" i="1"/>
  <c r="BZ106" i="1"/>
  <c r="BY94" i="1"/>
  <c r="CG94" i="1" s="1"/>
  <c r="BY95" i="1"/>
  <c r="CG95" i="1" s="1"/>
  <c r="BY106" i="1"/>
  <c r="CG106" i="1" s="1"/>
  <c r="CA106" i="1"/>
  <c r="CB102" i="1"/>
  <c r="BY105" i="1"/>
  <c r="CG105" i="1" s="1"/>
  <c r="BZ103" i="1"/>
  <c r="BY97" i="1"/>
  <c r="CG97" i="1" s="1"/>
  <c r="BY98" i="1"/>
  <c r="CG98" i="1" s="1"/>
  <c r="D36" i="8"/>
  <c r="BY103" i="1"/>
  <c r="CG103" i="1" s="1"/>
  <c r="CA104" i="1"/>
  <c r="CA97" i="1"/>
  <c r="CB98" i="1"/>
  <c r="CA95" i="1"/>
  <c r="CB103" i="1"/>
  <c r="CB104" i="1"/>
  <c r="CB97" i="1"/>
  <c r="BZ98" i="1"/>
  <c r="CA103" i="1"/>
  <c r="BZ97" i="1"/>
  <c r="CA98" i="1"/>
  <c r="BZ95" i="1"/>
  <c r="CB95" i="1"/>
  <c r="CD99" i="1"/>
  <c r="CC99" i="1"/>
  <c r="CH99" i="1" s="1"/>
  <c r="CI99" i="1" s="1"/>
  <c r="CE99" i="1"/>
  <c r="CC94" i="1"/>
  <c r="CH94" i="1" s="1"/>
  <c r="CI94" i="1" s="1"/>
  <c r="CD94" i="1"/>
  <c r="CE94" i="1"/>
  <c r="CD92" i="1"/>
  <c r="CC92" i="1"/>
  <c r="CE92" i="1"/>
  <c r="CC106" i="1"/>
  <c r="CH106" i="1" s="1"/>
  <c r="CI106" i="1" s="1"/>
  <c r="CE106" i="1"/>
  <c r="CD106" i="1"/>
  <c r="CC105" i="1"/>
  <c r="CD105" i="1"/>
  <c r="CE105" i="1"/>
  <c r="CD108" i="1"/>
  <c r="CE108" i="1"/>
  <c r="CC108" i="1"/>
  <c r="CH108" i="1" s="1"/>
  <c r="CI108" i="1" s="1"/>
  <c r="CJ108" i="1" s="1"/>
  <c r="CD95" i="1"/>
  <c r="CE95" i="1"/>
  <c r="CC95" i="1"/>
  <c r="CH95" i="1" s="1"/>
  <c r="CI95" i="1" s="1"/>
  <c r="CE101" i="1"/>
  <c r="CD101" i="1"/>
  <c r="CC101" i="1"/>
  <c r="CH101" i="1" s="1"/>
  <c r="CI101" i="1" s="1"/>
  <c r="CC96" i="1"/>
  <c r="CH96" i="1" s="1"/>
  <c r="CI96" i="1" s="1"/>
  <c r="CE96" i="1"/>
  <c r="CD96" i="1"/>
  <c r="CH105" i="1"/>
  <c r="CI105" i="1" s="1"/>
  <c r="CC104" i="1"/>
  <c r="CH104" i="1" s="1"/>
  <c r="CI104" i="1" s="1"/>
  <c r="CE104" i="1"/>
  <c r="CD104" i="1"/>
  <c r="CE97" i="1"/>
  <c r="CD97" i="1"/>
  <c r="CC97" i="1"/>
  <c r="CD98" i="1"/>
  <c r="CC98" i="1"/>
  <c r="CE98" i="1"/>
  <c r="CE103" i="1"/>
  <c r="CC103" i="1"/>
  <c r="CH103" i="1" s="1"/>
  <c r="CI103" i="1" s="1"/>
  <c r="CD103" i="1"/>
  <c r="CD102" i="1"/>
  <c r="CE102" i="1"/>
  <c r="CC102" i="1"/>
  <c r="CH102" i="1" s="1"/>
  <c r="CI102" i="1" s="1"/>
  <c r="CH98" i="1"/>
  <c r="CI98" i="1" s="1"/>
  <c r="CE107" i="1"/>
  <c r="CD107" i="1"/>
  <c r="CC107" i="1"/>
  <c r="CH107" i="1" s="1"/>
  <c r="CI107" i="1" s="1"/>
  <c r="CJ107" i="1" s="1"/>
  <c r="CE100" i="1"/>
  <c r="CD100" i="1"/>
  <c r="CC100" i="1"/>
  <c r="CH100" i="1" s="1"/>
  <c r="CI100" i="1" s="1"/>
  <c r="CE93" i="1"/>
  <c r="CC93" i="1"/>
  <c r="CH93" i="1" s="1"/>
  <c r="CI93" i="1" s="1"/>
  <c r="CD93" i="1"/>
  <c r="CE109" i="1"/>
  <c r="CD109" i="1"/>
  <c r="CC109" i="1"/>
  <c r="CH109" i="1" s="1"/>
  <c r="CI109" i="1" s="1"/>
  <c r="CJ109" i="1" s="1"/>
  <c r="CH97" i="1"/>
  <c r="CI97" i="1" s="1"/>
  <c r="G260" i="3"/>
  <c r="J260" i="3"/>
  <c r="F260" i="3"/>
  <c r="H260" i="3"/>
  <c r="E260" i="3"/>
  <c r="I260" i="3"/>
  <c r="C261" i="3"/>
  <c r="B262" i="3" s="1"/>
  <c r="D261" i="3" a="1"/>
  <c r="D261" i="3" s="1"/>
  <c r="F261" i="3" s="1"/>
  <c r="A22" i="5"/>
  <c r="C21" i="5"/>
  <c r="D21" i="5"/>
  <c r="B21" i="5"/>
  <c r="A22" i="6"/>
  <c r="B21" i="6"/>
  <c r="C21" i="6"/>
  <c r="D21" i="6"/>
  <c r="CH92" i="1" l="1"/>
  <c r="CI92" i="1" s="1"/>
  <c r="E36" i="8"/>
  <c r="CJ104" i="1"/>
  <c r="AL104" i="1"/>
  <c r="CJ103" i="1"/>
  <c r="AL103" i="1"/>
  <c r="CJ101" i="1"/>
  <c r="AL101" i="1"/>
  <c r="CJ93" i="1"/>
  <c r="AL93" i="1"/>
  <c r="CJ98" i="1"/>
  <c r="AL98" i="1"/>
  <c r="CJ105" i="1"/>
  <c r="AL105" i="1"/>
  <c r="CJ95" i="1"/>
  <c r="AL95" i="1"/>
  <c r="CJ102" i="1"/>
  <c r="AL102" i="1"/>
  <c r="CJ100" i="1"/>
  <c r="AL100" i="1"/>
  <c r="CJ96" i="1"/>
  <c r="AL96" i="1"/>
  <c r="CJ106" i="1"/>
  <c r="AL106" i="1"/>
  <c r="CJ99" i="1"/>
  <c r="AL99" i="1"/>
  <c r="CJ97" i="1"/>
  <c r="AL97" i="1"/>
  <c r="CJ94" i="1"/>
  <c r="AL94" i="1"/>
  <c r="BV114" i="1" a="1"/>
  <c r="BV114" i="1" s="1"/>
  <c r="BW114" i="1" s="1" a="1"/>
  <c r="BW114" i="1" s="1"/>
  <c r="BX114" i="1" s="1"/>
  <c r="CF114" i="1" s="1"/>
  <c r="BV121" i="1" a="1"/>
  <c r="BV121" i="1" s="1"/>
  <c r="BW121" i="1" s="1" a="1"/>
  <c r="BW121" i="1" s="1"/>
  <c r="BX121" i="1" s="1"/>
  <c r="CF121" i="1" s="1"/>
  <c r="J261" i="3"/>
  <c r="H261" i="3"/>
  <c r="G261" i="3"/>
  <c r="E261" i="3"/>
  <c r="I261" i="3"/>
  <c r="C262" i="3"/>
  <c r="B263" i="3" s="1"/>
  <c r="D262" i="3" a="1"/>
  <c r="D262" i="3" s="1"/>
  <c r="E262" i="3" s="1"/>
  <c r="A23" i="5"/>
  <c r="C22" i="5"/>
  <c r="D22" i="5"/>
  <c r="B22" i="5"/>
  <c r="B22" i="6"/>
  <c r="C22" i="6"/>
  <c r="A23" i="6"/>
  <c r="D22" i="6"/>
  <c r="BV113" i="1" l="1" a="1"/>
  <c r="BV113" i="1" s="1"/>
  <c r="BW113" i="1" s="1" a="1"/>
  <c r="BW113" i="1" s="1"/>
  <c r="BX113" i="1" s="1"/>
  <c r="CF113" i="1" s="1"/>
  <c r="BV111" i="1" a="1"/>
  <c r="BV111" i="1" s="1"/>
  <c r="BW111" i="1" s="1" a="1"/>
  <c r="BW111" i="1" s="1"/>
  <c r="BX111" i="1" s="1"/>
  <c r="CF111" i="1" s="1"/>
  <c r="BV127" i="1" a="1"/>
  <c r="BV127" i="1" s="1"/>
  <c r="BW127" i="1" s="1" a="1"/>
  <c r="BW127" i="1" s="1"/>
  <c r="BX127" i="1" s="1"/>
  <c r="CF127" i="1" s="1"/>
  <c r="BV122" i="1" a="1"/>
  <c r="BV122" i="1" s="1"/>
  <c r="BW122" i="1" s="1" a="1"/>
  <c r="BW122" i="1" s="1"/>
  <c r="BX122" i="1" s="1"/>
  <c r="CF122" i="1" s="1"/>
  <c r="BV119" i="1" a="1"/>
  <c r="BV119" i="1" s="1"/>
  <c r="BW119" i="1" s="1" a="1"/>
  <c r="BW119" i="1" s="1"/>
  <c r="BX119" i="1" s="1"/>
  <c r="CF119" i="1" s="1"/>
  <c r="BV112" i="1" a="1"/>
  <c r="BV112" i="1" s="1"/>
  <c r="BW112" i="1" s="1" a="1"/>
  <c r="BW112" i="1" s="1"/>
  <c r="BX112" i="1" s="1"/>
  <c r="CF112" i="1" s="1"/>
  <c r="BV120" i="1" a="1"/>
  <c r="BV120" i="1" s="1"/>
  <c r="BW120" i="1" s="1" a="1"/>
  <c r="BW120" i="1" s="1"/>
  <c r="BX120" i="1" s="1"/>
  <c r="CF120" i="1" s="1"/>
  <c r="BV118" i="1" a="1"/>
  <c r="BV118" i="1" s="1"/>
  <c r="BW118" i="1" s="1" a="1"/>
  <c r="BW118" i="1" s="1"/>
  <c r="BX118" i="1" s="1"/>
  <c r="CF118" i="1" s="1"/>
  <c r="BV125" i="1" a="1"/>
  <c r="BV125" i="1" s="1"/>
  <c r="BW125" i="1" s="1" a="1"/>
  <c r="BW125" i="1" s="1"/>
  <c r="BX125" i="1" s="1"/>
  <c r="CF125" i="1" s="1"/>
  <c r="BV117" i="1" a="1"/>
  <c r="BV117" i="1" s="1"/>
  <c r="BW117" i="1" s="1" a="1"/>
  <c r="BW117" i="1" s="1"/>
  <c r="BX117" i="1" s="1"/>
  <c r="CF117" i="1" s="1"/>
  <c r="F36" i="8"/>
  <c r="BV126" i="1" a="1"/>
  <c r="BV126" i="1" s="1"/>
  <c r="BW126" i="1" s="1" a="1"/>
  <c r="BW126" i="1" s="1"/>
  <c r="BX126" i="1" s="1"/>
  <c r="CF126" i="1" s="1"/>
  <c r="BV124" i="1" a="1"/>
  <c r="BV124" i="1" s="1"/>
  <c r="BW124" i="1" s="1" a="1"/>
  <c r="BW124" i="1" s="1"/>
  <c r="BX124" i="1" s="1"/>
  <c r="CF124" i="1" s="1"/>
  <c r="BV116" i="1" a="1"/>
  <c r="BV116" i="1" s="1"/>
  <c r="BW116" i="1" s="1" a="1"/>
  <c r="BW116" i="1" s="1"/>
  <c r="BX116" i="1" s="1"/>
  <c r="CF116" i="1" s="1"/>
  <c r="BV110" i="1" a="1"/>
  <c r="BV110" i="1" s="1"/>
  <c r="BW110" i="1" s="1" a="1"/>
  <c r="BW110" i="1" s="1"/>
  <c r="BX110" i="1" s="1"/>
  <c r="CF110" i="1" s="1"/>
  <c r="B37" i="8" s="1"/>
  <c r="BV123" i="1" a="1"/>
  <c r="BV123" i="1" s="1"/>
  <c r="BW123" i="1" s="1" a="1"/>
  <c r="BW123" i="1" s="1"/>
  <c r="BX123" i="1" s="1"/>
  <c r="CF123" i="1" s="1"/>
  <c r="BV115" i="1" a="1"/>
  <c r="BV115" i="1" s="1"/>
  <c r="BW115" i="1" s="1" a="1"/>
  <c r="BW115" i="1" s="1"/>
  <c r="BX115" i="1" s="1"/>
  <c r="CF115" i="1" s="1"/>
  <c r="CJ92" i="1"/>
  <c r="AL92" i="1"/>
  <c r="CA124" i="1"/>
  <c r="BZ124" i="1"/>
  <c r="CB122" i="1"/>
  <c r="CA122" i="1"/>
  <c r="BZ122" i="1"/>
  <c r="BY122" i="1"/>
  <c r="CG122" i="1" s="1"/>
  <c r="CB114" i="1"/>
  <c r="CA114" i="1"/>
  <c r="BZ114" i="1"/>
  <c r="BY114" i="1"/>
  <c r="CG114" i="1" s="1"/>
  <c r="BZ121" i="1"/>
  <c r="CA121" i="1"/>
  <c r="CB121" i="1"/>
  <c r="BY121" i="1"/>
  <c r="CG121" i="1" s="1"/>
  <c r="BZ113" i="1"/>
  <c r="CA113" i="1"/>
  <c r="BY113" i="1"/>
  <c r="CG113" i="1" s="1"/>
  <c r="CB113" i="1"/>
  <c r="CA120" i="1"/>
  <c r="BZ120" i="1"/>
  <c r="CA112" i="1"/>
  <c r="CB112" i="1"/>
  <c r="BZ112" i="1"/>
  <c r="BY112" i="1"/>
  <c r="CG112" i="1" s="1"/>
  <c r="CA127" i="1"/>
  <c r="CB127" i="1"/>
  <c r="BZ127" i="1"/>
  <c r="BY127" i="1"/>
  <c r="CG127" i="1" s="1"/>
  <c r="BY119" i="1"/>
  <c r="CG119" i="1" s="1"/>
  <c r="CA119" i="1"/>
  <c r="CB119" i="1"/>
  <c r="BZ119" i="1"/>
  <c r="CA111" i="1"/>
  <c r="CB111" i="1"/>
  <c r="BZ111" i="1"/>
  <c r="BY111" i="1"/>
  <c r="CG111" i="1" s="1"/>
  <c r="CB126" i="1"/>
  <c r="BZ126" i="1"/>
  <c r="CA126" i="1"/>
  <c r="BY126" i="1"/>
  <c r="CG126" i="1" s="1"/>
  <c r="BZ118" i="1"/>
  <c r="CA118" i="1"/>
  <c r="CB110" i="1"/>
  <c r="BZ110" i="1"/>
  <c r="CB125" i="1"/>
  <c r="CA125" i="1"/>
  <c r="BZ125" i="1"/>
  <c r="CB117" i="1"/>
  <c r="BY117" i="1"/>
  <c r="CG117" i="1" s="1"/>
  <c r="G262" i="3"/>
  <c r="F262" i="3"/>
  <c r="H262" i="3"/>
  <c r="J262" i="3"/>
  <c r="I262" i="3"/>
  <c r="C263" i="3"/>
  <c r="B264" i="3" s="1"/>
  <c r="D263" i="3" a="1"/>
  <c r="D263" i="3" s="1"/>
  <c r="E263" i="3" s="1"/>
  <c r="C23" i="6"/>
  <c r="D23" i="6"/>
  <c r="B23" i="6"/>
  <c r="A24" i="6"/>
  <c r="A24" i="5"/>
  <c r="D23" i="5"/>
  <c r="B23" i="5"/>
  <c r="C23" i="5"/>
  <c r="CB115" i="1" l="1"/>
  <c r="BY115" i="1"/>
  <c r="CG115" i="1" s="1"/>
  <c r="BY124" i="1"/>
  <c r="CG124" i="1" s="1"/>
  <c r="BY125" i="1"/>
  <c r="CG125" i="1" s="1"/>
  <c r="BY118" i="1"/>
  <c r="CG118" i="1" s="1"/>
  <c r="BY120" i="1"/>
  <c r="CG120" i="1" s="1"/>
  <c r="CB118" i="1"/>
  <c r="CB120" i="1"/>
  <c r="BZ123" i="1"/>
  <c r="BY123" i="1"/>
  <c r="CG123" i="1" s="1"/>
  <c r="CA123" i="1"/>
  <c r="CB123" i="1"/>
  <c r="CB124" i="1"/>
  <c r="CA117" i="1"/>
  <c r="BY110" i="1"/>
  <c r="CG110" i="1" s="1"/>
  <c r="C37" i="8" s="1"/>
  <c r="CA115" i="1"/>
  <c r="CA116" i="1"/>
  <c r="BZ117" i="1"/>
  <c r="CA110" i="1"/>
  <c r="D37" i="8" s="1"/>
  <c r="BZ115" i="1"/>
  <c r="BZ116" i="1"/>
  <c r="G37" i="8" a="1"/>
  <c r="G37" i="8" s="1"/>
  <c r="BY116" i="1"/>
  <c r="CG116" i="1" s="1"/>
  <c r="CB116" i="1"/>
  <c r="CE127" i="1"/>
  <c r="CC127" i="1"/>
  <c r="CD127" i="1"/>
  <c r="CE125" i="1"/>
  <c r="CC125" i="1"/>
  <c r="CH125" i="1" s="1"/>
  <c r="CI125" i="1" s="1"/>
  <c r="CJ125" i="1" s="1"/>
  <c r="CD125" i="1"/>
  <c r="CD110" i="1"/>
  <c r="CC110" i="1"/>
  <c r="CE126" i="1"/>
  <c r="CC126" i="1"/>
  <c r="CH126" i="1" s="1"/>
  <c r="CI126" i="1" s="1"/>
  <c r="CJ126" i="1" s="1"/>
  <c r="CD126" i="1"/>
  <c r="CC112" i="1"/>
  <c r="CH112" i="1" s="1"/>
  <c r="CI112" i="1" s="1"/>
  <c r="CD112" i="1"/>
  <c r="CE112" i="1"/>
  <c r="CD114" i="1"/>
  <c r="CC114" i="1"/>
  <c r="CH114" i="1" s="1"/>
  <c r="CI114" i="1" s="1"/>
  <c r="CE114" i="1"/>
  <c r="CC118" i="1"/>
  <c r="CD118" i="1"/>
  <c r="CE118" i="1"/>
  <c r="CC113" i="1"/>
  <c r="CH113" i="1" s="1"/>
  <c r="CI113" i="1" s="1"/>
  <c r="CE113" i="1"/>
  <c r="CD113" i="1"/>
  <c r="CE117" i="1"/>
  <c r="CC117" i="1"/>
  <c r="CH117" i="1" s="1"/>
  <c r="CI117" i="1" s="1"/>
  <c r="CD117" i="1"/>
  <c r="CD116" i="1"/>
  <c r="CC116" i="1"/>
  <c r="CH116" i="1" s="1"/>
  <c r="CI116" i="1" s="1"/>
  <c r="CD119" i="1"/>
  <c r="CC119" i="1"/>
  <c r="CH119" i="1" s="1"/>
  <c r="CI119" i="1" s="1"/>
  <c r="CE119" i="1"/>
  <c r="CE115" i="1"/>
  <c r="CD115" i="1"/>
  <c r="CC115" i="1"/>
  <c r="CH115" i="1" s="1"/>
  <c r="CI115" i="1" s="1"/>
  <c r="CH127" i="1"/>
  <c r="CI127" i="1" s="1"/>
  <c r="CJ127" i="1" s="1"/>
  <c r="CE111" i="1"/>
  <c r="CD111" i="1"/>
  <c r="CC111" i="1"/>
  <c r="CH111" i="1" s="1"/>
  <c r="CI111" i="1" s="1"/>
  <c r="CD120" i="1"/>
  <c r="CC120" i="1"/>
  <c r="CH120" i="1" s="1"/>
  <c r="CI120" i="1" s="1"/>
  <c r="CE120" i="1"/>
  <c r="CD121" i="1"/>
  <c r="CC121" i="1"/>
  <c r="CH121" i="1" s="1"/>
  <c r="CI121" i="1" s="1"/>
  <c r="CJ121" i="1" s="1"/>
  <c r="CE121" i="1"/>
  <c r="CE122" i="1"/>
  <c r="CC122" i="1"/>
  <c r="CH122" i="1" s="1"/>
  <c r="CI122" i="1" s="1"/>
  <c r="CJ122" i="1" s="1"/>
  <c r="CD122" i="1"/>
  <c r="CC123" i="1"/>
  <c r="CE123" i="1"/>
  <c r="CD123" i="1"/>
  <c r="CD124" i="1"/>
  <c r="CC124" i="1"/>
  <c r="CH124" i="1" s="1"/>
  <c r="CI124" i="1" s="1"/>
  <c r="CJ124" i="1" s="1"/>
  <c r="CE124" i="1"/>
  <c r="CH118" i="1"/>
  <c r="CI118" i="1" s="1"/>
  <c r="J263" i="3"/>
  <c r="H263" i="3"/>
  <c r="G263" i="3"/>
  <c r="I263" i="3"/>
  <c r="F263" i="3"/>
  <c r="C264" i="3"/>
  <c r="B265" i="3" s="1"/>
  <c r="D264" i="3" a="1"/>
  <c r="D264" i="3" s="1"/>
  <c r="G264" i="3" s="1"/>
  <c r="C24" i="6"/>
  <c r="A25" i="6"/>
  <c r="D24" i="6"/>
  <c r="B24" i="6"/>
  <c r="A25" i="5"/>
  <c r="C24" i="5"/>
  <c r="D24" i="5"/>
  <c r="B24" i="5"/>
  <c r="CH123" i="1" l="1"/>
  <c r="CI123" i="1" s="1"/>
  <c r="CJ123" i="1" s="1"/>
  <c r="CE116" i="1"/>
  <c r="CE110" i="1"/>
  <c r="CH110" i="1"/>
  <c r="BV132" i="1" s="1" a="1"/>
  <c r="BV132" i="1" s="1"/>
  <c r="BW132" i="1" s="1" a="1"/>
  <c r="BW132" i="1" s="1"/>
  <c r="BX132" i="1" s="1"/>
  <c r="CF132" i="1" s="1"/>
  <c r="E37" i="8"/>
  <c r="CJ114" i="1"/>
  <c r="AL114" i="1"/>
  <c r="CJ116" i="1"/>
  <c r="AL116" i="1"/>
  <c r="CJ115" i="1"/>
  <c r="AL115" i="1"/>
  <c r="CJ113" i="1"/>
  <c r="AL113" i="1"/>
  <c r="CJ112" i="1"/>
  <c r="AL112" i="1"/>
  <c r="CJ120" i="1"/>
  <c r="AL120" i="1"/>
  <c r="CJ117" i="1"/>
  <c r="AL117" i="1"/>
  <c r="CJ118" i="1"/>
  <c r="AL118" i="1"/>
  <c r="CJ111" i="1"/>
  <c r="AL111" i="1"/>
  <c r="CJ119" i="1"/>
  <c r="AL119" i="1"/>
  <c r="BV128" i="1" a="1"/>
  <c r="BV128" i="1" s="1"/>
  <c r="BW128" i="1" s="1" a="1"/>
  <c r="BW128" i="1" s="1"/>
  <c r="BX128" i="1" s="1"/>
  <c r="CF128" i="1" s="1"/>
  <c r="B38" i="8" s="1"/>
  <c r="BV129" i="1" a="1"/>
  <c r="BV129" i="1" s="1"/>
  <c r="BW129" i="1" s="1" a="1"/>
  <c r="BW129" i="1" s="1"/>
  <c r="BX129" i="1" s="1"/>
  <c r="CF129" i="1" s="1"/>
  <c r="BV130" i="1" a="1"/>
  <c r="BV130" i="1" s="1"/>
  <c r="BW130" i="1" s="1" a="1"/>
  <c r="BW130" i="1" s="1"/>
  <c r="BX130" i="1" s="1"/>
  <c r="CF130" i="1" s="1"/>
  <c r="BV133" i="1" a="1"/>
  <c r="BV133" i="1" s="1"/>
  <c r="BW133" i="1" s="1" a="1"/>
  <c r="BW133" i="1" s="1"/>
  <c r="BX133" i="1" s="1"/>
  <c r="CF133" i="1" s="1"/>
  <c r="BV136" i="1" a="1"/>
  <c r="BV136" i="1" s="1"/>
  <c r="BW136" i="1" s="1" a="1"/>
  <c r="BW136" i="1" s="1"/>
  <c r="BX136" i="1" s="1"/>
  <c r="CF136" i="1" s="1"/>
  <c r="BV137" i="1" a="1"/>
  <c r="BV137" i="1" s="1"/>
  <c r="BW137" i="1" s="1" a="1"/>
  <c r="BW137" i="1" s="1"/>
  <c r="BX137" i="1" s="1"/>
  <c r="CF137" i="1" s="1"/>
  <c r="BV139" i="1" a="1"/>
  <c r="BV139" i="1" s="1"/>
  <c r="BW139" i="1" s="1" a="1"/>
  <c r="BW139" i="1" s="1"/>
  <c r="BX139" i="1" s="1"/>
  <c r="CF139" i="1" s="1"/>
  <c r="BV141" i="1" a="1"/>
  <c r="BV141" i="1" s="1"/>
  <c r="BW141" i="1" s="1" a="1"/>
  <c r="BW141" i="1" s="1"/>
  <c r="BX141" i="1" s="1"/>
  <c r="CF141" i="1" s="1"/>
  <c r="BV144" i="1" a="1"/>
  <c r="BV144" i="1" s="1"/>
  <c r="BW144" i="1" s="1" a="1"/>
  <c r="BW144" i="1" s="1"/>
  <c r="BX144" i="1" s="1"/>
  <c r="CF144" i="1" s="1"/>
  <c r="J264" i="3"/>
  <c r="I264" i="3"/>
  <c r="E264" i="3"/>
  <c r="F264" i="3"/>
  <c r="H264" i="3"/>
  <c r="C265" i="3"/>
  <c r="B266" i="3" s="1"/>
  <c r="D265" i="3" a="1"/>
  <c r="D265" i="3" s="1"/>
  <c r="C25" i="6"/>
  <c r="A26" i="6"/>
  <c r="D25" i="6"/>
  <c r="B25" i="6"/>
  <c r="A26" i="5"/>
  <c r="C25" i="5"/>
  <c r="B25" i="5"/>
  <c r="D25" i="5"/>
  <c r="BV138" i="1" l="1" a="1"/>
  <c r="BV138" i="1" s="1"/>
  <c r="BW138" i="1" s="1" a="1"/>
  <c r="BW138" i="1" s="1"/>
  <c r="BX138" i="1" s="1"/>
  <c r="CF138" i="1" s="1"/>
  <c r="BV145" i="1" a="1"/>
  <c r="BV145" i="1" s="1"/>
  <c r="BW145" i="1" s="1" a="1"/>
  <c r="BW145" i="1" s="1"/>
  <c r="BX145" i="1" s="1"/>
  <c r="CF145" i="1" s="1"/>
  <c r="BV131" i="1" a="1"/>
  <c r="BV131" i="1" s="1"/>
  <c r="BW131" i="1" s="1" a="1"/>
  <c r="BW131" i="1" s="1"/>
  <c r="BX131" i="1" s="1"/>
  <c r="CF131" i="1" s="1"/>
  <c r="BV143" i="1" a="1"/>
  <c r="BV143" i="1" s="1"/>
  <c r="BW143" i="1" s="1" a="1"/>
  <c r="BW143" i="1" s="1"/>
  <c r="BX143" i="1" s="1"/>
  <c r="CF143" i="1" s="1"/>
  <c r="BV135" i="1" a="1"/>
  <c r="BV135" i="1" s="1"/>
  <c r="BW135" i="1" s="1" a="1"/>
  <c r="BW135" i="1" s="1"/>
  <c r="BX135" i="1" s="1"/>
  <c r="CF135" i="1" s="1"/>
  <c r="CI110" i="1"/>
  <c r="BV142" i="1" a="1"/>
  <c r="BV142" i="1" s="1"/>
  <c r="BW142" i="1" s="1" a="1"/>
  <c r="BW142" i="1" s="1"/>
  <c r="BX142" i="1" s="1"/>
  <c r="CF142" i="1" s="1"/>
  <c r="BV134" i="1" a="1"/>
  <c r="BV134" i="1" s="1"/>
  <c r="BW134" i="1" s="1" a="1"/>
  <c r="BW134" i="1" s="1"/>
  <c r="BX134" i="1" s="1"/>
  <c r="CF134" i="1" s="1"/>
  <c r="BV140" i="1" a="1"/>
  <c r="BV140" i="1" s="1"/>
  <c r="BW140" i="1" s="1" a="1"/>
  <c r="BW140" i="1" s="1"/>
  <c r="BX140" i="1" s="1"/>
  <c r="CF140" i="1" s="1"/>
  <c r="G38" i="8" a="1"/>
  <c r="G38" i="8" s="1"/>
  <c r="F37" i="8"/>
  <c r="CJ110" i="1"/>
  <c r="AL110" i="1"/>
  <c r="CB141" i="1"/>
  <c r="CA141" i="1"/>
  <c r="BY141" i="1"/>
  <c r="CG141" i="1" s="1"/>
  <c r="BZ141" i="1"/>
  <c r="CA133" i="1"/>
  <c r="CB133" i="1"/>
  <c r="BY133" i="1"/>
  <c r="CG133" i="1" s="1"/>
  <c r="BZ133" i="1"/>
  <c r="CB132" i="1"/>
  <c r="BY132" i="1"/>
  <c r="CG132" i="1" s="1"/>
  <c r="BZ132" i="1"/>
  <c r="CA132" i="1"/>
  <c r="CB142" i="1"/>
  <c r="CB139" i="1"/>
  <c r="BY139" i="1"/>
  <c r="CG139" i="1" s="1"/>
  <c r="CA139" i="1"/>
  <c r="BZ139" i="1"/>
  <c r="CB131" i="1"/>
  <c r="BZ131" i="1"/>
  <c r="BY131" i="1"/>
  <c r="CG131" i="1" s="1"/>
  <c r="CB134" i="1"/>
  <c r="BZ134" i="1"/>
  <c r="BY134" i="1"/>
  <c r="CG134" i="1" s="1"/>
  <c r="CB138" i="1"/>
  <c r="BY138" i="1"/>
  <c r="CG138" i="1" s="1"/>
  <c r="CB130" i="1"/>
  <c r="CA130" i="1"/>
  <c r="BY130" i="1"/>
  <c r="CG130" i="1" s="1"/>
  <c r="BZ130" i="1"/>
  <c r="BZ145" i="1"/>
  <c r="BY145" i="1"/>
  <c r="CG145" i="1" s="1"/>
  <c r="BZ137" i="1"/>
  <c r="CA137" i="1"/>
  <c r="CB137" i="1"/>
  <c r="BY137" i="1"/>
  <c r="CG137" i="1" s="1"/>
  <c r="BY129" i="1"/>
  <c r="CG129" i="1" s="1"/>
  <c r="BZ129" i="1"/>
  <c r="CA129" i="1"/>
  <c r="CB129" i="1"/>
  <c r="CB144" i="1"/>
  <c r="CA144" i="1"/>
  <c r="BZ144" i="1"/>
  <c r="BY144" i="1"/>
  <c r="CG144" i="1" s="1"/>
  <c r="CA136" i="1"/>
  <c r="CB136" i="1"/>
  <c r="BY136" i="1"/>
  <c r="CG136" i="1" s="1"/>
  <c r="BZ136" i="1"/>
  <c r="CA128" i="1"/>
  <c r="BZ128" i="1"/>
  <c r="D38" i="8" s="1"/>
  <c r="CB128" i="1"/>
  <c r="BY128" i="1"/>
  <c r="CG128" i="1" s="1"/>
  <c r="C38" i="8" s="1"/>
  <c r="CB143" i="1"/>
  <c r="BY143" i="1"/>
  <c r="CG143" i="1" s="1"/>
  <c r="CA143" i="1"/>
  <c r="BZ143" i="1"/>
  <c r="CB135" i="1"/>
  <c r="CA135" i="1"/>
  <c r="BY135" i="1"/>
  <c r="CG135" i="1" s="1"/>
  <c r="BZ135" i="1"/>
  <c r="H265" i="3"/>
  <c r="E265" i="3"/>
  <c r="G265" i="3"/>
  <c r="F265" i="3"/>
  <c r="I265" i="3"/>
  <c r="J265" i="3"/>
  <c r="C266" i="3"/>
  <c r="B267" i="3" s="1"/>
  <c r="D266" i="3" a="1"/>
  <c r="D266" i="3" s="1"/>
  <c r="A27" i="5"/>
  <c r="D26" i="5"/>
  <c r="C26" i="5"/>
  <c r="B26" i="5"/>
  <c r="C26" i="6"/>
  <c r="A27" i="6"/>
  <c r="D26" i="6"/>
  <c r="B26" i="6"/>
  <c r="CA145" i="1" l="1"/>
  <c r="BZ138" i="1"/>
  <c r="CA134" i="1"/>
  <c r="CA140" i="1"/>
  <c r="BZ140" i="1"/>
  <c r="BY140" i="1"/>
  <c r="CG140" i="1" s="1"/>
  <c r="CB145" i="1"/>
  <c r="CA138" i="1"/>
  <c r="CA131" i="1"/>
  <c r="CA142" i="1"/>
  <c r="BZ142" i="1"/>
  <c r="BY142" i="1"/>
  <c r="CG142" i="1" s="1"/>
  <c r="CB140" i="1"/>
  <c r="CC135" i="1"/>
  <c r="CH135" i="1" s="1"/>
  <c r="CI135" i="1" s="1"/>
  <c r="CE135" i="1"/>
  <c r="CD135" i="1"/>
  <c r="CD130" i="1"/>
  <c r="CC130" i="1"/>
  <c r="CH130" i="1" s="1"/>
  <c r="CI130" i="1" s="1"/>
  <c r="CE130" i="1"/>
  <c r="CC133" i="1"/>
  <c r="CH133" i="1" s="1"/>
  <c r="CI133" i="1" s="1"/>
  <c r="CD133" i="1"/>
  <c r="CE133" i="1"/>
  <c r="CE128" i="1"/>
  <c r="CC128" i="1"/>
  <c r="CD128" i="1"/>
  <c r="CC144" i="1"/>
  <c r="CH144" i="1" s="1"/>
  <c r="CI144" i="1" s="1"/>
  <c r="CJ144" i="1" s="1"/>
  <c r="CE144" i="1"/>
  <c r="CD144" i="1"/>
  <c r="CE137" i="1"/>
  <c r="CD137" i="1"/>
  <c r="CC137" i="1"/>
  <c r="CH137" i="1" s="1"/>
  <c r="CI137" i="1" s="1"/>
  <c r="CC134" i="1"/>
  <c r="CH134" i="1" s="1"/>
  <c r="CI134" i="1" s="1"/>
  <c r="CE134" i="1"/>
  <c r="CD134" i="1"/>
  <c r="CC139" i="1"/>
  <c r="CH139" i="1" s="1"/>
  <c r="CI139" i="1" s="1"/>
  <c r="CD139" i="1"/>
  <c r="CE139" i="1"/>
  <c r="CD132" i="1"/>
  <c r="CC132" i="1"/>
  <c r="CH132" i="1" s="1"/>
  <c r="CI132" i="1" s="1"/>
  <c r="CE132" i="1"/>
  <c r="CC145" i="1"/>
  <c r="CE145" i="1"/>
  <c r="CD145" i="1"/>
  <c r="CC138" i="1"/>
  <c r="CD138" i="1"/>
  <c r="CE138" i="1"/>
  <c r="CD131" i="1"/>
  <c r="CE131" i="1"/>
  <c r="CC131" i="1"/>
  <c r="CH131" i="1" s="1"/>
  <c r="CI131" i="1" s="1"/>
  <c r="CC136" i="1"/>
  <c r="CH136" i="1" s="1"/>
  <c r="CI136" i="1" s="1"/>
  <c r="CD136" i="1"/>
  <c r="CE136" i="1"/>
  <c r="CC141" i="1"/>
  <c r="CH141" i="1" s="1"/>
  <c r="CI141" i="1" s="1"/>
  <c r="CD141" i="1"/>
  <c r="CE141" i="1"/>
  <c r="CD143" i="1"/>
  <c r="CC143" i="1"/>
  <c r="CH143" i="1" s="1"/>
  <c r="CI143" i="1" s="1"/>
  <c r="CJ143" i="1" s="1"/>
  <c r="CE143" i="1"/>
  <c r="CD140" i="1"/>
  <c r="CE140" i="1"/>
  <c r="CC140" i="1"/>
  <c r="CH140" i="1" s="1"/>
  <c r="CI140" i="1" s="1"/>
  <c r="CC129" i="1"/>
  <c r="CH129" i="1" s="1"/>
  <c r="CI129" i="1" s="1"/>
  <c r="CD129" i="1"/>
  <c r="CE129" i="1"/>
  <c r="CH145" i="1"/>
  <c r="CI145" i="1" s="1"/>
  <c r="CJ145" i="1" s="1"/>
  <c r="CD142" i="1"/>
  <c r="CC142" i="1"/>
  <c r="CH142" i="1" s="1"/>
  <c r="CI142" i="1" s="1"/>
  <c r="CJ142" i="1" s="1"/>
  <c r="CE142" i="1"/>
  <c r="F266" i="3"/>
  <c r="H266" i="3"/>
  <c r="I266" i="3"/>
  <c r="G266" i="3"/>
  <c r="J266" i="3"/>
  <c r="E266" i="3"/>
  <c r="C267" i="3"/>
  <c r="B268" i="3" s="1"/>
  <c r="D267" i="3" a="1"/>
  <c r="D267" i="3" s="1"/>
  <c r="C27" i="6"/>
  <c r="A28" i="6"/>
  <c r="D27" i="6"/>
  <c r="B27" i="6"/>
  <c r="A28" i="5"/>
  <c r="B27" i="5"/>
  <c r="D27" i="5"/>
  <c r="C27" i="5"/>
  <c r="CH138" i="1" l="1"/>
  <c r="CI138" i="1" s="1"/>
  <c r="CH128" i="1"/>
  <c r="BV152" i="1" s="1" a="1"/>
  <c r="BV152" i="1" s="1"/>
  <c r="BW152" i="1" s="1" a="1"/>
  <c r="BW152" i="1" s="1"/>
  <c r="BX152" i="1" s="1"/>
  <c r="CF152" i="1" s="1"/>
  <c r="E38" i="8"/>
  <c r="CJ129" i="1"/>
  <c r="AL129" i="1"/>
  <c r="CJ140" i="1"/>
  <c r="AL140" i="1"/>
  <c r="CJ141" i="1"/>
  <c r="AL141" i="1"/>
  <c r="CJ139" i="1"/>
  <c r="AL139" i="1"/>
  <c r="CJ133" i="1"/>
  <c r="AL133" i="1"/>
  <c r="CJ138" i="1"/>
  <c r="AL138" i="1"/>
  <c r="CJ130" i="1"/>
  <c r="AL130" i="1"/>
  <c r="CJ131" i="1"/>
  <c r="AL131" i="1"/>
  <c r="CJ136" i="1"/>
  <c r="AL136" i="1"/>
  <c r="CJ132" i="1"/>
  <c r="AL132" i="1"/>
  <c r="CJ134" i="1"/>
  <c r="AL134" i="1"/>
  <c r="CJ137" i="1"/>
  <c r="AL137" i="1"/>
  <c r="CJ135" i="1"/>
  <c r="AL135" i="1"/>
  <c r="CI128" i="1"/>
  <c r="BV146" i="1" a="1"/>
  <c r="BV146" i="1" s="1"/>
  <c r="BW146" i="1" s="1" a="1"/>
  <c r="BW146" i="1" s="1"/>
  <c r="BX146" i="1" s="1"/>
  <c r="CF146" i="1" s="1"/>
  <c r="B39" i="8" s="1"/>
  <c r="BV147" i="1" a="1"/>
  <c r="BV147" i="1" s="1"/>
  <c r="BW147" i="1" s="1" a="1"/>
  <c r="BW147" i="1" s="1"/>
  <c r="BX147" i="1" s="1"/>
  <c r="CF147" i="1" s="1"/>
  <c r="BV149" i="1" a="1"/>
  <c r="BV149" i="1" s="1"/>
  <c r="BW149" i="1" s="1" a="1"/>
  <c r="BW149" i="1" s="1"/>
  <c r="BX149" i="1" s="1"/>
  <c r="CF149" i="1" s="1"/>
  <c r="BV150" i="1" a="1"/>
  <c r="BV150" i="1" s="1"/>
  <c r="BW150" i="1" s="1" a="1"/>
  <c r="BW150" i="1" s="1"/>
  <c r="BX150" i="1" s="1"/>
  <c r="CF150" i="1" s="1"/>
  <c r="BV151" i="1" a="1"/>
  <c r="BV151" i="1" s="1"/>
  <c r="BW151" i="1" s="1" a="1"/>
  <c r="BW151" i="1" s="1"/>
  <c r="BX151" i="1" s="1"/>
  <c r="CF151" i="1" s="1"/>
  <c r="BV153" i="1" a="1"/>
  <c r="BV153" i="1" s="1"/>
  <c r="BW153" i="1" s="1" a="1"/>
  <c r="BW153" i="1" s="1"/>
  <c r="BX153" i="1" s="1"/>
  <c r="CF153" i="1" s="1"/>
  <c r="BV154" i="1" a="1"/>
  <c r="BV154" i="1" s="1"/>
  <c r="BW154" i="1" s="1" a="1"/>
  <c r="BW154" i="1" s="1"/>
  <c r="BX154" i="1" s="1"/>
  <c r="CF154" i="1" s="1"/>
  <c r="BV155" i="1" a="1"/>
  <c r="BV155" i="1" s="1"/>
  <c r="BW155" i="1" s="1" a="1"/>
  <c r="BW155" i="1" s="1"/>
  <c r="BX155" i="1" s="1"/>
  <c r="CF155" i="1" s="1"/>
  <c r="BV157" i="1" a="1"/>
  <c r="BV157" i="1" s="1"/>
  <c r="BW157" i="1" s="1" a="1"/>
  <c r="BW157" i="1" s="1"/>
  <c r="BX157" i="1" s="1"/>
  <c r="CF157" i="1" s="1"/>
  <c r="BV158" i="1" a="1"/>
  <c r="BV158" i="1" s="1"/>
  <c r="BW158" i="1" s="1" a="1"/>
  <c r="BW158" i="1" s="1"/>
  <c r="BX158" i="1" s="1"/>
  <c r="CF158" i="1" s="1"/>
  <c r="BV159" i="1" a="1"/>
  <c r="BV159" i="1" s="1"/>
  <c r="BW159" i="1" s="1" a="1"/>
  <c r="BW159" i="1" s="1"/>
  <c r="BX159" i="1" s="1"/>
  <c r="CF159" i="1" s="1"/>
  <c r="BV161" i="1" a="1"/>
  <c r="BV161" i="1" s="1"/>
  <c r="BW161" i="1" s="1" a="1"/>
  <c r="BW161" i="1" s="1"/>
  <c r="BX161" i="1" s="1"/>
  <c r="CF161" i="1" s="1"/>
  <c r="BV162" i="1" a="1"/>
  <c r="BV162" i="1" s="1"/>
  <c r="BW162" i="1" s="1" a="1"/>
  <c r="BW162" i="1" s="1"/>
  <c r="BX162" i="1" s="1"/>
  <c r="CF162" i="1" s="1"/>
  <c r="BV163" i="1" a="1"/>
  <c r="BV163" i="1" s="1"/>
  <c r="BW163" i="1" s="1" a="1"/>
  <c r="BW163" i="1" s="1"/>
  <c r="BX163" i="1" s="1"/>
  <c r="CF163" i="1" s="1"/>
  <c r="G267" i="3"/>
  <c r="I267" i="3"/>
  <c r="H267" i="3"/>
  <c r="F267" i="3"/>
  <c r="E267" i="3"/>
  <c r="J267" i="3"/>
  <c r="C268" i="3"/>
  <c r="B269" i="3" s="1"/>
  <c r="D268" i="3" a="1"/>
  <c r="D268" i="3" s="1"/>
  <c r="F268" i="3" s="1"/>
  <c r="A29" i="5"/>
  <c r="B28" i="5"/>
  <c r="C28" i="5"/>
  <c r="D28" i="5"/>
  <c r="B28" i="6"/>
  <c r="C28" i="6"/>
  <c r="A29" i="6"/>
  <c r="D28" i="6"/>
  <c r="BV156" i="1" l="1" a="1"/>
  <c r="BV156" i="1" s="1"/>
  <c r="BW156" i="1" s="1" a="1"/>
  <c r="BW156" i="1" s="1"/>
  <c r="BX156" i="1" s="1"/>
  <c r="CF156" i="1" s="1"/>
  <c r="BV148" i="1" a="1"/>
  <c r="BV148" i="1" s="1"/>
  <c r="BW148" i="1" s="1" a="1"/>
  <c r="BW148" i="1" s="1"/>
  <c r="BX148" i="1" s="1"/>
  <c r="CF148" i="1" s="1"/>
  <c r="BV160" i="1" a="1"/>
  <c r="BV160" i="1" s="1"/>
  <c r="BW160" i="1" s="1" a="1"/>
  <c r="BW160" i="1" s="1"/>
  <c r="BX160" i="1" s="1"/>
  <c r="CF160" i="1" s="1"/>
  <c r="F38" i="8"/>
  <c r="G39" i="8" a="1"/>
  <c r="G39" i="8" s="1"/>
  <c r="CJ128" i="1"/>
  <c r="AL128" i="1"/>
  <c r="CB160" i="1"/>
  <c r="BY160" i="1"/>
  <c r="CG160" i="1" s="1"/>
  <c r="CA152" i="1"/>
  <c r="BY152" i="1"/>
  <c r="CG152" i="1" s="1"/>
  <c r="CB152" i="1"/>
  <c r="BZ152" i="1"/>
  <c r="CA159" i="1"/>
  <c r="BY159" i="1"/>
  <c r="CG159" i="1" s="1"/>
  <c r="BZ159" i="1"/>
  <c r="CB159" i="1"/>
  <c r="CA151" i="1"/>
  <c r="BZ151" i="1"/>
  <c r="BY151" i="1"/>
  <c r="CG151" i="1" s="1"/>
  <c r="CB151" i="1"/>
  <c r="BY158" i="1"/>
  <c r="CG158" i="1" s="1"/>
  <c r="CA158" i="1"/>
  <c r="BZ158" i="1"/>
  <c r="CB158" i="1"/>
  <c r="BZ150" i="1"/>
  <c r="CA150" i="1"/>
  <c r="CB150" i="1"/>
  <c r="BY150" i="1"/>
  <c r="CG150" i="1" s="1"/>
  <c r="BZ157" i="1"/>
  <c r="CA157" i="1"/>
  <c r="CB157" i="1"/>
  <c r="BY157" i="1"/>
  <c r="CG157" i="1" s="1"/>
  <c r="CB149" i="1"/>
  <c r="BZ149" i="1"/>
  <c r="BY149" i="1"/>
  <c r="CG149" i="1" s="1"/>
  <c r="CA149" i="1"/>
  <c r="BY156" i="1"/>
  <c r="CG156" i="1" s="1"/>
  <c r="BZ163" i="1"/>
  <c r="BY163" i="1"/>
  <c r="CG163" i="1" s="1"/>
  <c r="CB163" i="1"/>
  <c r="CA163" i="1"/>
  <c r="CB155" i="1"/>
  <c r="BZ155" i="1"/>
  <c r="BY155" i="1"/>
  <c r="CG155" i="1" s="1"/>
  <c r="CA155" i="1"/>
  <c r="CB147" i="1"/>
  <c r="BZ147" i="1"/>
  <c r="CA147" i="1"/>
  <c r="BY147" i="1"/>
  <c r="CG147" i="1" s="1"/>
  <c r="CA162" i="1"/>
  <c r="BY162" i="1"/>
  <c r="CG162" i="1" s="1"/>
  <c r="CB162" i="1"/>
  <c r="BZ162" i="1"/>
  <c r="CA154" i="1"/>
  <c r="BZ154" i="1"/>
  <c r="CB154" i="1"/>
  <c r="BY154" i="1"/>
  <c r="CG154" i="1" s="1"/>
  <c r="CA146" i="1"/>
  <c r="BZ146" i="1"/>
  <c r="CB146" i="1"/>
  <c r="BY146" i="1"/>
  <c r="CG146" i="1" s="1"/>
  <c r="C39" i="8" s="1"/>
  <c r="CA161" i="1"/>
  <c r="BZ161" i="1"/>
  <c r="CB161" i="1"/>
  <c r="BY161" i="1"/>
  <c r="CG161" i="1" s="1"/>
  <c r="BY153" i="1"/>
  <c r="CG153" i="1" s="1"/>
  <c r="CB153" i="1"/>
  <c r="BZ153" i="1"/>
  <c r="CA153" i="1"/>
  <c r="E268" i="3"/>
  <c r="G268" i="3"/>
  <c r="I268" i="3"/>
  <c r="J268" i="3"/>
  <c r="H268" i="3"/>
  <c r="K268" i="3"/>
  <c r="M269" i="3"/>
  <c r="C269" i="3"/>
  <c r="B270" i="3" s="1"/>
  <c r="I269" i="3"/>
  <c r="E269" i="3"/>
  <c r="F269" i="3"/>
  <c r="G269" i="3"/>
  <c r="H269" i="3"/>
  <c r="K269" i="3"/>
  <c r="D269" i="3" a="1"/>
  <c r="D269" i="3" s="1"/>
  <c r="L269" i="3"/>
  <c r="J269" i="3"/>
  <c r="B29" i="6"/>
  <c r="C29" i="6"/>
  <c r="A30" i="6"/>
  <c r="D29" i="6"/>
  <c r="A30" i="5"/>
  <c r="C29" i="5"/>
  <c r="B29" i="5"/>
  <c r="D29" i="5"/>
  <c r="CA156" i="1" l="1"/>
  <c r="BZ160" i="1"/>
  <c r="CB156" i="1"/>
  <c r="BZ156" i="1"/>
  <c r="CA160" i="1"/>
  <c r="BY148" i="1"/>
  <c r="CG148" i="1" s="1"/>
  <c r="CA148" i="1"/>
  <c r="D39" i="8"/>
  <c r="BZ148" i="1"/>
  <c r="CB148" i="1"/>
  <c r="CD146" i="1"/>
  <c r="CC146" i="1"/>
  <c r="E39" i="8" s="1"/>
  <c r="CE146" i="1"/>
  <c r="CC148" i="1"/>
  <c r="CH148" i="1" s="1"/>
  <c r="CI148" i="1" s="1"/>
  <c r="CE150" i="1"/>
  <c r="CC150" i="1"/>
  <c r="CH150" i="1" s="1"/>
  <c r="CI150" i="1" s="1"/>
  <c r="CD150" i="1"/>
  <c r="CC155" i="1"/>
  <c r="CH155" i="1" s="1"/>
  <c r="CI155" i="1" s="1"/>
  <c r="CD155" i="1"/>
  <c r="CE155" i="1"/>
  <c r="CC149" i="1"/>
  <c r="CH149" i="1" s="1"/>
  <c r="CI149" i="1" s="1"/>
  <c r="CD149" i="1"/>
  <c r="CE149" i="1"/>
  <c r="CE151" i="1"/>
  <c r="CD151" i="1"/>
  <c r="CC151" i="1"/>
  <c r="CH151" i="1" s="1"/>
  <c r="CI151" i="1" s="1"/>
  <c r="CH146" i="1"/>
  <c r="CD162" i="1"/>
  <c r="CC162" i="1"/>
  <c r="CH162" i="1" s="1"/>
  <c r="CI162" i="1" s="1"/>
  <c r="CJ162" i="1" s="1"/>
  <c r="CE162" i="1"/>
  <c r="CE152" i="1"/>
  <c r="CD152" i="1"/>
  <c r="CC152" i="1"/>
  <c r="CH152" i="1" s="1"/>
  <c r="CI152" i="1" s="1"/>
  <c r="CE153" i="1"/>
  <c r="CC153" i="1"/>
  <c r="CH153" i="1" s="1"/>
  <c r="CI153" i="1" s="1"/>
  <c r="CD153" i="1"/>
  <c r="CC161" i="1"/>
  <c r="CH161" i="1" s="1"/>
  <c r="CI161" i="1" s="1"/>
  <c r="CJ161" i="1" s="1"/>
  <c r="CE161" i="1"/>
  <c r="CD161" i="1"/>
  <c r="CD154" i="1"/>
  <c r="CC154" i="1"/>
  <c r="CH154" i="1" s="1"/>
  <c r="CI154" i="1" s="1"/>
  <c r="CE154" i="1"/>
  <c r="CD147" i="1"/>
  <c r="CC147" i="1"/>
  <c r="CH147" i="1" s="1"/>
  <c r="CI147" i="1" s="1"/>
  <c r="CE147" i="1"/>
  <c r="CE156" i="1"/>
  <c r="CC156" i="1"/>
  <c r="CH156" i="1" s="1"/>
  <c r="CI156" i="1" s="1"/>
  <c r="CD156" i="1"/>
  <c r="CE157" i="1"/>
  <c r="CD157" i="1"/>
  <c r="CC157" i="1"/>
  <c r="CH157" i="1" s="1"/>
  <c r="CI157" i="1" s="1"/>
  <c r="CE160" i="1"/>
  <c r="CC160" i="1"/>
  <c r="CH160" i="1" s="1"/>
  <c r="CI160" i="1" s="1"/>
  <c r="CJ160" i="1" s="1"/>
  <c r="CD160" i="1"/>
  <c r="CD163" i="1"/>
  <c r="CC163" i="1"/>
  <c r="CH163" i="1" s="1"/>
  <c r="CI163" i="1" s="1"/>
  <c r="CJ163" i="1" s="1"/>
  <c r="CE163" i="1"/>
  <c r="CD159" i="1"/>
  <c r="CC159" i="1"/>
  <c r="CH159" i="1" s="1"/>
  <c r="CI159" i="1" s="1"/>
  <c r="CJ159" i="1" s="1"/>
  <c r="CE159" i="1"/>
  <c r="CC158" i="1"/>
  <c r="CH158" i="1" s="1"/>
  <c r="CI158" i="1" s="1"/>
  <c r="CE158" i="1"/>
  <c r="CD158" i="1"/>
  <c r="M270" i="3"/>
  <c r="C270" i="3"/>
  <c r="B271" i="3" s="1"/>
  <c r="H270" i="3"/>
  <c r="E270" i="3"/>
  <c r="J270" i="3"/>
  <c r="G270" i="3"/>
  <c r="K270" i="3"/>
  <c r="L270" i="3"/>
  <c r="D270" i="3" a="1"/>
  <c r="D270" i="3" s="1"/>
  <c r="F270" i="3"/>
  <c r="I270" i="3"/>
  <c r="B30" i="6"/>
  <c r="D30" i="6"/>
  <c r="A31" i="6"/>
  <c r="C30" i="6"/>
  <c r="B30" i="5"/>
  <c r="A31" i="5"/>
  <c r="D30" i="5"/>
  <c r="C30" i="5"/>
  <c r="CD148" i="1" l="1"/>
  <c r="CE148" i="1"/>
  <c r="F39" i="8"/>
  <c r="CJ154" i="1"/>
  <c r="AL154" i="1"/>
  <c r="CJ156" i="1"/>
  <c r="AL156" i="1"/>
  <c r="CJ147" i="1"/>
  <c r="AL147" i="1"/>
  <c r="CJ158" i="1"/>
  <c r="AL158" i="1"/>
  <c r="CJ149" i="1"/>
  <c r="AL149" i="1"/>
  <c r="CJ157" i="1"/>
  <c r="AL157" i="1"/>
  <c r="CJ153" i="1"/>
  <c r="AL153" i="1"/>
  <c r="CJ148" i="1"/>
  <c r="AL148" i="1"/>
  <c r="CJ150" i="1"/>
  <c r="AL150" i="1"/>
  <c r="CJ151" i="1"/>
  <c r="AL151" i="1"/>
  <c r="CJ155" i="1"/>
  <c r="AL155" i="1"/>
  <c r="CJ152" i="1"/>
  <c r="AL152" i="1"/>
  <c r="CI146" i="1"/>
  <c r="BV164" i="1" a="1"/>
  <c r="BV164" i="1" s="1"/>
  <c r="BW164" i="1" s="1" a="1"/>
  <c r="BW164" i="1" s="1"/>
  <c r="BX164" i="1" s="1"/>
  <c r="CF164" i="1" s="1"/>
  <c r="B40" i="8" s="1"/>
  <c r="BV165" i="1" a="1"/>
  <c r="BV165" i="1" s="1"/>
  <c r="BW165" i="1" s="1" a="1"/>
  <c r="BW165" i="1" s="1"/>
  <c r="BX165" i="1" s="1"/>
  <c r="CF165" i="1" s="1"/>
  <c r="BV166" i="1" a="1"/>
  <c r="BV166" i="1" s="1"/>
  <c r="BW166" i="1" s="1" a="1"/>
  <c r="BW166" i="1" s="1"/>
  <c r="BX166" i="1" s="1"/>
  <c r="CF166" i="1" s="1"/>
  <c r="BV167" i="1" a="1"/>
  <c r="BV167" i="1" s="1"/>
  <c r="BW167" i="1" s="1" a="1"/>
  <c r="BW167" i="1" s="1"/>
  <c r="BX167" i="1" s="1"/>
  <c r="CF167" i="1" s="1"/>
  <c r="BV168" i="1" a="1"/>
  <c r="BV168" i="1" s="1"/>
  <c r="BW168" i="1" s="1" a="1"/>
  <c r="BW168" i="1" s="1"/>
  <c r="BX168" i="1" s="1"/>
  <c r="CF168" i="1" s="1"/>
  <c r="BV169" i="1" a="1"/>
  <c r="BV169" i="1" s="1"/>
  <c r="BW169" i="1" s="1" a="1"/>
  <c r="BW169" i="1" s="1"/>
  <c r="BX169" i="1" s="1"/>
  <c r="CF169" i="1" s="1"/>
  <c r="BV170" i="1" a="1"/>
  <c r="BV170" i="1" s="1"/>
  <c r="BW170" i="1" s="1" a="1"/>
  <c r="BW170" i="1" s="1"/>
  <c r="BX170" i="1" s="1"/>
  <c r="CF170" i="1" s="1"/>
  <c r="BV171" i="1" a="1"/>
  <c r="BV171" i="1" s="1"/>
  <c r="BW171" i="1" s="1" a="1"/>
  <c r="BW171" i="1" s="1"/>
  <c r="BX171" i="1" s="1"/>
  <c r="CF171" i="1" s="1"/>
  <c r="BV172" i="1" a="1"/>
  <c r="BV172" i="1" s="1"/>
  <c r="BW172" i="1" s="1" a="1"/>
  <c r="BW172" i="1" s="1"/>
  <c r="BX172" i="1" s="1"/>
  <c r="CF172" i="1" s="1"/>
  <c r="BV173" i="1" a="1"/>
  <c r="BV173" i="1" s="1"/>
  <c r="BW173" i="1" s="1" a="1"/>
  <c r="BW173" i="1" s="1"/>
  <c r="BX173" i="1" s="1"/>
  <c r="CF173" i="1" s="1"/>
  <c r="BV174" i="1" a="1"/>
  <c r="BV174" i="1" s="1"/>
  <c r="BW174" i="1" s="1" a="1"/>
  <c r="BW174" i="1" s="1"/>
  <c r="BX174" i="1" s="1"/>
  <c r="CF174" i="1" s="1"/>
  <c r="BV175" i="1" a="1"/>
  <c r="BV175" i="1" s="1"/>
  <c r="BW175" i="1" s="1" a="1"/>
  <c r="BW175" i="1" s="1"/>
  <c r="BX175" i="1" s="1"/>
  <c r="CF175" i="1" s="1"/>
  <c r="BV176" i="1" a="1"/>
  <c r="BV176" i="1" s="1"/>
  <c r="BW176" i="1" s="1" a="1"/>
  <c r="BW176" i="1" s="1"/>
  <c r="BX176" i="1" s="1"/>
  <c r="CF176" i="1" s="1"/>
  <c r="BV177" i="1" a="1"/>
  <c r="BV177" i="1" s="1"/>
  <c r="BW177" i="1" s="1" a="1"/>
  <c r="BW177" i="1" s="1"/>
  <c r="BX177" i="1" s="1"/>
  <c r="CF177" i="1" s="1"/>
  <c r="BV178" i="1" a="1"/>
  <c r="BV178" i="1" s="1"/>
  <c r="BW178" i="1" s="1" a="1"/>
  <c r="BW178" i="1" s="1"/>
  <c r="BX178" i="1" s="1"/>
  <c r="CF178" i="1" s="1"/>
  <c r="BV179" i="1" a="1"/>
  <c r="BV179" i="1" s="1"/>
  <c r="BW179" i="1" s="1" a="1"/>
  <c r="BW179" i="1" s="1"/>
  <c r="BX179" i="1" s="1"/>
  <c r="CF179" i="1" s="1"/>
  <c r="BV180" i="1" a="1"/>
  <c r="BV180" i="1" s="1"/>
  <c r="BW180" i="1" s="1" a="1"/>
  <c r="BW180" i="1" s="1"/>
  <c r="BX180" i="1" s="1"/>
  <c r="CF180" i="1" s="1"/>
  <c r="BV181" i="1" a="1"/>
  <c r="BV181" i="1" s="1"/>
  <c r="BW181" i="1" s="1" a="1"/>
  <c r="BW181" i="1" s="1"/>
  <c r="BX181" i="1" s="1"/>
  <c r="CF181" i="1" s="1"/>
  <c r="M271" i="3"/>
  <c r="C271" i="3"/>
  <c r="B272" i="3" s="1"/>
  <c r="H271" i="3"/>
  <c r="J271" i="3"/>
  <c r="D271" i="3" a="1"/>
  <c r="D271" i="3" s="1"/>
  <c r="F271" i="3"/>
  <c r="K271" i="3"/>
  <c r="G271" i="3"/>
  <c r="E271" i="3"/>
  <c r="L271" i="3"/>
  <c r="I271" i="3"/>
  <c r="C31" i="5"/>
  <c r="D31" i="5"/>
  <c r="B31" i="5"/>
  <c r="A32" i="5"/>
  <c r="B31" i="6"/>
  <c r="D31" i="6"/>
  <c r="A32" i="6"/>
  <c r="C31" i="6"/>
  <c r="G40" i="8" l="1" a="1"/>
  <c r="G40" i="8" s="1"/>
  <c r="CJ146" i="1"/>
  <c r="AL146" i="1"/>
  <c r="BY178" i="1"/>
  <c r="CG178" i="1" s="1"/>
  <c r="CB178" i="1"/>
  <c r="CA178" i="1"/>
  <c r="BZ178" i="1"/>
  <c r="BZ170" i="1"/>
  <c r="CB170" i="1"/>
  <c r="CA170" i="1"/>
  <c r="BY170" i="1"/>
  <c r="CG170" i="1" s="1"/>
  <c r="BZ177" i="1"/>
  <c r="CA177" i="1"/>
  <c r="CB177" i="1"/>
  <c r="BY177" i="1"/>
  <c r="CG177" i="1" s="1"/>
  <c r="BZ169" i="1"/>
  <c r="CA169" i="1"/>
  <c r="CB169" i="1"/>
  <c r="BY169" i="1"/>
  <c r="CG169" i="1" s="1"/>
  <c r="BY176" i="1"/>
  <c r="CG176" i="1" s="1"/>
  <c r="BZ176" i="1"/>
  <c r="CA176" i="1"/>
  <c r="CB176" i="1"/>
  <c r="CA168" i="1"/>
  <c r="CB168" i="1"/>
  <c r="BY168" i="1"/>
  <c r="CG168" i="1" s="1"/>
  <c r="BZ168" i="1"/>
  <c r="CA175" i="1"/>
  <c r="CB175" i="1"/>
  <c r="BZ175" i="1"/>
  <c r="BY175" i="1"/>
  <c r="CG175" i="1" s="1"/>
  <c r="CA167" i="1"/>
  <c r="CB167" i="1"/>
  <c r="BZ167" i="1"/>
  <c r="BY167" i="1"/>
  <c r="CG167" i="1" s="1"/>
  <c r="CB174" i="1"/>
  <c r="BY174" i="1"/>
  <c r="CG174" i="1" s="1"/>
  <c r="BZ174" i="1"/>
  <c r="CA174" i="1"/>
  <c r="BY166" i="1"/>
  <c r="CG166" i="1" s="1"/>
  <c r="CB166" i="1"/>
  <c r="BZ166" i="1"/>
  <c r="CA166" i="1"/>
  <c r="CB181" i="1"/>
  <c r="BY181" i="1"/>
  <c r="CG181" i="1" s="1"/>
  <c r="BZ181" i="1"/>
  <c r="CA181" i="1"/>
  <c r="CB173" i="1"/>
  <c r="CA173" i="1"/>
  <c r="BY173" i="1"/>
  <c r="CG173" i="1" s="1"/>
  <c r="BZ173" i="1"/>
  <c r="BY165" i="1"/>
  <c r="CG165" i="1" s="1"/>
  <c r="BZ165" i="1"/>
  <c r="CA165" i="1"/>
  <c r="CB165" i="1"/>
  <c r="CB180" i="1"/>
  <c r="BY180" i="1"/>
  <c r="CG180" i="1" s="1"/>
  <c r="BZ180" i="1"/>
  <c r="CA180" i="1"/>
  <c r="CB172" i="1"/>
  <c r="BY172" i="1"/>
  <c r="CG172" i="1" s="1"/>
  <c r="BZ172" i="1"/>
  <c r="CA172" i="1"/>
  <c r="CA164" i="1"/>
  <c r="BY164" i="1"/>
  <c r="CG164" i="1" s="1"/>
  <c r="C40" i="8" s="1"/>
  <c r="BZ164" i="1"/>
  <c r="CB164" i="1"/>
  <c r="BY179" i="1"/>
  <c r="CG179" i="1" s="1"/>
  <c r="CB179" i="1"/>
  <c r="CA179" i="1"/>
  <c r="BZ179" i="1"/>
  <c r="CA171" i="1"/>
  <c r="BZ171" i="1"/>
  <c r="CB171" i="1"/>
  <c r="BY171" i="1"/>
  <c r="CG171" i="1" s="1"/>
  <c r="M272" i="3"/>
  <c r="C272" i="3"/>
  <c r="B273" i="3" s="1"/>
  <c r="L272" i="3"/>
  <c r="J272" i="3"/>
  <c r="F272" i="3"/>
  <c r="E272" i="3"/>
  <c r="D272" i="3" a="1"/>
  <c r="D272" i="3" s="1"/>
  <c r="H272" i="3"/>
  <c r="G272" i="3"/>
  <c r="I272" i="3"/>
  <c r="K272" i="3"/>
  <c r="B32" i="6"/>
  <c r="C32" i="6"/>
  <c r="D32" i="6"/>
  <c r="A33" i="6"/>
  <c r="B32" i="5"/>
  <c r="C32" i="5"/>
  <c r="D32" i="5"/>
  <c r="A33" i="5"/>
  <c r="D40" i="8" l="1"/>
  <c r="CD171" i="1"/>
  <c r="CE171" i="1"/>
  <c r="CC171" i="1"/>
  <c r="CE167" i="1"/>
  <c r="CD167" i="1"/>
  <c r="CC167" i="1"/>
  <c r="CH167" i="1" s="1"/>
  <c r="CI167" i="1" s="1"/>
  <c r="CC169" i="1"/>
  <c r="CH169" i="1" s="1"/>
  <c r="CI169" i="1" s="1"/>
  <c r="CE169" i="1"/>
  <c r="CD169" i="1"/>
  <c r="CE170" i="1"/>
  <c r="CC170" i="1"/>
  <c r="CH170" i="1" s="1"/>
  <c r="CI170" i="1" s="1"/>
  <c r="CD170" i="1"/>
  <c r="CD173" i="1"/>
  <c r="CC173" i="1"/>
  <c r="CH173" i="1" s="1"/>
  <c r="CI173" i="1" s="1"/>
  <c r="CE173" i="1"/>
  <c r="CC168" i="1"/>
  <c r="CH168" i="1" s="1"/>
  <c r="CI168" i="1" s="1"/>
  <c r="CE168" i="1"/>
  <c r="CD168" i="1"/>
  <c r="CH171" i="1"/>
  <c r="CI171" i="1" s="1"/>
  <c r="CE164" i="1"/>
  <c r="CD164" i="1"/>
  <c r="CC164" i="1"/>
  <c r="CE180" i="1"/>
  <c r="CC180" i="1"/>
  <c r="CH180" i="1" s="1"/>
  <c r="CI180" i="1" s="1"/>
  <c r="CJ180" i="1" s="1"/>
  <c r="CD180" i="1"/>
  <c r="CD166" i="1"/>
  <c r="CC166" i="1"/>
  <c r="CH166" i="1" s="1"/>
  <c r="CI166" i="1" s="1"/>
  <c r="CE166" i="1"/>
  <c r="CE175" i="1"/>
  <c r="CD175" i="1"/>
  <c r="CC175" i="1"/>
  <c r="CH175" i="1" s="1"/>
  <c r="CI175" i="1" s="1"/>
  <c r="CJ175" i="1" s="1"/>
  <c r="CC177" i="1"/>
  <c r="CH177" i="1" s="1"/>
  <c r="CI177" i="1" s="1"/>
  <c r="CJ177" i="1" s="1"/>
  <c r="CD177" i="1"/>
  <c r="CE177" i="1"/>
  <c r="CD172" i="1"/>
  <c r="CC172" i="1"/>
  <c r="CH172" i="1" s="1"/>
  <c r="CI172" i="1" s="1"/>
  <c r="CE172" i="1"/>
  <c r="CC181" i="1"/>
  <c r="CH181" i="1" s="1"/>
  <c r="CI181" i="1" s="1"/>
  <c r="CE181" i="1"/>
  <c r="CD181" i="1"/>
  <c r="CD174" i="1"/>
  <c r="CC174" i="1"/>
  <c r="CH174" i="1" s="1"/>
  <c r="CI174" i="1" s="1"/>
  <c r="CJ174" i="1" s="1"/>
  <c r="CE174" i="1"/>
  <c r="CD179" i="1"/>
  <c r="CE179" i="1"/>
  <c r="CC179" i="1"/>
  <c r="CH179" i="1" s="1"/>
  <c r="CI179" i="1" s="1"/>
  <c r="CJ179" i="1" s="1"/>
  <c r="CD165" i="1"/>
  <c r="CE165" i="1"/>
  <c r="CC165" i="1"/>
  <c r="CH165" i="1" s="1"/>
  <c r="CI165" i="1" s="1"/>
  <c r="CE176" i="1"/>
  <c r="CD176" i="1"/>
  <c r="CC176" i="1"/>
  <c r="CH176" i="1" s="1"/>
  <c r="CI176" i="1" s="1"/>
  <c r="CJ176" i="1" s="1"/>
  <c r="CD178" i="1"/>
  <c r="CE178" i="1"/>
  <c r="CC178" i="1"/>
  <c r="CH178" i="1" s="1"/>
  <c r="CI178" i="1" s="1"/>
  <c r="CJ178" i="1" s="1"/>
  <c r="M273" i="3"/>
  <c r="C273" i="3"/>
  <c r="B274" i="3" s="1"/>
  <c r="G273" i="3"/>
  <c r="K273" i="3"/>
  <c r="D273" i="3" a="1"/>
  <c r="D273" i="3" s="1"/>
  <c r="E273" i="3"/>
  <c r="J273" i="3"/>
  <c r="I273" i="3"/>
  <c r="H273" i="3"/>
  <c r="L273" i="3"/>
  <c r="F273" i="3"/>
  <c r="B33" i="6"/>
  <c r="C33" i="6"/>
  <c r="A34" i="6"/>
  <c r="D33" i="6"/>
  <c r="C33" i="5"/>
  <c r="D33" i="5"/>
  <c r="A34" i="5"/>
  <c r="B33" i="5"/>
  <c r="CH164" i="1" l="1"/>
  <c r="E40" i="8"/>
  <c r="CJ168" i="1"/>
  <c r="AL168" i="1"/>
  <c r="CJ169" i="1"/>
  <c r="AL169" i="1"/>
  <c r="CJ167" i="1"/>
  <c r="AL167" i="1"/>
  <c r="CJ181" i="1"/>
  <c r="CJ173" i="1"/>
  <c r="AL173" i="1"/>
  <c r="CJ172" i="1"/>
  <c r="AL172" i="1"/>
  <c r="CJ166" i="1"/>
  <c r="AL166" i="1"/>
  <c r="CJ171" i="1"/>
  <c r="AL171" i="1"/>
  <c r="CJ170" i="1"/>
  <c r="AL170" i="1"/>
  <c r="CJ165" i="1"/>
  <c r="AL165" i="1"/>
  <c r="M274" i="3"/>
  <c r="C274" i="3"/>
  <c r="B275" i="3" s="1"/>
  <c r="H274" i="3"/>
  <c r="E274" i="3"/>
  <c r="L274" i="3"/>
  <c r="D274" i="3" a="1"/>
  <c r="D274" i="3" s="1"/>
  <c r="J274" i="3"/>
  <c r="F274" i="3"/>
  <c r="K274" i="3"/>
  <c r="G274" i="3"/>
  <c r="I274" i="3"/>
  <c r="B34" i="6"/>
  <c r="D34" i="6"/>
  <c r="C34" i="6"/>
  <c r="A35" i="6"/>
  <c r="D34" i="5"/>
  <c r="A35" i="5"/>
  <c r="C34" i="5"/>
  <c r="B34" i="5"/>
  <c r="CI164" i="1" l="1"/>
  <c r="F40" i="8"/>
  <c r="G41" i="8" a="1"/>
  <c r="G41" i="8" s="1"/>
  <c r="M275" i="3"/>
  <c r="C275" i="3"/>
  <c r="B276" i="3" s="1"/>
  <c r="E275" i="3"/>
  <c r="L275" i="3"/>
  <c r="I275" i="3"/>
  <c r="F275" i="3"/>
  <c r="J275" i="3"/>
  <c r="K275" i="3"/>
  <c r="H275" i="3"/>
  <c r="G275" i="3"/>
  <c r="D275" i="3" a="1"/>
  <c r="D275" i="3" s="1"/>
  <c r="A36" i="5"/>
  <c r="C35" i="5"/>
  <c r="D35" i="5"/>
  <c r="B35" i="5"/>
  <c r="A36" i="6"/>
  <c r="B35" i="6"/>
  <c r="C35" i="6"/>
  <c r="D35" i="6"/>
  <c r="E4" i="8" l="1" a="1"/>
  <c r="E4" i="8" s="1"/>
  <c r="CJ164" i="1"/>
  <c r="AL164" i="1"/>
  <c r="C276" i="3"/>
  <c r="B277" i="3" s="1"/>
  <c r="D276" i="3" a="1"/>
  <c r="D276" i="3" s="1"/>
  <c r="E276" i="3"/>
  <c r="B36" i="6"/>
  <c r="C36" i="6"/>
  <c r="D36" i="6"/>
  <c r="A37" i="6"/>
  <c r="B36" i="5"/>
  <c r="C36" i="5"/>
  <c r="A37" i="5"/>
  <c r="D36" i="5"/>
  <c r="M277" i="3" l="1"/>
  <c r="C277" i="3"/>
  <c r="B278" i="3" s="1"/>
  <c r="F277" i="3"/>
  <c r="J277" i="3"/>
  <c r="I277" i="3"/>
  <c r="H277" i="3"/>
  <c r="L277" i="3"/>
  <c r="D277" i="3" a="1"/>
  <c r="D277" i="3" s="1"/>
  <c r="K277" i="3"/>
  <c r="E277" i="3"/>
  <c r="G277" i="3"/>
  <c r="D37" i="5"/>
  <c r="B37" i="5"/>
  <c r="A38" i="5"/>
  <c r="C37" i="5"/>
  <c r="D37" i="6"/>
  <c r="A38" i="6"/>
  <c r="C37" i="6"/>
  <c r="B37" i="6"/>
  <c r="C278" i="3" l="1"/>
  <c r="B279" i="3" s="1"/>
  <c r="D278" i="3" a="1"/>
  <c r="D278" i="3" s="1"/>
  <c r="A39" i="5"/>
  <c r="B38" i="5"/>
  <c r="D38" i="5"/>
  <c r="C38" i="5"/>
  <c r="B38" i="6"/>
  <c r="C38" i="6"/>
  <c r="A39" i="6"/>
  <c r="D38" i="6"/>
  <c r="G278" i="3" l="1"/>
  <c r="F278" i="3"/>
  <c r="E278" i="3"/>
  <c r="J278" i="3"/>
  <c r="I278" i="3"/>
  <c r="H278" i="3"/>
  <c r="C279" i="3"/>
  <c r="B280" i="3" s="1"/>
  <c r="D279" i="3" a="1"/>
  <c r="D279" i="3" s="1"/>
  <c r="C39" i="5"/>
  <c r="D39" i="5"/>
  <c r="B39" i="5"/>
  <c r="A40" i="5"/>
  <c r="A40" i="6"/>
  <c r="B39" i="6"/>
  <c r="C39" i="6"/>
  <c r="D39" i="6"/>
  <c r="J279" i="3" l="1"/>
  <c r="F279" i="3"/>
  <c r="I279" i="3"/>
  <c r="G279" i="3"/>
  <c r="H279" i="3"/>
  <c r="E279" i="3"/>
  <c r="C280" i="3"/>
  <c r="B281" i="3" s="1"/>
  <c r="D280" i="3" a="1"/>
  <c r="D280" i="3" s="1"/>
  <c r="B40" i="5"/>
  <c r="D40" i="5"/>
  <c r="C40" i="5"/>
  <c r="A41" i="5"/>
  <c r="A41" i="6"/>
  <c r="B40" i="6"/>
  <c r="C40" i="6"/>
  <c r="D40" i="6"/>
  <c r="J280" i="3" l="1"/>
  <c r="G280" i="3"/>
  <c r="I280" i="3"/>
  <c r="E280" i="3"/>
  <c r="F280" i="3"/>
  <c r="H280" i="3"/>
  <c r="C281" i="3"/>
  <c r="B282" i="3" s="1"/>
  <c r="D281" i="3" a="1"/>
  <c r="D281" i="3" s="1"/>
  <c r="D41" i="5"/>
  <c r="B41" i="5"/>
  <c r="A42" i="5"/>
  <c r="C41" i="5"/>
  <c r="B41" i="6"/>
  <c r="C41" i="6"/>
  <c r="A42" i="6"/>
  <c r="D41" i="6"/>
  <c r="J281" i="3" l="1"/>
  <c r="G281" i="3"/>
  <c r="F281" i="3"/>
  <c r="E281" i="3"/>
  <c r="H281" i="3"/>
  <c r="I281" i="3"/>
  <c r="C282" i="3"/>
  <c r="B283" i="3" s="1"/>
  <c r="D282" i="3" a="1"/>
  <c r="D282" i="3" s="1"/>
  <c r="E282" i="3" s="1"/>
  <c r="C42" i="6"/>
  <c r="D42" i="6"/>
  <c r="A43" i="6"/>
  <c r="B42" i="6"/>
  <c r="A43" i="5"/>
  <c r="D42" i="5"/>
  <c r="B42" i="5"/>
  <c r="C42" i="5"/>
  <c r="I282" i="3" l="1"/>
  <c r="F282" i="3"/>
  <c r="G282" i="3"/>
  <c r="H282" i="3"/>
  <c r="J282" i="3"/>
  <c r="C283" i="3"/>
  <c r="B284" i="3" s="1"/>
  <c r="D283" i="3" a="1"/>
  <c r="D283" i="3" s="1"/>
  <c r="C43" i="6"/>
  <c r="D43" i="6"/>
  <c r="B43" i="6"/>
  <c r="A44" i="6"/>
  <c r="C43" i="5"/>
  <c r="D43" i="5"/>
  <c r="B43" i="5"/>
  <c r="A44" i="5"/>
  <c r="I283" i="3" l="1"/>
  <c r="H283" i="3"/>
  <c r="G283" i="3"/>
  <c r="J283" i="3"/>
  <c r="F283" i="3"/>
  <c r="E283" i="3"/>
  <c r="C284" i="3"/>
  <c r="B285" i="3" s="1"/>
  <c r="D284" i="3" a="1"/>
  <c r="D284" i="3" s="1"/>
  <c r="B44" i="5"/>
  <c r="C44" i="5"/>
  <c r="A45" i="5"/>
  <c r="D44" i="5"/>
  <c r="C44" i="6"/>
  <c r="A45" i="6"/>
  <c r="B44" i="6"/>
  <c r="D44" i="6"/>
  <c r="F284" i="3" l="1"/>
  <c r="H284" i="3"/>
  <c r="I284" i="3"/>
  <c r="J284" i="3"/>
  <c r="G284" i="3"/>
  <c r="E284" i="3"/>
  <c r="C285" i="3"/>
  <c r="B286" i="3" s="1"/>
  <c r="D285" i="3" a="1"/>
  <c r="D285" i="3" s="1"/>
  <c r="F285" i="3" s="1"/>
  <c r="D45" i="6"/>
  <c r="B45" i="6"/>
  <c r="C45" i="6"/>
  <c r="A46" i="6"/>
  <c r="D45" i="5"/>
  <c r="B45" i="5"/>
  <c r="A46" i="5"/>
  <c r="C45" i="5"/>
  <c r="E285" i="3" l="1"/>
  <c r="G285" i="3"/>
  <c r="I285" i="3"/>
  <c r="J285" i="3"/>
  <c r="H285" i="3"/>
  <c r="C286" i="3"/>
  <c r="B287" i="3" s="1"/>
  <c r="D286" i="3" a="1"/>
  <c r="D286" i="3" s="1"/>
  <c r="F286" i="3" s="1"/>
  <c r="D46" i="5"/>
  <c r="A47" i="5"/>
  <c r="B46" i="5"/>
  <c r="C46" i="5"/>
  <c r="B46" i="6"/>
  <c r="C46" i="6"/>
  <c r="A47" i="6"/>
  <c r="D46" i="6"/>
  <c r="I286" i="3" l="1"/>
  <c r="G286" i="3"/>
  <c r="J286" i="3"/>
  <c r="E286" i="3"/>
  <c r="H286" i="3"/>
  <c r="C287" i="3"/>
  <c r="B288" i="3" s="1"/>
  <c r="D287" i="3" a="1"/>
  <c r="D287" i="3" s="1"/>
  <c r="D47" i="6"/>
  <c r="A48" i="6"/>
  <c r="B47" i="6"/>
  <c r="C47" i="6"/>
  <c r="B47" i="5"/>
  <c r="C47" i="5"/>
  <c r="A48" i="5"/>
  <c r="D47" i="5"/>
  <c r="H287" i="3" l="1"/>
  <c r="J287" i="3"/>
  <c r="G287" i="3"/>
  <c r="I287" i="3"/>
  <c r="E287" i="3"/>
  <c r="F287" i="3"/>
  <c r="C288" i="3"/>
  <c r="B289" i="3" s="1"/>
  <c r="D288" i="3" a="1"/>
  <c r="D288" i="3" s="1"/>
  <c r="B48" i="5"/>
  <c r="C48" i="5"/>
  <c r="D48" i="5"/>
  <c r="A49" i="5"/>
  <c r="B48" i="6"/>
  <c r="C48" i="6"/>
  <c r="D48" i="6"/>
  <c r="A49" i="6"/>
  <c r="I288" i="3" l="1"/>
  <c r="G288" i="3"/>
  <c r="E288" i="3"/>
  <c r="F288" i="3"/>
  <c r="J288" i="3"/>
  <c r="H288" i="3"/>
  <c r="C289" i="3"/>
  <c r="B290" i="3" s="1"/>
  <c r="D289" i="3" a="1"/>
  <c r="D289" i="3" s="1"/>
  <c r="C49" i="6"/>
  <c r="D49" i="6"/>
  <c r="B49" i="6"/>
  <c r="A50" i="6"/>
  <c r="A50" i="5"/>
  <c r="B49" i="5"/>
  <c r="C49" i="5"/>
  <c r="D49" i="5"/>
  <c r="E289" i="3" l="1"/>
  <c r="G289" i="3"/>
  <c r="I289" i="3"/>
  <c r="H289" i="3"/>
  <c r="J289" i="3"/>
  <c r="F289" i="3"/>
  <c r="C290" i="3"/>
  <c r="B291" i="3" s="1"/>
  <c r="D290" i="3" a="1"/>
  <c r="D290" i="3" s="1"/>
  <c r="B50" i="6"/>
  <c r="C50" i="6"/>
  <c r="A51" i="6"/>
  <c r="D50" i="6"/>
  <c r="D50" i="5"/>
  <c r="B50" i="5"/>
  <c r="A51" i="5"/>
  <c r="C50" i="5"/>
  <c r="H290" i="3" l="1"/>
  <c r="G290" i="3"/>
  <c r="F290" i="3"/>
  <c r="E290" i="3"/>
  <c r="J290" i="3"/>
  <c r="I290" i="3"/>
  <c r="C291" i="3"/>
  <c r="B292" i="3" s="1"/>
  <c r="D291" i="3" a="1"/>
  <c r="D291" i="3" s="1"/>
  <c r="I291" i="3" s="1"/>
  <c r="D51" i="6"/>
  <c r="A52" i="6"/>
  <c r="B51" i="6"/>
  <c r="C51" i="6"/>
  <c r="B51" i="5"/>
  <c r="D51" i="5"/>
  <c r="A52" i="5"/>
  <c r="C51" i="5"/>
  <c r="J291" i="3" l="1"/>
  <c r="G291" i="3"/>
  <c r="E291" i="3"/>
  <c r="H291" i="3"/>
  <c r="F291" i="3"/>
  <c r="C292" i="3"/>
  <c r="B293" i="3" s="1"/>
  <c r="D292" i="3" a="1"/>
  <c r="D292" i="3" s="1"/>
  <c r="C52" i="6"/>
  <c r="A53" i="6"/>
  <c r="B52" i="6"/>
  <c r="D52" i="6"/>
  <c r="A53" i="5"/>
  <c r="D52" i="5"/>
  <c r="C52" i="5"/>
  <c r="B52" i="5"/>
  <c r="E292" i="3" l="1"/>
  <c r="I292" i="3"/>
  <c r="H292" i="3"/>
  <c r="J292" i="3"/>
  <c r="G292" i="3"/>
  <c r="F292" i="3"/>
  <c r="C293" i="3"/>
  <c r="B294" i="3" s="1"/>
  <c r="D293" i="3" a="1"/>
  <c r="D293" i="3" s="1"/>
  <c r="D53" i="6"/>
  <c r="A54" i="6"/>
  <c r="C53" i="6"/>
  <c r="B53" i="6"/>
  <c r="C53" i="5"/>
  <c r="D53" i="5"/>
  <c r="A54" i="5"/>
  <c r="B53" i="5"/>
  <c r="J293" i="3" l="1"/>
  <c r="I293" i="3"/>
  <c r="E293" i="3"/>
  <c r="F293" i="3"/>
  <c r="G293" i="3"/>
  <c r="H293" i="3"/>
  <c r="C294" i="3"/>
  <c r="B295" i="3" s="1"/>
  <c r="D294" i="3" a="1"/>
  <c r="D294" i="3" s="1"/>
  <c r="G294" i="3" s="1"/>
  <c r="B54" i="5"/>
  <c r="A55" i="5"/>
  <c r="C54" i="5"/>
  <c r="D54" i="5"/>
  <c r="C54" i="6"/>
  <c r="D54" i="6"/>
  <c r="B54" i="6"/>
  <c r="A55" i="6"/>
  <c r="H294" i="3" l="1"/>
  <c r="I294" i="3"/>
  <c r="E294" i="3"/>
  <c r="F294" i="3"/>
  <c r="J294" i="3"/>
  <c r="C295" i="3"/>
  <c r="B296" i="3" s="1"/>
  <c r="D295" i="3" a="1"/>
  <c r="D295" i="3" s="1"/>
  <c r="H295" i="3" s="1"/>
  <c r="C55" i="6"/>
  <c r="H5" i="6" s="1"/>
  <c r="H4" i="6" s="1"/>
  <c r="D55" i="6"/>
  <c r="I5" i="6" s="1"/>
  <c r="I4" i="6" s="1"/>
  <c r="A56" i="6"/>
  <c r="F5" i="6"/>
  <c r="F4" i="6" s="1"/>
  <c r="B55" i="6"/>
  <c r="G5" i="6" s="1"/>
  <c r="G4" i="6" s="1"/>
  <c r="D55" i="5"/>
  <c r="I5" i="5" s="1"/>
  <c r="I4" i="5" s="1"/>
  <c r="B55" i="5"/>
  <c r="G5" i="5" s="1"/>
  <c r="G4" i="5" s="1"/>
  <c r="C55" i="5"/>
  <c r="H5" i="5" s="1"/>
  <c r="H4" i="5" s="1"/>
  <c r="F5" i="5"/>
  <c r="F4" i="5" s="1"/>
  <c r="A56" i="5"/>
  <c r="J295" i="3" l="1"/>
  <c r="E295" i="3"/>
  <c r="K295" i="3"/>
  <c r="I295" i="3"/>
  <c r="F295" i="3"/>
  <c r="G295" i="3"/>
  <c r="M296" i="3"/>
  <c r="C296" i="3"/>
  <c r="B297" i="3" s="1"/>
  <c r="F296" i="3"/>
  <c r="K296" i="3"/>
  <c r="H296" i="3"/>
  <c r="L296" i="3"/>
  <c r="I296" i="3"/>
  <c r="E296" i="3"/>
  <c r="D296" i="3" a="1"/>
  <c r="D296" i="3" s="1"/>
  <c r="G296" i="3"/>
  <c r="J296" i="3"/>
  <c r="D56" i="6"/>
  <c r="I6" i="6" s="1"/>
  <c r="A57" i="6"/>
  <c r="F6" i="6"/>
  <c r="B56" i="6"/>
  <c r="G6" i="6" s="1"/>
  <c r="C56" i="6"/>
  <c r="H6" i="6" s="1"/>
  <c r="C56" i="5"/>
  <c r="H6" i="5" s="1"/>
  <c r="A57" i="5"/>
  <c r="D56" i="5"/>
  <c r="I6" i="5" s="1"/>
  <c r="B56" i="5"/>
  <c r="G6" i="5" s="1"/>
  <c r="F6" i="5"/>
  <c r="M297" i="3" l="1"/>
  <c r="C297" i="3"/>
  <c r="B298" i="3" s="1"/>
  <c r="I297" i="3"/>
  <c r="E297" i="3"/>
  <c r="J297" i="3"/>
  <c r="F297" i="3"/>
  <c r="L297" i="3"/>
  <c r="H297" i="3"/>
  <c r="D297" i="3" a="1"/>
  <c r="D297" i="3" s="1"/>
  <c r="G297" i="3"/>
  <c r="K297" i="3"/>
  <c r="C57" i="5"/>
  <c r="H7" i="5" s="1"/>
  <c r="D57" i="5"/>
  <c r="I7" i="5" s="1"/>
  <c r="A58" i="5"/>
  <c r="F7" i="5"/>
  <c r="B57" i="5"/>
  <c r="G7" i="5" s="1"/>
  <c r="A58" i="6"/>
  <c r="B57" i="6"/>
  <c r="G7" i="6" s="1"/>
  <c r="F7" i="6"/>
  <c r="C57" i="6"/>
  <c r="H7" i="6" s="1"/>
  <c r="D57" i="6"/>
  <c r="I7" i="6" s="1"/>
  <c r="M298" i="3" l="1"/>
  <c r="C298" i="3"/>
  <c r="B299" i="3" s="1"/>
  <c r="D298" i="3" a="1"/>
  <c r="D298" i="3" s="1"/>
  <c r="J298" i="3"/>
  <c r="F298" i="3"/>
  <c r="K298" i="3"/>
  <c r="E298" i="3"/>
  <c r="G298" i="3"/>
  <c r="L298" i="3"/>
  <c r="H298" i="3"/>
  <c r="I298" i="3"/>
  <c r="A59" i="5"/>
  <c r="D58" i="5"/>
  <c r="I8" i="5" s="1"/>
  <c r="F8" i="5"/>
  <c r="C58" i="5"/>
  <c r="H8" i="5" s="1"/>
  <c r="B58" i="5"/>
  <c r="G8" i="5" s="1"/>
  <c r="F8" i="6"/>
  <c r="B58" i="6"/>
  <c r="G8" i="6" s="1"/>
  <c r="C58" i="6"/>
  <c r="H8" i="6" s="1"/>
  <c r="D58" i="6"/>
  <c r="I8" i="6" s="1"/>
  <c r="A59" i="6"/>
  <c r="M299" i="3" l="1"/>
  <c r="C299" i="3"/>
  <c r="B300" i="3" s="1"/>
  <c r="F299" i="3"/>
  <c r="L299" i="3"/>
  <c r="E299" i="3"/>
  <c r="G299" i="3"/>
  <c r="K299" i="3"/>
  <c r="D299" i="3" a="1"/>
  <c r="D299" i="3" s="1"/>
  <c r="J299" i="3"/>
  <c r="I299" i="3"/>
  <c r="H299" i="3"/>
  <c r="D59" i="6"/>
  <c r="I9" i="6" s="1"/>
  <c r="A60" i="6"/>
  <c r="B59" i="6"/>
  <c r="G9" i="6" s="1"/>
  <c r="F9" i="6"/>
  <c r="C59" i="6"/>
  <c r="H9" i="6" s="1"/>
  <c r="D59" i="5"/>
  <c r="I9" i="5" s="1"/>
  <c r="B59" i="5"/>
  <c r="G9" i="5" s="1"/>
  <c r="C59" i="5"/>
  <c r="H9" i="5" s="1"/>
  <c r="A60" i="5"/>
  <c r="F9" i="5"/>
  <c r="M300" i="3" l="1"/>
  <c r="C300" i="3"/>
  <c r="B301" i="3" s="1"/>
  <c r="E300" i="3"/>
  <c r="H300" i="3"/>
  <c r="F300" i="3"/>
  <c r="L300" i="3"/>
  <c r="J300" i="3"/>
  <c r="D300" i="3" a="1"/>
  <c r="D300" i="3" s="1"/>
  <c r="I300" i="3"/>
  <c r="G300" i="3"/>
  <c r="K300" i="3"/>
  <c r="A61" i="6"/>
  <c r="F10" i="6"/>
  <c r="B60" i="6"/>
  <c r="G10" i="6" s="1"/>
  <c r="C60" i="6"/>
  <c r="H10" i="6" s="1"/>
  <c r="D60" i="6"/>
  <c r="I10" i="6" s="1"/>
  <c r="D60" i="5"/>
  <c r="I10" i="5" s="1"/>
  <c r="A61" i="5"/>
  <c r="C60" i="5"/>
  <c r="H10" i="5" s="1"/>
  <c r="B60" i="5"/>
  <c r="G10" i="5" s="1"/>
  <c r="F10" i="5"/>
  <c r="M301" i="3" l="1"/>
  <c r="C301" i="3"/>
  <c r="B302" i="3" s="1"/>
  <c r="K301" i="3"/>
  <c r="L301" i="3"/>
  <c r="I301" i="3"/>
  <c r="E301" i="3"/>
  <c r="H301" i="3"/>
  <c r="G301" i="3"/>
  <c r="J301" i="3"/>
  <c r="D301" i="3" a="1"/>
  <c r="D301" i="3" s="1"/>
  <c r="F301" i="3"/>
  <c r="C61" i="5"/>
  <c r="H11" i="5" s="1"/>
  <c r="D61" i="5"/>
  <c r="I11" i="5" s="1"/>
  <c r="A62" i="5"/>
  <c r="B61" i="5"/>
  <c r="G11" i="5" s="1"/>
  <c r="F11" i="5"/>
  <c r="B61" i="6"/>
  <c r="G11" i="6" s="1"/>
  <c r="C61" i="6"/>
  <c r="H11" i="6" s="1"/>
  <c r="F11" i="6"/>
  <c r="D61" i="6"/>
  <c r="I11" i="6" s="1"/>
  <c r="A62" i="6"/>
  <c r="M302" i="3" l="1"/>
  <c r="C302" i="3"/>
  <c r="B303" i="3" s="1"/>
  <c r="J302" i="3"/>
  <c r="K302" i="3"/>
  <c r="H302" i="3"/>
  <c r="F302" i="3"/>
  <c r="I302" i="3"/>
  <c r="G302" i="3"/>
  <c r="L302" i="3"/>
  <c r="E302" i="3"/>
  <c r="D302" i="3" a="1"/>
  <c r="D302" i="3" s="1"/>
  <c r="F12" i="5"/>
  <c r="B62" i="5"/>
  <c r="G12" i="5" s="1"/>
  <c r="C62" i="5"/>
  <c r="H12" i="5" s="1"/>
  <c r="A63" i="5"/>
  <c r="D62" i="5"/>
  <c r="I12" i="5" s="1"/>
  <c r="F12" i="6"/>
  <c r="B62" i="6"/>
  <c r="G12" i="6" s="1"/>
  <c r="C62" i="6"/>
  <c r="H12" i="6" s="1"/>
  <c r="D62" i="6"/>
  <c r="I12" i="6" s="1"/>
  <c r="A63" i="6"/>
  <c r="C303" i="3" l="1"/>
  <c r="B304" i="3" s="1"/>
  <c r="E303" i="3"/>
  <c r="D303" i="3" a="1"/>
  <c r="D303" i="3" s="1"/>
  <c r="C63" i="5"/>
  <c r="H13" i="5" s="1"/>
  <c r="F13" i="5"/>
  <c r="D63" i="5"/>
  <c r="I13" i="5" s="1"/>
  <c r="A64" i="5"/>
  <c r="B63" i="5"/>
  <c r="G13" i="5" s="1"/>
  <c r="C63" i="6"/>
  <c r="H13" i="6" s="1"/>
  <c r="D63" i="6"/>
  <c r="I13" i="6" s="1"/>
  <c r="F13" i="6"/>
  <c r="A64" i="6"/>
  <c r="B63" i="6"/>
  <c r="G13" i="6" s="1"/>
  <c r="M304" i="3" l="1"/>
  <c r="C304" i="3"/>
  <c r="B305" i="3" s="1"/>
  <c r="K304" i="3"/>
  <c r="D304" i="3" a="1"/>
  <c r="D304" i="3" s="1"/>
  <c r="E304" i="3"/>
  <c r="H304" i="3"/>
  <c r="G304" i="3"/>
  <c r="I304" i="3"/>
  <c r="J304" i="3"/>
  <c r="L304" i="3"/>
  <c r="F304" i="3"/>
  <c r="A65" i="5"/>
  <c r="C64" i="5"/>
  <c r="H14" i="5" s="1"/>
  <c r="F14" i="5"/>
  <c r="B64" i="5"/>
  <c r="G14" i="5" s="1"/>
  <c r="D64" i="5"/>
  <c r="I14" i="5" s="1"/>
  <c r="D64" i="6"/>
  <c r="I14" i="6" s="1"/>
  <c r="A65" i="6"/>
  <c r="F14" i="6"/>
  <c r="B64" i="6"/>
  <c r="G14" i="6" s="1"/>
  <c r="C64" i="6"/>
  <c r="H14" i="6" s="1"/>
  <c r="C305" i="3" l="1"/>
  <c r="B306" i="3" s="1"/>
  <c r="D305" i="3" a="1"/>
  <c r="D305" i="3" s="1"/>
  <c r="D65" i="6"/>
  <c r="I15" i="6" s="1"/>
  <c r="B65" i="6"/>
  <c r="G15" i="6" s="1"/>
  <c r="C65" i="6"/>
  <c r="H15" i="6" s="1"/>
  <c r="F15" i="6"/>
  <c r="A66" i="6"/>
  <c r="C65" i="5"/>
  <c r="H15" i="5" s="1"/>
  <c r="A66" i="5"/>
  <c r="D65" i="5"/>
  <c r="I15" i="5" s="1"/>
  <c r="F15" i="5"/>
  <c r="B65" i="5"/>
  <c r="G15" i="5" s="1"/>
  <c r="J305" i="3" l="1"/>
  <c r="F305" i="3"/>
  <c r="H305" i="3"/>
  <c r="I305" i="3"/>
  <c r="E305" i="3"/>
  <c r="G305" i="3"/>
  <c r="C306" i="3"/>
  <c r="B307" i="3" s="1"/>
  <c r="D306" i="3" a="1"/>
  <c r="D306" i="3" s="1"/>
  <c r="I306" i="3" s="1"/>
  <c r="F16" i="6"/>
  <c r="B66" i="6"/>
  <c r="G16" i="6" s="1"/>
  <c r="C66" i="6"/>
  <c r="H16" i="6" s="1"/>
  <c r="D66" i="6"/>
  <c r="I16" i="6" s="1"/>
  <c r="A67" i="6"/>
  <c r="A67" i="5"/>
  <c r="D66" i="5"/>
  <c r="I16" i="5" s="1"/>
  <c r="F16" i="5"/>
  <c r="B66" i="5"/>
  <c r="G16" i="5" s="1"/>
  <c r="C66" i="5"/>
  <c r="H16" i="5" s="1"/>
  <c r="G306" i="3" l="1"/>
  <c r="H306" i="3"/>
  <c r="J306" i="3"/>
  <c r="E306" i="3"/>
  <c r="F306" i="3"/>
  <c r="C307" i="3"/>
  <c r="B308" i="3" s="1"/>
  <c r="D307" i="3" a="1"/>
  <c r="D307" i="3" s="1"/>
  <c r="C67" i="5"/>
  <c r="H17" i="5" s="1"/>
  <c r="D67" i="5"/>
  <c r="I17" i="5" s="1"/>
  <c r="A68" i="5"/>
  <c r="F17" i="5"/>
  <c r="B67" i="5"/>
  <c r="G17" i="5" s="1"/>
  <c r="C67" i="6"/>
  <c r="H17" i="6" s="1"/>
  <c r="D67" i="6"/>
  <c r="I17" i="6" s="1"/>
  <c r="F17" i="6"/>
  <c r="B67" i="6"/>
  <c r="G17" i="6" s="1"/>
  <c r="A68" i="6"/>
  <c r="J307" i="3" l="1"/>
  <c r="E307" i="3"/>
  <c r="H307" i="3"/>
  <c r="I307" i="3"/>
  <c r="F307" i="3"/>
  <c r="G307" i="3"/>
  <c r="C308" i="3"/>
  <c r="B309" i="3" s="1"/>
  <c r="D308" i="3" a="1"/>
  <c r="D308" i="3" s="1"/>
  <c r="A69" i="5"/>
  <c r="D68" i="5"/>
  <c r="I18" i="5" s="1"/>
  <c r="B68" i="5"/>
  <c r="G18" i="5" s="1"/>
  <c r="C68" i="5"/>
  <c r="H18" i="5" s="1"/>
  <c r="F18" i="5"/>
  <c r="D68" i="6"/>
  <c r="I18" i="6" s="1"/>
  <c r="A69" i="6"/>
  <c r="F18" i="6"/>
  <c r="C68" i="6"/>
  <c r="H18" i="6" s="1"/>
  <c r="B68" i="6"/>
  <c r="G18" i="6" s="1"/>
  <c r="I308" i="3" l="1"/>
  <c r="F308" i="3"/>
  <c r="H308" i="3"/>
  <c r="G308" i="3"/>
  <c r="E308" i="3"/>
  <c r="J308" i="3"/>
  <c r="C309" i="3"/>
  <c r="B310" i="3" s="1"/>
  <c r="D309" i="3" a="1"/>
  <c r="D309" i="3" s="1"/>
  <c r="A70" i="6"/>
  <c r="B69" i="6"/>
  <c r="G19" i="6" s="1"/>
  <c r="C69" i="6"/>
  <c r="H19" i="6" s="1"/>
  <c r="D69" i="6"/>
  <c r="I19" i="6" s="1"/>
  <c r="F19" i="6"/>
  <c r="D69" i="5"/>
  <c r="I19" i="5" s="1"/>
  <c r="B69" i="5"/>
  <c r="G19" i="5" s="1"/>
  <c r="A70" i="5"/>
  <c r="C69" i="5"/>
  <c r="H19" i="5" s="1"/>
  <c r="F19" i="5"/>
  <c r="G309" i="3" l="1"/>
  <c r="F309" i="3"/>
  <c r="I309" i="3"/>
  <c r="H309" i="3"/>
  <c r="J309" i="3"/>
  <c r="E309" i="3"/>
  <c r="C310" i="3"/>
  <c r="B311" i="3" s="1"/>
  <c r="D310" i="3" a="1"/>
  <c r="D310" i="3" s="1"/>
  <c r="A71" i="5"/>
  <c r="D70" i="5"/>
  <c r="I20" i="5" s="1"/>
  <c r="F20" i="5"/>
  <c r="C70" i="5"/>
  <c r="H20" i="5" s="1"/>
  <c r="B70" i="5"/>
  <c r="G20" i="5" s="1"/>
  <c r="F20" i="6"/>
  <c r="B70" i="6"/>
  <c r="G20" i="6" s="1"/>
  <c r="C70" i="6"/>
  <c r="H20" i="6" s="1"/>
  <c r="D70" i="6"/>
  <c r="I20" i="6" s="1"/>
  <c r="A71" i="6"/>
  <c r="H310" i="3" l="1"/>
  <c r="G310" i="3"/>
  <c r="E310" i="3"/>
  <c r="I310" i="3"/>
  <c r="J310" i="3"/>
  <c r="F310" i="3"/>
  <c r="C311" i="3"/>
  <c r="B312" i="3" s="1"/>
  <c r="D311" i="3" a="1"/>
  <c r="D311" i="3" s="1"/>
  <c r="C71" i="6"/>
  <c r="H21" i="6" s="1"/>
  <c r="D71" i="6"/>
  <c r="I21" i="6" s="1"/>
  <c r="F21" i="6"/>
  <c r="B71" i="6"/>
  <c r="G21" i="6" s="1"/>
  <c r="A72" i="6"/>
  <c r="C71" i="5"/>
  <c r="H21" i="5" s="1"/>
  <c r="D71" i="5"/>
  <c r="I21" i="5" s="1"/>
  <c r="B71" i="5"/>
  <c r="G21" i="5" s="1"/>
  <c r="F21" i="5"/>
  <c r="A72" i="5"/>
  <c r="H311" i="3" l="1"/>
  <c r="J311" i="3"/>
  <c r="I311" i="3"/>
  <c r="E311" i="3"/>
  <c r="G311" i="3"/>
  <c r="F311" i="3"/>
  <c r="C312" i="3"/>
  <c r="B313" i="3" s="1"/>
  <c r="D312" i="3" a="1"/>
  <c r="D312" i="3" s="1"/>
  <c r="D72" i="6"/>
  <c r="I22" i="6" s="1"/>
  <c r="A73" i="6"/>
  <c r="B72" i="6"/>
  <c r="G22" i="6" s="1"/>
  <c r="C72" i="6"/>
  <c r="H22" i="6" s="1"/>
  <c r="F22" i="6"/>
  <c r="C72" i="5"/>
  <c r="H22" i="5" s="1"/>
  <c r="B72" i="5"/>
  <c r="G22" i="5" s="1"/>
  <c r="F22" i="5"/>
  <c r="D72" i="5"/>
  <c r="I22" i="5" s="1"/>
  <c r="A73" i="5"/>
  <c r="J312" i="3" l="1"/>
  <c r="I312" i="3"/>
  <c r="G312" i="3"/>
  <c r="E312" i="3"/>
  <c r="F312" i="3"/>
  <c r="H312" i="3"/>
  <c r="C313" i="3"/>
  <c r="B314" i="3" s="1"/>
  <c r="D313" i="3" a="1"/>
  <c r="D313" i="3" s="1"/>
  <c r="A74" i="6"/>
  <c r="B73" i="6"/>
  <c r="G23" i="6" s="1"/>
  <c r="C73" i="6"/>
  <c r="H23" i="6" s="1"/>
  <c r="D73" i="6"/>
  <c r="I23" i="6" s="1"/>
  <c r="F23" i="6"/>
  <c r="D73" i="5"/>
  <c r="I23" i="5" s="1"/>
  <c r="A74" i="5"/>
  <c r="F23" i="5"/>
  <c r="C73" i="5"/>
  <c r="H23" i="5" s="1"/>
  <c r="B73" i="5"/>
  <c r="G23" i="5" s="1"/>
  <c r="F313" i="3" l="1"/>
  <c r="H313" i="3"/>
  <c r="J313" i="3"/>
  <c r="E313" i="3"/>
  <c r="G313" i="3"/>
  <c r="I313" i="3"/>
  <c r="C314" i="3"/>
  <c r="B315" i="3" s="1"/>
  <c r="D314" i="3" a="1"/>
  <c r="D314" i="3" s="1"/>
  <c r="F24" i="5"/>
  <c r="B74" i="5"/>
  <c r="G24" i="5" s="1"/>
  <c r="C74" i="5"/>
  <c r="H24" i="5" s="1"/>
  <c r="D74" i="5"/>
  <c r="I24" i="5" s="1"/>
  <c r="A75" i="5"/>
  <c r="C74" i="6"/>
  <c r="H24" i="6" s="1"/>
  <c r="D74" i="6"/>
  <c r="I24" i="6" s="1"/>
  <c r="A75" i="6"/>
  <c r="B74" i="6"/>
  <c r="G24" i="6" s="1"/>
  <c r="F24" i="6"/>
  <c r="I314" i="3" l="1"/>
  <c r="F314" i="3"/>
  <c r="J314" i="3"/>
  <c r="E314" i="3"/>
  <c r="H314" i="3"/>
  <c r="G314" i="3"/>
  <c r="C315" i="3"/>
  <c r="B316" i="3" s="1"/>
  <c r="D315" i="3" a="1"/>
  <c r="D315" i="3" s="1"/>
  <c r="D75" i="6"/>
  <c r="I25" i="6" s="1"/>
  <c r="A76" i="6"/>
  <c r="C75" i="6"/>
  <c r="H25" i="6" s="1"/>
  <c r="B75" i="6"/>
  <c r="G25" i="6" s="1"/>
  <c r="F25" i="6"/>
  <c r="C75" i="5"/>
  <c r="H25" i="5" s="1"/>
  <c r="D75" i="5"/>
  <c r="I25" i="5" s="1"/>
  <c r="F25" i="5"/>
  <c r="B75" i="5"/>
  <c r="G25" i="5" s="1"/>
  <c r="A76" i="5"/>
  <c r="G315" i="3" l="1"/>
  <c r="J315" i="3"/>
  <c r="E315" i="3"/>
  <c r="H315" i="3"/>
  <c r="F315" i="3"/>
  <c r="I315" i="3"/>
  <c r="C316" i="3"/>
  <c r="B317" i="3" s="1"/>
  <c r="D316" i="3" a="1"/>
  <c r="D316" i="3" s="1"/>
  <c r="A77" i="6"/>
  <c r="B76" i="6"/>
  <c r="G26" i="6" s="1"/>
  <c r="C76" i="6"/>
  <c r="H26" i="6" s="1"/>
  <c r="D76" i="6"/>
  <c r="I26" i="6" s="1"/>
  <c r="F26" i="6"/>
  <c r="F26" i="5"/>
  <c r="D76" i="5"/>
  <c r="I26" i="5" s="1"/>
  <c r="C76" i="5"/>
  <c r="H26" i="5" s="1"/>
  <c r="A77" i="5"/>
  <c r="B76" i="5"/>
  <c r="G26" i="5" s="1"/>
  <c r="J316" i="3" l="1"/>
  <c r="E316" i="3"/>
  <c r="I316" i="3"/>
  <c r="F316" i="3"/>
  <c r="G316" i="3"/>
  <c r="H316" i="3"/>
  <c r="C317" i="3"/>
  <c r="B318" i="3" s="1"/>
  <c r="D317" i="3" a="1"/>
  <c r="D317" i="3" s="1"/>
  <c r="D77" i="5"/>
  <c r="I27" i="5" s="1"/>
  <c r="A78" i="5"/>
  <c r="B77" i="5"/>
  <c r="G27" i="5" s="1"/>
  <c r="F27" i="5"/>
  <c r="C77" i="5"/>
  <c r="H27" i="5" s="1"/>
  <c r="A78" i="6"/>
  <c r="B77" i="6"/>
  <c r="G27" i="6" s="1"/>
  <c r="F27" i="6"/>
  <c r="C77" i="6"/>
  <c r="H27" i="6" s="1"/>
  <c r="D77" i="6"/>
  <c r="I27" i="6" s="1"/>
  <c r="F317" i="3" l="1"/>
  <c r="G317" i="3"/>
  <c r="J317" i="3"/>
  <c r="E317" i="3"/>
  <c r="I317" i="3"/>
  <c r="H317" i="3"/>
  <c r="C318" i="3"/>
  <c r="B319" i="3" s="1"/>
  <c r="D318" i="3" a="1"/>
  <c r="D318" i="3" s="1"/>
  <c r="B78" i="6"/>
  <c r="G28" i="6" s="1"/>
  <c r="C78" i="6"/>
  <c r="H28" i="6" s="1"/>
  <c r="D78" i="6"/>
  <c r="I28" i="6" s="1"/>
  <c r="A79" i="6"/>
  <c r="F28" i="6"/>
  <c r="B78" i="5"/>
  <c r="G28" i="5" s="1"/>
  <c r="F28" i="5"/>
  <c r="C78" i="5"/>
  <c r="H28" i="5" s="1"/>
  <c r="A79" i="5"/>
  <c r="D78" i="5"/>
  <c r="I28" i="5" s="1"/>
  <c r="G318" i="3" l="1"/>
  <c r="J318" i="3"/>
  <c r="I318" i="3"/>
  <c r="H318" i="3"/>
  <c r="F318" i="3"/>
  <c r="E318" i="3"/>
  <c r="C319" i="3"/>
  <c r="B320" i="3" s="1"/>
  <c r="D319" i="3" a="1"/>
  <c r="D319" i="3" s="1"/>
  <c r="C79" i="6"/>
  <c r="H29" i="6" s="1"/>
  <c r="D79" i="6"/>
  <c r="I29" i="6" s="1"/>
  <c r="B79" i="6"/>
  <c r="G29" i="6" s="1"/>
  <c r="A80" i="6"/>
  <c r="F29" i="6"/>
  <c r="B79" i="5"/>
  <c r="G29" i="5" s="1"/>
  <c r="A80" i="5"/>
  <c r="F29" i="5"/>
  <c r="C79" i="5"/>
  <c r="H29" i="5" s="1"/>
  <c r="D79" i="5"/>
  <c r="I29" i="5" s="1"/>
  <c r="I319" i="3" l="1"/>
  <c r="F319" i="3"/>
  <c r="E319" i="3"/>
  <c r="H319" i="3"/>
  <c r="J319" i="3"/>
  <c r="G319" i="3"/>
  <c r="C320" i="3"/>
  <c r="B321" i="3" s="1"/>
  <c r="D320" i="3" a="1"/>
  <c r="D320" i="3" s="1"/>
  <c r="A81" i="5"/>
  <c r="D80" i="5"/>
  <c r="I30" i="5" s="1"/>
  <c r="C80" i="5"/>
  <c r="H30" i="5" s="1"/>
  <c r="B80" i="5"/>
  <c r="G30" i="5" s="1"/>
  <c r="F30" i="5"/>
  <c r="B80" i="6"/>
  <c r="G30" i="6" s="1"/>
  <c r="A81" i="6"/>
  <c r="C80" i="6"/>
  <c r="H30" i="6" s="1"/>
  <c r="D80" i="6"/>
  <c r="I30" i="6" s="1"/>
  <c r="F30" i="6"/>
  <c r="G320" i="3" l="1"/>
  <c r="H320" i="3"/>
  <c r="E320" i="3"/>
  <c r="F320" i="3"/>
  <c r="J320" i="3"/>
  <c r="I320" i="3"/>
  <c r="C321" i="3"/>
  <c r="B322" i="3" s="1"/>
  <c r="D321" i="3" a="1"/>
  <c r="D321" i="3" s="1"/>
  <c r="I321" i="3" s="1"/>
  <c r="C81" i="6"/>
  <c r="H31" i="6" s="1"/>
  <c r="F31" i="6"/>
  <c r="A82" i="6"/>
  <c r="D81" i="6"/>
  <c r="I31" i="6" s="1"/>
  <c r="B81" i="6"/>
  <c r="G31" i="6" s="1"/>
  <c r="F31" i="5"/>
  <c r="D81" i="5"/>
  <c r="I31" i="5" s="1"/>
  <c r="A82" i="5"/>
  <c r="B81" i="5"/>
  <c r="G31" i="5" s="1"/>
  <c r="C81" i="5"/>
  <c r="H31" i="5" s="1"/>
  <c r="E321" i="3" l="1"/>
  <c r="H321" i="3"/>
  <c r="F321" i="3"/>
  <c r="J321" i="3"/>
  <c r="G321" i="3"/>
  <c r="C322" i="3"/>
  <c r="B323" i="3" s="1"/>
  <c r="D322" i="3" a="1"/>
  <c r="D322" i="3" s="1"/>
  <c r="H322" i="3" s="1"/>
  <c r="D82" i="5"/>
  <c r="I32" i="5" s="1"/>
  <c r="F32" i="5"/>
  <c r="A83" i="5"/>
  <c r="C82" i="5"/>
  <c r="H32" i="5" s="1"/>
  <c r="B82" i="5"/>
  <c r="G32" i="5" s="1"/>
  <c r="C82" i="6"/>
  <c r="H32" i="6" s="1"/>
  <c r="B82" i="6"/>
  <c r="G32" i="6" s="1"/>
  <c r="A83" i="6"/>
  <c r="F32" i="6"/>
  <c r="D82" i="6"/>
  <c r="I32" i="6" s="1"/>
  <c r="J322" i="3" l="1"/>
  <c r="I322" i="3"/>
  <c r="E322" i="3"/>
  <c r="K322" i="3"/>
  <c r="F322" i="3"/>
  <c r="G322" i="3"/>
  <c r="M323" i="3"/>
  <c r="C323" i="3"/>
  <c r="B324" i="3" s="1"/>
  <c r="F323" i="3"/>
  <c r="J323" i="3"/>
  <c r="G323" i="3"/>
  <c r="E323" i="3"/>
  <c r="K323" i="3"/>
  <c r="H323" i="3"/>
  <c r="D323" i="3" a="1"/>
  <c r="D323" i="3" s="1"/>
  <c r="I323" i="3"/>
  <c r="L323" i="3"/>
  <c r="B83" i="6"/>
  <c r="G33" i="6" s="1"/>
  <c r="A84" i="6"/>
  <c r="F33" i="6"/>
  <c r="C83" i="6"/>
  <c r="H33" i="6" s="1"/>
  <c r="D83" i="6"/>
  <c r="I33" i="6" s="1"/>
  <c r="C83" i="5"/>
  <c r="H33" i="5" s="1"/>
  <c r="F33" i="5"/>
  <c r="B83" i="5"/>
  <c r="G33" i="5" s="1"/>
  <c r="D83" i="5"/>
  <c r="I33" i="5" s="1"/>
  <c r="A84" i="5"/>
  <c r="M324" i="3" l="1"/>
  <c r="C324" i="3"/>
  <c r="B325" i="3" s="1"/>
  <c r="G324" i="3"/>
  <c r="I324" i="3"/>
  <c r="K324" i="3"/>
  <c r="D324" i="3" a="1"/>
  <c r="D324" i="3" s="1"/>
  <c r="L324" i="3"/>
  <c r="H324" i="3"/>
  <c r="F324" i="3"/>
  <c r="E324" i="3"/>
  <c r="J324" i="3"/>
  <c r="A85" i="6"/>
  <c r="B84" i="6"/>
  <c r="G34" i="6" s="1"/>
  <c r="F34" i="6"/>
  <c r="C84" i="6"/>
  <c r="H34" i="6" s="1"/>
  <c r="D84" i="6"/>
  <c r="I34" i="6" s="1"/>
  <c r="C84" i="5"/>
  <c r="H34" i="5" s="1"/>
  <c r="F34" i="5"/>
  <c r="B84" i="5"/>
  <c r="G34" i="5" s="1"/>
  <c r="A85" i="5"/>
  <c r="D84" i="5"/>
  <c r="I34" i="5" s="1"/>
  <c r="M325" i="3" l="1"/>
  <c r="C325" i="3"/>
  <c r="B326" i="3" s="1"/>
  <c r="H325" i="3"/>
  <c r="E325" i="3"/>
  <c r="K325" i="3"/>
  <c r="F325" i="3"/>
  <c r="I325" i="3"/>
  <c r="D325" i="3" a="1"/>
  <c r="D325" i="3" s="1"/>
  <c r="G325" i="3"/>
  <c r="L325" i="3"/>
  <c r="J325" i="3"/>
  <c r="C85" i="5"/>
  <c r="H35" i="5" s="1"/>
  <c r="A86" i="5"/>
  <c r="B85" i="5"/>
  <c r="G35" i="5" s="1"/>
  <c r="F35" i="5"/>
  <c r="D85" i="5"/>
  <c r="I35" i="5" s="1"/>
  <c r="C85" i="6"/>
  <c r="H35" i="6" s="1"/>
  <c r="F35" i="6"/>
  <c r="A86" i="6"/>
  <c r="B85" i="6"/>
  <c r="G35" i="6" s="1"/>
  <c r="D85" i="6"/>
  <c r="I35" i="6" s="1"/>
  <c r="M326" i="3" l="1"/>
  <c r="C326" i="3"/>
  <c r="B327" i="3" s="1"/>
  <c r="K326" i="3"/>
  <c r="F326" i="3"/>
  <c r="D326" i="3" a="1"/>
  <c r="D326" i="3" s="1"/>
  <c r="H326" i="3"/>
  <c r="J326" i="3"/>
  <c r="E326" i="3"/>
  <c r="I326" i="3"/>
  <c r="G326" i="3"/>
  <c r="L326" i="3"/>
  <c r="C86" i="6"/>
  <c r="H36" i="6" s="1"/>
  <c r="B86" i="6"/>
  <c r="G36" i="6" s="1"/>
  <c r="A87" i="6"/>
  <c r="D86" i="6"/>
  <c r="I36" i="6" s="1"/>
  <c r="F36" i="6"/>
  <c r="B86" i="5"/>
  <c r="G36" i="5" s="1"/>
  <c r="F36" i="5"/>
  <c r="C86" i="5"/>
  <c r="H36" i="5" s="1"/>
  <c r="A87" i="5"/>
  <c r="D86" i="5"/>
  <c r="I36" i="5" s="1"/>
  <c r="M327" i="3" l="1"/>
  <c r="C327" i="3"/>
  <c r="B328" i="3" s="1"/>
  <c r="G327" i="3"/>
  <c r="D327" i="3" a="1"/>
  <c r="D327" i="3" s="1"/>
  <c r="K327" i="3"/>
  <c r="I327" i="3"/>
  <c r="L327" i="3"/>
  <c r="F327" i="3"/>
  <c r="E327" i="3"/>
  <c r="H327" i="3"/>
  <c r="J327" i="3"/>
  <c r="B87" i="6"/>
  <c r="G37" i="6" s="1"/>
  <c r="D87" i="6"/>
  <c r="I37" i="6" s="1"/>
  <c r="A88" i="6"/>
  <c r="C87" i="6"/>
  <c r="H37" i="6" s="1"/>
  <c r="F37" i="6"/>
  <c r="C87" i="5"/>
  <c r="H37" i="5" s="1"/>
  <c r="D87" i="5"/>
  <c r="I37" i="5" s="1"/>
  <c r="F37" i="5"/>
  <c r="A88" i="5"/>
  <c r="B87" i="5"/>
  <c r="G37" i="5" s="1"/>
  <c r="M328" i="3" l="1"/>
  <c r="C328" i="3"/>
  <c r="B329" i="3" s="1"/>
  <c r="L328" i="3"/>
  <c r="F328" i="3"/>
  <c r="K328" i="3"/>
  <c r="D328" i="3" a="1"/>
  <c r="D328" i="3" s="1"/>
  <c r="E328" i="3"/>
  <c r="G328" i="3"/>
  <c r="H328" i="3"/>
  <c r="I328" i="3"/>
  <c r="J328" i="3"/>
  <c r="A89" i="6"/>
  <c r="D88" i="6"/>
  <c r="I38" i="6" s="1"/>
  <c r="B88" i="6"/>
  <c r="G38" i="6" s="1"/>
  <c r="C88" i="6"/>
  <c r="H38" i="6" s="1"/>
  <c r="F38" i="6"/>
  <c r="D88" i="5"/>
  <c r="I38" i="5" s="1"/>
  <c r="A89" i="5"/>
  <c r="B88" i="5"/>
  <c r="G38" i="5" s="1"/>
  <c r="F38" i="5"/>
  <c r="C88" i="5"/>
  <c r="H38" i="5" s="1"/>
  <c r="M329" i="3" l="1"/>
  <c r="C329" i="3"/>
  <c r="B330" i="3" s="1"/>
  <c r="K329" i="3"/>
  <c r="L329" i="3"/>
  <c r="H329" i="3"/>
  <c r="F329" i="3"/>
  <c r="I329" i="3"/>
  <c r="J329" i="3"/>
  <c r="E329" i="3"/>
  <c r="G329" i="3"/>
  <c r="D329" i="3" a="1"/>
  <c r="D329" i="3" s="1"/>
  <c r="F39" i="5"/>
  <c r="B89" i="5"/>
  <c r="G39" i="5" s="1"/>
  <c r="C89" i="5"/>
  <c r="H39" i="5" s="1"/>
  <c r="D89" i="5"/>
  <c r="I39" i="5" s="1"/>
  <c r="A90" i="5"/>
  <c r="A90" i="6"/>
  <c r="B89" i="6"/>
  <c r="G39" i="6" s="1"/>
  <c r="D89" i="6"/>
  <c r="I39" i="6" s="1"/>
  <c r="C89" i="6"/>
  <c r="H39" i="6" s="1"/>
  <c r="F39" i="6"/>
  <c r="C330" i="3" l="1"/>
  <c r="B331" i="3" s="1"/>
  <c r="E330" i="3"/>
  <c r="D330" i="3" a="1"/>
  <c r="D330" i="3" s="1"/>
  <c r="C90" i="6"/>
  <c r="H40" i="6" s="1"/>
  <c r="B90" i="6"/>
  <c r="G40" i="6" s="1"/>
  <c r="D90" i="6"/>
  <c r="I40" i="6" s="1"/>
  <c r="A91" i="6"/>
  <c r="F40" i="6"/>
  <c r="D90" i="5"/>
  <c r="I40" i="5" s="1"/>
  <c r="F40" i="5"/>
  <c r="C90" i="5"/>
  <c r="H40" i="5" s="1"/>
  <c r="A91" i="5"/>
  <c r="B90" i="5"/>
  <c r="G40" i="5" s="1"/>
  <c r="M331" i="3" l="1"/>
  <c r="C331" i="3"/>
  <c r="B332" i="3" s="1"/>
  <c r="K331" i="3"/>
  <c r="L331" i="3"/>
  <c r="I331" i="3"/>
  <c r="D331" i="3" a="1"/>
  <c r="D331" i="3" s="1"/>
  <c r="J331" i="3"/>
  <c r="H331" i="3"/>
  <c r="G331" i="3"/>
  <c r="F331" i="3"/>
  <c r="E331" i="3"/>
  <c r="B91" i="6"/>
  <c r="G41" i="6" s="1"/>
  <c r="D91" i="6"/>
  <c r="I41" i="6" s="1"/>
  <c r="C91" i="6"/>
  <c r="H41" i="6" s="1"/>
  <c r="A92" i="6"/>
  <c r="F41" i="6"/>
  <c r="C91" i="5"/>
  <c r="H41" i="5" s="1"/>
  <c r="A92" i="5"/>
  <c r="F41" i="5"/>
  <c r="B91" i="5"/>
  <c r="G41" i="5" s="1"/>
  <c r="D91" i="5"/>
  <c r="I41" i="5" s="1"/>
  <c r="C332" i="3" l="1"/>
  <c r="B333" i="3" s="1"/>
  <c r="D332" i="3" a="1"/>
  <c r="D332" i="3" s="1"/>
  <c r="C92" i="5"/>
  <c r="H42" i="5" s="1"/>
  <c r="F42" i="5"/>
  <c r="B92" i="5"/>
  <c r="G42" i="5" s="1"/>
  <c r="D92" i="5"/>
  <c r="I42" i="5" s="1"/>
  <c r="A93" i="5"/>
  <c r="B92" i="6"/>
  <c r="G42" i="6" s="1"/>
  <c r="A93" i="6"/>
  <c r="C92" i="6"/>
  <c r="H42" i="6" s="1"/>
  <c r="D92" i="6"/>
  <c r="I42" i="6" s="1"/>
  <c r="F42" i="6"/>
  <c r="H332" i="3" l="1"/>
  <c r="J332" i="3"/>
  <c r="I332" i="3"/>
  <c r="F332" i="3"/>
  <c r="E332" i="3"/>
  <c r="G332" i="3"/>
  <c r="C333" i="3"/>
  <c r="B334" i="3" s="1"/>
  <c r="D333" i="3" a="1"/>
  <c r="D333" i="3" s="1"/>
  <c r="J333" i="3" s="1"/>
  <c r="A94" i="5"/>
  <c r="D93" i="5"/>
  <c r="I43" i="5" s="1"/>
  <c r="C93" i="5"/>
  <c r="H43" i="5" s="1"/>
  <c r="B93" i="5"/>
  <c r="G43" i="5" s="1"/>
  <c r="F43" i="5"/>
  <c r="A94" i="6"/>
  <c r="F43" i="6"/>
  <c r="B93" i="6"/>
  <c r="G43" i="6" s="1"/>
  <c r="C93" i="6"/>
  <c r="H43" i="6" s="1"/>
  <c r="D93" i="6"/>
  <c r="I43" i="6" s="1"/>
  <c r="F333" i="3" l="1"/>
  <c r="E333" i="3"/>
  <c r="G333" i="3"/>
  <c r="H333" i="3"/>
  <c r="I333" i="3"/>
  <c r="C334" i="3"/>
  <c r="B335" i="3" s="1"/>
  <c r="D334" i="3" a="1"/>
  <c r="D334" i="3" s="1"/>
  <c r="A95" i="6"/>
  <c r="B94" i="6"/>
  <c r="G44" i="6" s="1"/>
  <c r="C94" i="6"/>
  <c r="H44" i="6" s="1"/>
  <c r="F44" i="6"/>
  <c r="D94" i="6"/>
  <c r="I44" i="6" s="1"/>
  <c r="D94" i="5"/>
  <c r="I44" i="5" s="1"/>
  <c r="F44" i="5"/>
  <c r="B94" i="5"/>
  <c r="G44" i="5" s="1"/>
  <c r="A95" i="5"/>
  <c r="C94" i="5"/>
  <c r="H44" i="5" s="1"/>
  <c r="G334" i="3" l="1"/>
  <c r="F334" i="3"/>
  <c r="J334" i="3"/>
  <c r="E334" i="3"/>
  <c r="H334" i="3"/>
  <c r="I334" i="3"/>
  <c r="C335" i="3"/>
  <c r="B336" i="3" s="1"/>
  <c r="D335" i="3" a="1"/>
  <c r="D335" i="3" s="1"/>
  <c r="F45" i="5"/>
  <c r="B95" i="5"/>
  <c r="G45" i="5" s="1"/>
  <c r="C95" i="5"/>
  <c r="H45" i="5" s="1"/>
  <c r="D95" i="5"/>
  <c r="I45" i="5" s="1"/>
  <c r="A96" i="5"/>
  <c r="A96" i="6"/>
  <c r="B95" i="6"/>
  <c r="G45" i="6" s="1"/>
  <c r="C95" i="6"/>
  <c r="H45" i="6" s="1"/>
  <c r="D95" i="6"/>
  <c r="I45" i="6" s="1"/>
  <c r="F45" i="6"/>
  <c r="H335" i="3" l="1"/>
  <c r="I335" i="3"/>
  <c r="G335" i="3"/>
  <c r="F335" i="3"/>
  <c r="J335" i="3"/>
  <c r="E335" i="3"/>
  <c r="C336" i="3"/>
  <c r="B337" i="3" s="1"/>
  <c r="D336" i="3" a="1"/>
  <c r="D336" i="3" s="1"/>
  <c r="A97" i="6"/>
  <c r="C96" i="6"/>
  <c r="H46" i="6" s="1"/>
  <c r="D96" i="6"/>
  <c r="I46" i="6" s="1"/>
  <c r="F46" i="6"/>
  <c r="B96" i="6"/>
  <c r="G46" i="6" s="1"/>
  <c r="D96" i="5"/>
  <c r="I46" i="5" s="1"/>
  <c r="A97" i="5"/>
  <c r="F46" i="5"/>
  <c r="B96" i="5"/>
  <c r="G46" i="5" s="1"/>
  <c r="C96" i="5"/>
  <c r="H46" i="5" s="1"/>
  <c r="F336" i="3" l="1"/>
  <c r="H336" i="3"/>
  <c r="I336" i="3"/>
  <c r="J336" i="3"/>
  <c r="E336" i="3"/>
  <c r="G336" i="3"/>
  <c r="C337" i="3"/>
  <c r="B338" i="3" s="1"/>
  <c r="D337" i="3" a="1"/>
  <c r="D337" i="3" s="1"/>
  <c r="C97" i="5"/>
  <c r="H47" i="5" s="1"/>
  <c r="F47" i="5"/>
  <c r="A98" i="5"/>
  <c r="D97" i="5"/>
  <c r="I47" i="5" s="1"/>
  <c r="B97" i="5"/>
  <c r="G47" i="5" s="1"/>
  <c r="A98" i="6"/>
  <c r="C97" i="6"/>
  <c r="H47" i="6" s="1"/>
  <c r="F47" i="6"/>
  <c r="D97" i="6"/>
  <c r="I47" i="6" s="1"/>
  <c r="B97" i="6"/>
  <c r="G47" i="6" s="1"/>
  <c r="F337" i="3" l="1"/>
  <c r="E337" i="3"/>
  <c r="G337" i="3"/>
  <c r="I337" i="3"/>
  <c r="H337" i="3"/>
  <c r="J337" i="3"/>
  <c r="C338" i="3"/>
  <c r="B339" i="3" s="1"/>
  <c r="D338" i="3" a="1"/>
  <c r="D338" i="3" s="1"/>
  <c r="C98" i="6"/>
  <c r="H48" i="6" s="1"/>
  <c r="D98" i="6"/>
  <c r="I48" i="6" s="1"/>
  <c r="A99" i="6"/>
  <c r="F48" i="6"/>
  <c r="B98" i="6"/>
  <c r="G48" i="6" s="1"/>
  <c r="D98" i="5"/>
  <c r="I48" i="5" s="1"/>
  <c r="F48" i="5"/>
  <c r="C98" i="5"/>
  <c r="H48" i="5" s="1"/>
  <c r="A99" i="5"/>
  <c r="B98" i="5"/>
  <c r="G48" i="5" s="1"/>
  <c r="I338" i="3" l="1"/>
  <c r="J338" i="3"/>
  <c r="H338" i="3"/>
  <c r="F338" i="3"/>
  <c r="E338" i="3"/>
  <c r="G338" i="3"/>
  <c r="C339" i="3"/>
  <c r="B340" i="3" s="1"/>
  <c r="D339" i="3" a="1"/>
  <c r="D339" i="3" s="1"/>
  <c r="F49" i="6"/>
  <c r="A100" i="6"/>
  <c r="D99" i="6"/>
  <c r="I49" i="6" s="1"/>
  <c r="C99" i="6"/>
  <c r="H49" i="6" s="1"/>
  <c r="B99" i="6"/>
  <c r="G49" i="6" s="1"/>
  <c r="A100" i="5"/>
  <c r="C99" i="5"/>
  <c r="H49" i="5" s="1"/>
  <c r="D99" i="5"/>
  <c r="I49" i="5" s="1"/>
  <c r="B99" i="5"/>
  <c r="G49" i="5" s="1"/>
  <c r="F49" i="5"/>
  <c r="K339" i="3" l="1"/>
  <c r="F339" i="3"/>
  <c r="G339" i="3"/>
  <c r="I339" i="3"/>
  <c r="H339" i="3"/>
  <c r="J339" i="3"/>
  <c r="E339" i="3"/>
  <c r="C340" i="3"/>
  <c r="B341" i="3" s="1"/>
  <c r="D340" i="3" a="1"/>
  <c r="D340" i="3" s="1"/>
  <c r="B100" i="6"/>
  <c r="G50" i="6" s="1"/>
  <c r="A101" i="6"/>
  <c r="F50" i="6"/>
  <c r="C100" i="6"/>
  <c r="H50" i="6" s="1"/>
  <c r="D100" i="6"/>
  <c r="I50" i="6" s="1"/>
  <c r="F50" i="5"/>
  <c r="B100" i="5"/>
  <c r="G50" i="5" s="1"/>
  <c r="D100" i="5"/>
  <c r="I50" i="5" s="1"/>
  <c r="A101" i="5"/>
  <c r="C100" i="5"/>
  <c r="H50" i="5" s="1"/>
  <c r="E340" i="3" l="1"/>
  <c r="K340" i="3"/>
  <c r="G340" i="3"/>
  <c r="F340" i="3"/>
  <c r="H340" i="3"/>
  <c r="J340" i="3"/>
  <c r="I340" i="3"/>
  <c r="C341" i="3"/>
  <c r="B342" i="3" s="1"/>
  <c r="D341" i="3" a="1"/>
  <c r="D341" i="3" s="1"/>
  <c r="A102" i="6"/>
  <c r="C101" i="6"/>
  <c r="H51" i="6" s="1"/>
  <c r="B101" i="6"/>
  <c r="G51" i="6" s="1"/>
  <c r="F51" i="6"/>
  <c r="D101" i="6"/>
  <c r="I51" i="6" s="1"/>
  <c r="F51" i="5"/>
  <c r="C101" i="5"/>
  <c r="H51" i="5" s="1"/>
  <c r="A102" i="5"/>
  <c r="D101" i="5"/>
  <c r="I51" i="5" s="1"/>
  <c r="B101" i="5"/>
  <c r="G51" i="5" s="1"/>
  <c r="G341" i="3" l="1"/>
  <c r="H341" i="3"/>
  <c r="E341" i="3"/>
  <c r="I341" i="3"/>
  <c r="J341" i="3"/>
  <c r="K341" i="3"/>
  <c r="F341" i="3"/>
  <c r="C342" i="3"/>
  <c r="B343" i="3" s="1"/>
  <c r="D342" i="3" a="1"/>
  <c r="D342" i="3" s="1"/>
  <c r="J342" i="3" s="1"/>
  <c r="D102" i="5"/>
  <c r="I52" i="5" s="1"/>
  <c r="F52" i="5"/>
  <c r="A103" i="5"/>
  <c r="C102" i="5"/>
  <c r="H52" i="5" s="1"/>
  <c r="B102" i="5"/>
  <c r="G52" i="5" s="1"/>
  <c r="C102" i="6"/>
  <c r="H52" i="6" s="1"/>
  <c r="D102" i="6"/>
  <c r="I52" i="6" s="1"/>
  <c r="B102" i="6"/>
  <c r="G52" i="6" s="1"/>
  <c r="A103" i="6"/>
  <c r="F52" i="6"/>
  <c r="G342" i="3" l="1"/>
  <c r="I342" i="3"/>
  <c r="H342" i="3"/>
  <c r="E342" i="3"/>
  <c r="F342" i="3"/>
  <c r="K342" i="3"/>
  <c r="C343" i="3"/>
  <c r="B344" i="3" s="1"/>
  <c r="D343" i="3" a="1"/>
  <c r="D343" i="3" s="1"/>
  <c r="C103" i="5"/>
  <c r="H53" i="5" s="1"/>
  <c r="D103" i="5"/>
  <c r="I53" i="5" s="1"/>
  <c r="F53" i="5"/>
  <c r="B103" i="5"/>
  <c r="G53" i="5" s="1"/>
  <c r="A104" i="5"/>
  <c r="D103" i="6"/>
  <c r="I53" i="6" s="1"/>
  <c r="B103" i="6"/>
  <c r="G53" i="6" s="1"/>
  <c r="A104" i="6"/>
  <c r="C103" i="6"/>
  <c r="H53" i="6" s="1"/>
  <c r="F53" i="6"/>
  <c r="F343" i="3" l="1"/>
  <c r="G343" i="3"/>
  <c r="K343" i="3"/>
  <c r="H343" i="3"/>
  <c r="E343" i="3"/>
  <c r="I343" i="3"/>
  <c r="J343" i="3"/>
  <c r="C344" i="3"/>
  <c r="B345" i="3" s="1"/>
  <c r="D344" i="3" a="1"/>
  <c r="D344" i="3" s="1"/>
  <c r="B104" i="6"/>
  <c r="G54" i="6" s="1"/>
  <c r="A105" i="6"/>
  <c r="D104" i="6"/>
  <c r="I54" i="6" s="1"/>
  <c r="C104" i="6"/>
  <c r="H54" i="6" s="1"/>
  <c r="F54" i="6"/>
  <c r="F54" i="5"/>
  <c r="C104" i="5"/>
  <c r="H54" i="5" s="1"/>
  <c r="D104" i="5"/>
  <c r="I54" i="5" s="1"/>
  <c r="B104" i="5"/>
  <c r="G54" i="5" s="1"/>
  <c r="A105" i="5"/>
  <c r="H344" i="3" l="1"/>
  <c r="I344" i="3"/>
  <c r="G344" i="3"/>
  <c r="F344" i="3"/>
  <c r="J344" i="3"/>
  <c r="E344" i="3"/>
  <c r="C345" i="3"/>
  <c r="B346" i="3" s="1"/>
  <c r="D345" i="3" a="1"/>
  <c r="D345" i="3" s="1"/>
  <c r="A106" i="5"/>
  <c r="D105" i="5"/>
  <c r="B105" i="5"/>
  <c r="C105" i="5"/>
  <c r="D105" i="6"/>
  <c r="A106" i="6"/>
  <c r="C105" i="6"/>
  <c r="B105" i="6"/>
  <c r="F345" i="3" l="1"/>
  <c r="J345" i="3"/>
  <c r="G345" i="3"/>
  <c r="E345" i="3"/>
  <c r="I345" i="3"/>
  <c r="H345" i="3"/>
  <c r="C346" i="3"/>
  <c r="B347" i="3" s="1"/>
  <c r="D346" i="3" a="1"/>
  <c r="D346" i="3" s="1"/>
  <c r="A107" i="6"/>
  <c r="B106" i="6"/>
  <c r="D106" i="6"/>
  <c r="C106" i="6"/>
  <c r="B106" i="5"/>
  <c r="D106" i="5"/>
  <c r="A107" i="5"/>
  <c r="C106" i="5"/>
  <c r="G346" i="3" l="1"/>
  <c r="F346" i="3"/>
  <c r="I346" i="3"/>
  <c r="J346" i="3"/>
  <c r="E346" i="3"/>
  <c r="H346" i="3"/>
  <c r="C347" i="3"/>
  <c r="B348" i="3" s="1"/>
  <c r="D347" i="3" a="1"/>
  <c r="D347" i="3" s="1"/>
  <c r="D107" i="5"/>
  <c r="C107" i="5"/>
  <c r="B107" i="5"/>
  <c r="A108" i="5"/>
  <c r="A108" i="6"/>
  <c r="C107" i="6"/>
  <c r="D107" i="6"/>
  <c r="B107" i="6"/>
  <c r="F347" i="3" l="1"/>
  <c r="J347" i="3"/>
  <c r="I347" i="3"/>
  <c r="G347" i="3"/>
  <c r="H347" i="3"/>
  <c r="E347" i="3"/>
  <c r="C348" i="3"/>
  <c r="B349" i="3" s="1"/>
  <c r="D348" i="3" a="1"/>
  <c r="D348" i="3" s="1"/>
  <c r="H348" i="3" s="1"/>
  <c r="B108" i="6"/>
  <c r="C108" i="6"/>
  <c r="A109" i="6"/>
  <c r="D108" i="6"/>
  <c r="D108" i="5"/>
  <c r="C108" i="5"/>
  <c r="B108" i="5"/>
  <c r="A109" i="5"/>
  <c r="J348" i="3" l="1"/>
  <c r="G348" i="3"/>
  <c r="E348" i="3"/>
  <c r="I348" i="3"/>
  <c r="F348" i="3"/>
  <c r="C349" i="3"/>
  <c r="B350" i="3" s="1"/>
  <c r="D349" i="3" a="1"/>
  <c r="D349" i="3" s="1"/>
  <c r="F349" i="3" s="1"/>
  <c r="A110" i="5"/>
  <c r="C109" i="5"/>
  <c r="B109" i="5"/>
  <c r="D109" i="5"/>
  <c r="C109" i="6"/>
  <c r="A110" i="6"/>
  <c r="B109" i="6"/>
  <c r="D109" i="6"/>
  <c r="H349" i="3" l="1"/>
  <c r="M349" i="3"/>
  <c r="K349" i="3"/>
  <c r="E349" i="3"/>
  <c r="G349" i="3"/>
  <c r="I349" i="3"/>
  <c r="L349" i="3"/>
  <c r="J349" i="3"/>
  <c r="C350" i="3"/>
  <c r="B351" i="3" s="1"/>
  <c r="M350" i="3"/>
  <c r="E350" i="3"/>
  <c r="J350" i="3"/>
  <c r="F350" i="3"/>
  <c r="I350" i="3"/>
  <c r="G350" i="3"/>
  <c r="L350" i="3"/>
  <c r="K350" i="3"/>
  <c r="H350" i="3"/>
  <c r="D350" i="3" a="1"/>
  <c r="D350" i="3" s="1"/>
  <c r="C110" i="6"/>
  <c r="B110" i="6"/>
  <c r="A111" i="6"/>
  <c r="D110" i="6"/>
  <c r="A111" i="5"/>
  <c r="B110" i="5"/>
  <c r="D110" i="5"/>
  <c r="C110" i="5"/>
  <c r="M351" i="3" l="1"/>
  <c r="C351" i="3"/>
  <c r="B352" i="3" s="1"/>
  <c r="F351" i="3"/>
  <c r="D351" i="3" a="1"/>
  <c r="D351" i="3" s="1"/>
  <c r="K351" i="3"/>
  <c r="H351" i="3"/>
  <c r="G351" i="3"/>
  <c r="J351" i="3"/>
  <c r="I351" i="3"/>
  <c r="E351" i="3"/>
  <c r="L351" i="3"/>
  <c r="C111" i="5"/>
  <c r="B111" i="5"/>
  <c r="D111" i="5"/>
  <c r="A112" i="5"/>
  <c r="B111" i="6"/>
  <c r="D111" i="6"/>
  <c r="C111" i="6"/>
  <c r="A112" i="6"/>
  <c r="M352" i="3" l="1"/>
  <c r="C352" i="3"/>
  <c r="B353" i="3" s="1"/>
  <c r="K352" i="3"/>
  <c r="I352" i="3"/>
  <c r="H352" i="3"/>
  <c r="D352" i="3" a="1"/>
  <c r="D352" i="3" s="1"/>
  <c r="F352" i="3"/>
  <c r="G352" i="3"/>
  <c r="J352" i="3"/>
  <c r="L352" i="3"/>
  <c r="E352" i="3"/>
  <c r="A113" i="5"/>
  <c r="C112" i="5"/>
  <c r="D112" i="5"/>
  <c r="B112" i="5"/>
  <c r="D112" i="6"/>
  <c r="A113" i="6"/>
  <c r="C112" i="6"/>
  <c r="B112" i="6"/>
  <c r="M353" i="3" l="1"/>
  <c r="C353" i="3"/>
  <c r="B354" i="3" s="1"/>
  <c r="D353" i="3" a="1"/>
  <c r="D353" i="3" s="1"/>
  <c r="L353" i="3"/>
  <c r="I353" i="3"/>
  <c r="H353" i="3"/>
  <c r="J353" i="3"/>
  <c r="E353" i="3"/>
  <c r="F353" i="3"/>
  <c r="G353" i="3"/>
  <c r="K353" i="3"/>
  <c r="A114" i="6"/>
  <c r="C113" i="6"/>
  <c r="D113" i="6"/>
  <c r="B113" i="6"/>
  <c r="D113" i="5"/>
  <c r="A114" i="5"/>
  <c r="C113" i="5"/>
  <c r="B113" i="5"/>
  <c r="C354" i="3" l="1"/>
  <c r="B355" i="3" s="1"/>
  <c r="M354" i="3"/>
  <c r="L354" i="3"/>
  <c r="I354" i="3"/>
  <c r="J354" i="3"/>
  <c r="K354" i="3"/>
  <c r="G354" i="3"/>
  <c r="D354" i="3" a="1"/>
  <c r="D354" i="3" s="1"/>
  <c r="E354" i="3"/>
  <c r="F354" i="3"/>
  <c r="H354" i="3"/>
  <c r="B114" i="5"/>
  <c r="D114" i="5"/>
  <c r="A115" i="5"/>
  <c r="C114" i="5"/>
  <c r="D114" i="6"/>
  <c r="A115" i="6"/>
  <c r="B114" i="6"/>
  <c r="C114" i="6"/>
  <c r="C356" i="3" l="1"/>
  <c r="M355" i="3"/>
  <c r="C355" i="3"/>
  <c r="K355" i="3"/>
  <c r="L355" i="3"/>
  <c r="D355" i="3" a="1"/>
  <c r="D355" i="3" s="1"/>
  <c r="E355" i="3"/>
  <c r="I355" i="3"/>
  <c r="G355" i="3"/>
  <c r="F355" i="3"/>
  <c r="J355" i="3"/>
  <c r="H355" i="3"/>
  <c r="D115" i="6"/>
  <c r="C115" i="6"/>
  <c r="A116" i="6"/>
  <c r="B115" i="6"/>
  <c r="C115" i="5"/>
  <c r="A116" i="5"/>
  <c r="B115" i="5"/>
  <c r="D115" i="5"/>
  <c r="A117" i="5" l="1"/>
  <c r="B116" i="5"/>
  <c r="C116" i="5"/>
  <c r="D116" i="5"/>
  <c r="D116" i="6"/>
  <c r="B116" i="6"/>
  <c r="A117" i="6"/>
  <c r="C116" i="6"/>
  <c r="C117" i="6" l="1"/>
  <c r="A118" i="6"/>
  <c r="B117" i="6"/>
  <c r="D117" i="6"/>
  <c r="C117" i="5"/>
  <c r="D117" i="5"/>
  <c r="B117" i="5"/>
  <c r="A118" i="5"/>
  <c r="B118" i="5" l="1"/>
  <c r="C118" i="5"/>
  <c r="D118" i="5"/>
  <c r="A119" i="5"/>
  <c r="C118" i="6"/>
  <c r="B118" i="6"/>
  <c r="D118" i="6"/>
  <c r="A119" i="6"/>
  <c r="D119" i="6" l="1"/>
  <c r="C119" i="6"/>
  <c r="B119" i="6"/>
  <c r="A120" i="6"/>
  <c r="D119" i="5"/>
  <c r="B119" i="5"/>
  <c r="A120" i="5"/>
  <c r="C119" i="5"/>
  <c r="B120" i="5" l="1"/>
  <c r="A121" i="5"/>
  <c r="C120" i="5"/>
  <c r="D120" i="5"/>
  <c r="A121" i="6"/>
  <c r="B120" i="6"/>
  <c r="D120" i="6"/>
  <c r="C120" i="6"/>
  <c r="C121" i="5" l="1"/>
  <c r="D121" i="5"/>
  <c r="B121" i="5"/>
  <c r="A122" i="5"/>
  <c r="D121" i="6"/>
  <c r="A122" i="6"/>
  <c r="C121" i="6"/>
  <c r="B121" i="6"/>
  <c r="C122" i="5" l="1"/>
  <c r="B122" i="5"/>
  <c r="A123" i="5"/>
  <c r="D122" i="5"/>
  <c r="C122" i="6"/>
  <c r="B122" i="6"/>
  <c r="D122" i="6"/>
  <c r="A123" i="6"/>
  <c r="B123" i="6" l="1"/>
  <c r="C123" i="6"/>
  <c r="A124" i="6"/>
  <c r="D123" i="6"/>
  <c r="D123" i="5"/>
  <c r="A124" i="5"/>
  <c r="B123" i="5"/>
  <c r="C123" i="5"/>
  <c r="A125" i="6" l="1"/>
  <c r="D124" i="6"/>
  <c r="B124" i="6"/>
  <c r="C124" i="6"/>
  <c r="A125" i="5"/>
  <c r="C124" i="5"/>
  <c r="B124" i="5"/>
  <c r="D124" i="5"/>
  <c r="A126" i="5" l="1"/>
  <c r="C125" i="5"/>
  <c r="D125" i="5"/>
  <c r="B125" i="5"/>
  <c r="D125" i="6"/>
  <c r="C125" i="6"/>
  <c r="A126" i="6"/>
  <c r="B125" i="6"/>
  <c r="D126" i="6" l="1"/>
  <c r="A127" i="6"/>
  <c r="C126" i="6"/>
  <c r="B126" i="6"/>
  <c r="A127" i="5"/>
  <c r="B126" i="5"/>
  <c r="D126" i="5"/>
  <c r="C126" i="5"/>
  <c r="B127" i="5" l="1"/>
  <c r="D127" i="5"/>
  <c r="A128" i="5"/>
  <c r="C127" i="5"/>
  <c r="B127" i="6"/>
  <c r="C127" i="6"/>
  <c r="A128" i="6"/>
  <c r="D127" i="6"/>
  <c r="A129" i="5" l="1"/>
  <c r="D128" i="5"/>
  <c r="C128" i="5"/>
  <c r="B128" i="5"/>
  <c r="D128" i="6"/>
  <c r="C128" i="6"/>
  <c r="B128" i="6"/>
  <c r="A129" i="6"/>
  <c r="D129" i="6" l="1"/>
  <c r="A130" i="6"/>
  <c r="B129" i="6"/>
  <c r="C129" i="6"/>
  <c r="C129" i="5"/>
  <c r="A130" i="5"/>
  <c r="B129" i="5"/>
  <c r="D129" i="5"/>
  <c r="B130" i="5" l="1"/>
  <c r="C130" i="5"/>
  <c r="A131" i="5"/>
  <c r="D130" i="5"/>
  <c r="C130" i="6"/>
  <c r="B130" i="6"/>
  <c r="D130" i="6"/>
  <c r="A131" i="6"/>
  <c r="A132" i="6" l="1"/>
  <c r="D131" i="6"/>
  <c r="C131" i="6"/>
  <c r="B131" i="6"/>
  <c r="A132" i="5"/>
  <c r="B131" i="5"/>
  <c r="D131" i="5"/>
  <c r="C131" i="5"/>
  <c r="B132" i="5" l="1"/>
  <c r="A133" i="5"/>
  <c r="D132" i="5"/>
  <c r="C132" i="5"/>
  <c r="D132" i="6"/>
  <c r="B132" i="6"/>
  <c r="A133" i="6"/>
  <c r="C132" i="6"/>
  <c r="C133" i="6" l="1"/>
  <c r="A134" i="6"/>
  <c r="B133" i="6"/>
  <c r="D133" i="6"/>
  <c r="B133" i="5"/>
  <c r="A134" i="5"/>
  <c r="D133" i="5"/>
  <c r="C133" i="5"/>
  <c r="D134" i="6" l="1"/>
  <c r="A135" i="6"/>
  <c r="B134" i="6"/>
  <c r="C134" i="6"/>
  <c r="B134" i="5"/>
  <c r="C134" i="5"/>
  <c r="A135" i="5"/>
  <c r="D134" i="5"/>
  <c r="A136" i="6" l="1"/>
  <c r="D135" i="6"/>
  <c r="B135" i="6"/>
  <c r="C135" i="6"/>
  <c r="D135" i="5"/>
  <c r="B135" i="5"/>
  <c r="A136" i="5"/>
  <c r="C135" i="5"/>
  <c r="D136" i="5" l="1"/>
  <c r="A137" i="5"/>
  <c r="C136" i="5"/>
  <c r="B136" i="5"/>
  <c r="C136" i="6"/>
  <c r="D136" i="6"/>
  <c r="A137" i="6"/>
  <c r="B136" i="6"/>
  <c r="C137" i="5" l="1"/>
  <c r="B137" i="5"/>
  <c r="A138" i="5"/>
  <c r="D137" i="5"/>
  <c r="D137" i="6"/>
  <c r="A138" i="6"/>
  <c r="C137" i="6"/>
  <c r="B137" i="6"/>
  <c r="D138" i="6" l="1"/>
  <c r="A139" i="6"/>
  <c r="B138" i="6"/>
  <c r="C138" i="6"/>
  <c r="B138" i="5"/>
  <c r="C138" i="5"/>
  <c r="D138" i="5"/>
  <c r="A139" i="5"/>
  <c r="D139" i="5" l="1"/>
  <c r="A140" i="5"/>
  <c r="C139" i="5"/>
  <c r="B139" i="5"/>
  <c r="B139" i="6"/>
  <c r="C139" i="6"/>
  <c r="A140" i="6"/>
  <c r="D139" i="6"/>
  <c r="A141" i="6" l="1"/>
  <c r="D140" i="6"/>
  <c r="C140" i="6"/>
  <c r="B140" i="6"/>
  <c r="D140" i="5"/>
  <c r="B140" i="5"/>
  <c r="A141" i="5"/>
  <c r="C140" i="5"/>
  <c r="C141" i="5" l="1"/>
  <c r="A142" i="5"/>
  <c r="B141" i="5"/>
  <c r="D141" i="5"/>
  <c r="D141" i="6"/>
  <c r="C141" i="6"/>
  <c r="B141" i="6"/>
  <c r="A142" i="6"/>
  <c r="B142" i="6" l="1"/>
  <c r="C142" i="6"/>
  <c r="D142" i="6"/>
  <c r="A143" i="6"/>
  <c r="C142" i="5"/>
  <c r="A143" i="5"/>
  <c r="D142" i="5"/>
  <c r="B142" i="5"/>
  <c r="A144" i="5" l="1"/>
  <c r="D143" i="5"/>
  <c r="C143" i="5"/>
  <c r="B143" i="5"/>
  <c r="A144" i="6"/>
  <c r="B143" i="6"/>
  <c r="D143" i="6"/>
  <c r="C143" i="6"/>
  <c r="B144" i="6" l="1"/>
  <c r="A145" i="6"/>
  <c r="D144" i="6"/>
  <c r="C144" i="6"/>
  <c r="B144" i="5"/>
  <c r="D144" i="5"/>
  <c r="A145" i="5"/>
  <c r="C144" i="5"/>
  <c r="D145" i="6" l="1"/>
  <c r="C145" i="6"/>
  <c r="A146" i="6"/>
  <c r="B145" i="6"/>
  <c r="A146" i="5"/>
  <c r="C145" i="5"/>
  <c r="B145" i="5"/>
  <c r="D145" i="5"/>
  <c r="D146" i="5" l="1"/>
  <c r="B146" i="5"/>
  <c r="C146" i="5"/>
  <c r="A147" i="5"/>
  <c r="D146" i="6"/>
  <c r="A147" i="6"/>
  <c r="B146" i="6"/>
  <c r="C146" i="6"/>
  <c r="D147" i="6" l="1"/>
  <c r="B147" i="6"/>
  <c r="A148" i="6"/>
  <c r="C147" i="6"/>
  <c r="B147" i="5"/>
  <c r="A148" i="5"/>
  <c r="D147" i="5"/>
  <c r="C147" i="5"/>
  <c r="A149" i="5" l="1"/>
  <c r="D148" i="5"/>
  <c r="B148" i="5"/>
  <c r="C148" i="5"/>
  <c r="D148" i="6"/>
  <c r="A149" i="6"/>
  <c r="B148" i="6"/>
  <c r="C148" i="6"/>
  <c r="B149" i="6" l="1"/>
  <c r="D149" i="6"/>
  <c r="C149" i="6"/>
  <c r="A150" i="6"/>
  <c r="B149" i="5"/>
  <c r="A150" i="5"/>
  <c r="D149" i="5"/>
  <c r="C149" i="5"/>
  <c r="A151" i="5" l="1"/>
  <c r="D150" i="5"/>
  <c r="B150" i="5"/>
  <c r="C150" i="5"/>
  <c r="D150" i="6"/>
  <c r="A151" i="6"/>
  <c r="B150" i="6"/>
  <c r="C150" i="6"/>
  <c r="C151" i="6" l="1"/>
  <c r="B151" i="6"/>
  <c r="A152" i="6"/>
  <c r="D151" i="6"/>
  <c r="D151" i="5"/>
  <c r="B151" i="5"/>
  <c r="C151" i="5"/>
  <c r="A152" i="5"/>
  <c r="D152" i="5" l="1"/>
  <c r="A153" i="5"/>
  <c r="C152" i="5"/>
  <c r="B152" i="5"/>
  <c r="A153" i="6"/>
  <c r="B152" i="6"/>
  <c r="C152" i="6"/>
  <c r="D152" i="6"/>
  <c r="A154" i="6" l="1"/>
  <c r="B153" i="6"/>
  <c r="D153" i="6"/>
  <c r="C153" i="6"/>
  <c r="C153" i="5"/>
  <c r="B153" i="5"/>
  <c r="A154" i="5"/>
  <c r="D153" i="5"/>
  <c r="A155" i="5" l="1"/>
  <c r="D154" i="5"/>
  <c r="B154" i="5"/>
  <c r="C154" i="5"/>
  <c r="A155" i="6"/>
  <c r="D154" i="6"/>
  <c r="C154" i="6"/>
  <c r="B154" i="6"/>
  <c r="B155" i="6" l="1"/>
  <c r="C155" i="6"/>
  <c r="D155" i="6"/>
  <c r="A156" i="6"/>
  <c r="B155" i="5"/>
  <c r="D155" i="5"/>
  <c r="A156" i="5"/>
  <c r="C155" i="5"/>
  <c r="B156" i="5" l="1"/>
  <c r="C156" i="5"/>
  <c r="D156" i="5"/>
  <c r="A157" i="5"/>
  <c r="D156" i="6"/>
  <c r="C156" i="6"/>
  <c r="A157" i="6"/>
  <c r="B156" i="6"/>
  <c r="D157" i="6" l="1"/>
  <c r="C157" i="6"/>
  <c r="B157" i="6"/>
  <c r="A158" i="6"/>
  <c r="B157" i="5"/>
  <c r="D157" i="5"/>
  <c r="A158" i="5"/>
  <c r="C157" i="5"/>
  <c r="B158" i="5" l="1"/>
  <c r="C158" i="5"/>
  <c r="D158" i="5"/>
  <c r="A159" i="5"/>
  <c r="D158" i="6"/>
  <c r="A159" i="6"/>
  <c r="C158" i="6"/>
  <c r="B158" i="6"/>
  <c r="D159" i="6" l="1"/>
  <c r="A160" i="6"/>
  <c r="C159" i="6"/>
  <c r="B159" i="6"/>
  <c r="B159" i="5"/>
  <c r="A160" i="5"/>
  <c r="C159" i="5"/>
  <c r="D159" i="5"/>
  <c r="C160" i="5" l="1"/>
  <c r="D160" i="5"/>
  <c r="A161" i="5"/>
  <c r="B160" i="5"/>
  <c r="D160" i="6"/>
  <c r="B160" i="6"/>
  <c r="C160" i="6"/>
  <c r="A161" i="6"/>
  <c r="C161" i="6" l="1"/>
  <c r="A162" i="6"/>
  <c r="B161" i="6"/>
  <c r="D161" i="6"/>
  <c r="D161" i="5"/>
  <c r="C161" i="5"/>
  <c r="B161" i="5"/>
  <c r="A162" i="5"/>
  <c r="D162" i="5" l="1"/>
  <c r="C162" i="5"/>
  <c r="A163" i="5"/>
  <c r="B162" i="5"/>
  <c r="B162" i="6"/>
  <c r="C162" i="6"/>
  <c r="D162" i="6"/>
  <c r="A163" i="6"/>
  <c r="C163" i="6" l="1"/>
  <c r="B163" i="6"/>
  <c r="A164" i="6"/>
  <c r="D163" i="6"/>
  <c r="C163" i="5"/>
  <c r="A164" i="5"/>
  <c r="D163" i="5"/>
  <c r="B163" i="5"/>
  <c r="B164" i="6" l="1"/>
  <c r="D164" i="6"/>
  <c r="C164" i="6"/>
  <c r="A165" i="6"/>
  <c r="B164" i="5"/>
  <c r="D164" i="5"/>
  <c r="C164" i="5"/>
  <c r="A165" i="5"/>
  <c r="B165" i="5" l="1"/>
  <c r="C165" i="5"/>
  <c r="D165" i="5"/>
  <c r="A166" i="5"/>
  <c r="A166" i="6"/>
  <c r="C165" i="6"/>
  <c r="D165" i="6"/>
  <c r="B165" i="6"/>
  <c r="C166" i="5" l="1"/>
  <c r="B166" i="5"/>
  <c r="D166" i="5"/>
  <c r="A167" i="5"/>
  <c r="A167" i="6"/>
  <c r="B166" i="6"/>
  <c r="D166" i="6"/>
  <c r="C166" i="6"/>
  <c r="C167" i="6" l="1"/>
  <c r="B167" i="6"/>
  <c r="D167" i="6"/>
  <c r="A168" i="6"/>
  <c r="B167" i="5"/>
  <c r="A168" i="5"/>
  <c r="D167" i="5"/>
  <c r="C167" i="5"/>
  <c r="D168" i="5" l="1"/>
  <c r="C168" i="5"/>
  <c r="A169" i="5"/>
  <c r="B168" i="5"/>
  <c r="C168" i="6"/>
  <c r="D168" i="6"/>
  <c r="B168" i="6"/>
  <c r="A169" i="6"/>
  <c r="D169" i="6" l="1"/>
  <c r="B169" i="6"/>
  <c r="C169" i="6"/>
  <c r="A170" i="6"/>
  <c r="D169" i="5"/>
  <c r="B169" i="5"/>
  <c r="C169" i="5"/>
  <c r="A170" i="5"/>
  <c r="A171" i="5" l="1"/>
  <c r="D170" i="5"/>
  <c r="C170" i="5"/>
  <c r="B170" i="5"/>
  <c r="D170" i="6"/>
  <c r="B170" i="6"/>
  <c r="A171" i="6"/>
  <c r="C170" i="6"/>
  <c r="C171" i="6" l="1"/>
  <c r="D171" i="6"/>
  <c r="A172" i="6"/>
  <c r="B171" i="6"/>
  <c r="B171" i="5"/>
  <c r="D171" i="5"/>
  <c r="C171" i="5"/>
  <c r="A172" i="5"/>
  <c r="D172" i="5" l="1"/>
  <c r="B172" i="5"/>
  <c r="A173" i="5"/>
  <c r="C172" i="5"/>
  <c r="B172" i="6"/>
  <c r="C172" i="6"/>
  <c r="A173" i="6"/>
  <c r="D172" i="6"/>
  <c r="C173" i="6" l="1"/>
  <c r="B173" i="6"/>
  <c r="A174" i="6"/>
  <c r="D173" i="6"/>
  <c r="A174" i="5"/>
  <c r="C173" i="5"/>
  <c r="B173" i="5"/>
  <c r="D173" i="5"/>
  <c r="D174" i="5" l="1"/>
  <c r="C174" i="5"/>
  <c r="B174" i="5"/>
  <c r="A175" i="5"/>
  <c r="B174" i="6"/>
  <c r="D174" i="6"/>
  <c r="C174" i="6"/>
  <c r="A175" i="6"/>
  <c r="B175" i="6" l="1"/>
  <c r="D175" i="6"/>
  <c r="C175" i="6"/>
  <c r="A176" i="6"/>
  <c r="A176" i="5"/>
  <c r="B175" i="5"/>
  <c r="D175" i="5"/>
  <c r="C175" i="5"/>
  <c r="B176" i="6" l="1"/>
  <c r="A177" i="6"/>
  <c r="C176" i="6"/>
  <c r="D176" i="6"/>
  <c r="C176" i="5"/>
  <c r="A177" i="5"/>
  <c r="D176" i="5"/>
  <c r="B176" i="5"/>
  <c r="C177" i="6" l="1"/>
  <c r="B177" i="6"/>
  <c r="A178" i="6"/>
  <c r="D177" i="6"/>
  <c r="A178" i="5"/>
  <c r="D177" i="5"/>
  <c r="C177" i="5"/>
  <c r="B177" i="5"/>
  <c r="D178" i="5" l="1"/>
  <c r="C178" i="5"/>
  <c r="A179" i="5"/>
  <c r="B178" i="5"/>
  <c r="A179" i="6"/>
  <c r="D178" i="6"/>
  <c r="B178" i="6"/>
  <c r="C178" i="6"/>
  <c r="D179" i="5" l="1"/>
  <c r="C179" i="5"/>
  <c r="A180" i="5"/>
  <c r="B179" i="5"/>
  <c r="C179" i="6"/>
  <c r="B179" i="6"/>
  <c r="D179" i="6"/>
  <c r="A180" i="6"/>
  <c r="B180" i="6" l="1"/>
  <c r="A181" i="6"/>
  <c r="D180" i="6"/>
  <c r="C180" i="6"/>
  <c r="B180" i="5"/>
  <c r="A181" i="5"/>
  <c r="C180" i="5"/>
  <c r="D180" i="5"/>
  <c r="C181" i="6" l="1"/>
  <c r="D181" i="6"/>
  <c r="A182" i="6"/>
  <c r="B181" i="6"/>
  <c r="C181" i="5"/>
  <c r="A182" i="5"/>
  <c r="B181" i="5"/>
  <c r="D181" i="5"/>
  <c r="B182" i="6" l="1"/>
  <c r="C182" i="6"/>
  <c r="A183" i="6"/>
  <c r="D182" i="6"/>
  <c r="B182" i="5"/>
  <c r="A183" i="5"/>
  <c r="C182" i="5"/>
  <c r="D182" i="5"/>
  <c r="B183" i="5" l="1"/>
  <c r="D183" i="5"/>
  <c r="A184" i="5"/>
  <c r="C183" i="5"/>
  <c r="A184" i="6"/>
  <c r="C183" i="6"/>
  <c r="B183" i="6"/>
  <c r="D183" i="6"/>
  <c r="D184" i="6" l="1"/>
  <c r="B184" i="6"/>
  <c r="C184" i="6"/>
  <c r="A185" i="6"/>
  <c r="B184" i="5"/>
  <c r="D184" i="5"/>
  <c r="A185" i="5"/>
  <c r="C184" i="5"/>
  <c r="C185" i="6" l="1"/>
  <c r="A186" i="6"/>
  <c r="B185" i="6"/>
  <c r="D185" i="6"/>
  <c r="A186" i="5"/>
  <c r="B185" i="5"/>
  <c r="D185" i="5"/>
  <c r="C185" i="5"/>
  <c r="B186" i="5" l="1"/>
  <c r="D186" i="5"/>
  <c r="C186" i="5"/>
  <c r="A187" i="5"/>
  <c r="D186" i="6"/>
  <c r="A187" i="6"/>
  <c r="C186" i="6"/>
  <c r="B186" i="6"/>
  <c r="D187" i="6" l="1"/>
  <c r="C187" i="6"/>
  <c r="B187" i="6"/>
  <c r="A188" i="6"/>
  <c r="A188" i="5"/>
  <c r="C187" i="5"/>
  <c r="B187" i="5"/>
  <c r="D187" i="5"/>
  <c r="C188" i="5" l="1"/>
  <c r="A189" i="5"/>
  <c r="B188" i="5"/>
  <c r="D188" i="5"/>
  <c r="B188" i="6"/>
  <c r="D188" i="6"/>
  <c r="A189" i="6"/>
  <c r="C188" i="6"/>
  <c r="C189" i="6" l="1"/>
  <c r="A190" i="6"/>
  <c r="D189" i="6"/>
  <c r="B189" i="6"/>
  <c r="A190" i="5"/>
  <c r="B189" i="5"/>
  <c r="C189" i="5"/>
  <c r="D189" i="5"/>
  <c r="A191" i="5" l="1"/>
  <c r="B190" i="5"/>
  <c r="D190" i="5"/>
  <c r="C190" i="5"/>
  <c r="B190" i="6"/>
  <c r="A191" i="6"/>
  <c r="D190" i="6"/>
  <c r="C190" i="6"/>
  <c r="D191" i="6" l="1"/>
  <c r="C191" i="6"/>
  <c r="B191" i="6"/>
  <c r="A192" i="6"/>
  <c r="C191" i="5"/>
  <c r="D191" i="5"/>
  <c r="B191" i="5"/>
  <c r="A192" i="5"/>
  <c r="C192" i="5" l="1"/>
  <c r="D192" i="5"/>
  <c r="A193" i="5"/>
  <c r="B192" i="5"/>
  <c r="B192" i="6"/>
  <c r="A193" i="6"/>
  <c r="D192" i="6"/>
  <c r="C192" i="6"/>
  <c r="C193" i="5" l="1"/>
  <c r="B193" i="5"/>
  <c r="A194" i="5"/>
  <c r="D193" i="5"/>
  <c r="C193" i="6"/>
  <c r="B193" i="6"/>
  <c r="D193" i="6"/>
  <c r="A194" i="6"/>
  <c r="C194" i="6" l="1"/>
  <c r="A195" i="6"/>
  <c r="B194" i="6"/>
  <c r="D194" i="6"/>
  <c r="B194" i="5"/>
  <c r="C194" i="5"/>
  <c r="A195" i="5"/>
  <c r="D194" i="5"/>
  <c r="C195" i="5" l="1"/>
  <c r="B195" i="5"/>
  <c r="D195" i="5"/>
  <c r="A196" i="5"/>
  <c r="D195" i="6"/>
  <c r="A196" i="6"/>
  <c r="B195" i="6"/>
  <c r="C195" i="6"/>
  <c r="B196" i="5" l="1"/>
  <c r="C196" i="5"/>
  <c r="D196" i="5"/>
  <c r="A197" i="5"/>
  <c r="B196" i="6"/>
  <c r="D196" i="6"/>
  <c r="C196" i="6"/>
  <c r="A197" i="6"/>
  <c r="B197" i="6" l="1"/>
  <c r="C197" i="6"/>
  <c r="D197" i="6"/>
  <c r="A198" i="6"/>
  <c r="D197" i="5"/>
  <c r="C197" i="5"/>
  <c r="B197" i="5"/>
  <c r="A198" i="5"/>
  <c r="B198" i="5" l="1"/>
  <c r="A199" i="5"/>
  <c r="C198" i="5"/>
  <c r="D198" i="5"/>
  <c r="D198" i="6"/>
  <c r="C198" i="6"/>
  <c r="A199" i="6"/>
  <c r="B198" i="6"/>
  <c r="C199" i="6" l="1"/>
  <c r="B199" i="6"/>
  <c r="D199" i="6"/>
  <c r="A200" i="6"/>
  <c r="C199" i="5"/>
  <c r="B199" i="5"/>
  <c r="D199" i="5"/>
  <c r="A200" i="5"/>
  <c r="B200" i="5" l="1"/>
  <c r="A201" i="5"/>
  <c r="C200" i="5"/>
  <c r="D200" i="5"/>
  <c r="D200" i="6"/>
  <c r="A201" i="6"/>
  <c r="C200" i="6"/>
  <c r="B200" i="6"/>
  <c r="A202" i="6" l="1"/>
  <c r="C201" i="6"/>
  <c r="D201" i="6"/>
  <c r="B201" i="6"/>
  <c r="C201" i="5"/>
  <c r="D201" i="5"/>
  <c r="A202" i="5"/>
  <c r="B201" i="5"/>
  <c r="D202" i="5" l="1"/>
  <c r="C202" i="5"/>
  <c r="B202" i="5"/>
  <c r="A203" i="5"/>
  <c r="B202" i="6"/>
  <c r="C202" i="6"/>
  <c r="A203" i="6"/>
  <c r="D202" i="6"/>
  <c r="B203" i="5" l="1"/>
  <c r="A204" i="5"/>
  <c r="C203" i="5"/>
  <c r="D203" i="5"/>
  <c r="D203" i="6"/>
  <c r="A204" i="6"/>
  <c r="C203" i="6"/>
  <c r="B203" i="6"/>
  <c r="B204" i="5" l="1"/>
  <c r="D204" i="5"/>
  <c r="C204" i="5"/>
  <c r="A205" i="5"/>
  <c r="C204" i="6"/>
  <c r="A205" i="6"/>
  <c r="D204" i="6"/>
  <c r="B204" i="6"/>
  <c r="C205" i="6" l="1"/>
  <c r="A206" i="6"/>
  <c r="D205" i="6"/>
  <c r="B205" i="6"/>
  <c r="B205" i="5"/>
  <c r="C205" i="5"/>
  <c r="D205" i="5"/>
  <c r="A206" i="5"/>
  <c r="B206" i="5" l="1"/>
  <c r="A207" i="5"/>
  <c r="D206" i="5"/>
  <c r="C206" i="5"/>
  <c r="A207" i="6"/>
  <c r="B206" i="6"/>
  <c r="D206" i="6"/>
  <c r="C206" i="6"/>
  <c r="C207" i="5" l="1"/>
  <c r="A208" i="5"/>
  <c r="B207" i="5"/>
  <c r="D207" i="5"/>
  <c r="A208" i="6"/>
  <c r="C207" i="6"/>
  <c r="B207" i="6"/>
  <c r="D207" i="6"/>
  <c r="B208" i="6" l="1"/>
  <c r="C208" i="6"/>
  <c r="A209" i="6"/>
  <c r="D208" i="6"/>
  <c r="D208" i="5"/>
  <c r="C208" i="5"/>
  <c r="A209" i="5"/>
  <c r="B208" i="5"/>
  <c r="C209" i="5" l="1"/>
  <c r="D209" i="5"/>
  <c r="B209" i="5"/>
  <c r="A210" i="5"/>
  <c r="C209" i="6"/>
  <c r="A210" i="6"/>
  <c r="D209" i="6"/>
  <c r="B209" i="6"/>
  <c r="C210" i="6" l="1"/>
  <c r="D210" i="6"/>
  <c r="A211" i="6"/>
  <c r="B210" i="6"/>
  <c r="C210" i="5"/>
  <c r="B210" i="5"/>
  <c r="A211" i="5"/>
  <c r="D210" i="5"/>
  <c r="D211" i="5" l="1"/>
  <c r="A212" i="5"/>
  <c r="C211" i="5"/>
  <c r="B211" i="5"/>
  <c r="B211" i="6"/>
  <c r="D211" i="6"/>
  <c r="A212" i="6"/>
  <c r="C211" i="6"/>
  <c r="C212" i="6" l="1"/>
  <c r="B212" i="6"/>
  <c r="A213" i="6"/>
  <c r="D212" i="6"/>
  <c r="D212" i="5"/>
  <c r="A213" i="5"/>
  <c r="B212" i="5"/>
  <c r="C212" i="5"/>
  <c r="D213" i="5" l="1"/>
  <c r="A214" i="5"/>
  <c r="B213" i="5"/>
  <c r="C213" i="5"/>
  <c r="C213" i="6"/>
  <c r="D213" i="6"/>
  <c r="A214" i="6"/>
  <c r="B213" i="6"/>
  <c r="A215" i="6" l="1"/>
  <c r="B214" i="6"/>
  <c r="D214" i="6"/>
  <c r="C214" i="6"/>
  <c r="B214" i="5"/>
  <c r="C214" i="5"/>
  <c r="D214" i="5"/>
  <c r="A215" i="5"/>
  <c r="C215" i="5" l="1"/>
  <c r="A216" i="5"/>
  <c r="D215" i="5"/>
  <c r="B215" i="5"/>
  <c r="C215" i="6"/>
  <c r="D215" i="6"/>
  <c r="A216" i="6"/>
  <c r="B215" i="6"/>
  <c r="B216" i="6" l="1"/>
  <c r="C216" i="6"/>
  <c r="A217" i="6"/>
  <c r="D216" i="6"/>
  <c r="A217" i="5"/>
  <c r="B216" i="5"/>
  <c r="D216" i="5"/>
  <c r="C216" i="5"/>
  <c r="A218" i="5" l="1"/>
  <c r="C217" i="5"/>
  <c r="D217" i="5"/>
  <c r="B217" i="5"/>
  <c r="C217" i="6"/>
  <c r="A218" i="6"/>
  <c r="D217" i="6"/>
  <c r="B217" i="6"/>
  <c r="C218" i="6" l="1"/>
  <c r="D218" i="6"/>
  <c r="A219" i="6"/>
  <c r="B218" i="6"/>
  <c r="C218" i="5"/>
  <c r="D218" i="5"/>
  <c r="B218" i="5"/>
  <c r="A219" i="5"/>
  <c r="B219" i="5" l="1"/>
  <c r="D219" i="5"/>
  <c r="C219" i="5"/>
  <c r="A220" i="5"/>
  <c r="B219" i="6"/>
  <c r="D219" i="6"/>
  <c r="A220" i="6"/>
  <c r="C219" i="6"/>
  <c r="D220" i="6" l="1"/>
  <c r="B220" i="6"/>
  <c r="A221" i="6"/>
  <c r="C220" i="6"/>
  <c r="C220" i="5"/>
  <c r="D220" i="5"/>
  <c r="B220" i="5"/>
  <c r="A221" i="5"/>
  <c r="C221" i="6" l="1"/>
  <c r="D221" i="6"/>
  <c r="B221" i="6"/>
  <c r="A222" i="6"/>
  <c r="A222" i="5"/>
  <c r="B221" i="5"/>
  <c r="D221" i="5"/>
  <c r="C221" i="5"/>
  <c r="D222" i="5" l="1"/>
  <c r="A223" i="5"/>
  <c r="C222" i="5"/>
  <c r="B222" i="5"/>
  <c r="D222" i="6"/>
  <c r="B222" i="6"/>
  <c r="A223" i="6"/>
  <c r="C222" i="6"/>
  <c r="A224" i="6" l="1"/>
  <c r="C223" i="6"/>
  <c r="B223" i="6"/>
  <c r="D223" i="6"/>
  <c r="C223" i="5"/>
  <c r="A224" i="5"/>
  <c r="D223" i="5"/>
  <c r="B223" i="5"/>
  <c r="A225" i="5" l="1"/>
  <c r="D224" i="5"/>
  <c r="C224" i="5"/>
  <c r="B224" i="5"/>
  <c r="C224" i="6"/>
  <c r="D224" i="6"/>
  <c r="B224" i="6"/>
  <c r="A225" i="6"/>
  <c r="C225" i="6" l="1"/>
  <c r="D225" i="6"/>
  <c r="B225" i="6"/>
  <c r="A226" i="6"/>
  <c r="A226" i="5"/>
  <c r="B225" i="5"/>
  <c r="D225" i="5"/>
  <c r="C225" i="5"/>
  <c r="C226" i="5" l="1"/>
  <c r="B226" i="5"/>
  <c r="D226" i="5"/>
  <c r="A227" i="5"/>
  <c r="C226" i="6"/>
  <c r="A227" i="6"/>
  <c r="B226" i="6"/>
  <c r="D226" i="6"/>
  <c r="C227" i="5" l="1"/>
  <c r="B227" i="5"/>
  <c r="A228" i="5"/>
  <c r="D227" i="5"/>
  <c r="D227" i="6"/>
  <c r="A228" i="6"/>
  <c r="B227" i="6"/>
  <c r="C227" i="6"/>
  <c r="B228" i="5" l="1"/>
  <c r="A229" i="5"/>
  <c r="C228" i="5"/>
  <c r="D228" i="5"/>
  <c r="C228" i="6"/>
  <c r="A229" i="6"/>
  <c r="D228" i="6"/>
  <c r="B228" i="6"/>
  <c r="A230" i="5" l="1"/>
  <c r="B229" i="5"/>
  <c r="C229" i="5"/>
  <c r="D229" i="5"/>
  <c r="D229" i="6"/>
  <c r="A230" i="6"/>
  <c r="C229" i="6"/>
  <c r="B229" i="6"/>
  <c r="A231" i="6" l="1"/>
  <c r="B230" i="6"/>
  <c r="C230" i="6"/>
  <c r="D230" i="6"/>
  <c r="D230" i="5"/>
  <c r="B230" i="5"/>
  <c r="A231" i="5"/>
  <c r="C230" i="5"/>
  <c r="D231" i="5" l="1"/>
  <c r="B231" i="5"/>
  <c r="A232" i="5"/>
  <c r="C231" i="5"/>
  <c r="C231" i="6"/>
  <c r="D231" i="6"/>
  <c r="B231" i="6"/>
  <c r="A232" i="6"/>
  <c r="B232" i="6" l="1"/>
  <c r="C232" i="6"/>
  <c r="D232" i="6"/>
  <c r="A233" i="6"/>
  <c r="A233" i="5"/>
  <c r="C232" i="5"/>
  <c r="B232" i="5"/>
  <c r="D232" i="5"/>
  <c r="C233" i="6" l="1"/>
  <c r="A234" i="6"/>
  <c r="D233" i="6"/>
  <c r="B233" i="6"/>
  <c r="A234" i="5"/>
  <c r="C233" i="5"/>
  <c r="D233" i="5"/>
  <c r="B233" i="5"/>
  <c r="C234" i="6" l="1"/>
  <c r="A235" i="6"/>
  <c r="B234" i="6"/>
  <c r="D234" i="6"/>
  <c r="C234" i="5"/>
  <c r="B234" i="5"/>
  <c r="A235" i="5"/>
  <c r="D234" i="5"/>
  <c r="C235" i="5" l="1"/>
  <c r="B235" i="5"/>
  <c r="D235" i="5"/>
  <c r="A236" i="5"/>
  <c r="B235" i="6"/>
  <c r="C235" i="6"/>
  <c r="A236" i="6"/>
  <c r="D235" i="6"/>
  <c r="D236" i="5" l="1"/>
  <c r="A237" i="5"/>
  <c r="C236" i="5"/>
  <c r="B236" i="5"/>
  <c r="A237" i="6"/>
  <c r="C236" i="6"/>
  <c r="D236" i="6"/>
  <c r="B236" i="6"/>
  <c r="C237" i="6" l="1"/>
  <c r="D237" i="6"/>
  <c r="A238" i="6"/>
  <c r="B237" i="6"/>
  <c r="A238" i="5"/>
  <c r="D237" i="5"/>
  <c r="C237" i="5"/>
  <c r="B237" i="5"/>
  <c r="A239" i="5" l="1"/>
  <c r="C238" i="5"/>
  <c r="D238" i="5"/>
  <c r="B238" i="5"/>
  <c r="D238" i="6"/>
  <c r="B238" i="6"/>
  <c r="A239" i="6"/>
  <c r="C238" i="6"/>
  <c r="A240" i="6" l="1"/>
  <c r="C239" i="6"/>
  <c r="B239" i="6"/>
  <c r="D239" i="6"/>
  <c r="D239" i="5"/>
  <c r="A240" i="5"/>
  <c r="B239" i="5"/>
  <c r="C239" i="5"/>
  <c r="B240" i="5" l="1"/>
  <c r="C240" i="5"/>
  <c r="D240" i="5"/>
  <c r="A241" i="5"/>
  <c r="D240" i="6"/>
  <c r="C240" i="6"/>
  <c r="B240" i="6"/>
  <c r="A241" i="6"/>
  <c r="C241" i="6" l="1"/>
  <c r="D241" i="6"/>
  <c r="B241" i="6"/>
  <c r="A242" i="6"/>
  <c r="B241" i="5"/>
  <c r="C241" i="5"/>
  <c r="A242" i="5"/>
  <c r="D241" i="5"/>
  <c r="B242" i="5" l="1"/>
  <c r="A243" i="5"/>
  <c r="D242" i="5"/>
  <c r="C242" i="5"/>
  <c r="C242" i="6"/>
  <c r="A243" i="6"/>
  <c r="D242" i="6"/>
  <c r="B242" i="6"/>
  <c r="D243" i="5" l="1"/>
  <c r="A244" i="5"/>
  <c r="C243" i="5"/>
  <c r="B243" i="5"/>
  <c r="A244" i="6"/>
  <c r="B243" i="6"/>
  <c r="D243" i="6"/>
  <c r="C243" i="6"/>
  <c r="C244" i="5" l="1"/>
  <c r="B244" i="5"/>
  <c r="D244" i="5"/>
  <c r="A245" i="5"/>
  <c r="C244" i="6"/>
  <c r="A245" i="6"/>
  <c r="D244" i="6"/>
  <c r="B244" i="6"/>
  <c r="C245" i="6" l="1"/>
  <c r="A246" i="6"/>
  <c r="B245" i="6"/>
  <c r="D245" i="6"/>
  <c r="A246" i="5"/>
  <c r="D245" i="5"/>
  <c r="C245" i="5"/>
  <c r="B245" i="5"/>
  <c r="A247" i="6" l="1"/>
  <c r="D246" i="6"/>
  <c r="B246" i="6"/>
  <c r="C246" i="6"/>
  <c r="C246" i="5"/>
  <c r="D246" i="5"/>
  <c r="A247" i="5"/>
  <c r="B246" i="5"/>
  <c r="A248" i="5" l="1"/>
  <c r="B247" i="5"/>
  <c r="C247" i="5"/>
  <c r="D247" i="5"/>
  <c r="B247" i="6"/>
  <c r="C247" i="6"/>
  <c r="A248" i="6"/>
  <c r="D247" i="6"/>
  <c r="C248" i="6" l="1"/>
  <c r="D248" i="6"/>
  <c r="A249" i="6"/>
  <c r="B248" i="6"/>
  <c r="C248" i="5"/>
  <c r="D248" i="5"/>
  <c r="B248" i="5"/>
  <c r="A249" i="5"/>
  <c r="D249" i="5" l="1"/>
  <c r="B249" i="5"/>
  <c r="C249" i="5"/>
  <c r="A250" i="5"/>
  <c r="C249" i="6"/>
  <c r="A250" i="6"/>
  <c r="B249" i="6"/>
  <c r="D249" i="6"/>
  <c r="C250" i="6" l="1"/>
  <c r="D250" i="6"/>
  <c r="A251" i="6"/>
  <c r="B250" i="6"/>
  <c r="C250" i="5"/>
  <c r="D250" i="5"/>
  <c r="A251" i="5"/>
  <c r="B250" i="5"/>
  <c r="C251" i="6" l="1"/>
  <c r="B251" i="6"/>
  <c r="A252" i="6"/>
  <c r="D251" i="6"/>
  <c r="B251" i="5"/>
  <c r="D251" i="5"/>
  <c r="C251" i="5"/>
  <c r="A252" i="5"/>
  <c r="D252" i="6" l="1"/>
  <c r="A253" i="6"/>
  <c r="B252" i="6"/>
  <c r="C252" i="6"/>
  <c r="D252" i="5"/>
  <c r="A253" i="5"/>
  <c r="B252" i="5"/>
  <c r="C252" i="5"/>
  <c r="B253" i="5" l="1"/>
  <c r="C253" i="5"/>
  <c r="A254" i="5"/>
  <c r="D253" i="5"/>
  <c r="D253" i="6"/>
  <c r="A254" i="6"/>
  <c r="B253" i="6"/>
  <c r="C253" i="6"/>
  <c r="D254" i="6" l="1"/>
  <c r="A255" i="6"/>
  <c r="B254" i="6"/>
  <c r="C254" i="6"/>
  <c r="B254" i="5"/>
  <c r="D254" i="5"/>
  <c r="A255" i="5"/>
  <c r="C254" i="5"/>
  <c r="B255" i="5" l="1"/>
  <c r="D255" i="5"/>
  <c r="A256" i="5"/>
  <c r="C255" i="5"/>
  <c r="D255" i="6"/>
  <c r="B255" i="6"/>
  <c r="A256" i="6"/>
  <c r="C255" i="6"/>
  <c r="B256" i="6" l="1"/>
  <c r="D256" i="6"/>
  <c r="A257" i="6"/>
  <c r="C256" i="6"/>
  <c r="D256" i="5"/>
  <c r="B256" i="5"/>
  <c r="A257" i="5"/>
  <c r="C256" i="5"/>
  <c r="D257" i="5" l="1"/>
  <c r="A258" i="5"/>
  <c r="B257" i="5"/>
  <c r="C257" i="5"/>
  <c r="D257" i="6"/>
  <c r="A258" i="6"/>
  <c r="B257" i="6"/>
  <c r="C257" i="6"/>
  <c r="A259" i="6" l="1"/>
  <c r="B258" i="6"/>
  <c r="D258" i="6"/>
  <c r="C258" i="6"/>
  <c r="B258" i="5"/>
  <c r="A259" i="5"/>
  <c r="D258" i="5"/>
  <c r="C258" i="5"/>
  <c r="B259" i="5" l="1"/>
  <c r="C259" i="5"/>
  <c r="D259" i="5"/>
  <c r="A260" i="5"/>
  <c r="D259" i="6"/>
  <c r="A260" i="6"/>
  <c r="B259" i="6"/>
  <c r="C259" i="6"/>
  <c r="A261" i="6" l="1"/>
  <c r="B260" i="6"/>
  <c r="D260" i="6"/>
  <c r="C260" i="6"/>
  <c r="D260" i="5"/>
  <c r="B260" i="5"/>
  <c r="A261" i="5"/>
  <c r="C260" i="5"/>
  <c r="C261" i="5" l="1"/>
  <c r="A262" i="5"/>
  <c r="D261" i="5"/>
  <c r="B261" i="5"/>
  <c r="D261" i="6"/>
  <c r="B261" i="6"/>
  <c r="A262" i="6"/>
  <c r="C261" i="6"/>
  <c r="A263" i="5" l="1"/>
  <c r="B262" i="5"/>
  <c r="D262" i="5"/>
  <c r="C262" i="5"/>
  <c r="C262" i="6"/>
  <c r="A263" i="6"/>
  <c r="D262" i="6"/>
  <c r="B262" i="6"/>
  <c r="B263" i="6" l="1"/>
  <c r="C263" i="6"/>
  <c r="A264" i="6"/>
  <c r="D263" i="6"/>
  <c r="A264" i="5"/>
  <c r="C263" i="5"/>
  <c r="D263" i="5"/>
  <c r="B263" i="5"/>
  <c r="C264" i="5" l="1"/>
  <c r="D264" i="5"/>
  <c r="B264" i="5"/>
  <c r="A265" i="5"/>
  <c r="D264" i="6"/>
  <c r="A265" i="6"/>
  <c r="C264" i="6"/>
  <c r="B264" i="6"/>
  <c r="D265" i="5" l="1"/>
  <c r="B265" i="5"/>
  <c r="A266" i="5"/>
  <c r="C265" i="5"/>
  <c r="A266" i="6"/>
  <c r="D265" i="6"/>
  <c r="B265" i="6"/>
  <c r="C265" i="6"/>
  <c r="D266" i="6" l="1"/>
  <c r="C266" i="6"/>
  <c r="A267" i="6"/>
  <c r="B266" i="6"/>
  <c r="A267" i="5"/>
  <c r="B266" i="5"/>
  <c r="D266" i="5"/>
  <c r="C266" i="5"/>
  <c r="D267" i="5" l="1"/>
  <c r="B267" i="5"/>
  <c r="C267" i="5"/>
  <c r="A268" i="5"/>
  <c r="B267" i="6"/>
  <c r="A268" i="6"/>
  <c r="D267" i="6"/>
  <c r="C267" i="6"/>
  <c r="A269" i="5" l="1"/>
  <c r="C268" i="5"/>
  <c r="B268" i="5"/>
  <c r="D268" i="5"/>
  <c r="D268" i="6"/>
  <c r="B268" i="6"/>
  <c r="C268" i="6"/>
  <c r="A269" i="6"/>
  <c r="B269" i="6" l="1"/>
  <c r="D269" i="6"/>
  <c r="C269" i="6"/>
  <c r="A270" i="6"/>
  <c r="C269" i="5"/>
  <c r="B269" i="5"/>
  <c r="A270" i="5"/>
  <c r="D269" i="5"/>
  <c r="A271" i="5" l="1"/>
  <c r="B270" i="5"/>
  <c r="D270" i="5"/>
  <c r="C270" i="5"/>
  <c r="D270" i="6"/>
  <c r="B270" i="6"/>
  <c r="C270" i="6"/>
  <c r="A271" i="6"/>
  <c r="B271" i="6" l="1"/>
  <c r="C271" i="6"/>
  <c r="D271" i="6"/>
  <c r="A272" i="6"/>
  <c r="C271" i="5"/>
  <c r="B271" i="5"/>
  <c r="A272" i="5"/>
  <c r="D271" i="5"/>
  <c r="C272" i="5" l="1"/>
  <c r="D272" i="5"/>
  <c r="B272" i="5"/>
  <c r="A273" i="5"/>
  <c r="B272" i="6"/>
  <c r="D272" i="6"/>
  <c r="C272" i="6"/>
  <c r="A273" i="6"/>
  <c r="D273" i="6" l="1"/>
  <c r="B273" i="6"/>
  <c r="C273" i="6"/>
  <c r="A274" i="6"/>
  <c r="C273" i="5"/>
  <c r="D273" i="5"/>
  <c r="B273" i="5"/>
  <c r="A274" i="5"/>
  <c r="B274" i="5" l="1"/>
  <c r="C274" i="5"/>
  <c r="A275" i="5"/>
  <c r="D274" i="5"/>
  <c r="B274" i="6"/>
  <c r="D274" i="6"/>
  <c r="C274" i="6"/>
  <c r="A275" i="6"/>
  <c r="B275" i="6" l="1"/>
  <c r="C275" i="6"/>
  <c r="A276" i="6"/>
  <c r="D275" i="6"/>
  <c r="A276" i="5"/>
  <c r="B275" i="5"/>
  <c r="C275" i="5"/>
  <c r="D275" i="5"/>
  <c r="B276" i="5" l="1"/>
  <c r="C276" i="5"/>
  <c r="A277" i="5"/>
  <c r="D276" i="5"/>
  <c r="A277" i="6"/>
  <c r="B276" i="6"/>
  <c r="D276" i="6"/>
  <c r="C276" i="6"/>
  <c r="B277" i="6" l="1"/>
  <c r="C277" i="6"/>
  <c r="D277" i="6"/>
  <c r="A278" i="6"/>
  <c r="A278" i="5"/>
  <c r="D277" i="5"/>
  <c r="C277" i="5"/>
  <c r="B277" i="5"/>
  <c r="D278" i="5" l="1"/>
  <c r="B278" i="5"/>
  <c r="C278" i="5"/>
  <c r="A279" i="5"/>
  <c r="A279" i="6"/>
  <c r="B278" i="6"/>
  <c r="C278" i="6"/>
  <c r="D278" i="6"/>
  <c r="A280" i="5" l="1"/>
  <c r="D279" i="5"/>
  <c r="C279" i="5"/>
  <c r="B279" i="5"/>
  <c r="B279" i="6"/>
  <c r="A280" i="6"/>
  <c r="D279" i="6"/>
  <c r="C279" i="6"/>
  <c r="B280" i="6" l="1"/>
  <c r="C280" i="6"/>
  <c r="D280" i="6"/>
  <c r="A281" i="6"/>
  <c r="A281" i="5"/>
  <c r="C280" i="5"/>
  <c r="D280" i="5"/>
  <c r="B280" i="5"/>
  <c r="A282" i="5" l="1"/>
  <c r="D281" i="5"/>
  <c r="C281" i="5"/>
  <c r="B281" i="5"/>
  <c r="A282" i="6"/>
  <c r="B281" i="6"/>
  <c r="D281" i="6"/>
  <c r="C281" i="6"/>
  <c r="B282" i="6" l="1"/>
  <c r="D282" i="6"/>
  <c r="C282" i="6"/>
  <c r="A283" i="6"/>
  <c r="B282" i="5"/>
  <c r="C282" i="5"/>
  <c r="A283" i="5"/>
  <c r="D282" i="5"/>
  <c r="D283" i="5" l="1"/>
  <c r="B283" i="5"/>
  <c r="A284" i="5"/>
  <c r="C283" i="5"/>
  <c r="D283" i="6"/>
  <c r="B283" i="6"/>
  <c r="C283" i="6"/>
  <c r="A284" i="6"/>
  <c r="A285" i="5" l="1"/>
  <c r="C284" i="5"/>
  <c r="D284" i="5"/>
  <c r="B284" i="5"/>
  <c r="B284" i="6"/>
  <c r="D284" i="6"/>
  <c r="C284" i="6"/>
  <c r="A285" i="6"/>
  <c r="D285" i="6" l="1"/>
  <c r="A286" i="6"/>
  <c r="B285" i="6"/>
  <c r="C285" i="6"/>
  <c r="A286" i="5"/>
  <c r="D285" i="5"/>
  <c r="C285" i="5"/>
  <c r="B285" i="5"/>
  <c r="A287" i="6" l="1"/>
  <c r="B286" i="6"/>
  <c r="C286" i="6"/>
  <c r="D286" i="6"/>
  <c r="C286" i="5"/>
  <c r="B286" i="5"/>
  <c r="A287" i="5"/>
  <c r="D286" i="5"/>
  <c r="D287" i="5" l="1"/>
  <c r="B287" i="5"/>
  <c r="A288" i="5"/>
  <c r="C287" i="5"/>
  <c r="D287" i="6"/>
  <c r="B287" i="6"/>
  <c r="C287" i="6"/>
  <c r="A288" i="6"/>
  <c r="A289" i="5" l="1"/>
  <c r="C288" i="5"/>
  <c r="D288" i="5"/>
  <c r="B288" i="5"/>
  <c r="B288" i="6"/>
  <c r="D288" i="6"/>
  <c r="C288" i="6"/>
  <c r="A289" i="6"/>
  <c r="B289" i="6" l="1"/>
  <c r="C289" i="6"/>
  <c r="D289" i="6"/>
  <c r="A290" i="6"/>
  <c r="A290" i="5"/>
  <c r="C289" i="5"/>
  <c r="D289" i="5"/>
  <c r="B289" i="5"/>
  <c r="D290" i="6" l="1"/>
  <c r="B290" i="6"/>
  <c r="C290" i="6"/>
  <c r="A291" i="6"/>
  <c r="C290" i="5"/>
  <c r="B290" i="5"/>
  <c r="D290" i="5"/>
  <c r="A291" i="5"/>
  <c r="B291" i="5" l="1"/>
  <c r="C291" i="5"/>
  <c r="D291" i="5"/>
  <c r="A292" i="5"/>
  <c r="B291" i="6"/>
  <c r="D291" i="6"/>
  <c r="C291" i="6"/>
  <c r="A292" i="6"/>
  <c r="C292" i="5" l="1"/>
  <c r="D292" i="5"/>
  <c r="B292" i="5"/>
  <c r="A293" i="5"/>
  <c r="B292" i="6"/>
  <c r="D292" i="6"/>
  <c r="C292" i="6"/>
  <c r="A293" i="6"/>
  <c r="B293" i="6" l="1"/>
  <c r="C293" i="6"/>
  <c r="D293" i="6"/>
  <c r="A294" i="6"/>
  <c r="A294" i="5"/>
  <c r="C293" i="5"/>
  <c r="D293" i="5"/>
  <c r="B293" i="5"/>
  <c r="A295" i="5" l="1"/>
  <c r="B294" i="5"/>
  <c r="C294" i="5"/>
  <c r="D294" i="5"/>
  <c r="B294" i="6"/>
  <c r="D294" i="6"/>
  <c r="C294" i="6"/>
  <c r="A295" i="6"/>
  <c r="B295" i="6" l="1"/>
  <c r="C295" i="6"/>
  <c r="A296" i="6"/>
  <c r="D295" i="6"/>
  <c r="B295" i="5"/>
  <c r="C295" i="5"/>
  <c r="A296" i="5"/>
  <c r="D295" i="5"/>
  <c r="A297" i="5" l="1"/>
  <c r="D296" i="5"/>
  <c r="C296" i="5"/>
  <c r="B296" i="5"/>
  <c r="B296" i="6"/>
  <c r="C296" i="6"/>
  <c r="D296" i="6"/>
  <c r="A297" i="6"/>
  <c r="B297" i="6" l="1"/>
  <c r="D297" i="6"/>
  <c r="C297" i="6"/>
  <c r="A298" i="6"/>
  <c r="A298" i="5"/>
  <c r="B297" i="5"/>
  <c r="D297" i="5"/>
  <c r="C297" i="5"/>
  <c r="B298" i="5" l="1"/>
  <c r="C298" i="5"/>
  <c r="D298" i="5"/>
  <c r="A299" i="5"/>
  <c r="B298" i="6"/>
  <c r="C298" i="6"/>
  <c r="D298" i="6"/>
  <c r="A299" i="6"/>
  <c r="A300" i="5" l="1"/>
  <c r="C299" i="5"/>
  <c r="D299" i="5"/>
  <c r="B299" i="5"/>
  <c r="B299" i="6"/>
  <c r="D299" i="6"/>
  <c r="C299" i="6"/>
  <c r="A300" i="6"/>
  <c r="B300" i="6" l="1"/>
  <c r="D300" i="6"/>
  <c r="C300" i="6"/>
  <c r="A301" i="6"/>
  <c r="C300" i="5"/>
  <c r="D300" i="5"/>
  <c r="B300" i="5"/>
  <c r="A301" i="5"/>
  <c r="C301" i="5" l="1"/>
  <c r="A302" i="5"/>
  <c r="D301" i="5"/>
  <c r="B301" i="5"/>
  <c r="B301" i="6"/>
  <c r="D301" i="6"/>
  <c r="C301" i="6"/>
  <c r="A302" i="6"/>
  <c r="B302" i="6" l="1"/>
  <c r="C302" i="6"/>
  <c r="A303" i="6"/>
  <c r="D302" i="6"/>
  <c r="B302" i="5"/>
  <c r="D302" i="5"/>
  <c r="A303" i="5"/>
  <c r="C302" i="5"/>
  <c r="B303" i="5" l="1"/>
  <c r="A304" i="5"/>
  <c r="C303" i="5"/>
  <c r="D303" i="5"/>
  <c r="B303" i="6"/>
  <c r="D303" i="6"/>
  <c r="C303" i="6"/>
  <c r="A304" i="6"/>
  <c r="B304" i="6" l="1"/>
  <c r="A305" i="6"/>
  <c r="C304" i="6"/>
  <c r="D304" i="6"/>
  <c r="A305" i="5"/>
  <c r="D304" i="5"/>
  <c r="B304" i="5"/>
  <c r="C304" i="5"/>
  <c r="C305" i="5" l="1"/>
  <c r="A306" i="5"/>
  <c r="D305" i="5"/>
  <c r="B305" i="5"/>
  <c r="B305" i="6"/>
  <c r="A306" i="6"/>
  <c r="C305" i="6"/>
  <c r="D305" i="6"/>
  <c r="D306" i="5" l="1"/>
  <c r="A307" i="5"/>
  <c r="C306" i="5"/>
  <c r="B306" i="5"/>
  <c r="B306" i="6"/>
  <c r="A307" i="6"/>
  <c r="C306" i="6"/>
  <c r="D306" i="6"/>
  <c r="D307" i="5" l="1"/>
  <c r="A308" i="5"/>
  <c r="C307" i="5"/>
  <c r="B307" i="5"/>
  <c r="B307" i="6"/>
  <c r="C307" i="6"/>
  <c r="A308" i="6"/>
  <c r="D307" i="6"/>
  <c r="A309" i="5" l="1"/>
  <c r="D308" i="5"/>
  <c r="C308" i="5"/>
  <c r="B308" i="5"/>
  <c r="B308" i="6"/>
  <c r="C308" i="6"/>
  <c r="A309" i="6"/>
  <c r="D308" i="6"/>
  <c r="B309" i="6" l="1"/>
  <c r="D309" i="6"/>
  <c r="C309" i="6"/>
  <c r="A310" i="6"/>
  <c r="A310" i="5"/>
  <c r="C309" i="5"/>
  <c r="D309" i="5"/>
  <c r="B309" i="5"/>
  <c r="B310" i="6" l="1"/>
  <c r="C310" i="6"/>
  <c r="A311" i="6"/>
  <c r="D310" i="6"/>
  <c r="D310" i="5"/>
  <c r="A311" i="5"/>
  <c r="C310" i="5"/>
  <c r="B310" i="5"/>
  <c r="A312" i="5" l="1"/>
  <c r="C311" i="5"/>
  <c r="B311" i="5"/>
  <c r="D311" i="5"/>
  <c r="C311" i="6"/>
  <c r="B311" i="6"/>
  <c r="A312" i="6"/>
  <c r="D311" i="6"/>
  <c r="B312" i="6" l="1"/>
  <c r="C312" i="6"/>
  <c r="D312" i="6"/>
  <c r="A313" i="6"/>
  <c r="C312" i="5"/>
  <c r="A313" i="5"/>
  <c r="D312" i="5"/>
  <c r="B312" i="5"/>
  <c r="C313" i="5" l="1"/>
  <c r="B313" i="5"/>
  <c r="A314" i="5"/>
  <c r="D313" i="5"/>
  <c r="B313" i="6"/>
  <c r="D313" i="6"/>
  <c r="C313" i="6"/>
  <c r="A314" i="6"/>
  <c r="B314" i="6" l="1"/>
  <c r="C314" i="6"/>
  <c r="A315" i="6"/>
  <c r="D314" i="6"/>
  <c r="A315" i="5"/>
  <c r="B314" i="5"/>
  <c r="C314" i="5"/>
  <c r="D314" i="5"/>
  <c r="C315" i="5" l="1"/>
  <c r="B315" i="5"/>
  <c r="D315" i="5"/>
  <c r="A316" i="5"/>
  <c r="B315" i="6"/>
  <c r="C315" i="6"/>
  <c r="D315" i="6"/>
  <c r="A316" i="6"/>
  <c r="B316" i="6" l="1"/>
  <c r="C316" i="6"/>
  <c r="D316" i="6"/>
  <c r="A2" i="6"/>
  <c r="A317" i="5"/>
  <c r="D316" i="5"/>
  <c r="B316" i="5"/>
  <c r="C316" i="5"/>
  <c r="D317" i="5" l="1"/>
  <c r="C317" i="5"/>
  <c r="A318" i="5"/>
  <c r="B317" i="5"/>
  <c r="D318" i="5" l="1"/>
  <c r="B318" i="5"/>
  <c r="A319" i="5"/>
  <c r="C318" i="5"/>
  <c r="C319" i="5" l="1"/>
  <c r="D319" i="5"/>
  <c r="A320" i="5"/>
  <c r="B319" i="5"/>
  <c r="A321" i="5" l="1"/>
  <c r="B320" i="5"/>
  <c r="D320" i="5"/>
  <c r="C320" i="5"/>
  <c r="C321" i="5" l="1"/>
  <c r="B321" i="5"/>
  <c r="D321" i="5"/>
  <c r="A322" i="5"/>
  <c r="D322" i="5" l="1"/>
  <c r="A323" i="5"/>
  <c r="B322" i="5"/>
  <c r="C322" i="5"/>
  <c r="B323" i="5" l="1"/>
  <c r="C323" i="5"/>
  <c r="A324" i="5"/>
  <c r="D323" i="5"/>
  <c r="D324" i="5" l="1"/>
  <c r="B324" i="5"/>
  <c r="A325" i="5"/>
  <c r="C324" i="5"/>
  <c r="D325" i="5" l="1"/>
  <c r="C325" i="5"/>
  <c r="B325" i="5"/>
  <c r="A326" i="5"/>
  <c r="D326" i="5" l="1"/>
  <c r="A327" i="5"/>
  <c r="C326" i="5"/>
  <c r="B326" i="5"/>
  <c r="B327" i="5" l="1"/>
  <c r="C327" i="5"/>
  <c r="D327" i="5"/>
  <c r="A328" i="5"/>
  <c r="C328" i="5" l="1"/>
  <c r="B328" i="5"/>
  <c r="D328" i="5"/>
  <c r="A329" i="5"/>
  <c r="B329" i="5" l="1"/>
  <c r="C329" i="5"/>
  <c r="A330" i="5"/>
  <c r="D329" i="5"/>
  <c r="C330" i="5" l="1"/>
  <c r="B330" i="5"/>
  <c r="A331" i="5"/>
  <c r="D330" i="5"/>
  <c r="C331" i="5" l="1"/>
  <c r="D331" i="5"/>
  <c r="A332" i="5"/>
  <c r="B331" i="5"/>
  <c r="A333" i="5" l="1"/>
  <c r="B332" i="5"/>
  <c r="C332" i="5"/>
  <c r="D332" i="5"/>
  <c r="B333" i="5" l="1"/>
  <c r="D333" i="5"/>
  <c r="A334" i="5"/>
  <c r="C333" i="5"/>
  <c r="C334" i="5" l="1"/>
  <c r="B334" i="5"/>
  <c r="A335" i="5"/>
  <c r="D334" i="5"/>
  <c r="A336" i="5" l="1"/>
  <c r="D335" i="5"/>
  <c r="B335" i="5"/>
  <c r="C335" i="5"/>
  <c r="D336" i="5" l="1"/>
  <c r="B336" i="5"/>
  <c r="A337" i="5"/>
  <c r="C336" i="5"/>
  <c r="B337" i="5" l="1"/>
  <c r="A338" i="5"/>
  <c r="D337" i="5"/>
  <c r="C337" i="5"/>
  <c r="A339" i="5" l="1"/>
  <c r="B338" i="5"/>
  <c r="C338" i="5"/>
  <c r="D338" i="5"/>
  <c r="D339" i="5" l="1"/>
  <c r="B339" i="5"/>
  <c r="C339" i="5"/>
  <c r="A340" i="5"/>
  <c r="C340" i="5" l="1"/>
  <c r="D340" i="5"/>
  <c r="B340" i="5"/>
  <c r="A341" i="5"/>
  <c r="D341" i="5" l="1"/>
  <c r="A342" i="5"/>
  <c r="C341" i="5"/>
  <c r="B341" i="5"/>
  <c r="B342" i="5" l="1"/>
  <c r="A343" i="5"/>
  <c r="C342" i="5"/>
  <c r="D342" i="5"/>
  <c r="A344" i="5" l="1"/>
  <c r="C343" i="5"/>
  <c r="B343" i="5"/>
  <c r="D343" i="5"/>
  <c r="C344" i="5" l="1"/>
  <c r="A345" i="5"/>
  <c r="D344" i="5"/>
  <c r="B344" i="5"/>
  <c r="C345" i="5" l="1"/>
  <c r="A346" i="5"/>
  <c r="B345" i="5"/>
  <c r="D345" i="5"/>
  <c r="A347" i="5" l="1"/>
  <c r="B346" i="5"/>
  <c r="D346" i="5"/>
  <c r="C346" i="5"/>
  <c r="C347" i="5" l="1"/>
  <c r="B347" i="5"/>
  <c r="D347" i="5"/>
  <c r="A348" i="5"/>
  <c r="A349" i="5" l="1"/>
  <c r="D348" i="5"/>
  <c r="B348" i="5"/>
  <c r="C348" i="5"/>
  <c r="B349" i="5" l="1"/>
  <c r="A350" i="5"/>
  <c r="D349" i="5"/>
  <c r="C349" i="5"/>
  <c r="A351" i="5" l="1"/>
  <c r="B350" i="5"/>
  <c r="C350" i="5"/>
  <c r="D350" i="5"/>
  <c r="D351" i="5" l="1"/>
  <c r="A352" i="5"/>
  <c r="B351" i="5"/>
  <c r="C351" i="5"/>
  <c r="C352" i="5" l="1"/>
  <c r="D352" i="5"/>
  <c r="A353" i="5"/>
  <c r="B352" i="5"/>
  <c r="A354" i="5" l="1"/>
  <c r="D353" i="5"/>
  <c r="B353" i="5"/>
  <c r="C353" i="5"/>
  <c r="D354" i="5" l="1"/>
  <c r="A355" i="5"/>
  <c r="B354" i="5"/>
  <c r="C354" i="5"/>
  <c r="A356" i="5" l="1"/>
  <c r="C355" i="5"/>
  <c r="B355" i="5"/>
  <c r="D355" i="5"/>
  <c r="C356" i="5" l="1"/>
  <c r="A357" i="5"/>
  <c r="D356" i="5"/>
  <c r="B356" i="5"/>
  <c r="C357" i="5" l="1"/>
  <c r="A358" i="5"/>
  <c r="D357" i="5"/>
  <c r="B357" i="5"/>
  <c r="A359" i="5" l="1"/>
  <c r="B358" i="5"/>
  <c r="C358" i="5"/>
  <c r="D358" i="5"/>
  <c r="D359" i="5" l="1"/>
  <c r="A360" i="5"/>
  <c r="C359" i="5"/>
  <c r="B359" i="5"/>
  <c r="C360" i="5" l="1"/>
  <c r="A361" i="5"/>
  <c r="B360" i="5"/>
  <c r="D360" i="5"/>
  <c r="A362" i="5" l="1"/>
  <c r="C361" i="5"/>
  <c r="D361" i="5"/>
  <c r="B361" i="5"/>
  <c r="B362" i="5" l="1"/>
  <c r="A363" i="5"/>
  <c r="D362" i="5"/>
  <c r="C362" i="5"/>
  <c r="C363" i="5" l="1"/>
  <c r="B363" i="5"/>
  <c r="D363" i="5"/>
  <c r="A364" i="5"/>
  <c r="B364" i="5" l="1"/>
  <c r="D364" i="5"/>
  <c r="C364" i="5"/>
  <c r="A365" i="5"/>
  <c r="B365" i="5" l="1"/>
  <c r="A366" i="5"/>
  <c r="C365" i="5"/>
  <c r="D365" i="5"/>
  <c r="A367" i="5" l="1"/>
  <c r="B366" i="5"/>
  <c r="C366" i="5"/>
  <c r="D366" i="5"/>
  <c r="A368" i="5" l="1"/>
  <c r="B367" i="5"/>
  <c r="D367" i="5"/>
  <c r="C367" i="5"/>
  <c r="A369" i="5" l="1"/>
  <c r="D368" i="5"/>
  <c r="C368" i="5"/>
  <c r="B368" i="5"/>
  <c r="A370" i="5" l="1"/>
  <c r="B369" i="5"/>
  <c r="D369" i="5"/>
  <c r="C369" i="5"/>
  <c r="C370" i="5" l="1"/>
  <c r="A371" i="5"/>
  <c r="D370" i="5"/>
  <c r="B370" i="5"/>
  <c r="B371" i="5" l="1"/>
  <c r="A372" i="5"/>
  <c r="D371" i="5"/>
  <c r="C371" i="5"/>
  <c r="B372" i="5" l="1"/>
  <c r="A373" i="5"/>
  <c r="C372" i="5"/>
  <c r="D372" i="5"/>
  <c r="A374" i="5" l="1"/>
  <c r="C373" i="5"/>
  <c r="B373" i="5"/>
  <c r="D373" i="5"/>
  <c r="C374" i="5" l="1"/>
  <c r="A375" i="5"/>
  <c r="D374" i="5"/>
  <c r="B374" i="5"/>
  <c r="A376" i="5" l="1"/>
  <c r="C375" i="5"/>
  <c r="D375" i="5"/>
  <c r="B375" i="5"/>
  <c r="A377" i="5" l="1"/>
  <c r="D376" i="5"/>
  <c r="C376" i="5"/>
  <c r="B376" i="5"/>
  <c r="C377" i="5" l="1"/>
  <c r="B377" i="5"/>
  <c r="D377" i="5"/>
  <c r="A378" i="5"/>
  <c r="C378" i="5" l="1"/>
  <c r="B378" i="5"/>
  <c r="A379" i="5"/>
  <c r="D378" i="5"/>
  <c r="A380" i="5" l="1"/>
  <c r="C379" i="5"/>
  <c r="D379" i="5"/>
  <c r="B379" i="5"/>
  <c r="C380" i="5" l="1"/>
  <c r="D380" i="5"/>
  <c r="B380" i="5"/>
  <c r="A381" i="5"/>
  <c r="C381" i="5" l="1"/>
  <c r="B381" i="5"/>
  <c r="A382" i="5"/>
  <c r="D381" i="5"/>
  <c r="A383" i="5" l="1"/>
  <c r="D382" i="5"/>
  <c r="B382" i="5"/>
  <c r="C382" i="5"/>
  <c r="B383" i="5" l="1"/>
  <c r="C383" i="5"/>
  <c r="D383" i="5"/>
  <c r="A384" i="5"/>
  <c r="A385" i="5" l="1"/>
  <c r="D384" i="5"/>
  <c r="B384" i="5"/>
  <c r="C384" i="5"/>
  <c r="A386" i="5" l="1"/>
  <c r="B385" i="5"/>
  <c r="C385" i="5"/>
  <c r="D385" i="5"/>
  <c r="A387" i="5" l="1"/>
  <c r="B386" i="5"/>
  <c r="D386" i="5"/>
  <c r="C386" i="5"/>
  <c r="B387" i="5" l="1"/>
  <c r="A388" i="5"/>
  <c r="C387" i="5"/>
  <c r="D387" i="5"/>
  <c r="A389" i="5" l="1"/>
  <c r="D388" i="5"/>
  <c r="B388" i="5"/>
  <c r="C388" i="5"/>
  <c r="B389" i="5" l="1"/>
  <c r="C389" i="5"/>
  <c r="D389" i="5"/>
  <c r="A390" i="5"/>
  <c r="A391" i="5" l="1"/>
  <c r="D390" i="5"/>
  <c r="B390" i="5"/>
  <c r="C390" i="5"/>
  <c r="D391" i="5" l="1"/>
  <c r="A392" i="5"/>
  <c r="C391" i="5"/>
  <c r="B391" i="5"/>
  <c r="C392" i="5" l="1"/>
  <c r="D392" i="5"/>
  <c r="A393" i="5"/>
  <c r="B392" i="5"/>
  <c r="A394" i="5" l="1"/>
  <c r="B393" i="5"/>
  <c r="D393" i="5"/>
  <c r="C393" i="5"/>
  <c r="A395" i="5" l="1"/>
  <c r="D394" i="5"/>
  <c r="B394" i="5"/>
  <c r="C394" i="5"/>
  <c r="B395" i="5" l="1"/>
  <c r="A396" i="5"/>
  <c r="D395" i="5"/>
  <c r="C395" i="5"/>
  <c r="C396" i="5" l="1"/>
  <c r="B396" i="5"/>
  <c r="A397" i="5"/>
  <c r="D396" i="5"/>
  <c r="A398" i="5" l="1"/>
  <c r="C397" i="5"/>
  <c r="B397" i="5"/>
  <c r="D397" i="5"/>
  <c r="C398" i="5" l="1"/>
  <c r="D398" i="5"/>
  <c r="B398" i="5"/>
  <c r="A399" i="5"/>
  <c r="D399" i="5" l="1"/>
  <c r="C399" i="5"/>
  <c r="B399" i="5"/>
  <c r="A400" i="5"/>
  <c r="A401" i="5" l="1"/>
  <c r="D400" i="5"/>
  <c r="B400" i="5"/>
  <c r="C400" i="5"/>
  <c r="C401" i="5" l="1"/>
  <c r="B401" i="5"/>
  <c r="D401" i="5"/>
  <c r="A402" i="5"/>
  <c r="B402" i="5" l="1"/>
  <c r="D402" i="5"/>
  <c r="A403" i="5"/>
  <c r="C402" i="5"/>
  <c r="D403" i="5" l="1"/>
  <c r="C403" i="5"/>
  <c r="B403" i="5"/>
  <c r="A404" i="5"/>
  <c r="A405" i="5" l="1"/>
  <c r="D404" i="5"/>
  <c r="C404" i="5"/>
  <c r="B404" i="5"/>
  <c r="C405" i="5" l="1"/>
  <c r="B405" i="5"/>
  <c r="D405" i="5"/>
  <c r="A406" i="5"/>
  <c r="A407" i="5" l="1"/>
  <c r="B406" i="5"/>
  <c r="C406" i="5"/>
  <c r="D406" i="5"/>
  <c r="B407" i="5" l="1"/>
  <c r="C407" i="5"/>
  <c r="D407" i="5"/>
  <c r="A408" i="5"/>
  <c r="B408" i="5" l="1"/>
  <c r="A409" i="5"/>
  <c r="D408" i="5"/>
  <c r="C408" i="5"/>
  <c r="C409" i="5" l="1"/>
  <c r="A410" i="5"/>
  <c r="D409" i="5"/>
  <c r="B409" i="5"/>
  <c r="B410" i="5" l="1"/>
  <c r="A411" i="5"/>
  <c r="C410" i="5"/>
  <c r="D410" i="5"/>
  <c r="C411" i="5" l="1"/>
  <c r="B411" i="5"/>
  <c r="D411" i="5"/>
  <c r="A412" i="5"/>
  <c r="A413" i="5" l="1"/>
  <c r="B412" i="5"/>
  <c r="C412" i="5"/>
  <c r="D412" i="5"/>
  <c r="D413" i="5" l="1"/>
  <c r="B413" i="5"/>
  <c r="C413" i="5"/>
  <c r="A414" i="5"/>
  <c r="A415" i="5" l="1"/>
  <c r="D414" i="5"/>
  <c r="C414" i="5"/>
  <c r="B414" i="5"/>
  <c r="D415" i="5" l="1"/>
  <c r="A416" i="5"/>
  <c r="C415" i="5"/>
  <c r="B415" i="5"/>
  <c r="A417" i="5" l="1"/>
  <c r="C416" i="5"/>
  <c r="B416" i="5"/>
  <c r="D416" i="5"/>
  <c r="A418" i="5" l="1"/>
  <c r="C417" i="5"/>
  <c r="D417" i="5"/>
  <c r="B417" i="5"/>
  <c r="D418" i="5" l="1"/>
  <c r="C418" i="5"/>
  <c r="B418" i="5"/>
  <c r="A419" i="5"/>
  <c r="D419" i="5" l="1"/>
  <c r="A420" i="5"/>
  <c r="C419" i="5"/>
  <c r="B419" i="5"/>
  <c r="D420" i="5" l="1"/>
  <c r="C420" i="5"/>
  <c r="A421" i="5"/>
  <c r="B420" i="5"/>
  <c r="B421" i="5" l="1"/>
  <c r="C421" i="5"/>
  <c r="A422" i="5"/>
  <c r="D421" i="5"/>
  <c r="B422" i="5" l="1"/>
  <c r="D422" i="5"/>
  <c r="C422" i="5"/>
  <c r="A423" i="5"/>
  <c r="B423" i="5" l="1"/>
  <c r="D423" i="5"/>
  <c r="C423" i="5"/>
  <c r="A424" i="5"/>
  <c r="C424" i="5" l="1"/>
  <c r="B424" i="5"/>
  <c r="A425" i="5"/>
  <c r="D424" i="5"/>
  <c r="C425" i="5" l="1"/>
  <c r="A426" i="5"/>
  <c r="D425" i="5"/>
  <c r="B425" i="5"/>
  <c r="A427" i="5" l="1"/>
  <c r="D426" i="5"/>
  <c r="B426" i="5"/>
  <c r="C426" i="5"/>
  <c r="C427" i="5" l="1"/>
  <c r="D427" i="5"/>
  <c r="B427" i="5"/>
  <c r="A428" i="5"/>
  <c r="B428" i="5" l="1"/>
  <c r="C428" i="5"/>
  <c r="D428" i="5"/>
  <c r="A429" i="5"/>
  <c r="C429" i="5" l="1"/>
  <c r="B429" i="5"/>
  <c r="D429" i="5"/>
  <c r="A430" i="5"/>
  <c r="A431" i="5" l="1"/>
  <c r="B430" i="5"/>
  <c r="D430" i="5"/>
  <c r="C430" i="5"/>
  <c r="A432" i="5" l="1"/>
  <c r="B431" i="5"/>
  <c r="D431" i="5"/>
  <c r="C431" i="5"/>
  <c r="A433" i="5" l="1"/>
  <c r="B432" i="5"/>
  <c r="D432" i="5"/>
  <c r="C432" i="5"/>
  <c r="C433" i="5" l="1"/>
  <c r="B433" i="5"/>
  <c r="D433" i="5"/>
  <c r="A434" i="5"/>
  <c r="B434" i="5" l="1"/>
  <c r="A435" i="5"/>
  <c r="C434" i="5"/>
  <c r="D434" i="5"/>
  <c r="D435" i="5" l="1"/>
  <c r="C435" i="5"/>
  <c r="B435" i="5"/>
  <c r="A436" i="5"/>
  <c r="D436" i="5" l="1"/>
  <c r="A437" i="5"/>
  <c r="C436" i="5"/>
  <c r="B436" i="5"/>
  <c r="C437" i="5" l="1"/>
  <c r="A438" i="5"/>
  <c r="B437" i="5"/>
  <c r="D437" i="5"/>
  <c r="A439" i="5" l="1"/>
  <c r="C438" i="5"/>
  <c r="B438" i="5"/>
  <c r="D438" i="5"/>
  <c r="B439" i="5" l="1"/>
  <c r="A440" i="5"/>
  <c r="C439" i="5"/>
  <c r="D439" i="5"/>
  <c r="A441" i="5" l="1"/>
  <c r="D440" i="5"/>
  <c r="B440" i="5"/>
  <c r="C440" i="5"/>
  <c r="C441" i="5" l="1"/>
  <c r="D441" i="5"/>
  <c r="A442" i="5"/>
  <c r="B441" i="5"/>
  <c r="B442" i="5" l="1"/>
  <c r="D442" i="5"/>
  <c r="C442" i="5"/>
  <c r="A443" i="5"/>
  <c r="A444" i="5" l="1"/>
  <c r="B443" i="5"/>
  <c r="C443" i="5"/>
  <c r="D443" i="5"/>
  <c r="D444" i="5" l="1"/>
  <c r="C444" i="5"/>
  <c r="A445" i="5"/>
  <c r="B444" i="5"/>
  <c r="B445" i="5" l="1"/>
  <c r="A446" i="5"/>
  <c r="D445" i="5"/>
  <c r="C445" i="5"/>
  <c r="A447" i="5" l="1"/>
  <c r="D446" i="5"/>
  <c r="C446" i="5"/>
  <c r="B446" i="5"/>
  <c r="B447" i="5" l="1"/>
  <c r="D447" i="5"/>
  <c r="C447" i="5"/>
  <c r="A448" i="5"/>
  <c r="C448" i="5" l="1"/>
  <c r="B448" i="5"/>
  <c r="A449" i="5"/>
  <c r="D448" i="5"/>
  <c r="C449" i="5" l="1"/>
  <c r="D449" i="5"/>
  <c r="B449" i="5"/>
  <c r="A450" i="5"/>
  <c r="C450" i="5" l="1"/>
  <c r="D450" i="5"/>
  <c r="A451" i="5"/>
  <c r="B450" i="5"/>
  <c r="D451" i="5" l="1"/>
  <c r="C451" i="5"/>
  <c r="A452" i="5"/>
  <c r="B451" i="5"/>
  <c r="C452" i="5" l="1"/>
  <c r="D452" i="5"/>
  <c r="A453" i="5"/>
  <c r="B452" i="5"/>
  <c r="D453" i="5" l="1"/>
  <c r="C453" i="5"/>
  <c r="A454" i="5"/>
  <c r="B453" i="5"/>
  <c r="D454" i="5" l="1"/>
  <c r="C454" i="5"/>
  <c r="A455" i="5"/>
  <c r="B454" i="5"/>
  <c r="B455" i="5" l="1"/>
  <c r="D455" i="5"/>
  <c r="A456" i="5"/>
  <c r="C455" i="5"/>
  <c r="A457" i="5" l="1"/>
  <c r="B456" i="5"/>
  <c r="D456" i="5"/>
  <c r="C456" i="5"/>
  <c r="B457" i="5" l="1"/>
  <c r="D457" i="5"/>
  <c r="C457" i="5"/>
  <c r="A458" i="5"/>
  <c r="C458" i="5" l="1"/>
  <c r="A459" i="5"/>
  <c r="D458" i="5"/>
  <c r="B458" i="5"/>
  <c r="A460" i="5" l="1"/>
  <c r="D459" i="5"/>
  <c r="B459" i="5"/>
  <c r="C459" i="5"/>
  <c r="B460" i="5" l="1"/>
  <c r="D460" i="5"/>
  <c r="C460" i="5"/>
  <c r="A461" i="5"/>
  <c r="B461" i="5" l="1"/>
  <c r="D461" i="5"/>
  <c r="A462" i="5"/>
  <c r="C461" i="5"/>
  <c r="B462" i="5" l="1"/>
  <c r="A463" i="5"/>
  <c r="D462" i="5"/>
  <c r="C462" i="5"/>
  <c r="D463" i="5" l="1"/>
  <c r="B463" i="5"/>
  <c r="C463" i="5"/>
  <c r="A464" i="5"/>
  <c r="C464" i="5" l="1"/>
  <c r="B464" i="5"/>
  <c r="A465" i="5"/>
  <c r="D464" i="5"/>
  <c r="C465" i="5" l="1"/>
  <c r="A466" i="5"/>
  <c r="B465" i="5"/>
  <c r="D465" i="5"/>
  <c r="D466" i="5" l="1"/>
  <c r="C466" i="5"/>
  <c r="B466" i="5"/>
  <c r="A467" i="5"/>
  <c r="A468" i="5" l="1"/>
  <c r="D467" i="5"/>
  <c r="C467" i="5"/>
  <c r="B467" i="5"/>
  <c r="D468" i="5" l="1"/>
  <c r="B468" i="5"/>
  <c r="C468" i="5"/>
  <c r="A469" i="5"/>
  <c r="B469" i="5" l="1"/>
  <c r="D469" i="5"/>
  <c r="A470" i="5"/>
  <c r="C469" i="5"/>
  <c r="B470" i="5" l="1"/>
  <c r="D470" i="5"/>
  <c r="A471" i="5"/>
  <c r="C470" i="5"/>
  <c r="A472" i="5" l="1"/>
  <c r="B471" i="5"/>
  <c r="D471" i="5"/>
  <c r="C471" i="5"/>
  <c r="C472" i="5" l="1"/>
  <c r="B472" i="5"/>
  <c r="A473" i="5"/>
  <c r="D472" i="5"/>
  <c r="B473" i="5" l="1"/>
  <c r="A474" i="5"/>
  <c r="D473" i="5"/>
  <c r="C473" i="5"/>
  <c r="A475" i="5" l="1"/>
  <c r="B474" i="5"/>
  <c r="D474" i="5"/>
  <c r="C474" i="5"/>
  <c r="D475" i="5" l="1"/>
  <c r="A476" i="5"/>
  <c r="C475" i="5"/>
  <c r="B475" i="5"/>
  <c r="B476" i="5" l="1"/>
  <c r="D476" i="5"/>
  <c r="C476" i="5"/>
  <c r="A477" i="5"/>
  <c r="C477" i="5" l="1"/>
  <c r="B477" i="5"/>
  <c r="A478" i="5"/>
  <c r="D477" i="5"/>
  <c r="C478" i="5" l="1"/>
  <c r="B478" i="5"/>
  <c r="D478" i="5"/>
  <c r="A479" i="5"/>
  <c r="B479" i="5" l="1"/>
  <c r="C479" i="5"/>
  <c r="A480" i="5"/>
  <c r="D479" i="5"/>
  <c r="D480" i="5" l="1"/>
  <c r="C480" i="5"/>
  <c r="B480" i="5"/>
  <c r="A481" i="5"/>
  <c r="B481" i="5" l="1"/>
  <c r="A482" i="5"/>
  <c r="C481" i="5"/>
  <c r="D481" i="5"/>
  <c r="A483" i="5" l="1"/>
  <c r="C482" i="5"/>
  <c r="D482" i="5"/>
  <c r="B482" i="5"/>
  <c r="C483" i="5" l="1"/>
  <c r="B483" i="5"/>
  <c r="D483" i="5"/>
  <c r="A484" i="5"/>
  <c r="B484" i="5" l="1"/>
  <c r="D484" i="5"/>
  <c r="C484" i="5"/>
  <c r="A485" i="5"/>
  <c r="C485" i="5" l="1"/>
  <c r="A486" i="5"/>
  <c r="B485" i="5"/>
  <c r="D485" i="5"/>
  <c r="C486" i="5" l="1"/>
  <c r="B486" i="5"/>
  <c r="D486" i="5"/>
  <c r="A487" i="5"/>
  <c r="B487" i="5" l="1"/>
  <c r="A488" i="5"/>
  <c r="C487" i="5"/>
  <c r="D487" i="5"/>
  <c r="D488" i="5" l="1"/>
  <c r="B488" i="5"/>
  <c r="A489" i="5"/>
  <c r="C488" i="5"/>
  <c r="C489" i="5" l="1"/>
  <c r="B489" i="5"/>
  <c r="D489" i="5"/>
  <c r="A490" i="5"/>
  <c r="A491" i="5" l="1"/>
  <c r="B490" i="5"/>
  <c r="C490" i="5"/>
  <c r="D490" i="5"/>
  <c r="D491" i="5" l="1"/>
  <c r="A492" i="5"/>
  <c r="B491" i="5"/>
  <c r="C491" i="5"/>
  <c r="C492" i="5" l="1"/>
  <c r="A493" i="5"/>
  <c r="B492" i="5"/>
  <c r="D492" i="5"/>
  <c r="A494" i="5" l="1"/>
  <c r="C493" i="5"/>
  <c r="B493" i="5"/>
  <c r="D493" i="5"/>
  <c r="A495" i="5" l="1"/>
  <c r="D494" i="5"/>
  <c r="C494" i="5"/>
  <c r="B494" i="5"/>
  <c r="B495" i="5" l="1"/>
  <c r="A496" i="5"/>
  <c r="C495" i="5"/>
  <c r="D495" i="5"/>
  <c r="A497" i="5" l="1"/>
  <c r="B496" i="5"/>
  <c r="C496" i="5"/>
  <c r="D496" i="5"/>
  <c r="C497" i="5" l="1"/>
  <c r="D497" i="5"/>
  <c r="B497" i="5"/>
  <c r="A498" i="5"/>
  <c r="C498" i="5" l="1"/>
  <c r="A499" i="5"/>
  <c r="B498" i="5"/>
  <c r="D498" i="5"/>
  <c r="A500" i="5" l="1"/>
  <c r="C499" i="5"/>
  <c r="D499" i="5"/>
  <c r="B499" i="5"/>
  <c r="C500" i="5" l="1"/>
  <c r="A501" i="5"/>
  <c r="B500" i="5"/>
  <c r="D500" i="5"/>
  <c r="B501" i="5" l="1"/>
  <c r="A502" i="5"/>
  <c r="C501" i="5"/>
  <c r="D501" i="5"/>
  <c r="A503" i="5" l="1"/>
  <c r="D502" i="5"/>
  <c r="C502" i="5"/>
  <c r="B502" i="5"/>
  <c r="C503" i="5" l="1"/>
  <c r="A504" i="5"/>
  <c r="D503" i="5"/>
  <c r="B503" i="5"/>
  <c r="D504" i="5" l="1"/>
  <c r="C504" i="5"/>
  <c r="B504" i="5"/>
  <c r="A505" i="5"/>
  <c r="D505" i="5" l="1"/>
  <c r="C505" i="5"/>
  <c r="A506" i="5"/>
  <c r="B505" i="5"/>
  <c r="C506" i="5" l="1"/>
  <c r="B506" i="5"/>
  <c r="A507" i="5"/>
  <c r="D506" i="5"/>
  <c r="A508" i="5" l="1"/>
  <c r="C507" i="5"/>
  <c r="D507" i="5"/>
  <c r="B507" i="5"/>
  <c r="A509" i="5" l="1"/>
  <c r="B508" i="5"/>
  <c r="D508" i="5"/>
  <c r="C508" i="5"/>
  <c r="A510" i="5" l="1"/>
  <c r="B509" i="5"/>
  <c r="D509" i="5"/>
  <c r="C509" i="5"/>
  <c r="A511" i="5" l="1"/>
  <c r="D510" i="5"/>
  <c r="C510" i="5"/>
  <c r="B510" i="5"/>
  <c r="D511" i="5" l="1"/>
  <c r="C511" i="5"/>
  <c r="A512" i="5"/>
  <c r="B511" i="5"/>
  <c r="D512" i="5" l="1"/>
  <c r="B512" i="5"/>
  <c r="A513" i="5"/>
  <c r="C512" i="5"/>
  <c r="A514" i="5" l="1"/>
  <c r="C513" i="5"/>
  <c r="B513" i="5"/>
  <c r="D513" i="5"/>
  <c r="C514" i="5" l="1"/>
  <c r="B514" i="5"/>
  <c r="D514" i="5"/>
  <c r="A515" i="5"/>
  <c r="B515" i="5" l="1"/>
  <c r="C515" i="5"/>
  <c r="D515" i="5"/>
  <c r="A516" i="5"/>
  <c r="A517" i="5" l="1"/>
  <c r="B516" i="5"/>
  <c r="D516" i="5"/>
  <c r="C516" i="5"/>
  <c r="D517" i="5" l="1"/>
  <c r="A518" i="5"/>
  <c r="B517" i="5"/>
  <c r="C517" i="5"/>
  <c r="C518" i="5" l="1"/>
  <c r="B518" i="5"/>
  <c r="D518" i="5"/>
  <c r="A519" i="5"/>
  <c r="C519" i="5" l="1"/>
  <c r="A520" i="5"/>
  <c r="D519" i="5"/>
  <c r="B519" i="5"/>
  <c r="D520" i="5" l="1"/>
  <c r="C520" i="5"/>
  <c r="B520" i="5"/>
  <c r="A521" i="5"/>
  <c r="C521" i="5" l="1"/>
  <c r="B521" i="5"/>
  <c r="A522" i="5"/>
  <c r="D521" i="5"/>
  <c r="D522" i="5" l="1"/>
  <c r="A523" i="5"/>
  <c r="C522" i="5"/>
  <c r="B522" i="5"/>
  <c r="B523" i="5" l="1"/>
  <c r="D523" i="5"/>
  <c r="C523" i="5"/>
  <c r="A524" i="5"/>
  <c r="C524" i="5" l="1"/>
  <c r="B524" i="5"/>
  <c r="D524" i="5"/>
  <c r="A525" i="5"/>
  <c r="D525" i="5" l="1"/>
  <c r="C525" i="5"/>
  <c r="B525" i="5"/>
  <c r="A526" i="5"/>
  <c r="A527" i="5" l="1"/>
  <c r="B526" i="5"/>
  <c r="D526" i="5"/>
  <c r="C526" i="5"/>
  <c r="D527" i="5" l="1"/>
  <c r="C527" i="5"/>
  <c r="A528" i="5"/>
  <c r="B527" i="5"/>
  <c r="A529" i="5" l="1"/>
  <c r="B528" i="5"/>
  <c r="C528" i="5"/>
  <c r="D528" i="5"/>
  <c r="C529" i="5" l="1"/>
  <c r="B529" i="5"/>
  <c r="D529" i="5"/>
  <c r="A530" i="5"/>
  <c r="A531" i="5" l="1"/>
  <c r="C530" i="5"/>
  <c r="B530" i="5"/>
  <c r="D530" i="5"/>
  <c r="C531" i="5" l="1"/>
  <c r="D531" i="5"/>
  <c r="A532" i="5"/>
  <c r="B531" i="5"/>
  <c r="D532" i="5" l="1"/>
  <c r="B532" i="5"/>
  <c r="C532" i="5"/>
  <c r="A533" i="5"/>
  <c r="B533" i="5" l="1"/>
  <c r="A534" i="5"/>
  <c r="D533" i="5"/>
  <c r="C533" i="5"/>
  <c r="C534" i="5" l="1"/>
  <c r="B534" i="5"/>
  <c r="D534" i="5"/>
  <c r="A535" i="5"/>
  <c r="B535" i="5" l="1"/>
  <c r="A536" i="5"/>
  <c r="D535" i="5"/>
  <c r="C535" i="5"/>
  <c r="D536" i="5" l="1"/>
  <c r="C536" i="5"/>
  <c r="B536" i="5"/>
  <c r="A537" i="5"/>
  <c r="B537" i="5" l="1"/>
  <c r="A538" i="5"/>
  <c r="C537" i="5"/>
  <c r="D537" i="5"/>
  <c r="C538" i="5" l="1"/>
  <c r="B538" i="5"/>
  <c r="A539" i="5"/>
  <c r="D538" i="5"/>
  <c r="C539" i="5" l="1"/>
  <c r="B539" i="5"/>
  <c r="A540" i="5"/>
  <c r="D539" i="5"/>
  <c r="C540" i="5" l="1"/>
  <c r="D540" i="5"/>
  <c r="A541" i="5"/>
  <c r="B540" i="5"/>
  <c r="C541" i="5" l="1"/>
  <c r="B541" i="5"/>
  <c r="A542" i="5"/>
  <c r="D541" i="5"/>
  <c r="D542" i="5" l="1"/>
  <c r="B542" i="5"/>
  <c r="A543" i="5"/>
  <c r="C542" i="5"/>
  <c r="D543" i="5" l="1"/>
  <c r="B543" i="5"/>
  <c r="A544" i="5"/>
  <c r="C543" i="5"/>
  <c r="B544" i="5" l="1"/>
  <c r="D544" i="5"/>
  <c r="A545" i="5"/>
  <c r="C544" i="5"/>
  <c r="A546" i="5" l="1"/>
  <c r="C545" i="5"/>
  <c r="B545" i="5"/>
  <c r="D545" i="5"/>
  <c r="C546" i="5" l="1"/>
  <c r="D546" i="5"/>
  <c r="B546" i="5"/>
  <c r="A547" i="5"/>
  <c r="D547" i="5" l="1"/>
  <c r="A548" i="5"/>
  <c r="B547" i="5"/>
  <c r="C547" i="5"/>
  <c r="A549" i="5" l="1"/>
  <c r="D548" i="5"/>
  <c r="C548" i="5"/>
  <c r="B548" i="5"/>
  <c r="C549" i="5" l="1"/>
  <c r="B549" i="5"/>
  <c r="A550" i="5"/>
  <c r="D549" i="5"/>
  <c r="D550" i="5" l="1"/>
  <c r="B550" i="5"/>
  <c r="A551" i="5"/>
  <c r="C550" i="5"/>
  <c r="C551" i="5" l="1"/>
  <c r="D551" i="5"/>
  <c r="A552" i="5"/>
  <c r="B551" i="5"/>
  <c r="C552" i="5" l="1"/>
  <c r="A553" i="5"/>
  <c r="D552" i="5"/>
  <c r="B552" i="5"/>
  <c r="C553" i="5" l="1"/>
  <c r="D553" i="5"/>
  <c r="B553" i="5"/>
  <c r="A554" i="5"/>
  <c r="D554" i="5" l="1"/>
  <c r="B554" i="5"/>
  <c r="C554" i="5"/>
  <c r="A555" i="5"/>
  <c r="C555" i="5" l="1"/>
  <c r="D555" i="5"/>
  <c r="B555" i="5"/>
  <c r="A556" i="5"/>
  <c r="B556" i="5" l="1"/>
  <c r="D556" i="5"/>
  <c r="A557" i="5"/>
  <c r="C556" i="5"/>
  <c r="B557" i="5" l="1"/>
  <c r="C557" i="5"/>
  <c r="D557" i="5"/>
  <c r="A558" i="5"/>
  <c r="D558" i="5" l="1"/>
  <c r="B558" i="5"/>
  <c r="A559" i="5"/>
  <c r="C558" i="5"/>
  <c r="B559" i="5" l="1"/>
  <c r="A560" i="5"/>
  <c r="C559" i="5"/>
  <c r="D559" i="5"/>
  <c r="C560" i="5" l="1"/>
  <c r="A561" i="5"/>
  <c r="D560" i="5"/>
  <c r="B560" i="5"/>
  <c r="D561" i="5" l="1"/>
  <c r="C561" i="5"/>
  <c r="A562" i="5"/>
  <c r="B561" i="5"/>
  <c r="A563" i="5" l="1"/>
  <c r="D562" i="5"/>
  <c r="C562" i="5"/>
  <c r="B562" i="5"/>
  <c r="A564" i="5" l="1"/>
  <c r="C563" i="5"/>
  <c r="D563" i="5"/>
  <c r="B563" i="5"/>
  <c r="B564" i="5" l="1"/>
  <c r="D564" i="5"/>
  <c r="C564" i="5"/>
  <c r="A565" i="5"/>
  <c r="D565" i="5" l="1"/>
  <c r="C565" i="5"/>
  <c r="A566" i="5"/>
  <c r="B565" i="5"/>
  <c r="D566" i="5" l="1"/>
  <c r="B566" i="5"/>
  <c r="A567" i="5"/>
  <c r="C566" i="5"/>
  <c r="C567" i="5" l="1"/>
  <c r="B567" i="5"/>
  <c r="D567" i="5"/>
  <c r="A568" i="5"/>
  <c r="C568" i="5" l="1"/>
  <c r="B568" i="5"/>
  <c r="A569" i="5"/>
  <c r="D568" i="5"/>
  <c r="B569" i="5" l="1"/>
  <c r="D569" i="5"/>
  <c r="C569" i="5"/>
  <c r="A570" i="5"/>
  <c r="C570" i="5" l="1"/>
  <c r="A571" i="5"/>
  <c r="B570" i="5"/>
  <c r="D570" i="5"/>
  <c r="D571" i="5" l="1"/>
  <c r="A572" i="5"/>
  <c r="B571" i="5"/>
  <c r="C571" i="5"/>
  <c r="C572" i="5" l="1"/>
  <c r="B572" i="5"/>
  <c r="D572" i="5"/>
  <c r="A573" i="5"/>
  <c r="A574" i="5" l="1"/>
  <c r="C573" i="5"/>
  <c r="B573" i="5"/>
  <c r="D573" i="5"/>
  <c r="B574" i="5" l="1"/>
  <c r="D574" i="5"/>
  <c r="A575" i="5"/>
  <c r="C574" i="5"/>
  <c r="B575" i="5" l="1"/>
  <c r="D575" i="5"/>
  <c r="C575" i="5"/>
  <c r="A576" i="5"/>
  <c r="C576" i="5" l="1"/>
  <c r="D576" i="5"/>
  <c r="B576" i="5"/>
  <c r="A577" i="5"/>
  <c r="D577" i="5" l="1"/>
  <c r="C577" i="5"/>
  <c r="A578" i="5"/>
  <c r="B577" i="5"/>
  <c r="A579" i="5" l="1"/>
  <c r="D578" i="5"/>
  <c r="C578" i="5"/>
  <c r="B578" i="5"/>
  <c r="A580" i="5" l="1"/>
  <c r="C579" i="5"/>
  <c r="D579" i="5"/>
  <c r="B579" i="5"/>
  <c r="B580" i="5" l="1"/>
  <c r="C580" i="5"/>
  <c r="A581" i="5"/>
  <c r="D580" i="5"/>
  <c r="C581" i="5" l="1"/>
  <c r="B581" i="5"/>
  <c r="A582" i="5"/>
  <c r="D581" i="5"/>
  <c r="A583" i="5" l="1"/>
  <c r="B582" i="5"/>
  <c r="C582" i="5"/>
  <c r="D582" i="5"/>
  <c r="C583" i="5" l="1"/>
  <c r="D583" i="5"/>
  <c r="B583" i="5"/>
  <c r="A584" i="5"/>
  <c r="A585" i="5" l="1"/>
  <c r="D584" i="5"/>
  <c r="C584" i="5"/>
  <c r="B584" i="5"/>
  <c r="D585" i="5" l="1"/>
  <c r="C585" i="5"/>
  <c r="B585" i="5"/>
  <c r="A586" i="5"/>
  <c r="D586" i="5" l="1"/>
  <c r="A587" i="5"/>
  <c r="C586" i="5"/>
  <c r="B586" i="5"/>
  <c r="C587" i="5" l="1"/>
  <c r="D587" i="5"/>
  <c r="B587" i="5"/>
  <c r="A588" i="5"/>
  <c r="A589" i="5" l="1"/>
  <c r="D588" i="5"/>
  <c r="B588" i="5"/>
  <c r="C588" i="5"/>
  <c r="A590" i="5" l="1"/>
  <c r="C589" i="5"/>
  <c r="D589" i="5"/>
  <c r="B589" i="5"/>
  <c r="C590" i="5" l="1"/>
  <c r="B590" i="5"/>
  <c r="A591" i="5"/>
  <c r="D590" i="5"/>
  <c r="A592" i="5" l="1"/>
  <c r="D591" i="5"/>
  <c r="C591" i="5"/>
  <c r="B591" i="5"/>
  <c r="A593" i="5" l="1"/>
  <c r="B592" i="5"/>
  <c r="D592" i="5"/>
  <c r="C592" i="5"/>
  <c r="D593" i="5" l="1"/>
  <c r="B593" i="5"/>
  <c r="C593" i="5"/>
  <c r="A594" i="5"/>
  <c r="B594" i="5" l="1"/>
  <c r="C594" i="5"/>
  <c r="A595" i="5"/>
  <c r="D594" i="5"/>
  <c r="C595" i="5" l="1"/>
  <c r="A596" i="5"/>
  <c r="D595" i="5"/>
  <c r="B595" i="5"/>
  <c r="A597" i="5" l="1"/>
  <c r="C596" i="5"/>
  <c r="D596" i="5"/>
  <c r="B596" i="5"/>
  <c r="A598" i="5" l="1"/>
  <c r="D597" i="5"/>
  <c r="C597" i="5"/>
  <c r="B597" i="5"/>
  <c r="B598" i="5" l="1"/>
  <c r="A599" i="5"/>
  <c r="C598" i="5"/>
  <c r="D598" i="5"/>
  <c r="D599" i="5" l="1"/>
  <c r="B599" i="5"/>
  <c r="C599" i="5"/>
  <c r="A600" i="5"/>
  <c r="C600" i="5" l="1"/>
  <c r="B600" i="5"/>
  <c r="D600" i="5"/>
  <c r="A601" i="5"/>
  <c r="D601" i="5" l="1"/>
  <c r="C601" i="5"/>
  <c r="B601" i="5"/>
  <c r="A602" i="5"/>
  <c r="B602" i="5" l="1"/>
  <c r="C602" i="5"/>
  <c r="D602" i="5"/>
  <c r="A603" i="5"/>
  <c r="A604" i="5" l="1"/>
  <c r="D603" i="5"/>
  <c r="C603" i="5"/>
  <c r="B603" i="5"/>
  <c r="C604" i="5" l="1"/>
  <c r="B604" i="5"/>
  <c r="A605" i="5"/>
  <c r="D604" i="5"/>
  <c r="B605" i="5" l="1"/>
  <c r="D605" i="5"/>
  <c r="A606" i="5"/>
  <c r="C605" i="5"/>
  <c r="D606" i="5" l="1"/>
  <c r="B606" i="5"/>
  <c r="C606" i="5"/>
  <c r="A607" i="5"/>
  <c r="B607" i="5" l="1"/>
  <c r="A608" i="5"/>
  <c r="C607" i="5"/>
  <c r="D607" i="5"/>
  <c r="C608" i="5" l="1"/>
  <c r="D608" i="5"/>
  <c r="A609" i="5"/>
  <c r="B608" i="5"/>
  <c r="A610" i="5" l="1"/>
  <c r="B609" i="5"/>
  <c r="D609" i="5"/>
  <c r="C609" i="5"/>
  <c r="B610" i="5" l="1"/>
  <c r="C610" i="5"/>
  <c r="D610" i="5"/>
  <c r="A611" i="5"/>
  <c r="D611" i="5" l="1"/>
  <c r="A612" i="5"/>
  <c r="B611" i="5"/>
  <c r="C611" i="5"/>
  <c r="D612" i="5" l="1"/>
  <c r="B612" i="5"/>
  <c r="C612" i="5"/>
  <c r="A613" i="5"/>
  <c r="C613" i="5" l="1"/>
  <c r="B613" i="5"/>
  <c r="A614" i="5"/>
  <c r="D613" i="5"/>
  <c r="A615" i="5" l="1"/>
  <c r="B614" i="5"/>
  <c r="D614" i="5"/>
  <c r="C614" i="5"/>
  <c r="C615" i="5" l="1"/>
  <c r="B615" i="5"/>
  <c r="A616" i="5"/>
  <c r="D615" i="5"/>
  <c r="A617" i="5" l="1"/>
  <c r="D616" i="5"/>
  <c r="C616" i="5"/>
  <c r="B616" i="5"/>
  <c r="C617" i="5" l="1"/>
  <c r="B617" i="5"/>
  <c r="D617" i="5"/>
  <c r="A618" i="5"/>
  <c r="D618" i="5" l="1"/>
  <c r="B618" i="5"/>
  <c r="C618" i="5"/>
  <c r="A619" i="5"/>
  <c r="D619" i="5" l="1"/>
  <c r="B619" i="5"/>
  <c r="C619" i="5"/>
  <c r="A620" i="5"/>
  <c r="B620" i="5" l="1"/>
  <c r="C620" i="5"/>
  <c r="A621" i="5"/>
  <c r="D620" i="5"/>
  <c r="B621" i="5" l="1"/>
  <c r="C621" i="5"/>
  <c r="A622" i="5"/>
  <c r="D621" i="5"/>
  <c r="C622" i="5" l="1"/>
  <c r="B622" i="5"/>
  <c r="A623" i="5"/>
  <c r="D622" i="5"/>
  <c r="B623" i="5" l="1"/>
  <c r="C623" i="5"/>
  <c r="D623" i="5"/>
  <c r="A624" i="5"/>
  <c r="D624" i="5" l="1"/>
  <c r="B624" i="5"/>
  <c r="A625" i="5"/>
  <c r="C624" i="5"/>
  <c r="B625" i="5" l="1"/>
  <c r="C625" i="5"/>
  <c r="A626" i="5"/>
  <c r="D625" i="5"/>
  <c r="D626" i="5" l="1"/>
  <c r="C626" i="5"/>
  <c r="A627" i="5"/>
  <c r="B626" i="5"/>
  <c r="A628" i="5" l="1"/>
  <c r="C627" i="5"/>
  <c r="D627" i="5"/>
  <c r="B627" i="5"/>
  <c r="D628" i="5" l="1"/>
  <c r="C628" i="5"/>
  <c r="B628" i="5"/>
  <c r="A2" i="5"/>
  <c r="M19" i="3" l="1"/>
  <c r="M25" i="3"/>
  <c r="K19" i="3"/>
  <c r="K25" i="3"/>
  <c r="AM19" i="1"/>
  <c r="L19" i="3" l="1"/>
  <c r="L25" i="3"/>
  <c r="K106" i="3" l="1"/>
  <c r="K105" i="3"/>
  <c r="AM52" i="1"/>
  <c r="M75" i="3"/>
  <c r="M76" i="3" l="1"/>
  <c r="AM33" i="1"/>
  <c r="AM32" i="1"/>
  <c r="M295" i="3"/>
  <c r="K75" i="3"/>
  <c r="K348" i="3"/>
  <c r="M348" i="3"/>
  <c r="K320" i="3"/>
  <c r="K318" i="3"/>
  <c r="K287" i="3"/>
  <c r="K292" i="3"/>
  <c r="M292" i="3"/>
  <c r="K290" i="3"/>
  <c r="M290" i="3"/>
  <c r="M266" i="3"/>
  <c r="M265" i="3"/>
  <c r="M264" i="3"/>
  <c r="M262" i="3"/>
  <c r="K241" i="3"/>
  <c r="K104" i="3"/>
  <c r="K77" i="3"/>
  <c r="M79" i="3"/>
  <c r="K79" i="3"/>
  <c r="AM23" i="1"/>
  <c r="AM28" i="1"/>
  <c r="M52" i="3"/>
  <c r="K49" i="3"/>
  <c r="AM27" i="1"/>
  <c r="M340" i="3"/>
  <c r="AM39" i="1"/>
  <c r="K52" i="3" l="1"/>
  <c r="AM86" i="1"/>
  <c r="M104" i="3"/>
  <c r="K101" i="3"/>
  <c r="AM57" i="1"/>
  <c r="AM48" i="1"/>
  <c r="M50" i="3"/>
  <c r="K47" i="3"/>
  <c r="K48" i="3"/>
  <c r="M49" i="3"/>
  <c r="K46" i="3"/>
  <c r="M130" i="3"/>
  <c r="M180" i="3"/>
  <c r="M160" i="3"/>
  <c r="M240" i="3"/>
  <c r="M241" i="3"/>
  <c r="M105" i="3"/>
  <c r="M106" i="3"/>
  <c r="M46" i="3"/>
  <c r="M101" i="3"/>
  <c r="M287" i="3"/>
  <c r="M268" i="3"/>
  <c r="M102" i="3"/>
  <c r="M103" i="3"/>
  <c r="M48" i="3"/>
  <c r="K102" i="3"/>
  <c r="M341" i="3"/>
  <c r="M342" i="3"/>
  <c r="K345" i="3"/>
  <c r="M345" i="3"/>
  <c r="M338" i="3"/>
  <c r="K338" i="3"/>
  <c r="AM66" i="1"/>
  <c r="M313" i="3"/>
  <c r="K314" i="3"/>
  <c r="K240" i="3"/>
  <c r="K311" i="3"/>
  <c r="M311" i="3"/>
  <c r="K306" i="3"/>
  <c r="K262" i="3"/>
  <c r="K130" i="3"/>
  <c r="M305" i="3"/>
  <c r="K294" i="3"/>
  <c r="M294" i="3"/>
  <c r="K291" i="3"/>
  <c r="M291" i="3"/>
  <c r="M267" i="3"/>
  <c r="K289" i="3"/>
  <c r="M289" i="3"/>
  <c r="K266" i="3"/>
  <c r="M280" i="3"/>
  <c r="K280" i="3"/>
  <c r="K264" i="3"/>
  <c r="M263" i="3"/>
  <c r="K181" i="3"/>
  <c r="K160" i="3"/>
  <c r="M211" i="3"/>
  <c r="K211" i="3"/>
  <c r="M212" i="3"/>
  <c r="K210" i="3"/>
  <c r="AM70" i="1"/>
  <c r="M184" i="3"/>
  <c r="M159" i="3"/>
  <c r="K159" i="3"/>
  <c r="K158" i="3"/>
  <c r="AM84" i="1"/>
  <c r="M133" i="3"/>
  <c r="K133" i="3"/>
  <c r="AM68" i="1"/>
  <c r="M77" i="3"/>
  <c r="AM71" i="1"/>
  <c r="AM72" i="1"/>
  <c r="AM26" i="1"/>
  <c r="AM50" i="1"/>
  <c r="K91" i="3"/>
  <c r="M91" i="3"/>
  <c r="AM60" i="1"/>
  <c r="AM55" i="1"/>
  <c r="L79" i="3" s="1"/>
  <c r="AM62" i="1"/>
  <c r="AM29" i="1"/>
  <c r="L49" i="3" s="1"/>
  <c r="AM51" i="1"/>
  <c r="AM25" i="1"/>
  <c r="AM22" i="1"/>
  <c r="AM31" i="1"/>
  <c r="AM46" i="1"/>
  <c r="M71" i="3"/>
  <c r="AM44" i="1"/>
  <c r="AM40" i="1"/>
  <c r="M51" i="3"/>
  <c r="AM30" i="1"/>
  <c r="K64" i="3"/>
  <c r="M64" i="3"/>
  <c r="AM37" i="1"/>
  <c r="AM21" i="1"/>
  <c r="M339" i="3"/>
  <c r="K265" i="3" l="1"/>
  <c r="M179" i="3"/>
  <c r="M158" i="3"/>
  <c r="M126" i="3"/>
  <c r="M125" i="3"/>
  <c r="AM43" i="1"/>
  <c r="K103" i="3"/>
  <c r="AM34" i="1"/>
  <c r="L47" i="3" s="1"/>
  <c r="AM69" i="1"/>
  <c r="AM64" i="1"/>
  <c r="M47" i="3"/>
  <c r="M78" i="3"/>
  <c r="K78" i="3"/>
  <c r="M72" i="3"/>
  <c r="K72" i="3"/>
  <c r="K71" i="3"/>
  <c r="M70" i="3"/>
  <c r="K70" i="3"/>
  <c r="K305" i="3"/>
  <c r="K313" i="3"/>
  <c r="M62" i="3"/>
  <c r="M213" i="3"/>
  <c r="M214" i="3"/>
  <c r="K125" i="3"/>
  <c r="M343" i="3"/>
  <c r="M322" i="3"/>
  <c r="M73" i="3"/>
  <c r="M74" i="3"/>
  <c r="K69" i="3"/>
  <c r="K73" i="3"/>
  <c r="K74" i="3"/>
  <c r="M320" i="3"/>
  <c r="M69" i="3"/>
  <c r="M186" i="3"/>
  <c r="M187" i="3"/>
  <c r="K186" i="3"/>
  <c r="K187" i="3"/>
  <c r="M318" i="3"/>
  <c r="L76" i="3"/>
  <c r="L105" i="3"/>
  <c r="L48" i="3"/>
  <c r="K212" i="3"/>
  <c r="K213" i="3"/>
  <c r="K347" i="3"/>
  <c r="M347" i="3"/>
  <c r="K307" i="3"/>
  <c r="K346" i="3"/>
  <c r="M346" i="3"/>
  <c r="K344" i="3"/>
  <c r="M344" i="3"/>
  <c r="K179" i="3"/>
  <c r="AM126" i="1"/>
  <c r="AM215" i="1"/>
  <c r="K308" i="3"/>
  <c r="M309" i="3"/>
  <c r="K332" i="3"/>
  <c r="M308" i="3"/>
  <c r="K321" i="3"/>
  <c r="M321" i="3"/>
  <c r="K316" i="3"/>
  <c r="M316" i="3"/>
  <c r="M314" i="3"/>
  <c r="K285" i="3"/>
  <c r="M281" i="3"/>
  <c r="M306" i="3"/>
  <c r="M307" i="3"/>
  <c r="AM195" i="1"/>
  <c r="K293" i="3"/>
  <c r="M293" i="3"/>
  <c r="AM184" i="1"/>
  <c r="K288" i="3"/>
  <c r="M288" i="3"/>
  <c r="K286" i="3"/>
  <c r="M286" i="3"/>
  <c r="K283" i="3"/>
  <c r="M284" i="3"/>
  <c r="K284" i="3"/>
  <c r="K279" i="3"/>
  <c r="K281" i="3"/>
  <c r="K282" i="3"/>
  <c r="AM42" i="1"/>
  <c r="M278" i="3"/>
  <c r="K278" i="3"/>
  <c r="K214" i="3"/>
  <c r="M234" i="3"/>
  <c r="K205" i="3"/>
  <c r="K197" i="3"/>
  <c r="M185" i="3"/>
  <c r="M178" i="3"/>
  <c r="K178" i="3"/>
  <c r="AM113" i="1"/>
  <c r="K157" i="3"/>
  <c r="AM91" i="1"/>
  <c r="AM88" i="1"/>
  <c r="AM100" i="1"/>
  <c r="AM109" i="1"/>
  <c r="M127" i="3"/>
  <c r="AM99" i="1"/>
  <c r="AM63" i="1"/>
  <c r="AM79" i="1"/>
  <c r="AM76" i="1"/>
  <c r="AM114" i="1"/>
  <c r="AM73" i="1"/>
  <c r="AM65" i="1"/>
  <c r="AM54" i="1"/>
  <c r="L78" i="3" s="1"/>
  <c r="M100" i="3"/>
  <c r="AM53" i="1"/>
  <c r="L77" i="3" s="1"/>
  <c r="AM47" i="1"/>
  <c r="L75" i="3"/>
  <c r="K68" i="3"/>
  <c r="M68" i="3"/>
  <c r="AM45" i="1"/>
  <c r="K51" i="3"/>
  <c r="K67" i="3"/>
  <c r="M67" i="3"/>
  <c r="K66" i="3"/>
  <c r="M66" i="3"/>
  <c r="M65" i="3"/>
  <c r="K65" i="3"/>
  <c r="K63" i="3"/>
  <c r="M63" i="3"/>
  <c r="L52" i="3"/>
  <c r="AM24" i="1"/>
  <c r="AM61" i="1"/>
  <c r="M45" i="3"/>
  <c r="L46" i="3"/>
  <c r="K180" i="3"/>
  <c r="AM157" i="1" l="1"/>
  <c r="AM170" i="1"/>
  <c r="AM164" i="1"/>
  <c r="K263" i="3"/>
  <c r="K267" i="3"/>
  <c r="AM153" i="1"/>
  <c r="AM144" i="1"/>
  <c r="AM93" i="1"/>
  <c r="M210" i="3"/>
  <c r="M205" i="3"/>
  <c r="M204" i="3"/>
  <c r="K199" i="3"/>
  <c r="K198" i="3"/>
  <c r="AM105" i="1"/>
  <c r="AM136" i="1"/>
  <c r="AM139" i="1"/>
  <c r="AM143" i="1"/>
  <c r="K185" i="3"/>
  <c r="K184" i="3"/>
  <c r="AM115" i="1"/>
  <c r="AM121" i="1"/>
  <c r="L181" i="3" s="1"/>
  <c r="M197" i="3"/>
  <c r="M181" i="3"/>
  <c r="AM119" i="1"/>
  <c r="AM118" i="1"/>
  <c r="K116" i="3"/>
  <c r="M157" i="3"/>
  <c r="M156" i="3"/>
  <c r="K156" i="3"/>
  <c r="K148" i="3"/>
  <c r="M149" i="3"/>
  <c r="M148" i="3"/>
  <c r="K132" i="3"/>
  <c r="K129" i="3"/>
  <c r="AM89" i="1"/>
  <c r="K127" i="3"/>
  <c r="K126" i="3"/>
  <c r="K124" i="3"/>
  <c r="M122" i="3"/>
  <c r="AM80" i="1"/>
  <c r="K119" i="3"/>
  <c r="M117" i="3"/>
  <c r="M116" i="3"/>
  <c r="K117" i="3"/>
  <c r="AM67" i="1"/>
  <c r="L104" i="3" s="1"/>
  <c r="K100" i="3"/>
  <c r="K90" i="3"/>
  <c r="M90" i="3"/>
  <c r="M89" i="3"/>
  <c r="K89" i="3"/>
  <c r="K45" i="3"/>
  <c r="AM49" i="1"/>
  <c r="L73" i="3" s="1"/>
  <c r="AM38" i="1"/>
  <c r="L72" i="3" s="1"/>
  <c r="L69" i="3"/>
  <c r="L70" i="3"/>
  <c r="L63" i="3"/>
  <c r="M43" i="3"/>
  <c r="M44" i="3"/>
  <c r="K43" i="3"/>
  <c r="K44" i="3"/>
  <c r="M39" i="3"/>
  <c r="M42" i="3"/>
  <c r="K39" i="3"/>
  <c r="K42" i="3"/>
  <c r="M41" i="3"/>
  <c r="K41" i="3"/>
  <c r="K40" i="3"/>
  <c r="M40" i="3"/>
  <c r="M37" i="3"/>
  <c r="M38" i="3"/>
  <c r="K36" i="3"/>
  <c r="K38" i="3"/>
  <c r="K37" i="3"/>
  <c r="K204" i="3"/>
  <c r="K312" i="3"/>
  <c r="M332" i="3"/>
  <c r="M128" i="3"/>
  <c r="M129" i="3"/>
  <c r="K236" i="3"/>
  <c r="K237" i="3"/>
  <c r="M124" i="3"/>
  <c r="K182" i="3"/>
  <c r="K183" i="3"/>
  <c r="M131" i="3"/>
  <c r="M132" i="3"/>
  <c r="M238" i="3"/>
  <c r="M239" i="3"/>
  <c r="K309" i="3"/>
  <c r="M319" i="3"/>
  <c r="M315" i="3"/>
  <c r="K337" i="3"/>
  <c r="K310" i="3"/>
  <c r="K238" i="3"/>
  <c r="K239" i="3"/>
  <c r="K319" i="3"/>
  <c r="K315" i="3"/>
  <c r="M337" i="3"/>
  <c r="M310" i="3"/>
  <c r="L68" i="3"/>
  <c r="L74" i="3"/>
  <c r="M317" i="3"/>
  <c r="K317" i="3"/>
  <c r="K234" i="3"/>
  <c r="M182" i="3"/>
  <c r="M183" i="3"/>
  <c r="M236" i="3"/>
  <c r="M237" i="3"/>
  <c r="L66" i="3"/>
  <c r="AM137" i="1"/>
  <c r="AM217" i="1"/>
  <c r="M285" i="3"/>
  <c r="AM210" i="1"/>
  <c r="AM221" i="1"/>
  <c r="L347" i="3" s="1"/>
  <c r="AM205" i="1"/>
  <c r="AM222" i="1"/>
  <c r="AM220" i="1"/>
  <c r="AM219" i="1"/>
  <c r="L345" i="3" s="1"/>
  <c r="M198" i="3"/>
  <c r="AM216" i="1"/>
  <c r="L341" i="3"/>
  <c r="AM101" i="1"/>
  <c r="AM203" i="1"/>
  <c r="AM214" i="1"/>
  <c r="AM211" i="1"/>
  <c r="AM213" i="1"/>
  <c r="AM212" i="1"/>
  <c r="K335" i="3"/>
  <c r="K336" i="3"/>
  <c r="M335" i="3"/>
  <c r="M336" i="3"/>
  <c r="AM194" i="1"/>
  <c r="AM209" i="1"/>
  <c r="K333" i="3"/>
  <c r="K334" i="3"/>
  <c r="M333" i="3"/>
  <c r="M334" i="3"/>
  <c r="AM197" i="1"/>
  <c r="AM207" i="1"/>
  <c r="M312" i="3"/>
  <c r="AM201" i="1"/>
  <c r="L317" i="3" s="1"/>
  <c r="AM193" i="1"/>
  <c r="AM179" i="1"/>
  <c r="L266" i="3" s="1"/>
  <c r="AM187" i="1"/>
  <c r="L293" i="3" s="1"/>
  <c r="AM204" i="1"/>
  <c r="AM199" i="1"/>
  <c r="L295" i="3" s="1"/>
  <c r="AM196" i="1"/>
  <c r="AM192" i="1"/>
  <c r="AM180" i="1"/>
  <c r="AM191" i="1"/>
  <c r="AM190" i="1"/>
  <c r="AM182" i="1"/>
  <c r="L288" i="3" s="1"/>
  <c r="AM174" i="1"/>
  <c r="AM189" i="1"/>
  <c r="AM171" i="1"/>
  <c r="AM188" i="1"/>
  <c r="M283" i="3"/>
  <c r="AM169" i="1"/>
  <c r="AM186" i="1"/>
  <c r="L290" i="3"/>
  <c r="AM166" i="1"/>
  <c r="AM183" i="1"/>
  <c r="AM175" i="1"/>
  <c r="AM181" i="1"/>
  <c r="L268" i="3" s="1"/>
  <c r="AM177" i="1"/>
  <c r="M282" i="3"/>
  <c r="M279" i="3"/>
  <c r="AM172" i="1"/>
  <c r="AM147" i="1"/>
  <c r="AM162" i="1"/>
  <c r="AM142" i="1"/>
  <c r="AM161" i="1"/>
  <c r="AM160" i="1"/>
  <c r="AM159" i="1"/>
  <c r="AM149" i="1"/>
  <c r="AM158" i="1"/>
  <c r="AM156" i="1"/>
  <c r="M235" i="3"/>
  <c r="AM155" i="1"/>
  <c r="AM150" i="1"/>
  <c r="AM152" i="1"/>
  <c r="AM127" i="1"/>
  <c r="AM146" i="1"/>
  <c r="AM145" i="1"/>
  <c r="AM131" i="1"/>
  <c r="AM141" i="1"/>
  <c r="AM125" i="1"/>
  <c r="L185" i="3" s="1"/>
  <c r="AM140" i="1"/>
  <c r="M208" i="3"/>
  <c r="K209" i="3"/>
  <c r="AM129" i="1"/>
  <c r="AM123" i="1"/>
  <c r="AM135" i="1"/>
  <c r="K201" i="3"/>
  <c r="AM132" i="1"/>
  <c r="M203" i="3"/>
  <c r="M207" i="3"/>
  <c r="K203" i="3"/>
  <c r="K200" i="3"/>
  <c r="M202" i="3"/>
  <c r="M200" i="3"/>
  <c r="K202" i="3"/>
  <c r="AM128" i="1"/>
  <c r="M201" i="3"/>
  <c r="M199" i="3"/>
  <c r="AM124" i="1"/>
  <c r="AM111" i="1"/>
  <c r="AM122" i="1"/>
  <c r="AM103" i="1"/>
  <c r="L160" i="3" s="1"/>
  <c r="AM120" i="1"/>
  <c r="AM97" i="1"/>
  <c r="AM117" i="1"/>
  <c r="AM95" i="1"/>
  <c r="AM116" i="1"/>
  <c r="K149" i="3"/>
  <c r="AM110" i="1"/>
  <c r="AM108" i="1"/>
  <c r="AM90" i="1"/>
  <c r="AM107" i="1"/>
  <c r="AM92" i="1"/>
  <c r="AM106" i="1"/>
  <c r="M153" i="3"/>
  <c r="AM133" i="1"/>
  <c r="AM102" i="1"/>
  <c r="K151" i="3"/>
  <c r="M152" i="3"/>
  <c r="AM75" i="1"/>
  <c r="M150" i="3"/>
  <c r="K150" i="3"/>
  <c r="AM78" i="1"/>
  <c r="AM98" i="1"/>
  <c r="K146" i="3"/>
  <c r="M145" i="3"/>
  <c r="K152" i="3"/>
  <c r="AM96" i="1"/>
  <c r="K118" i="3"/>
  <c r="AM94" i="1"/>
  <c r="M147" i="3"/>
  <c r="K147" i="3"/>
  <c r="M146" i="3"/>
  <c r="L133" i="3"/>
  <c r="K144" i="3"/>
  <c r="K145" i="3"/>
  <c r="M143" i="3"/>
  <c r="M144" i="3"/>
  <c r="K143" i="3"/>
  <c r="AM87" i="1"/>
  <c r="K131" i="3"/>
  <c r="AM85" i="1"/>
  <c r="AM36" i="1"/>
  <c r="AM83" i="1"/>
  <c r="L130" i="3" s="1"/>
  <c r="K128" i="3"/>
  <c r="AM82" i="1"/>
  <c r="K99" i="3"/>
  <c r="AM81" i="1"/>
  <c r="L127" i="3" s="1"/>
  <c r="K123" i="3"/>
  <c r="AM77" i="1"/>
  <c r="M121" i="3"/>
  <c r="M119" i="3"/>
  <c r="K122" i="3"/>
  <c r="K121" i="3"/>
  <c r="M120" i="3"/>
  <c r="M118" i="3"/>
  <c r="K120" i="3"/>
  <c r="AM74" i="1"/>
  <c r="L118" i="3" s="1"/>
  <c r="L106" i="3"/>
  <c r="L103" i="3"/>
  <c r="M98" i="3"/>
  <c r="M99" i="3"/>
  <c r="K97" i="3"/>
  <c r="K98" i="3"/>
  <c r="M96" i="3"/>
  <c r="M97" i="3"/>
  <c r="K95" i="3"/>
  <c r="K96" i="3"/>
  <c r="M94" i="3"/>
  <c r="M95" i="3"/>
  <c r="AM59" i="1"/>
  <c r="L101" i="3" s="1"/>
  <c r="K93" i="3"/>
  <c r="K94" i="3"/>
  <c r="K62" i="3"/>
  <c r="AM58" i="1"/>
  <c r="M92" i="3"/>
  <c r="M93" i="3"/>
  <c r="K92" i="3"/>
  <c r="AM56" i="1"/>
  <c r="L89" i="3" s="1"/>
  <c r="L71" i="3"/>
  <c r="K35" i="3"/>
  <c r="AM41" i="1"/>
  <c r="AM20" i="1"/>
  <c r="L45" i="3" s="1"/>
  <c r="M36" i="3"/>
  <c r="M35" i="3"/>
  <c r="L235" i="3" l="1"/>
  <c r="L239" i="3"/>
  <c r="L212" i="3"/>
  <c r="L213" i="3"/>
  <c r="L267" i="3"/>
  <c r="AM176" i="1"/>
  <c r="L263" i="3" s="1"/>
  <c r="L262" i="3"/>
  <c r="AM167" i="1"/>
  <c r="L254" i="3" s="1"/>
  <c r="AM154" i="1"/>
  <c r="L240" i="3" s="1"/>
  <c r="AM151" i="1"/>
  <c r="M209" i="3"/>
  <c r="M206" i="3"/>
  <c r="K206" i="3"/>
  <c r="K207" i="3"/>
  <c r="AM112" i="1"/>
  <c r="AM130" i="1"/>
  <c r="L197" i="3" s="1"/>
  <c r="L187" i="3"/>
  <c r="L184" i="3"/>
  <c r="L157" i="3"/>
  <c r="K155" i="3"/>
  <c r="K154" i="3"/>
  <c r="L156" i="3"/>
  <c r="M154" i="3"/>
  <c r="K153" i="3"/>
  <c r="M151" i="3"/>
  <c r="M155" i="3"/>
  <c r="L146" i="3"/>
  <c r="L132" i="3"/>
  <c r="M123" i="3"/>
  <c r="L126" i="3"/>
  <c r="L125" i="3"/>
  <c r="L122" i="3"/>
  <c r="L119" i="3"/>
  <c r="L117" i="3"/>
  <c r="L116" i="3"/>
  <c r="L102" i="3"/>
  <c r="L90" i="3"/>
  <c r="L62" i="3"/>
  <c r="L51" i="3"/>
  <c r="L43" i="3"/>
  <c r="L44" i="3"/>
  <c r="L36" i="3"/>
  <c r="L42" i="3"/>
  <c r="L41" i="3"/>
  <c r="L40" i="3"/>
  <c r="L39" i="3"/>
  <c r="L38" i="3"/>
  <c r="L37" i="3"/>
  <c r="L321" i="3"/>
  <c r="L121" i="3"/>
  <c r="L179" i="3"/>
  <c r="L124" i="3"/>
  <c r="L343" i="3"/>
  <c r="L322" i="3"/>
  <c r="AM163" i="1"/>
  <c r="L241" i="3" s="1"/>
  <c r="K208" i="3"/>
  <c r="L99" i="3"/>
  <c r="L100" i="3"/>
  <c r="L159" i="3"/>
  <c r="L319" i="3"/>
  <c r="K235" i="3"/>
  <c r="L236" i="3"/>
  <c r="L348" i="3"/>
  <c r="L346" i="3"/>
  <c r="AM218" i="1"/>
  <c r="L342" i="3"/>
  <c r="L340" i="3"/>
  <c r="DC15" i="1"/>
  <c r="L339" i="3"/>
  <c r="L338" i="3"/>
  <c r="L337" i="3"/>
  <c r="AM208" i="1"/>
  <c r="L305" i="3" s="1"/>
  <c r="AM206" i="1"/>
  <c r="L333" i="3" s="1"/>
  <c r="L320" i="3"/>
  <c r="AM202" i="1"/>
  <c r="AM200" i="1"/>
  <c r="L315" i="3"/>
  <c r="L313" i="3"/>
  <c r="AM198" i="1"/>
  <c r="L311" i="3"/>
  <c r="DC13" i="1"/>
  <c r="L310" i="3"/>
  <c r="L308" i="3"/>
  <c r="L307" i="3"/>
  <c r="L306" i="3"/>
  <c r="DC14" i="1"/>
  <c r="L294" i="3"/>
  <c r="L285" i="3"/>
  <c r="L292" i="3"/>
  <c r="AM185" i="1"/>
  <c r="L289" i="3"/>
  <c r="L287" i="3"/>
  <c r="L286" i="3"/>
  <c r="AM178" i="1"/>
  <c r="L265" i="3" s="1"/>
  <c r="L283" i="3"/>
  <c r="AM173" i="1"/>
  <c r="L282" i="3" s="1"/>
  <c r="L278" i="3"/>
  <c r="AM168" i="1"/>
  <c r="L255" i="3" s="1"/>
  <c r="K259" i="3"/>
  <c r="K261" i="3"/>
  <c r="M259" i="3"/>
  <c r="M261" i="3"/>
  <c r="AM165" i="1"/>
  <c r="L252" i="3" s="1"/>
  <c r="K260" i="3"/>
  <c r="DC7" i="1"/>
  <c r="M260" i="3"/>
  <c r="L259" i="3"/>
  <c r="K257" i="3"/>
  <c r="K258" i="3"/>
  <c r="M257" i="3"/>
  <c r="M258" i="3"/>
  <c r="L258" i="3"/>
  <c r="K255" i="3"/>
  <c r="K256" i="3"/>
  <c r="M255" i="3"/>
  <c r="M256" i="3"/>
  <c r="DC12" i="1"/>
  <c r="L256" i="3"/>
  <c r="K253" i="3"/>
  <c r="K254" i="3"/>
  <c r="M251" i="3"/>
  <c r="M254" i="3"/>
  <c r="DC3" i="1"/>
  <c r="M253" i="3"/>
  <c r="K251" i="3"/>
  <c r="K252" i="3"/>
  <c r="M252" i="3"/>
  <c r="L251" i="3"/>
  <c r="L238" i="3"/>
  <c r="L237" i="3"/>
  <c r="K232" i="3"/>
  <c r="K233" i="3"/>
  <c r="M232" i="3"/>
  <c r="M233" i="3"/>
  <c r="AM148" i="1"/>
  <c r="L234" i="3" s="1"/>
  <c r="M230" i="3"/>
  <c r="M231" i="3"/>
  <c r="K230" i="3"/>
  <c r="K231" i="3"/>
  <c r="L214" i="3"/>
  <c r="K228" i="3"/>
  <c r="K229" i="3"/>
  <c r="M228" i="3"/>
  <c r="M229" i="3"/>
  <c r="AM138" i="1"/>
  <c r="L224" i="3" s="1"/>
  <c r="DC6" i="1"/>
  <c r="K226" i="3"/>
  <c r="K227" i="3"/>
  <c r="M226" i="3"/>
  <c r="M227" i="3"/>
  <c r="L227" i="3"/>
  <c r="DC4" i="1"/>
  <c r="K224" i="3"/>
  <c r="K225" i="3"/>
  <c r="M224" i="3"/>
  <c r="M225" i="3"/>
  <c r="DC10" i="1"/>
  <c r="DC11" i="1"/>
  <c r="AM134" i="1"/>
  <c r="L211" i="3" s="1"/>
  <c r="L208" i="3"/>
  <c r="L203" i="3"/>
  <c r="DC5" i="1"/>
  <c r="L204" i="3"/>
  <c r="L201" i="3"/>
  <c r="DC8" i="1"/>
  <c r="L198" i="3"/>
  <c r="L186" i="3"/>
  <c r="L183" i="3"/>
  <c r="L182" i="3"/>
  <c r="K176" i="3"/>
  <c r="K177" i="3"/>
  <c r="M176" i="3"/>
  <c r="M177" i="3"/>
  <c r="L178" i="3"/>
  <c r="AM104" i="1"/>
  <c r="K175" i="3"/>
  <c r="M174" i="3"/>
  <c r="M175" i="3"/>
  <c r="K173" i="3"/>
  <c r="K174" i="3"/>
  <c r="L180" i="3"/>
  <c r="M170" i="3"/>
  <c r="M173" i="3"/>
  <c r="L174" i="3"/>
  <c r="L173" i="3"/>
  <c r="K171" i="3"/>
  <c r="K172" i="3"/>
  <c r="M172" i="3"/>
  <c r="L172" i="3"/>
  <c r="L171" i="3"/>
  <c r="M171" i="3"/>
  <c r="K170" i="3"/>
  <c r="DC9" i="1"/>
  <c r="L158" i="3"/>
  <c r="L149" i="3"/>
  <c r="L148" i="3"/>
  <c r="L152" i="3"/>
  <c r="L150" i="3"/>
  <c r="L147" i="3"/>
  <c r="L143" i="3"/>
  <c r="L145" i="3"/>
  <c r="L144" i="3"/>
  <c r="L131" i="3"/>
  <c r="L129" i="3"/>
  <c r="L128" i="3"/>
  <c r="L123" i="3"/>
  <c r="L120" i="3"/>
  <c r="L91" i="3"/>
  <c r="L97" i="3"/>
  <c r="L98" i="3"/>
  <c r="L93" i="3"/>
  <c r="L96" i="3"/>
  <c r="L95" i="3"/>
  <c r="L94" i="3"/>
  <c r="L92" i="3"/>
  <c r="L64" i="3"/>
  <c r="L65" i="3"/>
  <c r="L67" i="3"/>
  <c r="L35" i="3"/>
  <c r="L260" i="3" l="1"/>
  <c r="L170" i="3"/>
  <c r="L226" i="3"/>
  <c r="L200" i="3"/>
  <c r="L209" i="3"/>
  <c r="L205" i="3"/>
  <c r="L207" i="3"/>
  <c r="L202" i="3"/>
  <c r="L199" i="3"/>
  <c r="L206" i="3"/>
  <c r="L154" i="3"/>
  <c r="L153" i="3"/>
  <c r="L155" i="3"/>
  <c r="L253" i="3"/>
  <c r="L312" i="3"/>
  <c r="L257" i="3"/>
  <c r="L151" i="3"/>
  <c r="L309" i="3"/>
  <c r="AR222" i="1" a="1"/>
  <c r="AR222" i="1" s="1"/>
  <c r="AR221" i="1" a="1"/>
  <c r="AR221" i="1" s="1"/>
  <c r="AR220" i="1" a="1"/>
  <c r="AR220" i="1" s="1"/>
  <c r="AR219" i="1" a="1"/>
  <c r="AR219" i="1" s="1"/>
  <c r="AR218" i="1" a="1"/>
  <c r="AR218" i="1" s="1"/>
  <c r="L344" i="3"/>
  <c r="AR217" i="1" a="1"/>
  <c r="AR217" i="1" s="1"/>
  <c r="AR216" i="1" a="1"/>
  <c r="AR216" i="1" s="1"/>
  <c r="AR215" i="1" a="1"/>
  <c r="AR215" i="1" s="1"/>
  <c r="AR214" i="1" a="1"/>
  <c r="AR214" i="1" s="1"/>
  <c r="AR213" i="1" a="1"/>
  <c r="AR213" i="1" s="1"/>
  <c r="L336" i="3"/>
  <c r="AR212" i="1" a="1"/>
  <c r="AR212" i="1" s="1"/>
  <c r="L335" i="3"/>
  <c r="AR211" i="1" a="1"/>
  <c r="AR211" i="1" s="1"/>
  <c r="AR210" i="1" a="1"/>
  <c r="AR210" i="1" s="1"/>
  <c r="AR209" i="1" a="1"/>
  <c r="AR209" i="1" s="1"/>
  <c r="AR208" i="1" a="1"/>
  <c r="AR208" i="1" s="1"/>
  <c r="L334" i="3"/>
  <c r="AR207" i="1" a="1"/>
  <c r="AR207" i="1" s="1"/>
  <c r="AR206" i="1" a="1"/>
  <c r="AR206" i="1" s="1"/>
  <c r="L332" i="3"/>
  <c r="AR205" i="1" a="1"/>
  <c r="AR205" i="1" s="1"/>
  <c r="AR204" i="1" a="1"/>
  <c r="AR204" i="1" s="1"/>
  <c r="AR203" i="1" a="1"/>
  <c r="AR203" i="1" s="1"/>
  <c r="AR202" i="1" a="1"/>
  <c r="AR202" i="1" s="1"/>
  <c r="L318" i="3"/>
  <c r="AR201" i="1" a="1"/>
  <c r="AR201" i="1" s="1"/>
  <c r="AR200" i="1" a="1"/>
  <c r="AR200" i="1" s="1"/>
  <c r="L316" i="3"/>
  <c r="AR199" i="1" a="1"/>
  <c r="AR199" i="1" s="1"/>
  <c r="AR198" i="1" a="1"/>
  <c r="AR198" i="1" s="1"/>
  <c r="L314" i="3"/>
  <c r="AR197" i="1" a="1"/>
  <c r="AR197" i="1" s="1"/>
  <c r="AR196" i="1" a="1"/>
  <c r="AR196" i="1" s="1"/>
  <c r="AR195" i="1" a="1"/>
  <c r="AR195" i="1" s="1"/>
  <c r="AR194" i="1" a="1"/>
  <c r="AR194" i="1" s="1"/>
  <c r="AR193" i="1" a="1"/>
  <c r="AR193" i="1" s="1"/>
  <c r="AR192" i="1" a="1"/>
  <c r="AR192" i="1" s="1"/>
  <c r="AR191" i="1" a="1"/>
  <c r="AR191" i="1" s="1"/>
  <c r="AR190" i="1" a="1"/>
  <c r="AR190" i="1" s="1"/>
  <c r="AR189" i="1" a="1"/>
  <c r="AR189" i="1" s="1"/>
  <c r="AR188" i="1" a="1"/>
  <c r="AR188" i="1" s="1"/>
  <c r="AR187" i="1" a="1"/>
  <c r="AR187" i="1" s="1"/>
  <c r="AR186" i="1" a="1"/>
  <c r="AR186" i="1" s="1"/>
  <c r="AR185" i="1" a="1"/>
  <c r="AR185" i="1" s="1"/>
  <c r="L291" i="3"/>
  <c r="AR184" i="1" a="1"/>
  <c r="AR184" i="1" s="1"/>
  <c r="AR183" i="1" a="1"/>
  <c r="AR183" i="1" s="1"/>
  <c r="AR182" i="1" a="1"/>
  <c r="AR182" i="1" s="1"/>
  <c r="AR181" i="1" a="1"/>
  <c r="AR181" i="1" s="1"/>
  <c r="AR180" i="1" a="1"/>
  <c r="AR180" i="1" s="1"/>
  <c r="AR179" i="1" a="1"/>
  <c r="AR179" i="1" s="1"/>
  <c r="AR178" i="1" a="1"/>
  <c r="AR178" i="1" s="1"/>
  <c r="L284" i="3"/>
  <c r="AR177" i="1" a="1"/>
  <c r="AR177" i="1" s="1"/>
  <c r="L280" i="3"/>
  <c r="L281" i="3"/>
  <c r="AR176" i="1" a="1"/>
  <c r="AR176" i="1" s="1"/>
  <c r="AR175" i="1" a="1"/>
  <c r="AR175" i="1" s="1"/>
  <c r="AR174" i="1" a="1"/>
  <c r="AR174" i="1" s="1"/>
  <c r="AR173" i="1" a="1"/>
  <c r="AR173" i="1" s="1"/>
  <c r="L279" i="3"/>
  <c r="AR172" i="1" a="1"/>
  <c r="AR172" i="1" s="1"/>
  <c r="AR171" i="1" a="1"/>
  <c r="AR171" i="1" s="1"/>
  <c r="AR170" i="1" a="1"/>
  <c r="AR170" i="1" s="1"/>
  <c r="AR169" i="1" a="1"/>
  <c r="AR169" i="1" s="1"/>
  <c r="AR168" i="1" a="1"/>
  <c r="AR168" i="1" s="1"/>
  <c r="L264" i="3"/>
  <c r="AR167" i="1" a="1"/>
  <c r="AR167" i="1" s="1"/>
  <c r="AR166" i="1" a="1"/>
  <c r="AR166" i="1" s="1"/>
  <c r="AR165" i="1" a="1"/>
  <c r="AR165" i="1" s="1"/>
  <c r="L261" i="3"/>
  <c r="AR164" i="1" a="1"/>
  <c r="AR164" i="1" s="1"/>
  <c r="AR163" i="1" a="1"/>
  <c r="AR163" i="1" s="1"/>
  <c r="AR162" i="1" a="1"/>
  <c r="AR162" i="1" s="1"/>
  <c r="AR161" i="1" a="1"/>
  <c r="AR161" i="1" s="1"/>
  <c r="AR160" i="1" a="1"/>
  <c r="AR160" i="1" s="1"/>
  <c r="AR159" i="1" a="1"/>
  <c r="AR159" i="1" s="1"/>
  <c r="AR158" i="1" a="1"/>
  <c r="AR158" i="1" s="1"/>
  <c r="AR157" i="1" a="1"/>
  <c r="AR157" i="1" s="1"/>
  <c r="AR156" i="1" a="1"/>
  <c r="AR156" i="1" s="1"/>
  <c r="AR155" i="1" a="1"/>
  <c r="AR155" i="1" s="1"/>
  <c r="AR154" i="1" a="1"/>
  <c r="AR154" i="1" s="1"/>
  <c r="AR153" i="1" a="1"/>
  <c r="AR153" i="1" s="1"/>
  <c r="AR152" i="1" a="1"/>
  <c r="AR152" i="1" s="1"/>
  <c r="AR151" i="1" a="1"/>
  <c r="AR151" i="1" s="1"/>
  <c r="AR67" i="1" a="1"/>
  <c r="AR67" i="1" s="1"/>
  <c r="AV67" i="1" s="1"/>
  <c r="AW67" i="1" s="1"/>
  <c r="AR150" i="1" a="1"/>
  <c r="AR150" i="1" s="1"/>
  <c r="L225" i="3"/>
  <c r="L233" i="3"/>
  <c r="AR149" i="1" a="1"/>
  <c r="AR149" i="1" s="1"/>
  <c r="L232" i="3"/>
  <c r="AR148" i="1" a="1"/>
  <c r="AR148" i="1" s="1"/>
  <c r="AR147" i="1" a="1"/>
  <c r="AR147" i="1" s="1"/>
  <c r="L231" i="3"/>
  <c r="AR10" i="1" a="1"/>
  <c r="AR10" i="1" s="1"/>
  <c r="AV10" i="1" s="1"/>
  <c r="AW10" i="1" s="1"/>
  <c r="AR77" i="1" a="1"/>
  <c r="AR77" i="1" s="1"/>
  <c r="AV77" i="1" s="1"/>
  <c r="AW77" i="1" s="1"/>
  <c r="AR42" i="1" a="1"/>
  <c r="AR42" i="1" s="1"/>
  <c r="AV42" i="1" s="1"/>
  <c r="AW42" i="1" s="1"/>
  <c r="AR37" i="1" a="1"/>
  <c r="AR37" i="1" s="1"/>
  <c r="AV37" i="1" s="1"/>
  <c r="AW37" i="1" s="1"/>
  <c r="AR93" i="1" a="1"/>
  <c r="AR93" i="1" s="1"/>
  <c r="AY93" i="1" s="1"/>
  <c r="AR146" i="1" a="1"/>
  <c r="AR146" i="1" s="1"/>
  <c r="AR2" i="1" a="1"/>
  <c r="AR2" i="1" s="1"/>
  <c r="AV2" i="1" s="1"/>
  <c r="AW2" i="1" s="1"/>
  <c r="L230" i="3"/>
  <c r="AR17" i="1" a="1"/>
  <c r="AR17" i="1" s="1"/>
  <c r="AV17" i="1" s="1"/>
  <c r="AW17" i="1" s="1"/>
  <c r="AR24" i="1" a="1"/>
  <c r="AR24" i="1" s="1"/>
  <c r="AV24" i="1" s="1"/>
  <c r="AW24" i="1" s="1"/>
  <c r="AR145" i="1" a="1"/>
  <c r="AR145" i="1" s="1"/>
  <c r="L229" i="3"/>
  <c r="AR39" i="1" a="1"/>
  <c r="AR39" i="1" s="1"/>
  <c r="AY39" i="1" s="1"/>
  <c r="AR109" i="1" a="1"/>
  <c r="AR109" i="1" s="1"/>
  <c r="AV109" i="1" s="1"/>
  <c r="AW109" i="1" s="1"/>
  <c r="AR7" i="1" a="1"/>
  <c r="AR7" i="1" s="1"/>
  <c r="AY7" i="1" s="1"/>
  <c r="AR5" i="1" a="1"/>
  <c r="AR5" i="1" s="1"/>
  <c r="AY5" i="1" s="1"/>
  <c r="AR44" i="1" a="1"/>
  <c r="AR44" i="1" s="1"/>
  <c r="AY44" i="1" s="1"/>
  <c r="AR69" i="1" a="1"/>
  <c r="AR69" i="1" s="1"/>
  <c r="AV69" i="1" s="1"/>
  <c r="AW69" i="1" s="1"/>
  <c r="AR30" i="1" a="1"/>
  <c r="AR30" i="1" s="1"/>
  <c r="AY30" i="1" s="1"/>
  <c r="AR104" i="1" a="1"/>
  <c r="AR104" i="1" s="1"/>
  <c r="AV104" i="1" s="1"/>
  <c r="AW104" i="1" s="1"/>
  <c r="AR11" i="1" a="1"/>
  <c r="AR11" i="1" s="1"/>
  <c r="AY11" i="1" s="1"/>
  <c r="AR57" i="1" a="1"/>
  <c r="AR57" i="1" s="1"/>
  <c r="AV57" i="1" s="1"/>
  <c r="AW57" i="1" s="1"/>
  <c r="L228" i="3"/>
  <c r="AR63" i="1" a="1"/>
  <c r="AR63" i="1" s="1"/>
  <c r="AV63" i="1" s="1"/>
  <c r="AW63" i="1" s="1"/>
  <c r="AR23" i="1" a="1"/>
  <c r="AR23" i="1" s="1"/>
  <c r="AV23" i="1" s="1"/>
  <c r="AW23" i="1" s="1"/>
  <c r="AR43" i="1" a="1"/>
  <c r="AR43" i="1" s="1"/>
  <c r="AY43" i="1" s="1"/>
  <c r="AR144" i="1" a="1"/>
  <c r="AR144" i="1" s="1"/>
  <c r="AR4" i="1" a="1"/>
  <c r="AR4" i="1" s="1"/>
  <c r="AV4" i="1" s="1"/>
  <c r="AW4" i="1" s="1"/>
  <c r="AR143" i="1" a="1"/>
  <c r="AR143" i="1" s="1"/>
  <c r="AR9" i="1" a="1"/>
  <c r="AR9" i="1" s="1"/>
  <c r="AV9" i="1" s="1"/>
  <c r="AW9" i="1" s="1"/>
  <c r="AR46" i="1" a="1"/>
  <c r="AR46" i="1" s="1"/>
  <c r="AV46" i="1" s="1"/>
  <c r="AW46" i="1" s="1"/>
  <c r="AR142" i="1" a="1"/>
  <c r="AR142" i="1" s="1"/>
  <c r="AR141" i="1" a="1"/>
  <c r="AR141" i="1" s="1"/>
  <c r="AR140" i="1" a="1"/>
  <c r="AR140" i="1" s="1"/>
  <c r="AR50" i="1" a="1"/>
  <c r="AR50" i="1" s="1"/>
  <c r="AY50" i="1" s="1"/>
  <c r="AR52" i="1" a="1"/>
  <c r="AR52" i="1" s="1"/>
  <c r="AY52" i="1" s="1"/>
  <c r="AR139" i="1" a="1"/>
  <c r="AR139" i="1" s="1"/>
  <c r="AR3" i="1" a="1"/>
  <c r="AR3" i="1" s="1"/>
  <c r="AV3" i="1" s="1"/>
  <c r="AW3" i="1" s="1"/>
  <c r="AR75" i="1" a="1"/>
  <c r="AR75" i="1" s="1"/>
  <c r="AV75" i="1" s="1"/>
  <c r="AW75" i="1" s="1"/>
  <c r="AR138" i="1" a="1"/>
  <c r="AR138" i="1" s="1"/>
  <c r="AR87" i="1" a="1"/>
  <c r="AR87" i="1" s="1"/>
  <c r="AY87" i="1" s="1"/>
  <c r="AR92" i="1" a="1"/>
  <c r="AR92" i="1" s="1"/>
  <c r="AY92" i="1" s="1"/>
  <c r="AR102" i="1" a="1"/>
  <c r="AR102" i="1" s="1"/>
  <c r="AY102" i="1" s="1"/>
  <c r="AR106" i="1" a="1"/>
  <c r="AR106" i="1" s="1"/>
  <c r="AV106" i="1" s="1"/>
  <c r="AW106" i="1" s="1"/>
  <c r="AR36" i="1" a="1"/>
  <c r="AR36" i="1" s="1"/>
  <c r="AY36" i="1" s="1"/>
  <c r="AR41" i="1" a="1"/>
  <c r="AR41" i="1" s="1"/>
  <c r="AY41" i="1" s="1"/>
  <c r="AR8" i="1" a="1"/>
  <c r="AR8" i="1" s="1"/>
  <c r="AY8" i="1" s="1"/>
  <c r="AR12" i="1" a="1"/>
  <c r="AR12" i="1" s="1"/>
  <c r="AV12" i="1" s="1"/>
  <c r="AW12" i="1" s="1"/>
  <c r="AR16" i="1" a="1"/>
  <c r="AR16" i="1" s="1"/>
  <c r="AV16" i="1" s="1"/>
  <c r="AW16" i="1" s="1"/>
  <c r="AR51" i="1" a="1"/>
  <c r="AR51" i="1" s="1"/>
  <c r="AV51" i="1" s="1"/>
  <c r="AW51" i="1" s="1"/>
  <c r="AR56" i="1" a="1"/>
  <c r="AR56" i="1" s="1"/>
  <c r="AV56" i="1" s="1"/>
  <c r="AW56" i="1" s="1"/>
  <c r="AR60" i="1" a="1"/>
  <c r="AR60" i="1" s="1"/>
  <c r="AY60" i="1" s="1"/>
  <c r="AR70" i="1" a="1"/>
  <c r="AR70" i="1" s="1"/>
  <c r="AV70" i="1" s="1"/>
  <c r="AW70" i="1" s="1"/>
  <c r="AR76" i="1" a="1"/>
  <c r="AR76" i="1" s="1"/>
  <c r="AY76" i="1" s="1"/>
  <c r="AR83" i="1" a="1"/>
  <c r="AR83" i="1" s="1"/>
  <c r="AV83" i="1" s="1"/>
  <c r="AW83" i="1" s="1"/>
  <c r="AR88" i="1" a="1"/>
  <c r="AR88" i="1" s="1"/>
  <c r="AV88" i="1" s="1"/>
  <c r="AW88" i="1" s="1"/>
  <c r="AR40" i="1" a="1"/>
  <c r="AR40" i="1" s="1"/>
  <c r="AV40" i="1" s="1"/>
  <c r="AW40" i="1" s="1"/>
  <c r="AR45" i="1" a="1"/>
  <c r="AR45" i="1" s="1"/>
  <c r="AY45" i="1" s="1"/>
  <c r="AR55" i="1" a="1"/>
  <c r="AR55" i="1" s="1"/>
  <c r="AV55" i="1" s="1"/>
  <c r="AW55" i="1" s="1"/>
  <c r="AR26" i="1" a="1"/>
  <c r="AR26" i="1" s="1"/>
  <c r="AV26" i="1" s="1"/>
  <c r="AW26" i="1" s="1"/>
  <c r="AR65" i="1" a="1"/>
  <c r="AR65" i="1" s="1"/>
  <c r="AV65" i="1" s="1"/>
  <c r="AW65" i="1" s="1"/>
  <c r="AR72" i="1" a="1"/>
  <c r="AR72" i="1" s="1"/>
  <c r="AV72" i="1" s="1"/>
  <c r="AW72" i="1" s="1"/>
  <c r="AR73" i="1" a="1"/>
  <c r="AR73" i="1" s="1"/>
  <c r="AV73" i="1" s="1"/>
  <c r="AW73" i="1" s="1"/>
  <c r="AR84" i="1" a="1"/>
  <c r="AR84" i="1" s="1"/>
  <c r="AY84" i="1" s="1"/>
  <c r="AR89" i="1" a="1"/>
  <c r="AR89" i="1" s="1"/>
  <c r="AV89" i="1" s="1"/>
  <c r="AW89" i="1" s="1"/>
  <c r="AR94" i="1" a="1"/>
  <c r="AR94" i="1" s="1"/>
  <c r="AY94" i="1" s="1"/>
  <c r="AR38" i="1" a="1"/>
  <c r="AR38" i="1" s="1"/>
  <c r="AY38" i="1" s="1"/>
  <c r="AR20" i="1" a="1"/>
  <c r="AR20" i="1" s="1"/>
  <c r="AY20" i="1" s="1"/>
  <c r="AR27" i="1" a="1"/>
  <c r="AR27" i="1" s="1"/>
  <c r="AY27" i="1" s="1"/>
  <c r="AR28" i="1" a="1"/>
  <c r="AR28" i="1" s="1"/>
  <c r="AV28" i="1" s="1"/>
  <c r="AW28" i="1" s="1"/>
  <c r="AR33" i="1" a="1"/>
  <c r="AR33" i="1" s="1"/>
  <c r="AY33" i="1" s="1"/>
  <c r="AR19" i="1" a="1"/>
  <c r="AR19" i="1" s="1"/>
  <c r="AY19" i="1" s="1"/>
  <c r="AR29" i="1" a="1"/>
  <c r="AR29" i="1" s="1"/>
  <c r="AV29" i="1" s="1"/>
  <c r="AW29" i="1" s="1"/>
  <c r="AR48" i="1" a="1"/>
  <c r="AR48" i="1" s="1"/>
  <c r="AY48" i="1" s="1"/>
  <c r="AR14" i="1" a="1"/>
  <c r="AR14" i="1" s="1"/>
  <c r="AV14" i="1" s="1"/>
  <c r="AW14" i="1" s="1"/>
  <c r="AR58" i="1" a="1"/>
  <c r="AR58" i="1" s="1"/>
  <c r="AV58" i="1" s="1"/>
  <c r="AW58" i="1" s="1"/>
  <c r="AR71" i="1" a="1"/>
  <c r="AR71" i="1" s="1"/>
  <c r="AY71" i="1" s="1"/>
  <c r="AR79" i="1" a="1"/>
  <c r="AR79" i="1" s="1"/>
  <c r="AY79" i="1" s="1"/>
  <c r="AR78" i="1" a="1"/>
  <c r="AR78" i="1" s="1"/>
  <c r="AY78" i="1" s="1"/>
  <c r="AR98" i="1" a="1"/>
  <c r="AR98" i="1" s="1"/>
  <c r="AV98" i="1" s="1"/>
  <c r="AW98" i="1" s="1"/>
  <c r="AR31" i="1" a="1"/>
  <c r="AR31" i="1" s="1"/>
  <c r="AV31" i="1" s="1"/>
  <c r="AW31" i="1" s="1"/>
  <c r="AR25" i="1" a="1"/>
  <c r="AR25" i="1" s="1"/>
  <c r="AV25" i="1" s="1"/>
  <c r="AW25" i="1" s="1"/>
  <c r="AR18" i="1" a="1"/>
  <c r="AR18" i="1" s="1"/>
  <c r="AY18" i="1" s="1"/>
  <c r="AR35" i="1" a="1"/>
  <c r="AR35" i="1" s="1"/>
  <c r="AY35" i="1" s="1"/>
  <c r="AR22" i="1" a="1"/>
  <c r="AR22" i="1" s="1"/>
  <c r="AV22" i="1" s="1"/>
  <c r="AW22" i="1" s="1"/>
  <c r="AR47" i="1" a="1"/>
  <c r="AR47" i="1" s="1"/>
  <c r="AY47" i="1" s="1"/>
  <c r="AR15" i="1" a="1"/>
  <c r="AR15" i="1" s="1"/>
  <c r="AY15" i="1" s="1"/>
  <c r="AR66" i="1" a="1"/>
  <c r="AR66" i="1" s="1"/>
  <c r="AY66" i="1" s="1"/>
  <c r="AR74" i="1" a="1"/>
  <c r="AR74" i="1" s="1"/>
  <c r="AY74" i="1" s="1"/>
  <c r="AR80" i="1" a="1"/>
  <c r="AR80" i="1" s="1"/>
  <c r="AV80" i="1" s="1"/>
  <c r="AW80" i="1" s="1"/>
  <c r="AR95" i="1" a="1"/>
  <c r="AR95" i="1" s="1"/>
  <c r="AY95" i="1" s="1"/>
  <c r="AR99" i="1" a="1"/>
  <c r="AR99" i="1" s="1"/>
  <c r="AY99" i="1" s="1"/>
  <c r="AR105" i="1" a="1"/>
  <c r="AR105" i="1" s="1"/>
  <c r="AV105" i="1" s="1"/>
  <c r="AW105" i="1" s="1"/>
  <c r="AR59" i="1" a="1"/>
  <c r="AR59" i="1" s="1"/>
  <c r="AY59" i="1" s="1"/>
  <c r="AR62" i="1" a="1"/>
  <c r="AR62" i="1" s="1"/>
  <c r="AV62" i="1" s="1"/>
  <c r="AW62" i="1" s="1"/>
  <c r="AR64" i="1" a="1"/>
  <c r="AR64" i="1" s="1"/>
  <c r="AV64" i="1" s="1"/>
  <c r="AW64" i="1" s="1"/>
  <c r="AR81" i="1" a="1"/>
  <c r="AR81" i="1" s="1"/>
  <c r="AY81" i="1" s="1"/>
  <c r="AR85" i="1" a="1"/>
  <c r="AR85" i="1" s="1"/>
  <c r="AY85" i="1" s="1"/>
  <c r="AR90" i="1" a="1"/>
  <c r="AR90" i="1" s="1"/>
  <c r="AY90" i="1" s="1"/>
  <c r="AR96" i="1" a="1"/>
  <c r="AR96" i="1" s="1"/>
  <c r="AY96" i="1" s="1"/>
  <c r="AR100" i="1" a="1"/>
  <c r="AR100" i="1" s="1"/>
  <c r="AY100" i="1" s="1"/>
  <c r="AR108" i="1" a="1"/>
  <c r="AR108" i="1" s="1"/>
  <c r="AY108" i="1" s="1"/>
  <c r="AR111" i="1" a="1"/>
  <c r="AR111" i="1" s="1"/>
  <c r="AY111" i="1" s="1"/>
  <c r="AR54" i="1" a="1"/>
  <c r="AR54" i="1" s="1"/>
  <c r="AV54" i="1" s="1"/>
  <c r="AW54" i="1" s="1"/>
  <c r="AR32" i="1" a="1"/>
  <c r="AR32" i="1" s="1"/>
  <c r="AV32" i="1" s="1"/>
  <c r="AW32" i="1" s="1"/>
  <c r="AR34" i="1" a="1"/>
  <c r="AR34" i="1" s="1"/>
  <c r="AV34" i="1" s="1"/>
  <c r="AW34" i="1" s="1"/>
  <c r="AR21" i="1" a="1"/>
  <c r="AR21" i="1" s="1"/>
  <c r="AY21" i="1" s="1"/>
  <c r="AR13" i="1" a="1"/>
  <c r="AR13" i="1" s="1"/>
  <c r="AV13" i="1" s="1"/>
  <c r="AW13" i="1" s="1"/>
  <c r="AR6" i="1" a="1"/>
  <c r="AR6" i="1" s="1"/>
  <c r="AV6" i="1" s="1"/>
  <c r="AW6" i="1" s="1"/>
  <c r="AR49" i="1" a="1"/>
  <c r="AR49" i="1" s="1"/>
  <c r="AV49" i="1" s="1"/>
  <c r="AW49" i="1" s="1"/>
  <c r="AR53" i="1" a="1"/>
  <c r="AR53" i="1" s="1"/>
  <c r="AY53" i="1" s="1"/>
  <c r="AR61" i="1" a="1"/>
  <c r="AR61" i="1" s="1"/>
  <c r="AY61" i="1" s="1"/>
  <c r="AR68" i="1" a="1"/>
  <c r="AR68" i="1" s="1"/>
  <c r="AV68" i="1" s="1"/>
  <c r="AW68" i="1" s="1"/>
  <c r="AR82" i="1" a="1"/>
  <c r="AR82" i="1" s="1"/>
  <c r="AY82" i="1" s="1"/>
  <c r="AR86" i="1" a="1"/>
  <c r="AR86" i="1" s="1"/>
  <c r="AY86" i="1" s="1"/>
  <c r="AR91" i="1" a="1"/>
  <c r="AR91" i="1" s="1"/>
  <c r="AY91" i="1" s="1"/>
  <c r="AR101" i="1" a="1"/>
  <c r="AR101" i="1" s="1"/>
  <c r="AY101" i="1" s="1"/>
  <c r="AR97" i="1" a="1"/>
  <c r="AR97" i="1" s="1"/>
  <c r="AV97" i="1" s="1"/>
  <c r="AW97" i="1" s="1"/>
  <c r="AR107" i="1" a="1"/>
  <c r="AR107" i="1" s="1"/>
  <c r="AY107" i="1" s="1"/>
  <c r="AR137" i="1" a="1"/>
  <c r="AR137" i="1" s="1"/>
  <c r="AR136" i="1" a="1"/>
  <c r="AR136" i="1" s="1"/>
  <c r="AR135" i="1" a="1"/>
  <c r="AR135" i="1" s="1"/>
  <c r="L210" i="3"/>
  <c r="AR134" i="1" a="1"/>
  <c r="AR134" i="1" s="1"/>
  <c r="AR133" i="1" a="1"/>
  <c r="AR133" i="1" s="1"/>
  <c r="AR110" i="1" a="1"/>
  <c r="AR110" i="1" s="1"/>
  <c r="AY110" i="1" s="1"/>
  <c r="AR112" i="1" a="1"/>
  <c r="AR112" i="1" s="1"/>
  <c r="AY112" i="1" s="1"/>
  <c r="AR113" i="1" a="1"/>
  <c r="AR113" i="1" s="1"/>
  <c r="AY113" i="1" s="1"/>
  <c r="AR103" i="1" a="1"/>
  <c r="AR103" i="1" s="1"/>
  <c r="AY103" i="1" s="1"/>
  <c r="AR132" i="1" a="1"/>
  <c r="AR132" i="1" s="1"/>
  <c r="AR131" i="1" a="1"/>
  <c r="AR131" i="1" s="1"/>
  <c r="AR130" i="1" a="1"/>
  <c r="AR130" i="1" s="1"/>
  <c r="AR129" i="1" a="1"/>
  <c r="AR129" i="1" s="1"/>
  <c r="AR128" i="1" a="1"/>
  <c r="AR128" i="1" s="1"/>
  <c r="AR127" i="1" a="1"/>
  <c r="AR127" i="1" s="1"/>
  <c r="AR126" i="1" a="1"/>
  <c r="AR126" i="1" s="1"/>
  <c r="AR125" i="1" a="1"/>
  <c r="AR125" i="1" s="1"/>
  <c r="AR124" i="1" a="1"/>
  <c r="AR124" i="1" s="1"/>
  <c r="AR123" i="1" a="1"/>
  <c r="AR123" i="1" s="1"/>
  <c r="AR122" i="1" a="1"/>
  <c r="AR122" i="1" s="1"/>
  <c r="AR121" i="1" a="1"/>
  <c r="AR121" i="1" s="1"/>
  <c r="AR120" i="1" a="1"/>
  <c r="AR120" i="1" s="1"/>
  <c r="AR119" i="1" a="1"/>
  <c r="AR119" i="1" s="1"/>
  <c r="AR118" i="1" a="1"/>
  <c r="AR118" i="1" s="1"/>
  <c r="AR117" i="1" a="1"/>
  <c r="AR117" i="1" s="1"/>
  <c r="AR114" i="1" a="1"/>
  <c r="AR114" i="1" s="1"/>
  <c r="AV114" i="1" s="1"/>
  <c r="AW114" i="1" s="1"/>
  <c r="AR116" i="1" a="1"/>
  <c r="AR116" i="1" s="1"/>
  <c r="AR115" i="1" a="1"/>
  <c r="AR115" i="1" s="1"/>
  <c r="L177" i="3"/>
  <c r="L176" i="3"/>
  <c r="L175" i="3"/>
  <c r="AY42" i="1" l="1"/>
  <c r="AY55" i="1"/>
  <c r="AY222" i="1"/>
  <c r="AV222" i="1"/>
  <c r="AW222" i="1" s="1"/>
  <c r="AY16" i="1"/>
  <c r="AV221" i="1"/>
  <c r="AW221" i="1" s="1"/>
  <c r="AY221" i="1"/>
  <c r="AY220" i="1"/>
  <c r="AV220" i="1"/>
  <c r="AW220" i="1" s="1"/>
  <c r="AY219" i="1"/>
  <c r="AV219" i="1"/>
  <c r="AW219" i="1" s="1"/>
  <c r="AV218" i="1"/>
  <c r="AW218" i="1" s="1"/>
  <c r="AY218" i="1"/>
  <c r="AV217" i="1"/>
  <c r="AW217" i="1" s="1"/>
  <c r="AY217" i="1"/>
  <c r="AV216" i="1"/>
  <c r="AW216" i="1" s="1"/>
  <c r="AY216" i="1"/>
  <c r="AY215" i="1"/>
  <c r="AV215" i="1"/>
  <c r="AW215" i="1" s="1"/>
  <c r="AY10" i="1"/>
  <c r="AY17" i="1"/>
  <c r="AY214" i="1"/>
  <c r="AV214" i="1"/>
  <c r="AW214" i="1" s="1"/>
  <c r="AY213" i="1"/>
  <c r="AV213" i="1"/>
  <c r="AW213" i="1" s="1"/>
  <c r="AY212" i="1"/>
  <c r="AV212" i="1"/>
  <c r="AW212" i="1" s="1"/>
  <c r="AY211" i="1"/>
  <c r="AV211" i="1"/>
  <c r="AW211" i="1" s="1"/>
  <c r="AY46" i="1"/>
  <c r="AY75" i="1"/>
  <c r="AY2" i="1"/>
  <c r="AV7" i="1"/>
  <c r="AW7" i="1" s="1"/>
  <c r="AV8" i="1"/>
  <c r="AW8" i="1" s="1"/>
  <c r="AV210" i="1"/>
  <c r="AW210" i="1" s="1"/>
  <c r="AY210" i="1"/>
  <c r="AY209" i="1"/>
  <c r="AV209" i="1"/>
  <c r="AW209" i="1" s="1"/>
  <c r="AY23" i="1"/>
  <c r="AV81" i="1"/>
  <c r="AW81" i="1" s="1"/>
  <c r="AY29" i="1"/>
  <c r="AY40" i="1"/>
  <c r="AY31" i="1"/>
  <c r="AV87" i="1"/>
  <c r="AW87" i="1" s="1"/>
  <c r="AV74" i="1"/>
  <c r="AW74" i="1" s="1"/>
  <c r="AV44" i="1"/>
  <c r="AW44" i="1" s="1"/>
  <c r="AY89" i="1"/>
  <c r="AY208" i="1"/>
  <c r="AV208" i="1"/>
  <c r="AW208" i="1" s="1"/>
  <c r="AV102" i="1"/>
  <c r="AW102" i="1" s="1"/>
  <c r="AV18" i="1"/>
  <c r="AW18" i="1" s="1"/>
  <c r="AV30" i="1"/>
  <c r="AW30" i="1" s="1"/>
  <c r="AV50" i="1"/>
  <c r="AW50" i="1" s="1"/>
  <c r="AY56" i="1"/>
  <c r="AY14" i="1"/>
  <c r="AV90" i="1"/>
  <c r="AW90" i="1" s="1"/>
  <c r="AV38" i="1"/>
  <c r="AW38" i="1" s="1"/>
  <c r="AV95" i="1"/>
  <c r="AW95" i="1" s="1"/>
  <c r="AY207" i="1"/>
  <c r="AV207" i="1"/>
  <c r="AW207" i="1" s="1"/>
  <c r="AV206" i="1"/>
  <c r="AW206" i="1" s="1"/>
  <c r="AY206" i="1"/>
  <c r="AY205" i="1"/>
  <c r="AV205" i="1"/>
  <c r="AW205" i="1" s="1"/>
  <c r="AY204" i="1"/>
  <c r="AV204" i="1"/>
  <c r="AW204" i="1" s="1"/>
  <c r="AV203" i="1"/>
  <c r="AW203" i="1" s="1"/>
  <c r="AY203" i="1"/>
  <c r="AV202" i="1"/>
  <c r="AW202" i="1" s="1"/>
  <c r="AY202" i="1"/>
  <c r="AY201" i="1"/>
  <c r="AV201" i="1"/>
  <c r="AW201" i="1" s="1"/>
  <c r="AY200" i="1"/>
  <c r="AV200" i="1"/>
  <c r="AW200" i="1" s="1"/>
  <c r="AY199" i="1"/>
  <c r="AV199" i="1"/>
  <c r="AW199" i="1" s="1"/>
  <c r="AV198" i="1"/>
  <c r="AW198" i="1" s="1"/>
  <c r="AY198" i="1"/>
  <c r="AV197" i="1"/>
  <c r="AW197" i="1" s="1"/>
  <c r="AY197" i="1"/>
  <c r="AV196" i="1"/>
  <c r="AW196" i="1" s="1"/>
  <c r="AY196" i="1"/>
  <c r="AV195" i="1"/>
  <c r="AW195" i="1" s="1"/>
  <c r="AY195" i="1"/>
  <c r="AV194" i="1"/>
  <c r="AW194" i="1" s="1"/>
  <c r="AY194" i="1"/>
  <c r="AY193" i="1"/>
  <c r="AV193" i="1"/>
  <c r="AW193" i="1" s="1"/>
  <c r="AV21" i="1"/>
  <c r="AW21" i="1" s="1"/>
  <c r="AV86" i="1"/>
  <c r="AW86" i="1" s="1"/>
  <c r="AV192" i="1"/>
  <c r="AW192" i="1" s="1"/>
  <c r="AY192" i="1"/>
  <c r="AY191" i="1"/>
  <c r="AV191" i="1"/>
  <c r="AW191" i="1" s="1"/>
  <c r="AV190" i="1"/>
  <c r="AW190" i="1" s="1"/>
  <c r="AY190" i="1"/>
  <c r="AV189" i="1"/>
  <c r="AW189" i="1" s="1"/>
  <c r="AY189" i="1"/>
  <c r="AV188" i="1"/>
  <c r="AW188" i="1" s="1"/>
  <c r="AY188" i="1"/>
  <c r="AV187" i="1"/>
  <c r="AW187" i="1" s="1"/>
  <c r="AY187" i="1"/>
  <c r="AY186" i="1"/>
  <c r="AV186" i="1"/>
  <c r="AW186" i="1" s="1"/>
  <c r="AY185" i="1"/>
  <c r="AV185" i="1"/>
  <c r="AW185" i="1" s="1"/>
  <c r="AV184" i="1"/>
  <c r="AW184" i="1" s="1"/>
  <c r="AY184" i="1"/>
  <c r="AV183" i="1"/>
  <c r="AW183" i="1" s="1"/>
  <c r="AY183" i="1"/>
  <c r="AV182" i="1"/>
  <c r="AW182" i="1" s="1"/>
  <c r="AY182" i="1"/>
  <c r="AY181" i="1"/>
  <c r="AV181" i="1"/>
  <c r="AW181" i="1" s="1"/>
  <c r="AY180" i="1"/>
  <c r="AV180" i="1"/>
  <c r="AW180" i="1" s="1"/>
  <c r="AY179" i="1"/>
  <c r="AV179" i="1"/>
  <c r="AW179" i="1" s="1"/>
  <c r="AY178" i="1"/>
  <c r="AV178" i="1"/>
  <c r="AW178" i="1" s="1"/>
  <c r="AY177" i="1"/>
  <c r="AV177" i="1"/>
  <c r="AW177" i="1" s="1"/>
  <c r="AV176" i="1"/>
  <c r="AW176" i="1" s="1"/>
  <c r="AY176" i="1"/>
  <c r="AV175" i="1"/>
  <c r="AW175" i="1" s="1"/>
  <c r="AY175" i="1"/>
  <c r="AY174" i="1"/>
  <c r="AV174" i="1"/>
  <c r="AW174" i="1" s="1"/>
  <c r="AY173" i="1"/>
  <c r="AV173" i="1"/>
  <c r="AW173" i="1" s="1"/>
  <c r="AV172" i="1"/>
  <c r="AW172" i="1" s="1"/>
  <c r="AY172" i="1"/>
  <c r="AV5" i="1"/>
  <c r="AW5" i="1" s="1"/>
  <c r="AY63" i="1"/>
  <c r="AY67" i="1"/>
  <c r="AV171" i="1"/>
  <c r="AW171" i="1" s="1"/>
  <c r="AY171" i="1"/>
  <c r="AY170" i="1"/>
  <c r="AV170" i="1"/>
  <c r="AW170" i="1" s="1"/>
  <c r="AV169" i="1"/>
  <c r="AW169" i="1" s="1"/>
  <c r="AY169" i="1"/>
  <c r="AY168" i="1"/>
  <c r="AV168" i="1"/>
  <c r="AW168" i="1" s="1"/>
  <c r="AY167" i="1"/>
  <c r="AV167" i="1"/>
  <c r="AW167" i="1" s="1"/>
  <c r="AY166" i="1"/>
  <c r="AV166" i="1"/>
  <c r="AW166" i="1" s="1"/>
  <c r="AY165" i="1"/>
  <c r="AV165" i="1"/>
  <c r="AW165" i="1" s="1"/>
  <c r="AY32" i="1"/>
  <c r="AY68" i="1"/>
  <c r="AY164" i="1"/>
  <c r="AV164" i="1"/>
  <c r="AW164" i="1" s="1"/>
  <c r="AY77" i="1"/>
  <c r="AV43" i="1"/>
  <c r="AW43" i="1" s="1"/>
  <c r="AY51" i="1"/>
  <c r="AY24" i="1"/>
  <c r="AY69" i="1"/>
  <c r="AY104" i="1"/>
  <c r="AY4" i="1"/>
  <c r="AY37" i="1"/>
  <c r="AY163" i="1"/>
  <c r="AV163" i="1"/>
  <c r="AW163" i="1" s="1"/>
  <c r="AY162" i="1"/>
  <c r="AV162" i="1"/>
  <c r="AW162" i="1" s="1"/>
  <c r="AY161" i="1"/>
  <c r="AV161" i="1"/>
  <c r="AW161" i="1" s="1"/>
  <c r="AY160" i="1"/>
  <c r="AV160" i="1"/>
  <c r="AW160" i="1" s="1"/>
  <c r="AV79" i="1"/>
  <c r="AW79" i="1" s="1"/>
  <c r="AY57" i="1"/>
  <c r="AV41" i="1"/>
  <c r="AW41" i="1" s="1"/>
  <c r="AY159" i="1"/>
  <c r="AV159" i="1"/>
  <c r="AW159" i="1" s="1"/>
  <c r="AV52" i="1"/>
  <c r="AW52" i="1" s="1"/>
  <c r="AV60" i="1"/>
  <c r="AW60" i="1" s="1"/>
  <c r="AX73" i="1" s="1"/>
  <c r="AV96" i="1"/>
  <c r="AW96" i="1" s="1"/>
  <c r="AV99" i="1"/>
  <c r="AW99" i="1" s="1"/>
  <c r="AV158" i="1"/>
  <c r="AW158" i="1" s="1"/>
  <c r="AY158" i="1"/>
  <c r="AY157" i="1"/>
  <c r="AV157" i="1"/>
  <c r="AW157" i="1" s="1"/>
  <c r="AY156" i="1"/>
  <c r="AV156" i="1"/>
  <c r="AW156" i="1" s="1"/>
  <c r="AY155" i="1"/>
  <c r="AV155" i="1"/>
  <c r="AW155" i="1" s="1"/>
  <c r="AV154" i="1"/>
  <c r="AW154" i="1" s="1"/>
  <c r="AY154" i="1"/>
  <c r="AV153" i="1"/>
  <c r="AW153" i="1" s="1"/>
  <c r="AY153" i="1"/>
  <c r="AY152" i="1"/>
  <c r="AV152" i="1"/>
  <c r="AW152" i="1" s="1"/>
  <c r="AV151" i="1"/>
  <c r="AW151" i="1" s="1"/>
  <c r="AY151" i="1"/>
  <c r="AV101" i="1"/>
  <c r="AW101" i="1" s="1"/>
  <c r="AY105" i="1"/>
  <c r="AV39" i="1"/>
  <c r="AW39" i="1" s="1"/>
  <c r="AV27" i="1"/>
  <c r="AW27" i="1" s="1"/>
  <c r="AY70" i="1"/>
  <c r="AV93" i="1"/>
  <c r="AW93" i="1" s="1"/>
  <c r="AY65" i="1"/>
  <c r="AY22" i="1"/>
  <c r="AV11" i="1"/>
  <c r="AW11" i="1" s="1"/>
  <c r="AY6" i="1"/>
  <c r="AV71" i="1"/>
  <c r="AW71" i="1" s="1"/>
  <c r="AV100" i="1"/>
  <c r="AW100" i="1" s="1"/>
  <c r="AY150" i="1"/>
  <c r="AV150" i="1"/>
  <c r="AW150" i="1" s="1"/>
  <c r="AV36" i="1"/>
  <c r="AW36" i="1" s="1"/>
  <c r="AY149" i="1"/>
  <c r="AV149" i="1"/>
  <c r="AW149" i="1" s="1"/>
  <c r="AV48" i="1"/>
  <c r="AW48" i="1" s="1"/>
  <c r="AV148" i="1"/>
  <c r="AW148" i="1" s="1"/>
  <c r="AY148" i="1"/>
  <c r="AV76" i="1"/>
  <c r="AW76" i="1" s="1"/>
  <c r="AV108" i="1"/>
  <c r="AW108" i="1" s="1"/>
  <c r="AY9" i="1"/>
  <c r="AY3" i="1"/>
  <c r="AV59" i="1"/>
  <c r="AW59" i="1" s="1"/>
  <c r="AY72" i="1"/>
  <c r="AV47" i="1"/>
  <c r="AW47" i="1" s="1"/>
  <c r="AY109" i="1"/>
  <c r="AY28" i="1"/>
  <c r="AY49" i="1"/>
  <c r="AY147" i="1"/>
  <c r="AV147" i="1"/>
  <c r="AW147" i="1" s="1"/>
  <c r="AV91" i="1"/>
  <c r="AW91" i="1" s="1"/>
  <c r="AV20" i="1"/>
  <c r="AW20" i="1" s="1"/>
  <c r="AV110" i="1"/>
  <c r="AW110" i="1" s="1"/>
  <c r="AY58" i="1"/>
  <c r="AY106" i="1"/>
  <c r="AY97" i="1"/>
  <c r="AV35" i="1"/>
  <c r="AW35" i="1" s="1"/>
  <c r="AY26" i="1"/>
  <c r="AY13" i="1"/>
  <c r="AV146" i="1"/>
  <c r="AW146" i="1" s="1"/>
  <c r="AY146" i="1"/>
  <c r="AY145" i="1"/>
  <c r="AV145" i="1"/>
  <c r="AW145" i="1" s="1"/>
  <c r="AV144" i="1"/>
  <c r="AW144" i="1" s="1"/>
  <c r="AY144" i="1"/>
  <c r="AY143" i="1"/>
  <c r="AV143" i="1"/>
  <c r="AW143" i="1" s="1"/>
  <c r="AV142" i="1"/>
  <c r="AW142" i="1" s="1"/>
  <c r="AY142" i="1"/>
  <c r="AY141" i="1"/>
  <c r="AV141" i="1"/>
  <c r="AW141" i="1" s="1"/>
  <c r="AV140" i="1"/>
  <c r="AW140" i="1" s="1"/>
  <c r="AY140" i="1"/>
  <c r="AV94" i="1"/>
  <c r="AW94" i="1" s="1"/>
  <c r="AY34" i="1"/>
  <c r="AV85" i="1"/>
  <c r="AW85" i="1" s="1"/>
  <c r="AV82" i="1"/>
  <c r="AW82" i="1" s="1"/>
  <c r="AY25" i="1"/>
  <c r="AV45" i="1"/>
  <c r="AW45" i="1" s="1"/>
  <c r="AY80" i="1"/>
  <c r="AV139" i="1"/>
  <c r="AW139" i="1" s="1"/>
  <c r="AY139" i="1"/>
  <c r="AV92" i="1"/>
  <c r="AW92" i="1" s="1"/>
  <c r="AV138" i="1"/>
  <c r="AW138" i="1" s="1"/>
  <c r="AY138" i="1"/>
  <c r="AV78" i="1"/>
  <c r="AW78" i="1" s="1"/>
  <c r="AY12" i="1"/>
  <c r="AV15" i="1"/>
  <c r="AW15" i="1" s="1"/>
  <c r="AY83" i="1"/>
  <c r="AY73" i="1"/>
  <c r="AV19" i="1"/>
  <c r="AW19" i="1" s="1"/>
  <c r="AV84" i="1"/>
  <c r="AW84" i="1" s="1"/>
  <c r="AY98" i="1"/>
  <c r="AV107" i="1"/>
  <c r="AW107" i="1" s="1"/>
  <c r="AV111" i="1"/>
  <c r="AW111" i="1" s="1"/>
  <c r="AV113" i="1"/>
  <c r="AW113" i="1" s="1"/>
  <c r="AV33" i="1"/>
  <c r="AW33" i="1" s="1"/>
  <c r="AY54" i="1"/>
  <c r="AY88" i="1"/>
  <c r="AV53" i="1"/>
  <c r="AW53" i="1" s="1"/>
  <c r="AY62" i="1"/>
  <c r="AV66" i="1"/>
  <c r="AW66" i="1" s="1"/>
  <c r="AV112" i="1"/>
  <c r="AW112" i="1" s="1"/>
  <c r="AV61" i="1"/>
  <c r="AW61" i="1" s="1"/>
  <c r="AX61" i="1" s="1"/>
  <c r="AY64" i="1"/>
  <c r="AV137" i="1"/>
  <c r="AW137" i="1" s="1"/>
  <c r="AY137" i="1"/>
  <c r="AV136" i="1"/>
  <c r="AW136" i="1" s="1"/>
  <c r="AY136" i="1"/>
  <c r="AY135" i="1"/>
  <c r="AV135" i="1"/>
  <c r="AW135" i="1" s="1"/>
  <c r="AY134" i="1"/>
  <c r="AV134" i="1"/>
  <c r="AW134" i="1" s="1"/>
  <c r="AV103" i="1"/>
  <c r="AW103" i="1" s="1"/>
  <c r="AV133" i="1"/>
  <c r="AW133" i="1" s="1"/>
  <c r="AY133" i="1"/>
  <c r="AY132" i="1"/>
  <c r="AV132" i="1"/>
  <c r="AW132" i="1" s="1"/>
  <c r="AY131" i="1"/>
  <c r="AV131" i="1"/>
  <c r="AW131" i="1" s="1"/>
  <c r="AY130" i="1"/>
  <c r="AV130" i="1"/>
  <c r="AW130" i="1" s="1"/>
  <c r="AY129" i="1"/>
  <c r="AV129" i="1"/>
  <c r="AW129" i="1" s="1"/>
  <c r="AV128" i="1"/>
  <c r="AW128" i="1" s="1"/>
  <c r="AY128" i="1"/>
  <c r="AY127" i="1"/>
  <c r="AV127" i="1"/>
  <c r="AW127" i="1" s="1"/>
  <c r="AV126" i="1"/>
  <c r="AW126" i="1" s="1"/>
  <c r="AY126" i="1"/>
  <c r="AV125" i="1"/>
  <c r="AW125" i="1" s="1"/>
  <c r="AY125" i="1"/>
  <c r="AY124" i="1"/>
  <c r="AV124" i="1"/>
  <c r="AW124" i="1" s="1"/>
  <c r="AV123" i="1"/>
  <c r="AW123" i="1" s="1"/>
  <c r="AY123" i="1"/>
  <c r="AV122" i="1"/>
  <c r="AW122" i="1" s="1"/>
  <c r="AY122" i="1"/>
  <c r="AV121" i="1"/>
  <c r="AW121" i="1" s="1"/>
  <c r="AY121" i="1"/>
  <c r="AV120" i="1"/>
  <c r="AW120" i="1" s="1"/>
  <c r="AY120" i="1"/>
  <c r="AY119" i="1"/>
  <c r="AV119" i="1"/>
  <c r="AW119" i="1" s="1"/>
  <c r="AV118" i="1"/>
  <c r="AW118" i="1" s="1"/>
  <c r="AY118" i="1"/>
  <c r="AY117" i="1"/>
  <c r="AV117" i="1"/>
  <c r="AW117" i="1" s="1"/>
  <c r="AY114" i="1"/>
  <c r="AV116" i="1"/>
  <c r="AW116" i="1" s="1"/>
  <c r="AY116" i="1"/>
  <c r="AY115" i="1"/>
  <c r="AV115" i="1"/>
  <c r="AW115" i="1" s="1"/>
  <c r="AX55" i="1"/>
  <c r="AX108" i="1" l="1"/>
  <c r="AX106" i="1"/>
  <c r="AX102" i="1"/>
  <c r="AX101" i="1"/>
  <c r="AX103" i="1"/>
  <c r="AX100" i="1"/>
  <c r="AX98" i="1"/>
  <c r="AX99" i="1"/>
  <c r="AX97" i="1"/>
  <c r="AX96" i="1"/>
  <c r="AX95" i="1"/>
  <c r="AX94" i="1"/>
  <c r="AX93" i="1"/>
  <c r="AX92" i="1"/>
  <c r="AX91" i="1"/>
  <c r="AX88" i="1"/>
  <c r="AX90" i="1"/>
  <c r="AX89" i="1"/>
  <c r="AX83" i="1"/>
  <c r="AX87" i="1"/>
  <c r="AX86" i="1"/>
  <c r="AX85" i="1"/>
  <c r="AX84" i="1"/>
  <c r="AX82" i="1"/>
  <c r="AX81" i="1"/>
  <c r="AX80" i="1"/>
  <c r="AX79" i="1"/>
  <c r="AX78" i="1"/>
  <c r="AX77" i="1"/>
  <c r="AX76" i="1"/>
  <c r="AX75" i="1"/>
  <c r="AX74" i="1"/>
  <c r="AX72" i="1"/>
  <c r="AX69" i="1"/>
  <c r="AX68" i="1"/>
  <c r="AX71" i="1"/>
  <c r="AX70" i="1"/>
  <c r="AX67" i="1"/>
  <c r="AX65" i="1"/>
  <c r="AX66" i="1"/>
  <c r="AX62" i="1"/>
  <c r="AX64" i="1"/>
  <c r="AX63" i="1"/>
  <c r="AX60" i="1"/>
  <c r="AX59" i="1"/>
  <c r="AX58" i="1"/>
  <c r="AX56" i="1"/>
  <c r="AX57" i="1"/>
  <c r="AX54" i="1"/>
  <c r="AX51" i="1"/>
  <c r="AX53" i="1"/>
  <c r="AX52" i="1"/>
  <c r="AX50" i="1"/>
  <c r="AX49" i="1"/>
  <c r="AX48" i="1"/>
  <c r="AX47" i="1"/>
  <c r="AX46" i="1"/>
  <c r="AX45" i="1"/>
  <c r="AX44" i="1"/>
  <c r="AX43" i="1"/>
  <c r="AX42" i="1"/>
  <c r="AX41" i="1"/>
  <c r="AX40" i="1"/>
  <c r="AX39" i="1"/>
  <c r="AX38" i="1"/>
  <c r="AX37" i="1"/>
  <c r="AX36" i="1"/>
  <c r="AX35" i="1"/>
  <c r="AX34" i="1"/>
  <c r="AX33" i="1"/>
  <c r="AX32" i="1"/>
  <c r="AX31" i="1"/>
  <c r="AX30" i="1"/>
  <c r="AX29" i="1"/>
  <c r="AX28" i="1"/>
  <c r="AX24" i="1"/>
  <c r="AX27" i="1"/>
  <c r="AX26" i="1"/>
  <c r="AX25" i="1"/>
  <c r="AX23" i="1"/>
  <c r="AX22" i="1"/>
  <c r="AX21" i="1"/>
  <c r="AX20" i="1"/>
  <c r="AX19" i="1"/>
  <c r="AX18" i="1"/>
  <c r="AX16" i="1"/>
  <c r="AX17" i="1"/>
  <c r="AX15" i="1"/>
  <c r="AX13" i="1"/>
  <c r="AX14" i="1"/>
  <c r="AX12" i="1"/>
  <c r="AX11" i="1"/>
  <c r="AX10" i="1"/>
  <c r="AX9" i="1"/>
  <c r="AX8" i="1"/>
  <c r="AX7" i="1"/>
  <c r="AX6" i="1"/>
  <c r="AX5" i="1"/>
  <c r="AX4" i="1"/>
  <c r="AX3" i="1"/>
  <c r="AX2" i="1"/>
  <c r="AX222" i="1"/>
  <c r="AZ222" i="1" a="1"/>
  <c r="AZ222" i="1" s="1"/>
  <c r="AZ221" i="1" a="1"/>
  <c r="AZ221" i="1" s="1"/>
  <c r="AX221" i="1"/>
  <c r="AX220" i="1"/>
  <c r="AZ220" i="1" a="1"/>
  <c r="AZ220" i="1" s="1"/>
  <c r="AX219" i="1"/>
  <c r="AZ219" i="1" a="1"/>
  <c r="AZ219" i="1" s="1"/>
  <c r="AZ218" i="1" a="1"/>
  <c r="AZ218" i="1" s="1"/>
  <c r="AX218" i="1"/>
  <c r="AZ217" i="1" a="1"/>
  <c r="AZ217" i="1" s="1"/>
  <c r="AX217" i="1"/>
  <c r="AZ216" i="1" a="1"/>
  <c r="AZ216" i="1" s="1"/>
  <c r="AX216" i="1"/>
  <c r="AX215" i="1"/>
  <c r="AZ215" i="1" a="1"/>
  <c r="AZ215" i="1" s="1"/>
  <c r="AX214" i="1"/>
  <c r="AZ214" i="1" a="1"/>
  <c r="AZ214" i="1" s="1"/>
  <c r="AX213" i="1"/>
  <c r="AZ213" i="1" a="1"/>
  <c r="AZ213" i="1" s="1"/>
  <c r="AX212" i="1"/>
  <c r="AZ212" i="1" a="1"/>
  <c r="AZ212" i="1" s="1"/>
  <c r="AZ15" i="1" a="1"/>
  <c r="AZ15" i="1" s="1"/>
  <c r="AX211" i="1"/>
  <c r="AZ211" i="1" a="1"/>
  <c r="AZ211" i="1" s="1"/>
  <c r="AZ210" i="1" a="1"/>
  <c r="AZ210" i="1" s="1"/>
  <c r="AX210" i="1"/>
  <c r="AX209" i="1"/>
  <c r="AZ209" i="1" a="1"/>
  <c r="AZ209" i="1" s="1"/>
  <c r="AX208" i="1"/>
  <c r="AZ208" i="1" a="1"/>
  <c r="AZ208" i="1" s="1"/>
  <c r="AX207" i="1"/>
  <c r="AZ207" i="1" a="1"/>
  <c r="AZ207" i="1" s="1"/>
  <c r="AZ206" i="1" a="1"/>
  <c r="AZ206" i="1" s="1"/>
  <c r="AX206" i="1"/>
  <c r="AX205" i="1"/>
  <c r="AZ205" i="1" a="1"/>
  <c r="AZ205" i="1" s="1"/>
  <c r="AX204" i="1"/>
  <c r="AZ204" i="1" a="1"/>
  <c r="AZ204" i="1" s="1"/>
  <c r="AZ203" i="1" a="1"/>
  <c r="AZ203" i="1" s="1"/>
  <c r="AX203" i="1"/>
  <c r="AZ202" i="1" a="1"/>
  <c r="AZ202" i="1" s="1"/>
  <c r="AX202" i="1"/>
  <c r="AX201" i="1"/>
  <c r="AZ201" i="1" a="1"/>
  <c r="AZ201" i="1" s="1"/>
  <c r="AX200" i="1"/>
  <c r="AZ200" i="1" a="1"/>
  <c r="AZ200" i="1" s="1"/>
  <c r="AX199" i="1"/>
  <c r="AZ199" i="1" a="1"/>
  <c r="AZ199" i="1" s="1"/>
  <c r="AZ198" i="1" a="1"/>
  <c r="AZ198" i="1" s="1"/>
  <c r="AX198" i="1"/>
  <c r="AZ197" i="1" a="1"/>
  <c r="AZ197" i="1" s="1"/>
  <c r="AX197" i="1"/>
  <c r="AZ196" i="1" a="1"/>
  <c r="AZ196" i="1" s="1"/>
  <c r="AX196" i="1"/>
  <c r="AZ195" i="1" a="1"/>
  <c r="AZ195" i="1" s="1"/>
  <c r="AX195" i="1"/>
  <c r="AZ194" i="1" a="1"/>
  <c r="AZ194" i="1" s="1"/>
  <c r="AX194" i="1"/>
  <c r="AX193" i="1"/>
  <c r="AZ193" i="1" a="1"/>
  <c r="AZ193" i="1" s="1"/>
  <c r="AZ192" i="1" a="1"/>
  <c r="AZ192" i="1" s="1"/>
  <c r="AX192" i="1"/>
  <c r="AX191" i="1"/>
  <c r="AZ191" i="1" a="1"/>
  <c r="AZ191" i="1" s="1"/>
  <c r="AZ190" i="1" a="1"/>
  <c r="AZ190" i="1" s="1"/>
  <c r="AX190" i="1"/>
  <c r="AZ189" i="1" a="1"/>
  <c r="AZ189" i="1" s="1"/>
  <c r="AX189" i="1"/>
  <c r="AZ188" i="1" a="1"/>
  <c r="AZ188" i="1" s="1"/>
  <c r="AX188" i="1"/>
  <c r="AZ187" i="1" a="1"/>
  <c r="AZ187" i="1" s="1"/>
  <c r="AX187" i="1"/>
  <c r="AX186" i="1"/>
  <c r="AZ186" i="1" a="1"/>
  <c r="AZ186" i="1" s="1"/>
  <c r="AX185" i="1"/>
  <c r="AZ185" i="1" a="1"/>
  <c r="AZ185" i="1" s="1"/>
  <c r="AZ184" i="1" a="1"/>
  <c r="AZ184" i="1" s="1"/>
  <c r="AX184" i="1"/>
  <c r="AZ183" i="1" a="1"/>
  <c r="AZ183" i="1" s="1"/>
  <c r="AX183" i="1"/>
  <c r="AZ182" i="1" a="1"/>
  <c r="AZ182" i="1" s="1"/>
  <c r="AX182" i="1"/>
  <c r="AX181" i="1"/>
  <c r="AZ181" i="1" a="1"/>
  <c r="AZ181" i="1" s="1"/>
  <c r="AX180" i="1"/>
  <c r="AZ180" i="1" a="1"/>
  <c r="AZ180" i="1" s="1"/>
  <c r="AX179" i="1"/>
  <c r="AZ179" i="1" a="1"/>
  <c r="AZ179" i="1" s="1"/>
  <c r="AX178" i="1"/>
  <c r="AZ178" i="1" a="1"/>
  <c r="AZ178" i="1" s="1"/>
  <c r="AX177" i="1"/>
  <c r="AZ177" i="1" a="1"/>
  <c r="AZ177" i="1" s="1"/>
  <c r="AZ176" i="1" a="1"/>
  <c r="AZ176" i="1" s="1"/>
  <c r="AX176" i="1"/>
  <c r="AZ175" i="1" a="1"/>
  <c r="AZ175" i="1" s="1"/>
  <c r="AX175" i="1"/>
  <c r="AX174" i="1"/>
  <c r="AZ174" i="1" a="1"/>
  <c r="AZ174" i="1" s="1"/>
  <c r="AX173" i="1"/>
  <c r="AZ173" i="1" a="1"/>
  <c r="AZ173" i="1" s="1"/>
  <c r="AZ172" i="1" a="1"/>
  <c r="AZ172" i="1" s="1"/>
  <c r="AX172" i="1"/>
  <c r="AZ171" i="1" a="1"/>
  <c r="AZ171" i="1" s="1"/>
  <c r="AX171" i="1"/>
  <c r="AX170" i="1"/>
  <c r="AZ170" i="1" a="1"/>
  <c r="AZ170" i="1" s="1"/>
  <c r="AZ169" i="1" a="1"/>
  <c r="AZ169" i="1" s="1"/>
  <c r="AX169" i="1"/>
  <c r="AX168" i="1"/>
  <c r="AZ168" i="1" a="1"/>
  <c r="AZ168" i="1" s="1"/>
  <c r="AX167" i="1"/>
  <c r="AZ167" i="1" a="1"/>
  <c r="AZ167" i="1" s="1"/>
  <c r="AX166" i="1"/>
  <c r="AZ166" i="1" a="1"/>
  <c r="AZ166" i="1" s="1"/>
  <c r="AX165" i="1"/>
  <c r="AZ165" i="1" a="1"/>
  <c r="AZ165" i="1" s="1"/>
  <c r="AX164" i="1"/>
  <c r="AZ164" i="1" a="1"/>
  <c r="AZ164" i="1" s="1"/>
  <c r="AX163" i="1"/>
  <c r="AZ163" i="1" a="1"/>
  <c r="AZ163" i="1" s="1"/>
  <c r="AX162" i="1"/>
  <c r="AZ162" i="1" a="1"/>
  <c r="AZ162" i="1" s="1"/>
  <c r="AX161" i="1"/>
  <c r="AZ161" i="1" a="1"/>
  <c r="AZ161" i="1" s="1"/>
  <c r="AZ158" i="1" a="1"/>
  <c r="AZ158" i="1" s="1"/>
  <c r="AX160" i="1"/>
  <c r="AZ160" i="1" a="1"/>
  <c r="AZ160" i="1" s="1"/>
  <c r="AX159" i="1"/>
  <c r="AZ159" i="1" a="1"/>
  <c r="AZ159" i="1" s="1"/>
  <c r="AX158" i="1"/>
  <c r="AX157" i="1"/>
  <c r="AZ157" i="1" a="1"/>
  <c r="AZ157" i="1" s="1"/>
  <c r="AX156" i="1"/>
  <c r="AZ156" i="1" a="1"/>
  <c r="AZ156" i="1" s="1"/>
  <c r="AX155" i="1"/>
  <c r="AZ155" i="1" a="1"/>
  <c r="AZ155" i="1" s="1"/>
  <c r="AZ153" i="1" a="1"/>
  <c r="AZ153" i="1" s="1"/>
  <c r="AZ154" i="1" a="1"/>
  <c r="AZ154" i="1" s="1"/>
  <c r="AX154" i="1"/>
  <c r="AX153" i="1"/>
  <c r="AX152" i="1"/>
  <c r="AZ152" i="1" a="1"/>
  <c r="AZ152" i="1" s="1"/>
  <c r="AZ151" i="1" a="1"/>
  <c r="AZ151" i="1" s="1"/>
  <c r="AX151" i="1"/>
  <c r="AX150" i="1"/>
  <c r="AZ150" i="1" a="1"/>
  <c r="AZ150" i="1" s="1"/>
  <c r="AZ140" i="1" a="1"/>
  <c r="AZ140" i="1" s="1"/>
  <c r="AZ148" i="1" a="1"/>
  <c r="AZ148" i="1" s="1"/>
  <c r="AZ146" i="1" a="1"/>
  <c r="AZ146" i="1" s="1"/>
  <c r="AX149" i="1"/>
  <c r="AZ149" i="1" a="1"/>
  <c r="AZ149" i="1" s="1"/>
  <c r="AX148" i="1"/>
  <c r="AX147" i="1"/>
  <c r="AZ147" i="1" a="1"/>
  <c r="AZ147" i="1" s="1"/>
  <c r="AX146" i="1"/>
  <c r="AX145" i="1"/>
  <c r="AZ145" i="1" a="1"/>
  <c r="AZ145" i="1" s="1"/>
  <c r="AZ144" i="1" a="1"/>
  <c r="AZ144" i="1" s="1"/>
  <c r="AX144" i="1"/>
  <c r="AZ141" i="1" a="1"/>
  <c r="AZ141" i="1" s="1"/>
  <c r="AX143" i="1"/>
  <c r="AZ143" i="1" a="1"/>
  <c r="AZ143" i="1" s="1"/>
  <c r="AZ142" i="1" a="1"/>
  <c r="AZ142" i="1" s="1"/>
  <c r="AX142" i="1"/>
  <c r="AX141" i="1"/>
  <c r="AX140" i="1"/>
  <c r="AZ138" i="1" a="1"/>
  <c r="AZ138" i="1" s="1"/>
  <c r="AZ139" i="1" a="1"/>
  <c r="AZ139" i="1" s="1"/>
  <c r="AX139" i="1"/>
  <c r="AX138" i="1"/>
  <c r="AZ136" i="1" a="1"/>
  <c r="AZ136" i="1" s="1"/>
  <c r="AZ137" i="1" a="1"/>
  <c r="AZ137" i="1" s="1"/>
  <c r="AX137" i="1"/>
  <c r="AX136" i="1"/>
  <c r="AZ5" i="1" a="1"/>
  <c r="AZ5" i="1" s="1"/>
  <c r="AZ10" i="1" a="1"/>
  <c r="AZ10" i="1" s="1"/>
  <c r="AZ129" i="1" a="1"/>
  <c r="AZ129" i="1" s="1"/>
  <c r="AZ68" i="1" a="1"/>
  <c r="AZ68" i="1" s="1"/>
  <c r="AZ37" i="1" a="1"/>
  <c r="AZ37" i="1" s="1"/>
  <c r="AZ9" i="1" a="1"/>
  <c r="AZ9" i="1" s="1"/>
  <c r="AX135" i="1"/>
  <c r="AZ135" i="1" a="1"/>
  <c r="AZ135" i="1" s="1"/>
  <c r="AZ133" i="1" a="1"/>
  <c r="AZ133" i="1" s="1"/>
  <c r="AX134" i="1"/>
  <c r="AZ134" i="1" a="1"/>
  <c r="AZ134" i="1" s="1"/>
  <c r="AX133" i="1"/>
  <c r="AZ130" i="1" a="1"/>
  <c r="AZ130" i="1" s="1"/>
  <c r="AX132" i="1"/>
  <c r="AZ132" i="1" a="1"/>
  <c r="AZ132" i="1" s="1"/>
  <c r="AZ131" i="1" a="1"/>
  <c r="AZ131" i="1" s="1"/>
  <c r="AX131" i="1"/>
  <c r="AX130" i="1"/>
  <c r="AX129" i="1"/>
  <c r="AZ128" i="1" a="1"/>
  <c r="AZ128" i="1" s="1"/>
  <c r="AX128" i="1"/>
  <c r="AZ125" i="1" a="1"/>
  <c r="AZ125" i="1" s="1"/>
  <c r="AZ126" i="1" a="1"/>
  <c r="AZ126" i="1" s="1"/>
  <c r="AX127" i="1"/>
  <c r="AZ127" i="1" a="1"/>
  <c r="AZ127" i="1" s="1"/>
  <c r="AX126" i="1"/>
  <c r="AX125" i="1"/>
  <c r="AZ35" i="1" a="1"/>
  <c r="AZ35" i="1" s="1"/>
  <c r="AZ25" i="1" a="1"/>
  <c r="AZ25" i="1" s="1"/>
  <c r="AZ23" i="1" a="1"/>
  <c r="AZ23" i="1" s="1"/>
  <c r="AZ43" i="1" a="1"/>
  <c r="AZ43" i="1" s="1"/>
  <c r="AZ75" i="1" a="1"/>
  <c r="AZ75" i="1" s="1"/>
  <c r="AZ7" i="1" a="1"/>
  <c r="AZ7" i="1" s="1"/>
  <c r="AX124" i="1"/>
  <c r="AZ124" i="1" a="1"/>
  <c r="AZ124" i="1" s="1"/>
  <c r="AZ100" i="1" a="1"/>
  <c r="AZ100" i="1" s="1"/>
  <c r="AZ3" i="1" a="1"/>
  <c r="AZ3" i="1" s="1"/>
  <c r="AZ29" i="1" a="1"/>
  <c r="AZ29" i="1" s="1"/>
  <c r="AZ48" i="1" a="1"/>
  <c r="AZ48" i="1" s="1"/>
  <c r="AZ21" i="1" a="1"/>
  <c r="AZ21" i="1" s="1"/>
  <c r="AZ26" i="1" a="1"/>
  <c r="AZ26" i="1" s="1"/>
  <c r="AZ123" i="1" a="1"/>
  <c r="AZ123" i="1" s="1"/>
  <c r="AZ24" i="1" a="1"/>
  <c r="AZ24" i="1" s="1"/>
  <c r="AX123" i="1"/>
  <c r="AZ33" i="1" a="1"/>
  <c r="AZ33" i="1" s="1"/>
  <c r="AZ28" i="1" a="1"/>
  <c r="AZ28" i="1" s="1"/>
  <c r="AZ47" i="1" a="1"/>
  <c r="AZ47" i="1" s="1"/>
  <c r="AZ59" i="1" a="1"/>
  <c r="AZ59" i="1" s="1"/>
  <c r="AZ76" i="1" a="1"/>
  <c r="AZ76" i="1" s="1"/>
  <c r="AZ95" i="1" a="1"/>
  <c r="AZ95" i="1" s="1"/>
  <c r="AZ17" i="1" a="1"/>
  <c r="AZ17" i="1" s="1"/>
  <c r="AZ2" i="1" a="1"/>
  <c r="AZ2" i="1" s="1"/>
  <c r="AZ38" i="1" a="1"/>
  <c r="AZ38" i="1" s="1"/>
  <c r="AZ41" i="1" a="1"/>
  <c r="AZ41" i="1" s="1"/>
  <c r="AZ53" i="1" a="1"/>
  <c r="AZ53" i="1" s="1"/>
  <c r="AZ65" i="1" a="1"/>
  <c r="AZ65" i="1" s="1"/>
  <c r="AZ18" i="1" a="1"/>
  <c r="AZ18" i="1" s="1"/>
  <c r="AZ30" i="1" a="1"/>
  <c r="AZ30" i="1" s="1"/>
  <c r="AZ6" i="1" a="1"/>
  <c r="AZ6" i="1" s="1"/>
  <c r="AZ4" i="1" a="1"/>
  <c r="AZ4" i="1" s="1"/>
  <c r="AZ13" i="1" a="1"/>
  <c r="AZ13" i="1" s="1"/>
  <c r="AZ55" i="1" a="1"/>
  <c r="AZ55" i="1" s="1"/>
  <c r="AZ60" i="1" a="1"/>
  <c r="AZ60" i="1" s="1"/>
  <c r="AZ14" i="1" a="1"/>
  <c r="AZ14" i="1" s="1"/>
  <c r="AZ32" i="1" a="1"/>
  <c r="AZ32" i="1" s="1"/>
  <c r="AZ44" i="1" a="1"/>
  <c r="AZ44" i="1" s="1"/>
  <c r="AZ49" i="1" a="1"/>
  <c r="AZ49" i="1" s="1"/>
  <c r="AZ91" i="1" a="1"/>
  <c r="AZ91" i="1" s="1"/>
  <c r="AZ103" i="1" a="1"/>
  <c r="AZ103" i="1" s="1"/>
  <c r="AZ22" i="1" a="1"/>
  <c r="AZ22" i="1" s="1"/>
  <c r="AZ42" i="1" a="1"/>
  <c r="AZ42" i="1" s="1"/>
  <c r="AZ46" i="1" a="1"/>
  <c r="AZ46" i="1" s="1"/>
  <c r="AZ51" i="1" a="1"/>
  <c r="AZ51" i="1" s="1"/>
  <c r="AZ79" i="1" a="1"/>
  <c r="AZ79" i="1" s="1"/>
  <c r="AZ92" i="1" a="1"/>
  <c r="AZ92" i="1" s="1"/>
  <c r="AZ56" i="1" a="1"/>
  <c r="AZ56" i="1" s="1"/>
  <c r="AZ87" i="1" a="1"/>
  <c r="AZ87" i="1" s="1"/>
  <c r="AZ99" i="1" a="1"/>
  <c r="AZ99" i="1" s="1"/>
  <c r="AZ114" i="1" a="1"/>
  <c r="AZ114" i="1" s="1"/>
  <c r="AZ110" i="1" a="1"/>
  <c r="AZ110" i="1" s="1"/>
  <c r="AZ122" i="1" a="1"/>
  <c r="AZ122" i="1" s="1"/>
  <c r="AZ36" i="1" a="1"/>
  <c r="AZ36" i="1" s="1"/>
  <c r="AZ16" i="1" a="1"/>
  <c r="AZ16" i="1" s="1"/>
  <c r="AZ20" i="1" a="1"/>
  <c r="AZ20" i="1" s="1"/>
  <c r="AZ61" i="1" a="1"/>
  <c r="AZ61" i="1" s="1"/>
  <c r="AZ67" i="1" a="1"/>
  <c r="AZ67" i="1" s="1"/>
  <c r="AX122" i="1"/>
  <c r="AZ31" i="1" a="1"/>
  <c r="AZ31" i="1" s="1"/>
  <c r="AZ11" i="1" a="1"/>
  <c r="AZ11" i="1" s="1"/>
  <c r="AZ34" i="1" a="1"/>
  <c r="AZ34" i="1" s="1"/>
  <c r="AZ27" i="1" a="1"/>
  <c r="AZ27" i="1" s="1"/>
  <c r="AZ12" i="1" a="1"/>
  <c r="AZ12" i="1" s="1"/>
  <c r="AZ52" i="1" a="1"/>
  <c r="AZ52" i="1" s="1"/>
  <c r="AZ72" i="1" a="1"/>
  <c r="AZ72" i="1" s="1"/>
  <c r="AZ83" i="1" a="1"/>
  <c r="AZ83" i="1" s="1"/>
  <c r="AZ88" i="1" a="1"/>
  <c r="AZ88" i="1" s="1"/>
  <c r="AZ104" i="1" a="1"/>
  <c r="AZ104" i="1" s="1"/>
  <c r="AZ105" i="1" a="1"/>
  <c r="AZ105" i="1" s="1"/>
  <c r="AZ71" i="1" a="1"/>
  <c r="AZ71" i="1" s="1"/>
  <c r="AZ80" i="1" a="1"/>
  <c r="AZ80" i="1" s="1"/>
  <c r="AZ84" i="1" a="1"/>
  <c r="AZ84" i="1" s="1"/>
  <c r="AZ89" i="1" a="1"/>
  <c r="AZ89" i="1" s="1"/>
  <c r="AZ93" i="1" a="1"/>
  <c r="AZ93" i="1" s="1"/>
  <c r="AZ96" i="1" a="1"/>
  <c r="AZ96" i="1" s="1"/>
  <c r="AZ101" i="1" a="1"/>
  <c r="AZ101" i="1" s="1"/>
  <c r="AZ106" i="1" a="1"/>
  <c r="AZ106" i="1" s="1"/>
  <c r="AZ116" i="1" a="1"/>
  <c r="AZ116" i="1" s="1"/>
  <c r="AZ39" i="1" a="1"/>
  <c r="AZ39" i="1" s="1"/>
  <c r="AZ40" i="1" a="1"/>
  <c r="AZ40" i="1" s="1"/>
  <c r="AZ45" i="1" a="1"/>
  <c r="AZ45" i="1" s="1"/>
  <c r="AZ50" i="1" a="1"/>
  <c r="AZ50" i="1" s="1"/>
  <c r="AZ63" i="1" a="1"/>
  <c r="AZ63" i="1" s="1"/>
  <c r="AZ73" i="1" a="1"/>
  <c r="AZ73" i="1" s="1"/>
  <c r="AZ81" i="1" a="1"/>
  <c r="AZ81" i="1" s="1"/>
  <c r="AZ85" i="1" a="1"/>
  <c r="AZ85" i="1" s="1"/>
  <c r="AZ107" i="1" a="1"/>
  <c r="AZ107" i="1" s="1"/>
  <c r="AZ120" i="1" a="1"/>
  <c r="AZ120" i="1" s="1"/>
  <c r="AZ8" i="1" a="1"/>
  <c r="AZ8" i="1" s="1"/>
  <c r="AZ19" i="1" a="1"/>
  <c r="AZ19" i="1" s="1"/>
  <c r="AZ54" i="1" a="1"/>
  <c r="AZ54" i="1" s="1"/>
  <c r="AZ57" i="1" a="1"/>
  <c r="AZ57" i="1" s="1"/>
  <c r="AZ66" i="1" a="1"/>
  <c r="AZ66" i="1" s="1"/>
  <c r="AZ74" i="1" a="1"/>
  <c r="AZ74" i="1" s="1"/>
  <c r="AZ77" i="1" a="1"/>
  <c r="AZ77" i="1" s="1"/>
  <c r="AZ90" i="1" a="1"/>
  <c r="AZ90" i="1" s="1"/>
  <c r="AZ97" i="1" a="1"/>
  <c r="AZ97" i="1" s="1"/>
  <c r="AZ108" i="1" a="1"/>
  <c r="AZ108" i="1" s="1"/>
  <c r="AZ58" i="1" a="1"/>
  <c r="AZ58" i="1" s="1"/>
  <c r="AZ62" i="1" a="1"/>
  <c r="AZ62" i="1" s="1"/>
  <c r="AZ69" i="1" a="1"/>
  <c r="AZ69" i="1" s="1"/>
  <c r="AZ82" i="1" a="1"/>
  <c r="AZ82" i="1" s="1"/>
  <c r="AZ94" i="1" a="1"/>
  <c r="AZ94" i="1" s="1"/>
  <c r="AZ98" i="1" a="1"/>
  <c r="AZ98" i="1" s="1"/>
  <c r="AZ102" i="1" a="1"/>
  <c r="AZ102" i="1" s="1"/>
  <c r="AZ121" i="1" a="1"/>
  <c r="AZ121" i="1" s="1"/>
  <c r="AZ64" i="1" a="1"/>
  <c r="AZ64" i="1" s="1"/>
  <c r="AZ70" i="1" a="1"/>
  <c r="AZ70" i="1" s="1"/>
  <c r="AZ78" i="1" a="1"/>
  <c r="AZ78" i="1" s="1"/>
  <c r="AZ86" i="1" a="1"/>
  <c r="AZ86" i="1" s="1"/>
  <c r="AX121" i="1"/>
  <c r="AX104" i="1"/>
  <c r="AX109" i="1"/>
  <c r="AX105" i="1"/>
  <c r="AX110" i="1"/>
  <c r="AX114" i="1"/>
  <c r="AX107" i="1"/>
  <c r="AX120" i="1"/>
  <c r="AZ111" i="1" a="1"/>
  <c r="AZ111" i="1" s="1"/>
  <c r="AZ112" i="1" a="1"/>
  <c r="AZ112" i="1" s="1"/>
  <c r="AZ113" i="1" a="1"/>
  <c r="AZ113" i="1" s="1"/>
  <c r="AZ117" i="1" a="1"/>
  <c r="AZ117" i="1" s="1"/>
  <c r="AZ118" i="1" a="1"/>
  <c r="AZ118" i="1" s="1"/>
  <c r="AZ109" i="1" a="1"/>
  <c r="AZ109" i="1" s="1"/>
  <c r="AZ115" i="1" a="1"/>
  <c r="AZ115" i="1" s="1"/>
  <c r="AX119" i="1"/>
  <c r="AZ119" i="1" a="1"/>
  <c r="AZ119" i="1" s="1"/>
  <c r="AX115" i="1"/>
  <c r="AX118" i="1"/>
  <c r="AX111" i="1"/>
  <c r="AX117" i="1"/>
  <c r="AX112" i="1"/>
  <c r="AX116" i="1"/>
  <c r="AX113" i="1"/>
  <c r="B8" i="2" l="1"/>
  <c r="P8" i="2" s="1"/>
  <c r="B9" i="2"/>
  <c r="P9" i="2" s="1"/>
  <c r="B10" i="2"/>
  <c r="P10" i="2" s="1"/>
  <c r="B11" i="2"/>
  <c r="P11" i="2" s="1"/>
  <c r="B12" i="2"/>
  <c r="P12" i="2" s="1"/>
  <c r="B13" i="2"/>
  <c r="P13" i="2" s="1"/>
  <c r="B14" i="2"/>
  <c r="P14" i="2" s="1"/>
  <c r="B15" i="2"/>
  <c r="P15" i="2" s="1"/>
  <c r="B16" i="2"/>
  <c r="P16" i="2" s="1"/>
  <c r="B17" i="2"/>
  <c r="P17" i="2" s="1"/>
  <c r="B18" i="2"/>
  <c r="P18" i="2" s="1"/>
  <c r="B19" i="2"/>
  <c r="P19" i="2" s="1"/>
  <c r="B20" i="2"/>
  <c r="P20" i="2" s="1"/>
  <c r="B21" i="2"/>
  <c r="P21" i="2" s="1"/>
  <c r="B22" i="2"/>
  <c r="P22" i="2" s="1"/>
  <c r="B23" i="2"/>
  <c r="P23" i="2" s="1"/>
  <c r="B7" i="2"/>
  <c r="P7" i="2" s="1"/>
  <c r="B6" i="2"/>
  <c r="I6" i="2" l="1"/>
  <c r="G6" i="2"/>
  <c r="N22" i="2"/>
  <c r="O22" i="2"/>
  <c r="N14" i="2"/>
  <c r="O14" i="2"/>
  <c r="N15" i="2"/>
  <c r="O15" i="2"/>
  <c r="N21" i="2"/>
  <c r="O21" i="2"/>
  <c r="N13" i="2"/>
  <c r="O13" i="2"/>
  <c r="N20" i="2"/>
  <c r="O20" i="2"/>
  <c r="N12" i="2"/>
  <c r="O12" i="2"/>
  <c r="N23" i="2"/>
  <c r="O23" i="2"/>
  <c r="N19" i="2"/>
  <c r="O19" i="2"/>
  <c r="N11" i="2"/>
  <c r="O11" i="2"/>
  <c r="N18" i="2"/>
  <c r="O18" i="2"/>
  <c r="N10" i="2"/>
  <c r="O10" i="2"/>
  <c r="N17" i="2"/>
  <c r="O17" i="2"/>
  <c r="N9" i="2"/>
  <c r="O9" i="2"/>
  <c r="N7" i="2"/>
  <c r="O7" i="2"/>
  <c r="N16" i="2"/>
  <c r="O16" i="2"/>
  <c r="N8" i="2"/>
  <c r="O8" i="2"/>
  <c r="Y23" i="2"/>
  <c r="M23" i="2"/>
  <c r="Y15" i="2"/>
  <c r="M15" i="2"/>
  <c r="Y22" i="2"/>
  <c r="M22" i="2"/>
  <c r="Y14" i="2"/>
  <c r="M14" i="2"/>
  <c r="Y21" i="2"/>
  <c r="M21" i="2"/>
  <c r="Y13" i="2"/>
  <c r="M13" i="2"/>
  <c r="Y20" i="2"/>
  <c r="M20" i="2"/>
  <c r="Y12" i="2"/>
  <c r="M12" i="2"/>
  <c r="Y19" i="2"/>
  <c r="M19" i="2"/>
  <c r="Y11" i="2"/>
  <c r="M11" i="2"/>
  <c r="Y18" i="2"/>
  <c r="M18" i="2"/>
  <c r="Y10" i="2"/>
  <c r="M10" i="2"/>
  <c r="Y17" i="2"/>
  <c r="M17" i="2"/>
  <c r="Y9" i="2"/>
  <c r="M9" i="2"/>
  <c r="Y7" i="2"/>
  <c r="M7" i="2"/>
  <c r="Y16" i="2"/>
  <c r="M16" i="2"/>
  <c r="Y8" i="2"/>
  <c r="M8" i="2"/>
  <c r="AD13" i="2"/>
  <c r="L15" i="2"/>
  <c r="G15" i="2"/>
  <c r="K15" i="2"/>
  <c r="H15" i="2"/>
  <c r="J15" i="2"/>
  <c r="I15" i="2"/>
  <c r="D15" i="2"/>
  <c r="F15" i="2"/>
  <c r="L22" i="2"/>
  <c r="J22" i="2"/>
  <c r="K22" i="2"/>
  <c r="I22" i="2"/>
  <c r="H22" i="2"/>
  <c r="G22" i="2"/>
  <c r="F22" i="2"/>
  <c r="D22" i="2"/>
  <c r="L14" i="2"/>
  <c r="K14" i="2"/>
  <c r="J14" i="2"/>
  <c r="I14" i="2"/>
  <c r="H14" i="2"/>
  <c r="G14" i="2"/>
  <c r="F14" i="2"/>
  <c r="D14" i="2"/>
  <c r="J21" i="2"/>
  <c r="I21" i="2"/>
  <c r="H21" i="2"/>
  <c r="G21" i="2"/>
  <c r="L21" i="2"/>
  <c r="K21" i="2"/>
  <c r="D21" i="2"/>
  <c r="F21" i="2"/>
  <c r="J13" i="2"/>
  <c r="I13" i="2"/>
  <c r="H13" i="2"/>
  <c r="G13" i="2"/>
  <c r="L13" i="2"/>
  <c r="K13" i="2"/>
  <c r="F13" i="2"/>
  <c r="D13" i="2"/>
  <c r="H20" i="2"/>
  <c r="I20" i="2"/>
  <c r="G20" i="2"/>
  <c r="L20" i="2"/>
  <c r="J20" i="2"/>
  <c r="K20" i="2"/>
  <c r="F20" i="2"/>
  <c r="D20" i="2"/>
  <c r="H12" i="2"/>
  <c r="I12" i="2"/>
  <c r="G12" i="2"/>
  <c r="L12" i="2"/>
  <c r="J12" i="2"/>
  <c r="K12" i="2"/>
  <c r="F12" i="2"/>
  <c r="D12" i="2"/>
  <c r="L19" i="2"/>
  <c r="K19" i="2"/>
  <c r="G19" i="2"/>
  <c r="J19" i="2"/>
  <c r="I19" i="2"/>
  <c r="H19" i="2"/>
  <c r="F19" i="2"/>
  <c r="D19" i="2"/>
  <c r="L11" i="2"/>
  <c r="G11" i="2"/>
  <c r="K11" i="2"/>
  <c r="H11" i="2"/>
  <c r="J11" i="2"/>
  <c r="I11" i="2"/>
  <c r="D11" i="2"/>
  <c r="F11" i="2"/>
  <c r="L23" i="2"/>
  <c r="K23" i="2"/>
  <c r="H23" i="2"/>
  <c r="G23" i="2"/>
  <c r="J23" i="2"/>
  <c r="I23" i="2"/>
  <c r="F23" i="2"/>
  <c r="D23" i="2"/>
  <c r="L18" i="2"/>
  <c r="K18" i="2"/>
  <c r="J18" i="2"/>
  <c r="I18" i="2"/>
  <c r="H18" i="2"/>
  <c r="G18" i="2"/>
  <c r="D18" i="2"/>
  <c r="F18" i="2"/>
  <c r="L10" i="2"/>
  <c r="J10" i="2"/>
  <c r="K10" i="2"/>
  <c r="I10" i="2"/>
  <c r="H10" i="2"/>
  <c r="G10" i="2"/>
  <c r="D10" i="2"/>
  <c r="F10" i="2"/>
  <c r="J17" i="2"/>
  <c r="I17" i="2"/>
  <c r="H17" i="2"/>
  <c r="G17" i="2"/>
  <c r="L17" i="2"/>
  <c r="K17" i="2"/>
  <c r="D17" i="2"/>
  <c r="F17" i="2"/>
  <c r="J9" i="2"/>
  <c r="H9" i="2"/>
  <c r="I9" i="2"/>
  <c r="K9" i="2"/>
  <c r="G9" i="2"/>
  <c r="L9" i="2"/>
  <c r="D9" i="2"/>
  <c r="F9" i="2"/>
  <c r="H16" i="2"/>
  <c r="I16" i="2"/>
  <c r="G16" i="2"/>
  <c r="L16" i="2"/>
  <c r="K16" i="2"/>
  <c r="J16" i="2"/>
  <c r="F16" i="2"/>
  <c r="D16" i="2"/>
  <c r="H8" i="2"/>
  <c r="G8" i="2"/>
  <c r="I8" i="2"/>
  <c r="L8" i="2"/>
  <c r="J8" i="2"/>
  <c r="K8" i="2"/>
  <c r="F8" i="2"/>
  <c r="D8" i="2"/>
  <c r="I7" i="2"/>
  <c r="J7" i="2"/>
  <c r="K7" i="2"/>
  <c r="L7" i="2"/>
  <c r="F7" i="2"/>
  <c r="G7" i="2"/>
  <c r="H7" i="2"/>
  <c r="D7" i="2"/>
  <c r="L6" i="2"/>
  <c r="J6" i="2"/>
  <c r="R6" i="2"/>
  <c r="S6" i="2"/>
  <c r="P6" i="2"/>
  <c r="Q6" i="2"/>
  <c r="D6" i="2"/>
  <c r="O6" i="2"/>
  <c r="K6" i="2"/>
  <c r="M6" i="2"/>
  <c r="N6" i="2"/>
  <c r="F6" i="2"/>
  <c r="Y6" i="2"/>
  <c r="H6" i="2"/>
  <c r="AB21" i="2" l="1"/>
  <c r="AQ23" i="2"/>
  <c r="AI16" i="2"/>
  <c r="AI10" i="2"/>
  <c r="AI12" i="2"/>
  <c r="AI14" i="2"/>
  <c r="AA7" i="2"/>
  <c r="Z18" i="2"/>
  <c r="AI20" i="2"/>
  <c r="AB22" i="2"/>
  <c r="AA18" i="2"/>
  <c r="AH7" i="2"/>
  <c r="AI7" i="2"/>
  <c r="AH18" i="2"/>
  <c r="AI18" i="2"/>
  <c r="AH22" i="2"/>
  <c r="AI22" i="2"/>
  <c r="AB7" i="2"/>
  <c r="AH9" i="2"/>
  <c r="AI9" i="2"/>
  <c r="AH11" i="2"/>
  <c r="AI11" i="2"/>
  <c r="AH13" i="2"/>
  <c r="AI13" i="2"/>
  <c r="AH15" i="2"/>
  <c r="AI15" i="2"/>
  <c r="AC22" i="2"/>
  <c r="AE8" i="2"/>
  <c r="AI8" i="2"/>
  <c r="Z17" i="2"/>
  <c r="AI17" i="2"/>
  <c r="AR19" i="2"/>
  <c r="AI19" i="2"/>
  <c r="AR21" i="2"/>
  <c r="AI21" i="2"/>
  <c r="AD23" i="2"/>
  <c r="AI23" i="2"/>
  <c r="Z19" i="2"/>
  <c r="AC8" i="2"/>
  <c r="AC19" i="2"/>
  <c r="AA8" i="2"/>
  <c r="AE23" i="2"/>
  <c r="Z21" i="2"/>
  <c r="AA23" i="2"/>
  <c r="Z23" i="2"/>
  <c r="AQ19" i="2"/>
  <c r="AD20" i="2"/>
  <c r="AH20" i="2"/>
  <c r="Z8" i="2"/>
  <c r="AH8" i="2"/>
  <c r="AA17" i="2"/>
  <c r="AH17" i="2"/>
  <c r="AB19" i="2"/>
  <c r="AH19" i="2"/>
  <c r="AA21" i="2"/>
  <c r="AH21" i="2"/>
  <c r="AR23" i="2"/>
  <c r="AH23" i="2"/>
  <c r="AE16" i="2"/>
  <c r="AH16" i="2"/>
  <c r="Z10" i="2"/>
  <c r="AH10" i="2"/>
  <c r="AR12" i="2"/>
  <c r="AH12" i="2"/>
  <c r="AD14" i="2"/>
  <c r="AH14" i="2"/>
  <c r="AQ17" i="2"/>
  <c r="AQ8" i="2"/>
  <c r="AB17" i="2"/>
  <c r="AD8" i="2"/>
  <c r="AC17" i="2"/>
  <c r="AE21" i="2"/>
  <c r="AR17" i="2"/>
  <c r="AA19" i="2"/>
  <c r="AC21" i="2"/>
  <c r="AR8" i="2"/>
  <c r="AE17" i="2"/>
  <c r="AC23" i="2"/>
  <c r="AD19" i="2"/>
  <c r="AD21" i="2"/>
  <c r="AB8" i="2"/>
  <c r="AD17" i="2"/>
  <c r="AB23" i="2"/>
  <c r="AE19" i="2"/>
  <c r="AQ21" i="2"/>
  <c r="AE12" i="2"/>
  <c r="AQ14" i="2"/>
  <c r="AF16" i="2"/>
  <c r="AG16" i="2"/>
  <c r="AF10" i="2"/>
  <c r="AG10" i="2"/>
  <c r="AF12" i="2"/>
  <c r="AG12" i="2"/>
  <c r="AF14" i="2"/>
  <c r="AG14" i="2"/>
  <c r="AF7" i="2"/>
  <c r="AG7" i="2"/>
  <c r="AF18" i="2"/>
  <c r="AG18" i="2"/>
  <c r="AF20" i="2"/>
  <c r="AG20" i="2"/>
  <c r="AF22" i="2"/>
  <c r="AG22" i="2"/>
  <c r="AQ20" i="2"/>
  <c r="AF9" i="2"/>
  <c r="AG9" i="2"/>
  <c r="AF11" i="2"/>
  <c r="AG11" i="2"/>
  <c r="AF13" i="2"/>
  <c r="AG13" i="2"/>
  <c r="AF15" i="2"/>
  <c r="AG15" i="2"/>
  <c r="AF8" i="2"/>
  <c r="AG8" i="2"/>
  <c r="AF17" i="2"/>
  <c r="AG17" i="2"/>
  <c r="AF19" i="2"/>
  <c r="AG19" i="2"/>
  <c r="AF21" i="2"/>
  <c r="AG21" i="2"/>
  <c r="AF23" i="2"/>
  <c r="AG23" i="2"/>
  <c r="AQ9" i="2"/>
  <c r="AR9" i="2"/>
  <c r="Z15" i="2"/>
  <c r="AC7" i="2"/>
  <c r="AQ22" i="2"/>
  <c r="AC18" i="2"/>
  <c r="AB20" i="2"/>
  <c r="AQ7" i="2"/>
  <c r="AD22" i="2"/>
  <c r="AB18" i="2"/>
  <c r="AC20" i="2"/>
  <c r="Z7" i="2"/>
  <c r="AA22" i="2"/>
  <c r="AR18" i="2"/>
  <c r="AE20" i="2"/>
  <c r="AR7" i="2"/>
  <c r="Z22" i="2"/>
  <c r="AE18" i="2"/>
  <c r="AR20" i="2"/>
  <c r="AE7" i="2"/>
  <c r="AR22" i="2"/>
  <c r="AQ18" i="2"/>
  <c r="Z20" i="2"/>
  <c r="AD7" i="2"/>
  <c r="AE22" i="2"/>
  <c r="AD18" i="2"/>
  <c r="AA20" i="2"/>
  <c r="AD9" i="2"/>
  <c r="AR11" i="2"/>
  <c r="AB9" i="2"/>
  <c r="AE11" i="2"/>
  <c r="AA9" i="2"/>
  <c r="AD11" i="2"/>
  <c r="AR15" i="2"/>
  <c r="Z9" i="2"/>
  <c r="AQ15" i="2"/>
  <c r="AQ16" i="2"/>
  <c r="AE9" i="2"/>
  <c r="AR13" i="2"/>
  <c r="AD16" i="2"/>
  <c r="AA10" i="2"/>
  <c r="AE13" i="2"/>
  <c r="AC11" i="2"/>
  <c r="AB13" i="2"/>
  <c r="AC15" i="2"/>
  <c r="AC9" i="2"/>
  <c r="AB11" i="2"/>
  <c r="AC13" i="2"/>
  <c r="AD15" i="2"/>
  <c r="AA11" i="2"/>
  <c r="AA13" i="2"/>
  <c r="AB15" i="2"/>
  <c r="Z11" i="2"/>
  <c r="Z13" i="2"/>
  <c r="AA15" i="2"/>
  <c r="AQ11" i="2"/>
  <c r="AQ13" i="2"/>
  <c r="AE15" i="2"/>
  <c r="AC16" i="2"/>
  <c r="AR10" i="2"/>
  <c r="AQ12" i="2"/>
  <c r="AC14" i="2"/>
  <c r="AB16" i="2"/>
  <c r="AE10" i="2"/>
  <c r="AD12" i="2"/>
  <c r="AB14" i="2"/>
  <c r="AA16" i="2"/>
  <c r="AQ10" i="2"/>
  <c r="AC12" i="2"/>
  <c r="AA14" i="2"/>
  <c r="Z16" i="2"/>
  <c r="AD10" i="2"/>
  <c r="AB12" i="2"/>
  <c r="Z14" i="2"/>
  <c r="AR16" i="2"/>
  <c r="AC10" i="2"/>
  <c r="AA12" i="2"/>
  <c r="AR14" i="2"/>
  <c r="AB10" i="2"/>
  <c r="Z12" i="2"/>
  <c r="AE14" i="2"/>
  <c r="AZ20" i="2"/>
  <c r="AZ8" i="2"/>
  <c r="AZ21" i="2"/>
  <c r="AZ7" i="2"/>
  <c r="AZ22" i="2"/>
  <c r="AZ9" i="2"/>
  <c r="AZ18" i="2"/>
  <c r="AZ11" i="2"/>
  <c r="AZ13" i="2"/>
  <c r="AZ23" i="2"/>
  <c r="AZ14" i="2"/>
  <c r="AZ16" i="2"/>
  <c r="AZ12" i="2"/>
  <c r="AZ17" i="2"/>
  <c r="AZ15" i="2"/>
  <c r="AZ10" i="2"/>
  <c r="AZ19" i="2"/>
  <c r="T9" i="2"/>
  <c r="C9" i="2"/>
  <c r="T10" i="2"/>
  <c r="C10" i="2"/>
  <c r="T18" i="2"/>
  <c r="C18" i="2"/>
  <c r="C16" i="2"/>
  <c r="T16" i="2"/>
  <c r="C17" i="2"/>
  <c r="T17" i="2"/>
  <c r="T14" i="2"/>
  <c r="C14" i="2"/>
  <c r="T22" i="2"/>
  <c r="C22" i="2"/>
  <c r="C8" i="2"/>
  <c r="T8" i="2"/>
  <c r="T23" i="2"/>
  <c r="C23" i="2"/>
  <c r="C13" i="2"/>
  <c r="T13" i="2"/>
  <c r="C21" i="2"/>
  <c r="T21" i="2"/>
  <c r="C19" i="2"/>
  <c r="T19" i="2"/>
  <c r="C12" i="2"/>
  <c r="T12" i="2"/>
  <c r="C20" i="2"/>
  <c r="T20" i="2"/>
  <c r="T11" i="2"/>
  <c r="C11" i="2"/>
  <c r="T15" i="2"/>
  <c r="C15" i="2"/>
  <c r="T7" i="2"/>
  <c r="C7" i="2"/>
  <c r="AH6" i="2"/>
  <c r="AI6" i="2"/>
  <c r="AZ6" i="2"/>
  <c r="BA6" i="2" s="1"/>
  <c r="BA7" i="2" s="1"/>
  <c r="T6" i="2"/>
  <c r="C6" i="2"/>
  <c r="E6" i="2" s="1"/>
  <c r="AG6" i="2"/>
  <c r="AF6" i="2"/>
  <c r="Z6" i="2"/>
  <c r="AB6" i="2"/>
  <c r="AQ6" i="2"/>
  <c r="AR6" i="2"/>
  <c r="AC6" i="2"/>
  <c r="AD6" i="2"/>
  <c r="AA6" i="2"/>
  <c r="AE6" i="2"/>
  <c r="AN13" i="2" l="1" a="1"/>
  <c r="AN13" i="2" s="1"/>
  <c r="AN11" i="2" a="1"/>
  <c r="AN11" i="2" s="1"/>
  <c r="AN21" i="2" a="1"/>
  <c r="AN21" i="2" s="1"/>
  <c r="AN20" i="2" a="1"/>
  <c r="AN20" i="2" s="1"/>
  <c r="AN7" i="2" a="1"/>
  <c r="AN7" i="2" s="1"/>
  <c r="AN19" i="2" a="1"/>
  <c r="AN19" i="2" s="1"/>
  <c r="AN17" i="2" a="1"/>
  <c r="AN17" i="2" s="1"/>
  <c r="AN9" i="2" a="1"/>
  <c r="AN9" i="2" s="1"/>
  <c r="AN15" i="2" a="1"/>
  <c r="AN15" i="2" s="1"/>
  <c r="AN10" i="2" a="1"/>
  <c r="AN10" i="2" s="1"/>
  <c r="AN23" i="2" a="1"/>
  <c r="AN23" i="2" s="1"/>
  <c r="AN18" i="2" a="1"/>
  <c r="AN18" i="2" s="1"/>
  <c r="AN14" i="2" a="1"/>
  <c r="AN14" i="2" s="1"/>
  <c r="AN22" i="2" a="1"/>
  <c r="AN22" i="2" s="1"/>
  <c r="AN12" i="2" a="1"/>
  <c r="AN12" i="2" s="1"/>
  <c r="AN16" i="2" a="1"/>
  <c r="AN16" i="2" s="1"/>
  <c r="AN8" i="2" a="1"/>
  <c r="AN8" i="2" s="1"/>
  <c r="AN6" i="2" a="1"/>
  <c r="AN6" i="2" s="1"/>
  <c r="AO21" i="2"/>
  <c r="AV23" i="2"/>
  <c r="AO17" i="2"/>
  <c r="AO15" i="2"/>
  <c r="AO8" i="2"/>
  <c r="AO22" i="2"/>
  <c r="AO20" i="2"/>
  <c r="AM20" i="2" s="1"/>
  <c r="AO19" i="2"/>
  <c r="AO23" i="2"/>
  <c r="AM23" i="2" s="1"/>
  <c r="AO7" i="2"/>
  <c r="AO18" i="2"/>
  <c r="AO16" i="2"/>
  <c r="AW19" i="2"/>
  <c r="AO14" i="2"/>
  <c r="AO13" i="2"/>
  <c r="AO9" i="2"/>
  <c r="AO12" i="2"/>
  <c r="AO11" i="2"/>
  <c r="AO10" i="2"/>
  <c r="AW20" i="2"/>
  <c r="AV20" i="2"/>
  <c r="AW16" i="2"/>
  <c r="AW15" i="2"/>
  <c r="AW21" i="2"/>
  <c r="AW14" i="2"/>
  <c r="AV15" i="2"/>
  <c r="AV22" i="2"/>
  <c r="AV11" i="2"/>
  <c r="AV14" i="2"/>
  <c r="AW18" i="2"/>
  <c r="AW17" i="2"/>
  <c r="AW10" i="2"/>
  <c r="AW9" i="2"/>
  <c r="AW8" i="2"/>
  <c r="BB7" i="2"/>
  <c r="A11" i="7" s="1"/>
  <c r="BA8" i="2"/>
  <c r="AV16" i="2"/>
  <c r="AW12" i="2"/>
  <c r="AV8" i="2"/>
  <c r="AV7" i="2"/>
  <c r="AV19" i="2"/>
  <c r="AV10" i="2"/>
  <c r="AV17" i="2"/>
  <c r="AV9" i="2"/>
  <c r="AV21" i="2"/>
  <c r="AV12" i="2"/>
  <c r="AV13" i="2"/>
  <c r="AW13" i="2"/>
  <c r="AV18" i="2"/>
  <c r="AW11" i="2"/>
  <c r="AW23" i="2"/>
  <c r="AW7" i="2"/>
  <c r="AW22" i="2"/>
  <c r="U8" i="2"/>
  <c r="V8" i="2" s="1"/>
  <c r="AP8" i="2" s="1"/>
  <c r="E8" i="2"/>
  <c r="U16" i="2"/>
  <c r="V16" i="2" s="1"/>
  <c r="AP16" i="2" s="1"/>
  <c r="E16" i="2"/>
  <c r="E11" i="2"/>
  <c r="U11" i="2"/>
  <c r="V11" i="2" s="1"/>
  <c r="AP11" i="2" s="1"/>
  <c r="U22" i="2"/>
  <c r="V22" i="2" s="1"/>
  <c r="AP22" i="2" s="1"/>
  <c r="E22" i="2"/>
  <c r="E18" i="2"/>
  <c r="U18" i="2"/>
  <c r="V18" i="2" s="1"/>
  <c r="AP18" i="2" s="1"/>
  <c r="U20" i="2"/>
  <c r="V20" i="2" s="1"/>
  <c r="AP20" i="2" s="1"/>
  <c r="E20" i="2"/>
  <c r="E21" i="2"/>
  <c r="U21" i="2"/>
  <c r="V21" i="2" s="1"/>
  <c r="AP21" i="2" s="1"/>
  <c r="U14" i="2"/>
  <c r="V14" i="2" s="1"/>
  <c r="AP14" i="2" s="1"/>
  <c r="E14" i="2"/>
  <c r="E10" i="2"/>
  <c r="U10" i="2"/>
  <c r="V10" i="2" s="1"/>
  <c r="AP10" i="2" s="1"/>
  <c r="U12" i="2"/>
  <c r="V12" i="2" s="1"/>
  <c r="AP12" i="2" s="1"/>
  <c r="E12" i="2"/>
  <c r="E13" i="2"/>
  <c r="U13" i="2"/>
  <c r="V13" i="2" s="1"/>
  <c r="AP13" i="2" s="1"/>
  <c r="U15" i="2"/>
  <c r="V15" i="2" s="1"/>
  <c r="AP15" i="2" s="1"/>
  <c r="E15" i="2"/>
  <c r="U23" i="2"/>
  <c r="V23" i="2" s="1"/>
  <c r="AP23" i="2" s="1"/>
  <c r="E23" i="2"/>
  <c r="U9" i="2"/>
  <c r="V9" i="2" s="1"/>
  <c r="AP9" i="2" s="1"/>
  <c r="E9" i="2"/>
  <c r="U19" i="2"/>
  <c r="V19" i="2" s="1"/>
  <c r="AP19" i="2" s="1"/>
  <c r="E19" i="2"/>
  <c r="E17" i="2"/>
  <c r="U17" i="2"/>
  <c r="V17" i="2" s="1"/>
  <c r="AP17" i="2" s="1"/>
  <c r="U7" i="2"/>
  <c r="V7" i="2" s="1"/>
  <c r="AP7" i="2" s="1"/>
  <c r="E7" i="2"/>
  <c r="BB6" i="2"/>
  <c r="A10" i="7" s="1"/>
  <c r="B10" i="7" s="1"/>
  <c r="AW6" i="2"/>
  <c r="AV6" i="2"/>
  <c r="U6" i="2"/>
  <c r="V6" i="2" s="1"/>
  <c r="AP6" i="2" s="1"/>
  <c r="AO6" i="2"/>
  <c r="AM18" i="2" l="1"/>
  <c r="AM14" i="2"/>
  <c r="AM7" i="2"/>
  <c r="AM15" i="2"/>
  <c r="AM6" i="2"/>
  <c r="AM13" i="2"/>
  <c r="AM22" i="2"/>
  <c r="AM10" i="2"/>
  <c r="AM11" i="2"/>
  <c r="AM8" i="2"/>
  <c r="AM19" i="2"/>
  <c r="AM16" i="2"/>
  <c r="AM12" i="2"/>
  <c r="AM17" i="2"/>
  <c r="AM9" i="2"/>
  <c r="AM21" i="2"/>
  <c r="AT22" i="2"/>
  <c r="AU20" i="2"/>
  <c r="AU10" i="2"/>
  <c r="AU23" i="2"/>
  <c r="AU7" i="2"/>
  <c r="AT20" i="2"/>
  <c r="AU18" i="2"/>
  <c r="AU8" i="2"/>
  <c r="BB8" i="2"/>
  <c r="BA9" i="2"/>
  <c r="BA10" i="2" s="1"/>
  <c r="BA11" i="2" s="1"/>
  <c r="BA12" i="2" s="1"/>
  <c r="BA13" i="2" s="1"/>
  <c r="BA14" i="2" s="1"/>
  <c r="BA15" i="2" s="1"/>
  <c r="BA16" i="2" s="1"/>
  <c r="BA17" i="2" s="1"/>
  <c r="BA18" i="2" s="1"/>
  <c r="BA19" i="2" s="1"/>
  <c r="BA20" i="2" s="1"/>
  <c r="BA21" i="2" s="1"/>
  <c r="BA22" i="2" s="1"/>
  <c r="BA23" i="2" s="1"/>
  <c r="AU17" i="2"/>
  <c r="AU22" i="2"/>
  <c r="AU14" i="2"/>
  <c r="AU11" i="2"/>
  <c r="AT15" i="2"/>
  <c r="AT21" i="2"/>
  <c r="AT17" i="2"/>
  <c r="AT11" i="2"/>
  <c r="AT8" i="2"/>
  <c r="AT19" i="2"/>
  <c r="AT12" i="2"/>
  <c r="AT13" i="2"/>
  <c r="AT7" i="2"/>
  <c r="AT9" i="2"/>
  <c r="AT18" i="2"/>
  <c r="AT10" i="2"/>
  <c r="AU21" i="2"/>
  <c r="AU19" i="2"/>
  <c r="AT14" i="2"/>
  <c r="AU15" i="2"/>
  <c r="AU13" i="2"/>
  <c r="AU9" i="2"/>
  <c r="AU12" i="2"/>
  <c r="AU16" i="2"/>
  <c r="AT16" i="2"/>
  <c r="AT23" i="2"/>
  <c r="I11" i="7"/>
  <c r="M11" i="7" s="1"/>
  <c r="I10" i="7"/>
  <c r="K10" i="7" s="1"/>
  <c r="E10" i="7"/>
  <c r="D10" i="7"/>
  <c r="C10" i="7"/>
  <c r="AU6" i="2"/>
  <c r="AT6" i="2"/>
  <c r="D29" i="2"/>
  <c r="D11" i="7"/>
  <c r="E11" i="7"/>
  <c r="C11" i="7"/>
  <c r="B11" i="7"/>
  <c r="AS15" i="2" l="1"/>
  <c r="AX15" i="2" s="1"/>
  <c r="I12" i="7"/>
  <c r="A12" i="7"/>
  <c r="AS20" i="2"/>
  <c r="AX20" i="2" s="1"/>
  <c r="AS10" i="2"/>
  <c r="AX10" i="2" s="1"/>
  <c r="AS11" i="2"/>
  <c r="AX11" i="2" s="1"/>
  <c r="AS8" i="2"/>
  <c r="AX8" i="2" s="1"/>
  <c r="AS18" i="2"/>
  <c r="AX18" i="2" s="1"/>
  <c r="AS9" i="2"/>
  <c r="AX9" i="2" s="1"/>
  <c r="AS12" i="2"/>
  <c r="AX12" i="2" s="1"/>
  <c r="AS13" i="2"/>
  <c r="AX13" i="2" s="1"/>
  <c r="AS19" i="2"/>
  <c r="AX19" i="2" s="1"/>
  <c r="AS21" i="2"/>
  <c r="AX21" i="2" s="1"/>
  <c r="AS17" i="2"/>
  <c r="AX17" i="2" s="1"/>
  <c r="AS7" i="2"/>
  <c r="AX7" i="2" s="1"/>
  <c r="BB9" i="2"/>
  <c r="AS14" i="2"/>
  <c r="AX14" i="2" s="1"/>
  <c r="AS16" i="2"/>
  <c r="AX16" i="2" s="1"/>
  <c r="AS23" i="2"/>
  <c r="AX23" i="2" s="1"/>
  <c r="AS22" i="2"/>
  <c r="AX22" i="2" s="1"/>
  <c r="M10" i="7"/>
  <c r="J10" i="7"/>
  <c r="L11" i="7"/>
  <c r="K11" i="7"/>
  <c r="J11" i="7"/>
  <c r="N11" i="7" s="1"/>
  <c r="L10" i="7"/>
  <c r="F10" i="7"/>
  <c r="AS6" i="2"/>
  <c r="AX6" i="2" s="1"/>
  <c r="F11" i="7"/>
  <c r="A13" i="7" l="1"/>
  <c r="I13" i="7"/>
  <c r="C12" i="7"/>
  <c r="E12" i="7"/>
  <c r="D12" i="7"/>
  <c r="B12" i="7"/>
  <c r="M12" i="7"/>
  <c r="O12" i="7" s="1"/>
  <c r="L12" i="7"/>
  <c r="K12" i="7"/>
  <c r="J12" i="7"/>
  <c r="N12" i="7" s="1"/>
  <c r="AY14" i="2"/>
  <c r="AY15" i="2"/>
  <c r="AY20" i="2"/>
  <c r="AY16" i="2"/>
  <c r="AY13" i="2"/>
  <c r="AY12" i="2"/>
  <c r="BB10" i="2"/>
  <c r="AY9" i="2"/>
  <c r="AY18" i="2"/>
  <c r="AY7" i="2"/>
  <c r="AY8" i="2"/>
  <c r="AY17" i="2"/>
  <c r="AY11" i="2"/>
  <c r="AY22" i="2"/>
  <c r="AY21" i="2"/>
  <c r="AY10" i="2"/>
  <c r="AY23" i="2"/>
  <c r="AY19" i="2"/>
  <c r="N10" i="7"/>
  <c r="AY6" i="2"/>
  <c r="F47" i="2" l="1"/>
  <c r="F45" i="2"/>
  <c r="F43" i="2"/>
  <c r="F41" i="2"/>
  <c r="F39" i="2"/>
  <c r="F37" i="2"/>
  <c r="F35" i="2"/>
  <c r="F33" i="2"/>
  <c r="F31" i="2"/>
  <c r="D36" i="2"/>
  <c r="C44" i="2"/>
  <c r="E47" i="2"/>
  <c r="E45" i="2"/>
  <c r="E43" i="2"/>
  <c r="E41" i="2"/>
  <c r="E39" i="2"/>
  <c r="E37" i="2"/>
  <c r="E35" i="2"/>
  <c r="E33" i="2"/>
  <c r="E31" i="2"/>
  <c r="D38" i="2"/>
  <c r="C38" i="2"/>
  <c r="D47" i="2"/>
  <c r="D45" i="2"/>
  <c r="D43" i="2"/>
  <c r="D41" i="2"/>
  <c r="D39" i="2"/>
  <c r="D37" i="2"/>
  <c r="D35" i="2"/>
  <c r="D33" i="2"/>
  <c r="D31" i="2"/>
  <c r="D40" i="2"/>
  <c r="C40" i="2"/>
  <c r="C47" i="2"/>
  <c r="C45" i="2"/>
  <c r="C43" i="2"/>
  <c r="C41" i="2"/>
  <c r="C39" i="2"/>
  <c r="C37" i="2"/>
  <c r="C35" i="2"/>
  <c r="C33" i="2"/>
  <c r="C31" i="2"/>
  <c r="D42" i="2"/>
  <c r="C46" i="2"/>
  <c r="C34" i="2"/>
  <c r="F46" i="2"/>
  <c r="F44" i="2"/>
  <c r="F42" i="2"/>
  <c r="F40" i="2"/>
  <c r="F38" i="2"/>
  <c r="F36" i="2"/>
  <c r="F34" i="2"/>
  <c r="F32" i="2"/>
  <c r="D44" i="2"/>
  <c r="D34" i="2"/>
  <c r="C42" i="2"/>
  <c r="C32" i="2"/>
  <c r="E46" i="2"/>
  <c r="E44" i="2"/>
  <c r="E42" i="2"/>
  <c r="E40" i="2"/>
  <c r="E38" i="2"/>
  <c r="E36" i="2"/>
  <c r="E34" i="2"/>
  <c r="E32" i="2"/>
  <c r="D46" i="2"/>
  <c r="D32" i="2"/>
  <c r="C36" i="2"/>
  <c r="E30" i="2"/>
  <c r="F30" i="2"/>
  <c r="C30" i="2"/>
  <c r="D30" i="2"/>
  <c r="F12" i="7"/>
  <c r="K13" i="7"/>
  <c r="J13" i="7"/>
  <c r="M13" i="7"/>
  <c r="O13" i="7" s="1"/>
  <c r="L13" i="7"/>
  <c r="A14" i="7"/>
  <c r="I14" i="7"/>
  <c r="B13" i="7"/>
  <c r="E13" i="7"/>
  <c r="D13" i="7"/>
  <c r="C13" i="7"/>
  <c r="P32" i="2"/>
  <c r="S32" i="2"/>
  <c r="G32" i="2"/>
  <c r="I32" i="2"/>
  <c r="O32" i="2"/>
  <c r="R32" i="2"/>
  <c r="Q32" i="2"/>
  <c r="L32" i="2"/>
  <c r="H32" i="2"/>
  <c r="M32" i="2"/>
  <c r="B32" i="2"/>
  <c r="J32" i="2"/>
  <c r="K32" i="2"/>
  <c r="N32" i="2"/>
  <c r="M33" i="2"/>
  <c r="R33" i="2"/>
  <c r="G33" i="2"/>
  <c r="S33" i="2"/>
  <c r="J33" i="2"/>
  <c r="N33" i="2"/>
  <c r="P33" i="2"/>
  <c r="B33" i="2"/>
  <c r="L33" i="2"/>
  <c r="Q33" i="2"/>
  <c r="I33" i="2"/>
  <c r="O33" i="2"/>
  <c r="K33" i="2"/>
  <c r="H33" i="2"/>
  <c r="R34" i="2"/>
  <c r="G34" i="2"/>
  <c r="S34" i="2"/>
  <c r="P34" i="2"/>
  <c r="J34" i="2"/>
  <c r="N34" i="2"/>
  <c r="K34" i="2"/>
  <c r="M34" i="2"/>
  <c r="B34" i="2"/>
  <c r="Q34" i="2"/>
  <c r="I34" i="2"/>
  <c r="O34" i="2"/>
  <c r="H34" i="2"/>
  <c r="L34" i="2"/>
  <c r="O35" i="2"/>
  <c r="I35" i="2"/>
  <c r="J35" i="2"/>
  <c r="G35" i="2"/>
  <c r="S35" i="2"/>
  <c r="P35" i="2"/>
  <c r="M35" i="2"/>
  <c r="B35" i="2"/>
  <c r="Q35" i="2"/>
  <c r="N35" i="2"/>
  <c r="K35" i="2"/>
  <c r="H35" i="2"/>
  <c r="R35" i="2"/>
  <c r="L35" i="2"/>
  <c r="J36" i="2"/>
  <c r="N36" i="2"/>
  <c r="H36" i="2"/>
  <c r="L36" i="2"/>
  <c r="B36" i="2"/>
  <c r="P36" i="2"/>
  <c r="R36" i="2"/>
  <c r="Q36" i="2"/>
  <c r="I36" i="2"/>
  <c r="K36" i="2"/>
  <c r="S36" i="2"/>
  <c r="M36" i="2"/>
  <c r="O36" i="2"/>
  <c r="G36" i="2"/>
  <c r="Q37" i="2"/>
  <c r="M37" i="2"/>
  <c r="R37" i="2"/>
  <c r="J37" i="2"/>
  <c r="G37" i="2"/>
  <c r="I37" i="2"/>
  <c r="L37" i="2"/>
  <c r="P37" i="2"/>
  <c r="B37" i="2"/>
  <c r="H37" i="2"/>
  <c r="K37" i="2"/>
  <c r="O37" i="2"/>
  <c r="N37" i="2"/>
  <c r="S37" i="2"/>
  <c r="N38" i="2"/>
  <c r="S38" i="2"/>
  <c r="I38" i="2"/>
  <c r="P38" i="2"/>
  <c r="O38" i="2"/>
  <c r="K38" i="2"/>
  <c r="L38" i="2"/>
  <c r="M38" i="2"/>
  <c r="H38" i="2"/>
  <c r="R38" i="2"/>
  <c r="J38" i="2"/>
  <c r="B38" i="2"/>
  <c r="Q38" i="2"/>
  <c r="G38" i="2"/>
  <c r="S39" i="2"/>
  <c r="P39" i="2"/>
  <c r="K39" i="2"/>
  <c r="H39" i="2"/>
  <c r="G39" i="2"/>
  <c r="J39" i="2"/>
  <c r="M39" i="2"/>
  <c r="O39" i="2"/>
  <c r="N39" i="2"/>
  <c r="R39" i="2"/>
  <c r="B39" i="2"/>
  <c r="Q39" i="2"/>
  <c r="L39" i="2"/>
  <c r="I39" i="2"/>
  <c r="P40" i="2"/>
  <c r="B40" i="2"/>
  <c r="L40" i="2"/>
  <c r="N40" i="2"/>
  <c r="H40" i="2"/>
  <c r="Q40" i="2"/>
  <c r="I40" i="2"/>
  <c r="O40" i="2"/>
  <c r="S40" i="2"/>
  <c r="J40" i="2"/>
  <c r="G40" i="2"/>
  <c r="K40" i="2"/>
  <c r="M40" i="2"/>
  <c r="R40" i="2"/>
  <c r="M41" i="2"/>
  <c r="R41" i="2"/>
  <c r="G41" i="2"/>
  <c r="N41" i="2"/>
  <c r="Q41" i="2"/>
  <c r="J41" i="2"/>
  <c r="I41" i="2"/>
  <c r="P41" i="2"/>
  <c r="H41" i="2"/>
  <c r="B41" i="2"/>
  <c r="L41" i="2"/>
  <c r="S41" i="2"/>
  <c r="K41" i="2"/>
  <c r="O41" i="2"/>
  <c r="R42" i="2"/>
  <c r="G42" i="2"/>
  <c r="S42" i="2"/>
  <c r="Q42" i="2"/>
  <c r="O42" i="2"/>
  <c r="J42" i="2"/>
  <c r="N42" i="2"/>
  <c r="K42" i="2"/>
  <c r="M42" i="2"/>
  <c r="P42" i="2"/>
  <c r="B42" i="2"/>
  <c r="I42" i="2"/>
  <c r="H42" i="2"/>
  <c r="L42" i="2"/>
  <c r="O43" i="2"/>
  <c r="I43" i="2"/>
  <c r="S43" i="2"/>
  <c r="M43" i="2"/>
  <c r="G43" i="2"/>
  <c r="P43" i="2"/>
  <c r="N43" i="2"/>
  <c r="K43" i="2"/>
  <c r="H43" i="2"/>
  <c r="Q43" i="2"/>
  <c r="R43" i="2"/>
  <c r="J43" i="2"/>
  <c r="B43" i="2"/>
  <c r="L43" i="2"/>
  <c r="B44" i="2"/>
  <c r="L44" i="2"/>
  <c r="Q44" i="2"/>
  <c r="M44" i="2"/>
  <c r="O44" i="2"/>
  <c r="I44" i="2"/>
  <c r="P44" i="2"/>
  <c r="K44" i="2"/>
  <c r="S44" i="2"/>
  <c r="H44" i="2"/>
  <c r="R44" i="2"/>
  <c r="G44" i="2"/>
  <c r="J44" i="2"/>
  <c r="N44" i="2"/>
  <c r="Q45" i="2"/>
  <c r="M45" i="2"/>
  <c r="R45" i="2"/>
  <c r="O45" i="2"/>
  <c r="G45" i="2"/>
  <c r="I45" i="2"/>
  <c r="J45" i="2"/>
  <c r="P45" i="2"/>
  <c r="B45" i="2"/>
  <c r="H45" i="2"/>
  <c r="L45" i="2"/>
  <c r="S45" i="2"/>
  <c r="N45" i="2"/>
  <c r="K45" i="2"/>
  <c r="N46" i="2"/>
  <c r="O46" i="2"/>
  <c r="K46" i="2"/>
  <c r="M46" i="2"/>
  <c r="R46" i="2"/>
  <c r="G46" i="2"/>
  <c r="I46" i="2"/>
  <c r="S46" i="2"/>
  <c r="H46" i="2"/>
  <c r="J46" i="2"/>
  <c r="P46" i="2"/>
  <c r="B46" i="2"/>
  <c r="Q46" i="2"/>
  <c r="L46" i="2"/>
  <c r="S47" i="2"/>
  <c r="P47" i="2"/>
  <c r="L47" i="2"/>
  <c r="K47" i="2"/>
  <c r="H47" i="2"/>
  <c r="O47" i="2"/>
  <c r="M47" i="2"/>
  <c r="R47" i="2"/>
  <c r="G47" i="2"/>
  <c r="B47" i="2"/>
  <c r="J47" i="2"/>
  <c r="N47" i="2"/>
  <c r="I47" i="2"/>
  <c r="Q47" i="2"/>
  <c r="BB11" i="2"/>
  <c r="Q30" i="2"/>
  <c r="I30" i="2"/>
  <c r="R31" i="2"/>
  <c r="H31" i="2"/>
  <c r="M31" i="2"/>
  <c r="K30" i="2"/>
  <c r="L30" i="2"/>
  <c r="N30" i="2"/>
  <c r="G31" i="2"/>
  <c r="S30" i="2"/>
  <c r="J31" i="2"/>
  <c r="Q31" i="2"/>
  <c r="O30" i="2"/>
  <c r="S31" i="2"/>
  <c r="O31" i="2"/>
  <c r="R30" i="2"/>
  <c r="P30" i="2"/>
  <c r="P31" i="2"/>
  <c r="N31" i="2"/>
  <c r="B30" i="2"/>
  <c r="L31" i="2"/>
  <c r="H30" i="2"/>
  <c r="G30" i="2"/>
  <c r="M30" i="2"/>
  <c r="B31" i="2"/>
  <c r="K31" i="2"/>
  <c r="J30" i="2"/>
  <c r="I31" i="2"/>
  <c r="N13" i="7" l="1"/>
  <c r="F13" i="7"/>
  <c r="A15" i="7"/>
  <c r="I15" i="7"/>
  <c r="D14" i="7"/>
  <c r="C14" i="7"/>
  <c r="B14" i="7"/>
  <c r="E14" i="7"/>
  <c r="M14" i="7"/>
  <c r="O14" i="7" s="1"/>
  <c r="L14" i="7"/>
  <c r="K14" i="7"/>
  <c r="J14" i="7"/>
  <c r="N14" i="7" s="1"/>
  <c r="BB12" i="2"/>
  <c r="F14" i="7" l="1"/>
  <c r="I16" i="7"/>
  <c r="A16" i="7"/>
  <c r="M15" i="7"/>
  <c r="O15" i="7" s="1"/>
  <c r="J15" i="7"/>
  <c r="N15" i="7" s="1"/>
  <c r="L15" i="7"/>
  <c r="K15" i="7"/>
  <c r="E15" i="7"/>
  <c r="D15" i="7"/>
  <c r="C15" i="7"/>
  <c r="B15" i="7"/>
  <c r="BB13" i="2"/>
  <c r="F15" i="7" l="1"/>
  <c r="E16" i="7"/>
  <c r="D16" i="7"/>
  <c r="C16" i="7"/>
  <c r="B16" i="7"/>
  <c r="L16" i="7"/>
  <c r="M16" i="7"/>
  <c r="O16" i="7" s="1"/>
  <c r="K16" i="7"/>
  <c r="J16" i="7"/>
  <c r="N16" i="7" s="1"/>
  <c r="A17" i="7"/>
  <c r="I17" i="7"/>
  <c r="BB14" i="2"/>
  <c r="F16" i="7" l="1"/>
  <c r="B17" i="7"/>
  <c r="E17" i="7"/>
  <c r="D17" i="7"/>
  <c r="C17" i="7"/>
  <c r="K17" i="7"/>
  <c r="J17" i="7"/>
  <c r="N17" i="7" s="1"/>
  <c r="M17" i="7"/>
  <c r="O17" i="7" s="1"/>
  <c r="L17" i="7"/>
  <c r="A18" i="7"/>
  <c r="I18" i="7"/>
  <c r="BB15" i="2"/>
  <c r="F17" i="7" l="1"/>
  <c r="A19" i="7"/>
  <c r="I19" i="7"/>
  <c r="D18" i="7"/>
  <c r="C18" i="7"/>
  <c r="B18" i="7"/>
  <c r="E18" i="7"/>
  <c r="M18" i="7"/>
  <c r="O18" i="7" s="1"/>
  <c r="L18" i="7"/>
  <c r="K18" i="7"/>
  <c r="J18" i="7"/>
  <c r="N18" i="7" s="1"/>
  <c r="BB16" i="2"/>
  <c r="F18" i="7" l="1"/>
  <c r="M19" i="7"/>
  <c r="O19" i="7" s="1"/>
  <c r="L19" i="7"/>
  <c r="K19" i="7"/>
  <c r="J19" i="7"/>
  <c r="N19" i="7" s="1"/>
  <c r="E19" i="7"/>
  <c r="D19" i="7"/>
  <c r="C19" i="7"/>
  <c r="B19" i="7"/>
  <c r="F19" i="7" s="1"/>
  <c r="I20" i="7"/>
  <c r="A20" i="7"/>
  <c r="BB17" i="2"/>
  <c r="BB20" i="2"/>
  <c r="L20" i="7" l="1"/>
  <c r="M20" i="7"/>
  <c r="O20" i="7" s="1"/>
  <c r="K20" i="7"/>
  <c r="J20" i="7"/>
  <c r="N20" i="7" s="1"/>
  <c r="C20" i="7"/>
  <c r="E20" i="7"/>
  <c r="D20" i="7"/>
  <c r="B20" i="7"/>
  <c r="I24" i="7"/>
  <c r="A24" i="7"/>
  <c r="A21" i="7"/>
  <c r="I21" i="7"/>
  <c r="BB18" i="2"/>
  <c r="F20" i="7" l="1"/>
  <c r="L24" i="7"/>
  <c r="M24" i="7"/>
  <c r="O24" i="7" s="1"/>
  <c r="K24" i="7"/>
  <c r="J24" i="7"/>
  <c r="N24" i="7" s="1"/>
  <c r="C24" i="7"/>
  <c r="E24" i="7"/>
  <c r="D24" i="7"/>
  <c r="B24" i="7"/>
  <c r="A22" i="7"/>
  <c r="I22" i="7"/>
  <c r="K21" i="7"/>
  <c r="J21" i="7"/>
  <c r="N21" i="7" s="1"/>
  <c r="M21" i="7"/>
  <c r="O21" i="7" s="1"/>
  <c r="L21" i="7"/>
  <c r="B21" i="7"/>
  <c r="E21" i="7"/>
  <c r="D21" i="7"/>
  <c r="C21" i="7"/>
  <c r="BB19" i="2"/>
  <c r="F24" i="7" l="1"/>
  <c r="F21" i="7"/>
  <c r="D22" i="7"/>
  <c r="C22" i="7"/>
  <c r="B22" i="7"/>
  <c r="E22" i="7"/>
  <c r="A23" i="7"/>
  <c r="I23" i="7"/>
  <c r="M22" i="7"/>
  <c r="O22" i="7" s="1"/>
  <c r="L22" i="7"/>
  <c r="K22" i="7"/>
  <c r="J22" i="7"/>
  <c r="N22" i="7" s="1"/>
  <c r="BB21" i="2"/>
  <c r="F22" i="7" l="1"/>
  <c r="M23" i="7"/>
  <c r="O23" i="7" s="1"/>
  <c r="L23" i="7"/>
  <c r="K23" i="7"/>
  <c r="J23" i="7"/>
  <c r="N23" i="7" s="1"/>
  <c r="A25" i="7"/>
  <c r="I25" i="7"/>
  <c r="E23" i="7"/>
  <c r="D23" i="7"/>
  <c r="C23" i="7"/>
  <c r="B23" i="7"/>
  <c r="BB22" i="2"/>
  <c r="BB23" i="2"/>
  <c r="F23" i="7" l="1"/>
  <c r="A26" i="7"/>
  <c r="I26" i="7"/>
  <c r="A27" i="7"/>
  <c r="I27" i="7"/>
  <c r="K25" i="7"/>
  <c r="J25" i="7"/>
  <c r="N25" i="7" s="1"/>
  <c r="M25" i="7"/>
  <c r="O25" i="7" s="1"/>
  <c r="L25" i="7"/>
  <c r="B25" i="7"/>
  <c r="F25" i="7" s="1"/>
  <c r="E25" i="7"/>
  <c r="D25" i="7"/>
  <c r="C25" i="7"/>
  <c r="O11" i="7"/>
  <c r="O10" i="7"/>
  <c r="M27" i="7" l="1"/>
  <c r="O27" i="7" s="1"/>
  <c r="J27" i="7"/>
  <c r="N27" i="7" s="1"/>
  <c r="L27" i="7"/>
  <c r="K27" i="7"/>
  <c r="E27" i="7"/>
  <c r="D27" i="7"/>
  <c r="C27" i="7"/>
  <c r="B27" i="7"/>
  <c r="M26" i="7"/>
  <c r="O26" i="7" s="1"/>
  <c r="L26" i="7"/>
  <c r="K26" i="7"/>
  <c r="J26" i="7"/>
  <c r="N26" i="7" s="1"/>
  <c r="D26" i="7"/>
  <c r="C26" i="7"/>
  <c r="B26" i="7"/>
  <c r="E26" i="7"/>
  <c r="F27" i="7" l="1"/>
  <c r="G27" i="7"/>
  <c r="F26" i="7"/>
  <c r="G26" i="7"/>
  <c r="G25" i="7"/>
  <c r="G11" i="7"/>
  <c r="G10" i="7"/>
  <c r="G12" i="7"/>
  <c r="G14" i="7"/>
  <c r="G15" i="7"/>
  <c r="G13" i="7"/>
  <c r="G16" i="7"/>
  <c r="G17" i="7"/>
  <c r="G18" i="7"/>
  <c r="G19" i="7"/>
  <c r="G20" i="7"/>
  <c r="G24" i="7"/>
  <c r="G22" i="7"/>
  <c r="G21" i="7"/>
  <c r="G2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tc={EA7470B0-9C6A-4E79-B98E-BF84E78649F3}</author>
  </authors>
  <commentList>
    <comment ref="BL10" authorId="0" shapeId="0" xr:uid="{EA7470B0-9C6A-4E79-B98E-BF84E78649F3}">
      <text>
        <t>[Threaded comment]
Your version of Excel allows you to read this threaded comment; however, any edits to it will get removed if the file is opened in a newer version of Excel. Learn more: https://go.microsoft.com/fwlink/?linkid=870924
Comment:
    Sarjat tasan. Paremman sarjan täyskaadot ratkaisee: Ossi Oksa, 5; Frans Hartman, 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<sst xmlns="http://schemas.openxmlformats.org/spreadsheetml/2006/main" count="819" uniqueCount="272">
  <si>
    <t>Sarjataulukko</t>
  </si>
  <si>
    <t>vähennetyt gp:t</t>
  </si>
  <si>
    <t>=SUMPRODUCT((A1&gt;$A$1:$A$4)+0)+1</t>
  </si>
  <si>
    <t>Pisteet ja keskiluvut</t>
  </si>
  <si>
    <t>GP-kohtaiset tulokset</t>
  </si>
  <si>
    <t>GP-kohtaiset pisteet</t>
  </si>
  <si>
    <t>Sija</t>
  </si>
  <si>
    <t>Nimi</t>
  </si>
  <si>
    <t>GP:t</t>
  </si>
  <si>
    <t>Pisteet</t>
  </si>
  <si>
    <t>Pisteet/GP</t>
  </si>
  <si>
    <t>GP-voitot</t>
  </si>
  <si>
    <t>Yhteensä</t>
  </si>
  <si>
    <t>K.A./GP</t>
  </si>
  <si>
    <t>K.A./sarja</t>
  </si>
  <si>
    <t>Vähennykset yhteensä</t>
  </si>
  <si>
    <t>Nettopisteet</t>
  </si>
  <si>
    <t>Bruttopisteet</t>
  </si>
  <si>
    <t>Voitot</t>
  </si>
  <si>
    <t>Rivi</t>
  </si>
  <si>
    <t>Nettoranking</t>
  </si>
  <si>
    <t>Bruttoranking</t>
  </si>
  <si>
    <t>Ka-ranking</t>
  </si>
  <si>
    <t>Voittoranking</t>
  </si>
  <si>
    <t>Riviranking</t>
  </si>
  <si>
    <t>Ranking</t>
  </si>
  <si>
    <t>Aakkoset</t>
  </si>
  <si>
    <t>Järjestys</t>
  </si>
  <si>
    <t>GP-kohtaiset sijoituspisteet</t>
  </si>
  <si>
    <t>Kokonaispisteet</t>
  </si>
  <si>
    <t>GP-kohtainen piste-erittely</t>
  </si>
  <si>
    <t>Brutto-pisteet</t>
  </si>
  <si>
    <t>Netto-pisteet</t>
  </si>
  <si>
    <t>Sarjakes-kiarvo</t>
  </si>
  <si>
    <t>Kauden päättyessä paremmuusjärjestys määritellään seuraavin kriteerein:</t>
  </si>
  <si>
    <t>GP-kalenteri</t>
  </si>
  <si>
    <t>GP</t>
  </si>
  <si>
    <t>Päiväys</t>
  </si>
  <si>
    <t>Aika</t>
  </si>
  <si>
    <t>Paikka</t>
  </si>
  <si>
    <t>Voittaja</t>
  </si>
  <si>
    <t>Voittotulos</t>
  </si>
  <si>
    <t>Keskiarvo</t>
  </si>
  <si>
    <t>* = Kultainen GP</t>
  </si>
  <si>
    <t>Heittoajankohta</t>
  </si>
  <si>
    <t>Pisteranking</t>
  </si>
  <si>
    <t>Sarja</t>
  </si>
  <si>
    <t>Ranking-arvo</t>
  </si>
  <si>
    <t>x</t>
  </si>
  <si>
    <t>Kilpailukohtaiset tulokset</t>
  </si>
  <si>
    <t>Apuluku-GP</t>
  </si>
  <si>
    <t>Kumul</t>
  </si>
  <si>
    <t>Apusijoitus</t>
  </si>
  <si>
    <t>Kultainen GP - pisterajat ja suoriutuminen</t>
  </si>
  <si>
    <t>Kauden ensimmäinen Kultainen GP</t>
  </si>
  <si>
    <t>Kauden toinen Kultainen GP</t>
  </si>
  <si>
    <t>Positiviinen bonusraja</t>
  </si>
  <si>
    <t>Negatiivinen bonusraja</t>
  </si>
  <si>
    <t>Sarja 1</t>
  </si>
  <si>
    <t>Sarja 2</t>
  </si>
  <si>
    <t>Henk.koht. bonus</t>
  </si>
  <si>
    <t>GP-koht. bonus</t>
  </si>
  <si>
    <t>GP:n paras sarja -bonus</t>
  </si>
  <si>
    <t>Bonuspisteiden määräytyminen Kultaisessa GP:ssä</t>
  </si>
  <si>
    <r>
      <t xml:space="preserve">Kauden aikana käydään kaksi Kultaista GP:tä, joissa keilaajilla on mahdollisuus ansaita Kultaisia Bonuspisteitä tai uhka menettää pisteitä. Kultaisessa GP:ssä bonuspisteitä jaetaan kahdella perusteella. </t>
    </r>
    <r>
      <rPr>
        <b/>
        <sz val="10"/>
        <color theme="8" tint="-0.499984740745262"/>
        <rFont val="Calibri"/>
        <family val="2"/>
        <scheme val="minor"/>
      </rPr>
      <t>1)</t>
    </r>
    <r>
      <rPr>
        <sz val="10"/>
        <color theme="8" tint="-0.499984740745262"/>
        <rFont val="Calibri"/>
        <family val="2"/>
        <scheme val="minor"/>
      </rPr>
      <t xml:space="preserve"> Henkilökohtaisella tasolla Bonuspisteen voi ansaita, mikäli keilaaja ylittää oman kauden Kultaiseen GP:seen mennessä parhaan sarjatuloksensa. Myös tuloksen sivuaminen tuottaa Bonuspisteen. Keilaaja voi ansaita Kultaisesta GP:stä vain yhden bonuspisteen, vaikka hän ylittäisi bonusrajansa molemmissa Kultaisen GP:n sarjoissa. Mikäli keilaaja osallistuu GP:seen ensimmäisen kerran vasta Kultaisessa GP:ssä, hän ole oikeutettu Bonuspisteeseen, koska hänelle ei ole vielä muodostunut Bonuspisteeseen oikeuttavaa tulosrajaa. </t>
    </r>
    <r>
      <rPr>
        <b/>
        <sz val="10"/>
        <color theme="8" tint="-0.499984740745262"/>
        <rFont val="Calibri"/>
        <family val="2"/>
        <scheme val="minor"/>
      </rPr>
      <t>2)</t>
    </r>
    <r>
      <rPr>
        <sz val="10"/>
        <color theme="8" tint="-0.499984740745262"/>
        <rFont val="Calibri"/>
        <family val="2"/>
        <scheme val="minor"/>
      </rPr>
      <t xml:space="preserve"> Lisäksi Kultaisesta GP:stä jaetaan Bonuspiste kyseisen Kultaisen GP:n parhaan sarjatuloksen heittäjälle. Mikäli korkeimman sarjatuloksen heittäjiä on useampia, Bonuspiste jaetaan heittäjien kesken. Bonuspistekategoria 2 koskee myös niitä keilaajia, joilla Kultainen GP on heittäjän ensimmäinen GP kyseisellä kaudella. Muutoin keilaaja voi saada Bonuspisteitä molemmista kategorioista.
Kaudesta 2019-20 alkaen Kultaisessa GP:ssä voi saada myös negatiivisia bonuspisteitä; keilaajan pistemäärä sarjataulukossa voi siis myös vähentyä. Negatiivisen bonuspisteen määräytymisperusteet ovat kääntäen samat kuin positiivisen bonuspisteen kohdalla. </t>
    </r>
    <r>
      <rPr>
        <b/>
        <sz val="10"/>
        <color theme="8" tint="-0.499984740745262"/>
        <rFont val="Calibri"/>
        <family val="2"/>
        <scheme val="minor"/>
      </rPr>
      <t xml:space="preserve">1) </t>
    </r>
    <r>
      <rPr>
        <sz val="10"/>
        <color theme="8" tint="-0.499984740745262"/>
        <rFont val="Calibri"/>
        <family val="2"/>
        <scheme val="minor"/>
      </rPr>
      <t xml:space="preserve">Henkilökohtaisella tasolla keilaajaa rokotetaan negatiivisella bonuspisteellä (vähennetään yksi piste sarjataulukossa), mikäli hän heittää kauden huonoimman sarjansa tai sivuaa kauden huonointa sarjaansa Kultaisessa GP:ssä. Negatiivisia bonuspisteitä voi kertyä tässä kategoriassa korkeintaan yksi. Negatiivisen henkilökohtaisen bonuspisteen sääntö on voimassa vain niille keilaajille, jotka ovat olleet mukana vähintään yhdessä aiemmassa GP:ssä kuluvalla kaudella. </t>
    </r>
    <r>
      <rPr>
        <b/>
        <sz val="10"/>
        <color theme="8" tint="-0.499984740745262"/>
        <rFont val="Calibri"/>
        <family val="2"/>
        <scheme val="minor"/>
      </rPr>
      <t>2)</t>
    </r>
    <r>
      <rPr>
        <sz val="10"/>
        <color theme="8" tint="-0.499984740745262"/>
        <rFont val="Calibri"/>
        <family val="2"/>
        <scheme val="minor"/>
      </rPr>
      <t xml:space="preserve"> Lisäksi Kultaisen GP:n huonoimman sarjan heittäjältä vähennetään yksi piste. Mikäli alhaisimman sarjatuloksen heittäjiä on useampia, miinuspiste jaetaan näiden heittäjien kesken. Kategorian 2 sääntö koskee kaikkia kyseisen Kultaisen GP:n osallistujia. Muutoin keilaaja voi saada miinuspisteitä molemmista kategorioista.</t>
    </r>
  </si>
  <si>
    <t>Rivi, kausi</t>
  </si>
  <si>
    <t>Pvm</t>
  </si>
  <si>
    <t>Keilahalli</t>
  </si>
  <si>
    <t>GP-rivi</t>
  </si>
  <si>
    <t>GP-ID</t>
  </si>
  <si>
    <t>Tulos-ID</t>
  </si>
  <si>
    <t>Hälytin</t>
  </si>
  <si>
    <t>Osallistuminen</t>
  </si>
  <si>
    <t>Osallistuneen sijoitus</t>
  </si>
  <si>
    <t>Osallistuneen pisteet</t>
  </si>
  <si>
    <t>Osallistuneen ero voittajaan</t>
  </si>
  <si>
    <t>Ero voittajaan</t>
  </si>
  <si>
    <t>Sijoitus</t>
  </si>
  <si>
    <t>Sarjat</t>
  </si>
  <si>
    <t>Sijoitus, sarja 1</t>
  </si>
  <si>
    <t>Sijoituksen muutos</t>
  </si>
  <si>
    <t>GP-sija</t>
  </si>
  <si>
    <t>Jakajat</t>
  </si>
  <si>
    <t>Kultainen GP</t>
  </si>
  <si>
    <t>KGP, Henk.koht.pos.raja</t>
  </si>
  <si>
    <t>KGP, Parhaan sarjan raja</t>
  </si>
  <si>
    <t>KGP, Parhaan sarjan jakajat</t>
  </si>
  <si>
    <t>KGP, Parhaan sarjan lisäpiste</t>
  </si>
  <si>
    <t>KGP, Henk.koht.rajan lisäpiste</t>
  </si>
  <si>
    <t>KGP, Henk.koht.neg.raja</t>
  </si>
  <si>
    <t>KGP, Huonoimman sarjan raja</t>
  </si>
  <si>
    <t>KGP, Huonoimman sarjan jakajat</t>
  </si>
  <si>
    <t>KGP, Huonoimman sarjan miinuspiste</t>
  </si>
  <si>
    <t>KGP, Henk.koht.rajan miinuspiste</t>
  </si>
  <si>
    <t>Luonnolliset pisteet</t>
  </si>
  <si>
    <t>Viimeiseksi jääneen pistesijan vähennys</t>
  </si>
  <si>
    <t>Jaetut sijoituspisteet pl. viim.sija</t>
  </si>
  <si>
    <t>Pistekertymä</t>
  </si>
  <si>
    <t>Sijoituskoodi</t>
  </si>
  <si>
    <t>Liukuva GP-keskiarvo</t>
  </si>
  <si>
    <t>Liukuva sarjakeskiarvo</t>
  </si>
  <si>
    <t>Rank.Pisteet</t>
  </si>
  <si>
    <t>Rank.SarjaKA</t>
  </si>
  <si>
    <t>Rank.Voitot</t>
  </si>
  <si>
    <t>Rank.Rivi</t>
  </si>
  <si>
    <t>Rank.LaskennallinenArvo</t>
  </si>
  <si>
    <t>LopullinenSijoitus.Laskennallinen</t>
  </si>
  <si>
    <t>Lopullinen sijoitus</t>
  </si>
  <si>
    <t>GP:n jälkeinen sijoitus, arvo</t>
  </si>
  <si>
    <t>GP:n jälkeinen sijoitus</t>
  </si>
  <si>
    <t>Sarja1-ID</t>
  </si>
  <si>
    <t>Sarja2-ID</t>
  </si>
  <si>
    <t>Voitto</t>
  </si>
  <si>
    <t>Podium</t>
  </si>
  <si>
    <t>GP-määrä</t>
  </si>
  <si>
    <t>Kilpailukalenteri</t>
  </si>
  <si>
    <t>Kaavio</t>
  </si>
  <si>
    <t>Asko Haaksi</t>
  </si>
  <si>
    <t>osallistujamäärä</t>
  </si>
  <si>
    <t>Tulos</t>
  </si>
  <si>
    <t>Koodi</t>
  </si>
  <si>
    <t>Osallistujia</t>
  </si>
  <si>
    <t>Pistesijoitus</t>
  </si>
  <si>
    <t>Keskiarvotulos</t>
  </si>
  <si>
    <t>GP-voittojen jakauma</t>
  </si>
  <si>
    <t>Ruutu</t>
  </si>
  <si>
    <t>Joonas Ollonqvist</t>
  </si>
  <si>
    <t>Mikko Mansikkamäki</t>
  </si>
  <si>
    <t>Kaleva Latvala</t>
  </si>
  <si>
    <t>Verho-Ollonqvistin algoritmi</t>
  </si>
  <si>
    <t>Frans Hartman</t>
  </si>
  <si>
    <t>Henri Verho</t>
  </si>
  <si>
    <t>Roope Warro</t>
  </si>
  <si>
    <t>Mika Sola</t>
  </si>
  <si>
    <t>Jami Kallio</t>
  </si>
  <si>
    <t>Tatu Erlin</t>
  </si>
  <si>
    <t>Iiro Riikonen</t>
  </si>
  <si>
    <t>Olli Kajava</t>
  </si>
  <si>
    <t>Niko Reunanen</t>
  </si>
  <si>
    <t>Ossi Oksa</t>
  </si>
  <si>
    <t>Viimeisin gp</t>
  </si>
  <si>
    <t>Juho Korpi</t>
  </si>
  <si>
    <t>Sija\Jakaja</t>
  </si>
  <si>
    <t>Miika Nordblad</t>
  </si>
  <si>
    <t>Sakari Leinonen</t>
  </si>
  <si>
    <t>kaatokerho</t>
  </si>
  <si>
    <t>kaatokerho.webs.com</t>
  </si>
  <si>
    <t>Parempi sarja</t>
  </si>
  <si>
    <t>Huonompi sarja</t>
  </si>
  <si>
    <t>Paremman rank</t>
  </si>
  <si>
    <t>Huonomman rank</t>
  </si>
  <si>
    <t>Ranking-pisteet</t>
  </si>
  <si>
    <t>Haastaja-rank</t>
  </si>
  <si>
    <t>Tasatilanteen arpa (pienempi on parempi)</t>
  </si>
  <si>
    <t>Vyö unohtunut</t>
  </si>
  <si>
    <t>Väliranking-pisteet</t>
  </si>
  <si>
    <t>Laskenta vaaditaan (tasatilanne)</t>
  </si>
  <si>
    <t>Laskenta/arvonta huomioitu</t>
  </si>
  <si>
    <t>Puolustajan sarjat</t>
  </si>
  <si>
    <t>Haastajan sarjat</t>
  </si>
  <si>
    <t>Mandaatti</t>
  </si>
  <si>
    <t>Voimassa oleva haastajalista</t>
  </si>
  <si>
    <t>Vyön puolustaja</t>
  </si>
  <si>
    <t>Vyön haastaja</t>
  </si>
  <si>
    <t>Sivumaininnat</t>
  </si>
  <si>
    <t>Säännöt</t>
  </si>
  <si>
    <t>Vuoro</t>
  </si>
  <si>
    <t>haltuunsa Magnitudo Refert -vyön, jota hän puolustaa seuraavassa GP:ssä. Lisäksi haasteen voitosta saa yhden (1) pisteen sarjataulukkoon.</t>
  </si>
  <si>
    <t>Kauden Kuppiksen Kunkku -tulokset</t>
  </si>
  <si>
    <t>Tämänhetkinen hallitseva Kuppiksen Kunkku</t>
  </si>
  <si>
    <t>Kuppiksen Kunkku</t>
  </si>
  <si>
    <t>Kuppiksen Kunkussa kilpailevat edellisen GP:n Kuppiksen Kunkku -haasteen voittaja sekä haastajalistan korkeiten sijoitettu läsnäoleva haastaja. Kilpailumuotona on GP:n paras sarja. Haasteen voittaja saa</t>
  </si>
  <si>
    <t>Haastajalista muodostetaan jokaisen GP:n jälkeen, ja sen kriteerinä on niin ikään paras sarja. Mikäli paras sarja on tasan, verrataan huonompaa sarjaa. Mikäli sekin on sama, verrataan parhaan sarjan kaatojen</t>
  </si>
  <si>
    <t>määrää. Tämänkin ollessa tasan, verrataan kaatojen määrää huonommassa sarjassa. Tasatilanteen jatkuessa verrataan samalla logiikalla paikkojen määrää, sitten ysiruutujen määrää, kasiruutujen määrää</t>
  </si>
  <si>
    <t>ja niin edelleen. Mikäli ykkösruutujenkin määrä on sama, ratkaistaan voittaja arvalla. Vertailumenettelyä sovelletaan tasatilanteissa sekä itse haasteeseen että haastajalistan muodostamiseen.</t>
  </si>
  <si>
    <t>Mikäli Haltija ja/tai Haastaja on poissa GP:stä, jossa heillä olisi oikeus taistella Kuppiksen Kuninkuudesta, vapautuu Vyö haastajalistan seuraavaksi korkeimmalle läsnäolevalle haastajalle tai seuraaviksi</t>
  </si>
  <si>
    <t>korkeimmiksi luokitelluille haastajille. Haltijan oikeus vapautuu seuraavaksi korkeimmaksi luokitellulle läsnäolevalle haastajalle myös silloin, mikäli Haltija ei ole ottanut Vyötä fyysisesti mukaan GP:seen.</t>
  </si>
  <si>
    <t>Kunkin keilauskauden ensimmäisessä GP:ssä Magnitudo Refert -vyö sekä lisäpiste ovat kaikkien saatavilla. Kauden viimeisen GP:n kaksintaistelun voittaja palkitaan Vyöllä Kuppiksen Kunkkuna kauden</t>
  </si>
  <si>
    <t>päättäjäisissä. Vyön haltija sekä haastaja eivät voi olla sama luonnollinen henkilö. Vyön haltija ja haastaja keilaavat aina samalla radalla erityispoikkeuksia lukuun ottamatta.</t>
  </si>
  <si>
    <t>Puolustajan ja haastajan nimen perässä oleva numero kertoo haastajalistan sijoituksen, jolta henkilö on päässyt mukaan haasteeseen. Kirjain P tarkoittaa, että kyseessä on edelliseen haasteen puolustava voittaja.</t>
  </si>
  <si>
    <t>Pisteseloste</t>
  </si>
  <si>
    <t>Pisteselosteen merkitykset</t>
  </si>
  <si>
    <t>+SP</t>
  </si>
  <si>
    <t>+KK</t>
  </si>
  <si>
    <t>+KGP1</t>
  </si>
  <si>
    <t>+KGP2</t>
  </si>
  <si>
    <t>-KGP1</t>
  </si>
  <si>
    <t>-KGP2</t>
  </si>
  <si>
    <t>Sijoituksesta saavutetut pisteet (lisäys)</t>
  </si>
  <si>
    <t>Kuppiksen Kunkku -haasteen voittopiste (lisäys)</t>
  </si>
  <si>
    <t>Kultaisen GP:n bonuspiste GP:n parhaasta sarjasta (lisäys)</t>
  </si>
  <si>
    <t>Kultaisen GP:n bonuspiste henk.koht. kauden parhaasta (lisäys)</t>
  </si>
  <si>
    <t>Kultaisen GP:n miinuspiste GP:n huonoimmasta sarjasta (vähennys)</t>
  </si>
  <si>
    <t>Kultaisen GP:n miinuspiste henk.koht. kauden huonoimmasta (vähennys)</t>
  </si>
  <si>
    <t>Laskuri puuttuvien ruutujen heittämiseen</t>
  </si>
  <si>
    <t>Laskennan vaiheet:</t>
  </si>
  <si>
    <t>Taustatiedot</t>
  </si>
  <si>
    <t>Laitevika</t>
  </si>
  <si>
    <t>R1</t>
  </si>
  <si>
    <t>R2</t>
  </si>
  <si>
    <t>R3</t>
  </si>
  <si>
    <t>R4</t>
  </si>
  <si>
    <t>R5</t>
  </si>
  <si>
    <t>R6</t>
  </si>
  <si>
    <t>R7</t>
  </si>
  <si>
    <t>R8</t>
  </si>
  <si>
    <t>R9</t>
  </si>
  <si>
    <t>R10</t>
  </si>
  <si>
    <t>Todelliset heitot</t>
  </si>
  <si>
    <t>Ruudun pisteet</t>
  </si>
  <si>
    <t>Tarkastus</t>
  </si>
  <si>
    <t>Laskenta</t>
  </si>
  <si>
    <t>Kerroin</t>
  </si>
  <si>
    <t>Ykkösheitto</t>
  </si>
  <si>
    <t>Kaadetut keilat</t>
  </si>
  <si>
    <t>Heitot</t>
  </si>
  <si>
    <t>Ykkösheiton keilat</t>
  </si>
  <si>
    <t>Ruudun heitto</t>
  </si>
  <si>
    <t>Paikkotuomio</t>
  </si>
  <si>
    <t>Ruudun keilat</t>
  </si>
  <si>
    <t>Kaadetut ruudut</t>
  </si>
  <si>
    <t>Ruutu valmis</t>
  </si>
  <si>
    <t>Kaikki ruudut</t>
  </si>
  <si>
    <t>Kaadettujen ruutujen osuus</t>
  </si>
  <si>
    <t>Jättöteho</t>
  </si>
  <si>
    <t>Kaikki keilat</t>
  </si>
  <si>
    <t>Siirtymä</t>
  </si>
  <si>
    <t>Lisäheitto</t>
  </si>
  <si>
    <t>Kaatokerhon kevätkokouksessa 12.1.2020 päätetyn mukaisesti kesken jääneen sarjan puuttuvat ruudut täydennetään ja huomioidaan tuloksessa</t>
  </si>
  <si>
    <t>Paikko</t>
  </si>
  <si>
    <t>Jättö</t>
  </si>
  <si>
    <t>Laskuvaiheet</t>
  </si>
  <si>
    <t>Rangaistustekijä</t>
  </si>
  <si>
    <t>Tulosmääritys</t>
  </si>
  <si>
    <t>AI-lopputulema</t>
  </si>
  <si>
    <t>Laskennallinen tulos</t>
  </si>
  <si>
    <t>Miikka Korventausta</t>
  </si>
  <si>
    <t>U7 Gdansk, Puola</t>
  </si>
  <si>
    <t>Verho-Ollonqvistin algoritmilla lasketaan oletetet heitot kaikkiin toisen sarjan puuttuviin ruutuihin perustuen toteutuneisiin toisen sarjan heittoihin.
Ensimmäisenä lasketaan oletetut ykkösheitot jakamalla toteutunut ykkösheitoilla kaadettujen keilojen määrä ykkösheittojen määrällä, kokonaislukuun alas päin pyöristäen. Laskennan lopputulos voi olla korkeintaan yhdeksän (9). Puuttuvien ruutujen ykkösheittoihin, sekä tarvittaessa kymppiruudun kolmosheittoon merkataan tämän laskennan tulos.
Seuraavaksi määritellään, tuomitaanko kakkosheitoksi paikko. Tämä määritellään</t>
  </si>
  <si>
    <t>Laskurit</t>
  </si>
  <si>
    <t>Raision keilahalli</t>
  </si>
  <si>
    <t>Kupittaan keilahalli</t>
  </si>
  <si>
    <t>Aninkaisten keilahalli *</t>
  </si>
  <si>
    <t>Kupittaan keilahalli *</t>
  </si>
  <si>
    <t>2024-25, GP1, U7 Gdansk, PL</t>
  </si>
  <si>
    <t>Voittotuloksen jakajia</t>
  </si>
  <si>
    <t>Aninkaisten keilahalli</t>
  </si>
  <si>
    <t>Haastekelpoisen ranking (ed. GP)</t>
  </si>
  <si>
    <t>Lista1, rank</t>
  </si>
  <si>
    <t>Lista2, rank</t>
  </si>
  <si>
    <t>Lista1, nimi</t>
  </si>
  <si>
    <t>Lista2, nimi</t>
  </si>
  <si>
    <t>Hallitseva</t>
  </si>
  <si>
    <t>Puolustaja</t>
  </si>
  <si>
    <t>Haastaja</t>
  </si>
  <si>
    <t>Puol.paras</t>
  </si>
  <si>
    <t>Puol.huonoin</t>
  </si>
  <si>
    <t>Puol.arpa</t>
  </si>
  <si>
    <t>Haast.paras</t>
  </si>
  <si>
    <t>Haast.huonoin</t>
  </si>
  <si>
    <t>Haast.arpa</t>
  </si>
  <si>
    <t>Hallitseva OK</t>
  </si>
  <si>
    <t>Kultainen GP ei ole henk. 1. GP</t>
  </si>
  <si>
    <t>Verho-Ollonqvistin algoritmia hyödyntäen, mikäli heittäjä ei tahallisesti ole myötävaikuttanut sarjan keskeneräiseksi jäämiseen.</t>
  </si>
  <si>
    <r>
      <t xml:space="preserve">laskemalla toteutuneiden, kokonaan kaadettujen (kaadot + paikot) ruutujen osuus kaikista valmiiksi heitetyistä ruuduista (edellytyksenä siis, että mahdollisesti tarvittu paikkoheitto on myös heitetty). Mikäli tämä suhdeluku on vähintään 0,85, tuomitaan heittäjälle paikko kaikkiin heittämättä jääneisiin ruutuihin. Tällöin myös kymppiruudun kolmosheittoon lisätään ensimmäisessä vaiheessa laskettu ykkösheiton laskennallinen tulos.
Mikäli edellisen vaiheen suhdeluku on alle 0,85, lasketaan oletetun kakkosheiton keilat seuraavalla tavalla: 10 * Kaikki kaadetut keilat / Kaikki keilat - (Laskennallinen ykkösheitto + n). Kaavassa n on ns. rangaistusparametri, joka on 0 ruuduissa 1-7, 1 ruuduissa 8-9 ja 2 ruudussa 10. Rangaistusparametrin tehtävä on estää heittäjää saamasta kohtuutonta etua algoritmin avulla. Kakkosheiton laskelman tulos on vähintään 0 ja korkeintaan 10.
Mikäli heittäjä ei ehdi aloittamaan kakkossarjaa, kirjataan kakkossarjan tulokseksi nolla (0) pistettä.
</t>
    </r>
    <r>
      <rPr>
        <b/>
        <sz val="11"/>
        <color theme="1"/>
        <rFont val="Calibri"/>
        <family val="2"/>
        <scheme val="minor"/>
      </rPr>
      <t>Laskurin käyttöohje:</t>
    </r>
    <r>
      <rPr>
        <sz val="11"/>
        <color theme="1"/>
        <rFont val="Calibri"/>
        <family val="2"/>
        <scheme val="minor"/>
      </rPr>
      <t xml:space="preserve">
1. Kopioi edellinen laskuri (kaikki 24 riviä ja 25 saraketta), ja liitä se kaavoineen alimmaiseksi työkirjan alimmaiseksi.
2. Täytä taustatiedot keltaiseen laatikkoon vasemmalla (henkilön nimi; kausi, GP, keilahalli; ytimekäs perustelu algoritmimenettelyn käytölle).
3. Täytä totuneet heitot oikeanpuoleiseen taulukkoon otsikkorivin alapuoleiselle riville ("Todelliset heitot"). Käytä numeromuotoa: kaatoruutuihin merkkaa siis 10 ja 0, paikkoruutuihin kaatuneiden keilojen määrä (esim. 6 ja 4, 7 ja 3 tai 9 ja 1). Merkkaa jätöt nollina. Lisää numero kaikkiin niihin kohtiin, joihin on tullut oikea heitto, riippumatta, onko se osunut keiloihin vai ei. Jätä tyhjäksi vain ne ruudut, joihin kilpailija ei oikeasti ehtinyt tehdä heittoa.
4. Laskuri ilmoittaa Verho-Ollonqvist-algoritmin mukaisen kakkossarjan tuloksen vasemmanpuoleisen taulukon mustassa ruudussa alimpana. Käytä tätä tulosta tilastoinnissa virallisena tuloksena. Huom., mikäli keilaaja ei ehdi aloittamaan kakkossarjaa, merkataan sen tulos nollaksi.
5. Säilytä käytetyt laskelmat, eli kopioi aina tarpeen vaatiessa uusi laskelma tämän työkirjan loppuun.</t>
    </r>
  </si>
  <si>
    <t>Kuppiksen kunkku</t>
  </si>
  <si>
    <t>Kunkkupiste</t>
  </si>
  <si>
    <t>Puolustajan mandaatti</t>
  </si>
  <si>
    <t>Haastajan mandaatti</t>
  </si>
  <si>
    <t>Sarjakeskiarvo 0,0</t>
  </si>
  <si>
    <r>
      <rPr>
        <b/>
        <sz val="10"/>
        <color theme="8" tint="-0.499984740745262"/>
        <rFont val="Calibri"/>
        <family val="2"/>
        <scheme val="minor"/>
      </rPr>
      <t>3)</t>
    </r>
    <r>
      <rPr>
        <sz val="10"/>
        <color theme="8" tint="-0.499984740745262"/>
        <rFont val="Calibri"/>
        <family val="2"/>
        <scheme val="minor"/>
      </rPr>
      <t xml:space="preserve"> Kaikkien suoritusten sarjakeskiarvo yhden (1) desimaalin tarkkuudella. </t>
    </r>
    <r>
      <rPr>
        <b/>
        <sz val="10"/>
        <color theme="8" tint="-0.499984740745262"/>
        <rFont val="Calibri"/>
        <family val="2"/>
        <scheme val="minor"/>
      </rPr>
      <t>4)</t>
    </r>
    <r>
      <rPr>
        <sz val="10"/>
        <color theme="8" tint="-0.499984740745262"/>
        <rFont val="Calibri"/>
        <family val="2"/>
        <scheme val="minor"/>
      </rPr>
      <t xml:space="preserve"> GP-voittojen määrä. </t>
    </r>
    <r>
      <rPr>
        <b/>
        <sz val="10"/>
        <color theme="8" tint="-0.499984740745262"/>
        <rFont val="Calibri"/>
        <family val="2"/>
        <scheme val="minor"/>
      </rPr>
      <t>5)</t>
    </r>
    <r>
      <rPr>
        <sz val="10"/>
        <color theme="8" tint="-0.499984740745262"/>
        <rFont val="Calibri"/>
        <family val="2"/>
        <scheme val="minor"/>
      </rPr>
      <t xml:space="preserve"> Arpa.</t>
    </r>
  </si>
  <si>
    <r>
      <rPr>
        <b/>
        <sz val="10"/>
        <color theme="8" tint="-0.499984740745262"/>
        <rFont val="Calibri"/>
        <family val="2"/>
        <scheme val="minor"/>
      </rPr>
      <t>1)</t>
    </r>
    <r>
      <rPr>
        <sz val="10"/>
        <color theme="8" tint="-0.499984740745262"/>
        <rFont val="Calibri"/>
        <family val="2"/>
        <scheme val="minor"/>
      </rPr>
      <t xml:space="preserve"> Nettopisteet, eli GP-sijoituspisteiltään kymmenen parhaan GP:n sijoituspisteiden summa. </t>
    </r>
    <r>
      <rPr>
        <b/>
        <sz val="10"/>
        <color theme="8" tint="-0.499984740745262"/>
        <rFont val="Calibri"/>
        <family val="2"/>
        <scheme val="minor"/>
      </rPr>
      <t>2)</t>
    </r>
    <r>
      <rPr>
        <sz val="10"/>
        <color theme="8" tint="-0.499984740745262"/>
        <rFont val="Calibri"/>
        <family val="2"/>
        <scheme val="minor"/>
      </rPr>
      <t xml:space="preserve"> Bruttopisteet, eli koko kauden sijoituspisteiden summa.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</si>
</sst>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00000"/>
    <numFmt numFmtId="165" formatCode="0.0"/>
    <numFmt numFmtId="166" formatCode="0.00000000"/>
    <numFmt numFmtId="167" formatCode="0.0000000000"/>
    <numFmt numFmtId="168" formatCode="0.0000"/>
    <numFmt numFmtId="169" formatCode="0.000000"/>
    <numFmt numFmtId="170" formatCode="#,##0.0"/>
    <numFmt numFmtId="171" formatCode="h:mm;@"/>
  </numFmts>
  <fonts count="30" x14ac:knownFonts="1">
    <font>
      <sz val="11"/>
      <color theme="1"/>
      <name val="Calibri"/>
      <family val="2"/>
      <scheme val="minor"/>
    </font>
    <font>
      <b/>
      <sz val="11"/>
      <color theme="1"/>
      <name val="Calibri"/>
      <family val="2"/>
      <scheme val="minor"/>
    </font>
    <font>
      <b/>
      <sz val="11"/>
      <color theme="8"/>
      <name val="Calibri"/>
      <family val="2"/>
      <scheme val="minor"/>
    </font>
    <font>
      <b/>
      <sz val="11"/>
      <color theme="0"/>
      <name val="Calibri"/>
      <family val="2"/>
      <scheme val="minor"/>
    </font>
    <font>
      <b/>
      <sz val="11"/>
      <color theme="8" tint="-0.249977111117893"/>
      <name val="Calibri"/>
      <family val="2"/>
      <scheme val="minor"/>
    </font>
    <font>
      <b/>
      <sz val="20"/>
      <color rgb="FF0070C0"/>
      <name val="Calibri"/>
      <family val="2"/>
      <scheme val="minor"/>
    </font>
    <font>
      <b/>
      <sz val="11"/>
      <color theme="7"/>
      <name val="Calibri"/>
      <family val="2"/>
      <scheme val="minor"/>
    </font>
    <font>
      <b/>
      <sz val="9"/>
      <color theme="7"/>
      <name val="Calibri"/>
      <family val="2"/>
      <scheme val="minor"/>
    </font>
    <font>
      <b/>
      <sz val="9"/>
      <color theme="0"/>
      <name val="Calibri"/>
      <family val="2"/>
      <scheme val="minor"/>
    </font>
    <font>
      <sz val="11"/>
      <color theme="8" tint="-0.499984740745262"/>
      <name val="Calibri"/>
      <family val="2"/>
      <scheme val="minor"/>
    </font>
    <font>
      <b/>
      <sz val="11"/>
      <color theme="8" tint="-0.499984740745262"/>
      <name val="Calibri"/>
      <family val="2"/>
      <scheme val="minor"/>
    </font>
    <font>
      <b/>
      <i/>
      <sz val="11"/>
      <color theme="8" tint="-0.499984740745262"/>
      <name val="Calibri"/>
      <family val="2"/>
      <scheme val="minor"/>
    </font>
    <font>
      <sz val="10"/>
      <color theme="8" tint="-0.499984740745262"/>
      <name val="Calibri"/>
      <family val="2"/>
      <scheme val="minor"/>
    </font>
    <font>
      <b/>
      <sz val="10"/>
      <color theme="8" tint="-0.499984740745262"/>
      <name val="Calibri"/>
      <family val="2"/>
      <scheme val="minor"/>
    </font>
    <font>
      <b/>
      <sz val="9"/>
      <color theme="8" tint="-0.499984740745262"/>
      <name val="Calibri"/>
      <family val="2"/>
      <scheme val="minor"/>
    </font>
    <font>
      <sz val="11"/>
      <color rgb="FF002060"/>
      <name val="Calibri"/>
      <family val="2"/>
      <scheme val="minor"/>
    </font>
    <font>
      <b/>
      <sz val="36"/>
      <color theme="1"/>
      <name val="Calibri"/>
      <family val="2"/>
      <scheme val="minor"/>
    </font>
    <font>
      <b/>
      <sz val="14"/>
      <color theme="0"/>
      <name val="Calibri"/>
      <family val="2"/>
      <scheme val="minor"/>
    </font>
    <font>
      <sz val="8"/>
      <name val="Calibri"/>
      <family val="2"/>
      <scheme val="minor"/>
    </font>
    <font>
      <sz val="11"/>
      <color rgb="FF151B54"/>
      <name val="Calibri"/>
      <family val="2"/>
      <scheme val="minor"/>
    </font>
    <font>
      <b/>
      <sz val="11"/>
      <color rgb="FF151B54"/>
      <name val="Calibri"/>
      <family val="2"/>
      <scheme val="minor"/>
    </font>
    <font>
      <sz val="10"/>
      <color rgb="FF151B54"/>
      <name val="Calibri"/>
      <family val="2"/>
      <scheme val="minor"/>
    </font>
    <font>
      <i/>
      <sz val="10"/>
      <color rgb="FF151B54"/>
      <name val="Calibri"/>
      <family val="2"/>
      <scheme val="minor"/>
    </font>
    <font>
      <b/>
      <sz val="11"/>
      <color rgb="FF002060"/>
      <name val="Calibri"/>
      <family val="2"/>
      <scheme val="minor"/>
    </font>
    <font>
      <sz val="11"/>
      <color theme="1"/>
      <name val="Calibri"/>
      <family val="2"/>
      <scheme val="minor"/>
    </font>
    <font>
      <sz val="11"/>
      <color theme="0"/>
      <name val="Calibri"/>
      <family val="2"/>
      <scheme val="minor"/>
    </font>
    <font>
      <b/>
      <sz val="20"/>
      <color theme="1"/>
      <name val="Calibri"/>
      <family val="2"/>
      <scheme val="minor"/>
    </font>
    <font>
      <b/>
      <sz val="22"/>
      <color theme="0"/>
      <name val="Calibri"/>
      <family val="2"/>
      <scheme val="minor"/>
    </font>
    <font>
      <b/>
      <sz val="12"/>
      <color theme="1"/>
      <name val="Calibri"/>
      <family val="2"/>
      <scheme val="minor"/>
    </font>
    <font>
      <b/>
      <sz val="36"/>
      <color rgb="FF151B54"/>
      <name val="Calibri"/>
      <family val="2"/>
      <scheme val="minor"/>
    </font>
  </fonts>
  <fills count="3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8"/>
        <bgColor indexed="64"/>
      </patternFill>
    </fill>
    <fill>
      <patternFill patternType="solid">
        <fgColor theme="8" tint="-0.499984740745262"/>
        <bgColor indexed="64"/>
      </patternFill>
    </fill>
    <fill>
      <patternFill patternType="solid">
        <fgColor theme="7"/>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1"/>
        <bgColor indexed="64"/>
      </patternFill>
    </fill>
    <fill>
      <patternFill patternType="solid">
        <fgColor rgb="FF151B54"/>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9"/>
        <bgColor indexed="64"/>
      </patternFill>
    </fill>
    <fill>
      <patternFill patternType="solid">
        <fgColor rgb="FF002060"/>
        <bgColor indexed="64"/>
      </patternFill>
    </fill>
    <fill>
      <patternFill patternType="solid">
        <fgColor theme="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theme="7" tint="-0.49998474074526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bgColor indexed="64"/>
      </patternFill>
    </fill>
    <fill>
      <patternFill patternType="solid">
        <fgColor rgb="FFFFFF00"/>
        <bgColor indexed="64"/>
      </patternFill>
    </fill>
    <fill>
      <patternFill patternType="solid">
        <fgColor rgb="FFFF0000"/>
        <bgColor indexed="64"/>
      </patternFill>
    </fill>
  </fills>
  <borders count="17">
    <border>
      <left/>
      <right/>
      <top/>
      <bottom/>
      <diagonal/>
    </border>
    <border>
      <left style="thin">
        <color theme="8"/>
      </left>
      <right style="thin">
        <color theme="8"/>
      </right>
      <top style="thin">
        <color theme="8"/>
      </top>
      <bottom style="thin">
        <color theme="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24" fillId="0" borderId="0" applyFont="0" applyFill="0" applyBorder="0" applyAlignment="0" applyProtection="0"/>
  </cellStyleXfs>
  <cellXfs count="230">
    <xf numFmtId="0" fontId="0" fillId="0" borderId="0" xfId="0"/>
    <xf numFmtId="0" fontId="0" fillId="0" borderId="0" xfId="0" applyAlignment="1">
      <alignment horizontal="left"/>
    </xf>
    <xf numFmtId="0" fontId="1" fillId="0" borderId="0" xfId="0" applyFont="1" applyAlignment="1">
      <alignment horizontal="left"/>
    </xf>
    <xf numFmtId="0" fontId="0" fillId="2" borderId="1" xfId="0" applyFill="1" applyBorder="1" applyAlignment="1">
      <alignment horizontal="left"/>
    </xf>
    <xf numFmtId="14" fontId="0" fillId="0" borderId="0" xfId="0" applyNumberFormat="1" applyAlignment="1">
      <alignment horizontal="left"/>
    </xf>
    <xf numFmtId="164" fontId="0" fillId="0" borderId="0" xfId="0" applyNumberFormat="1" applyAlignment="1">
      <alignment horizontal="left"/>
    </xf>
    <xf numFmtId="4" fontId="0" fillId="0" borderId="0" xfId="0" applyNumberFormat="1" applyAlignment="1">
      <alignment horizontal="left"/>
    </xf>
    <xf numFmtId="1" fontId="0" fillId="0" borderId="0" xfId="0" applyNumberFormat="1" applyAlignment="1">
      <alignment horizontal="left"/>
    </xf>
    <xf numFmtId="169" fontId="0" fillId="0" borderId="0" xfId="0" applyNumberFormat="1" applyAlignment="1">
      <alignment horizontal="left"/>
    </xf>
    <xf numFmtId="0" fontId="4" fillId="3" borderId="0" xfId="0" applyFont="1" applyFill="1" applyAlignment="1">
      <alignment horizontal="left"/>
    </xf>
    <xf numFmtId="0" fontId="0" fillId="3" borderId="0" xfId="0" applyFill="1" applyAlignment="1">
      <alignment horizontal="left"/>
    </xf>
    <xf numFmtId="0" fontId="5" fillId="3" borderId="0" xfId="0" applyFont="1" applyFill="1" applyAlignment="1">
      <alignment horizontal="left"/>
    </xf>
    <xf numFmtId="0" fontId="0" fillId="3" borderId="0" xfId="0" quotePrefix="1" applyFill="1" applyAlignment="1">
      <alignment horizontal="left"/>
    </xf>
    <xf numFmtId="2" fontId="0" fillId="3" borderId="0" xfId="0" applyNumberFormat="1" applyFill="1" applyAlignment="1">
      <alignment horizontal="left"/>
    </xf>
    <xf numFmtId="168" fontId="0" fillId="3" borderId="0" xfId="0" applyNumberFormat="1" applyFill="1" applyAlignment="1">
      <alignment horizontal="left"/>
    </xf>
    <xf numFmtId="169" fontId="0" fillId="3" borderId="0" xfId="0" applyNumberFormat="1" applyFill="1" applyAlignment="1">
      <alignment horizontal="left"/>
    </xf>
    <xf numFmtId="166" fontId="0" fillId="3" borderId="0" xfId="0" applyNumberFormat="1" applyFill="1" applyAlignment="1">
      <alignment horizontal="left"/>
    </xf>
    <xf numFmtId="167" fontId="0" fillId="3" borderId="0" xfId="0" applyNumberFormat="1" applyFill="1" applyAlignment="1">
      <alignment horizontal="left"/>
    </xf>
    <xf numFmtId="0" fontId="8" fillId="8" borderId="9" xfId="0" applyFont="1" applyFill="1" applyBorder="1" applyAlignment="1">
      <alignment horizontal="center"/>
    </xf>
    <xf numFmtId="0" fontId="8" fillId="8" borderId="10" xfId="0" applyFont="1" applyFill="1" applyBorder="1" applyAlignment="1">
      <alignment horizontal="center"/>
    </xf>
    <xf numFmtId="0" fontId="8" fillId="8" borderId="11" xfId="0" applyFont="1" applyFill="1" applyBorder="1" applyAlignment="1">
      <alignment horizontal="center"/>
    </xf>
    <xf numFmtId="0" fontId="8" fillId="8" borderId="9" xfId="0" applyFont="1" applyFill="1" applyBorder="1" applyAlignment="1">
      <alignment horizontal="left"/>
    </xf>
    <xf numFmtId="0" fontId="8" fillId="8" borderId="10" xfId="0" applyFont="1" applyFill="1" applyBorder="1" applyAlignment="1">
      <alignment horizontal="left"/>
    </xf>
    <xf numFmtId="0" fontId="8" fillId="8" borderId="10" xfId="0" applyFont="1" applyFill="1" applyBorder="1" applyAlignment="1">
      <alignment horizontal="left" wrapText="1"/>
    </xf>
    <xf numFmtId="0" fontId="8" fillId="8" borderId="11" xfId="0" applyFont="1" applyFill="1" applyBorder="1" applyAlignment="1">
      <alignment horizontal="left" wrapText="1"/>
    </xf>
    <xf numFmtId="0" fontId="8" fillId="8" borderId="10" xfId="0" applyFont="1" applyFill="1" applyBorder="1" applyAlignment="1">
      <alignment horizontal="center" wrapText="1"/>
    </xf>
    <xf numFmtId="0" fontId="8" fillId="8" borderId="11" xfId="0" applyFont="1" applyFill="1" applyBorder="1" applyAlignment="1">
      <alignment horizontal="center" wrapText="1"/>
    </xf>
    <xf numFmtId="0" fontId="0" fillId="3" borderId="0" xfId="0" applyFill="1"/>
    <xf numFmtId="0" fontId="8" fillId="8" borderId="3" xfId="0" applyFont="1" applyFill="1" applyBorder="1" applyAlignment="1">
      <alignment horizontal="left"/>
    </xf>
    <xf numFmtId="0" fontId="8" fillId="8" borderId="4" xfId="0" applyFont="1" applyFill="1" applyBorder="1" applyAlignment="1">
      <alignment horizontal="left"/>
    </xf>
    <xf numFmtId="0" fontId="8" fillId="8" borderId="14" xfId="0" applyFont="1" applyFill="1" applyBorder="1" applyAlignment="1">
      <alignment horizontal="left"/>
    </xf>
    <xf numFmtId="165" fontId="3" fillId="4" borderId="16" xfId="0" applyNumberFormat="1" applyFont="1" applyFill="1" applyBorder="1" applyAlignment="1">
      <alignment horizontal="left"/>
    </xf>
    <xf numFmtId="0" fontId="2" fillId="3" borderId="0" xfId="0" applyFont="1" applyFill="1" applyAlignment="1">
      <alignment horizontal="right"/>
    </xf>
    <xf numFmtId="0" fontId="9" fillId="3" borderId="12" xfId="0" applyFont="1" applyFill="1" applyBorder="1" applyAlignment="1">
      <alignment horizontal="left"/>
    </xf>
    <xf numFmtId="0" fontId="9" fillId="3" borderId="0" xfId="0" applyFont="1" applyFill="1" applyAlignment="1">
      <alignment horizontal="left"/>
    </xf>
    <xf numFmtId="3" fontId="9" fillId="3" borderId="0" xfId="0" applyNumberFormat="1" applyFont="1" applyFill="1" applyAlignment="1">
      <alignment horizontal="center"/>
    </xf>
    <xf numFmtId="3" fontId="10" fillId="3" borderId="0" xfId="0" applyNumberFormat="1" applyFont="1" applyFill="1" applyAlignment="1">
      <alignment horizontal="center"/>
    </xf>
    <xf numFmtId="170" fontId="9" fillId="3" borderId="0" xfId="0" applyNumberFormat="1" applyFont="1" applyFill="1" applyAlignment="1">
      <alignment horizontal="center"/>
    </xf>
    <xf numFmtId="0" fontId="9" fillId="3" borderId="13" xfId="0" applyFont="1" applyFill="1" applyBorder="1" applyAlignment="1">
      <alignment horizontal="center"/>
    </xf>
    <xf numFmtId="0" fontId="9" fillId="3" borderId="12" xfId="0" applyFont="1" applyFill="1" applyBorder="1" applyAlignment="1">
      <alignment horizontal="center"/>
    </xf>
    <xf numFmtId="0" fontId="9" fillId="3" borderId="0" xfId="0" applyFont="1" applyFill="1" applyAlignment="1">
      <alignment horizontal="center"/>
    </xf>
    <xf numFmtId="165" fontId="9" fillId="3" borderId="0" xfId="0" applyNumberFormat="1" applyFont="1" applyFill="1" applyAlignment="1">
      <alignment horizontal="center"/>
    </xf>
    <xf numFmtId="165" fontId="9" fillId="3" borderId="13" xfId="0" applyNumberFormat="1" applyFont="1" applyFill="1" applyBorder="1" applyAlignment="1">
      <alignment horizontal="center"/>
    </xf>
    <xf numFmtId="0" fontId="9" fillId="3" borderId="3" xfId="0" applyFont="1" applyFill="1" applyBorder="1" applyAlignment="1">
      <alignment horizontal="left"/>
    </xf>
    <xf numFmtId="0" fontId="9" fillId="3" borderId="4" xfId="0" applyFont="1" applyFill="1" applyBorder="1" applyAlignment="1">
      <alignment horizontal="left"/>
    </xf>
    <xf numFmtId="3" fontId="9" fillId="3" borderId="4" xfId="0" applyNumberFormat="1" applyFont="1" applyFill="1" applyBorder="1" applyAlignment="1">
      <alignment horizontal="center"/>
    </xf>
    <xf numFmtId="3" fontId="10" fillId="3" borderId="4" xfId="0" applyNumberFormat="1" applyFont="1" applyFill="1" applyBorder="1" applyAlignment="1">
      <alignment horizontal="center"/>
    </xf>
    <xf numFmtId="165" fontId="9" fillId="3" borderId="5" xfId="0" applyNumberFormat="1" applyFont="1" applyFill="1" applyBorder="1" applyAlignment="1">
      <alignment horizontal="center"/>
    </xf>
    <xf numFmtId="0" fontId="9" fillId="3" borderId="3" xfId="0" applyFont="1" applyFill="1" applyBorder="1" applyAlignment="1">
      <alignment horizontal="center"/>
    </xf>
    <xf numFmtId="0" fontId="9" fillId="3" borderId="4" xfId="0" applyFont="1" applyFill="1" applyBorder="1" applyAlignment="1">
      <alignment horizontal="center"/>
    </xf>
    <xf numFmtId="0" fontId="9" fillId="3" borderId="5" xfId="0" applyFont="1" applyFill="1" applyBorder="1" applyAlignment="1">
      <alignment horizontal="center"/>
    </xf>
    <xf numFmtId="0" fontId="11" fillId="3" borderId="0" xfId="0" applyFont="1" applyFill="1" applyAlignment="1">
      <alignment horizontal="left"/>
    </xf>
    <xf numFmtId="0" fontId="12" fillId="3" borderId="0" xfId="0" applyFont="1" applyFill="1" applyAlignment="1">
      <alignment horizontal="left"/>
    </xf>
    <xf numFmtId="0" fontId="9" fillId="2" borderId="3" xfId="0" applyFont="1" applyFill="1" applyBorder="1" applyAlignment="1">
      <alignment horizontal="left"/>
    </xf>
    <xf numFmtId="14" fontId="9" fillId="2" borderId="4" xfId="0" applyNumberFormat="1" applyFont="1" applyFill="1" applyBorder="1" applyAlignment="1">
      <alignment horizontal="left"/>
    </xf>
    <xf numFmtId="0" fontId="9" fillId="2" borderId="4" xfId="0" applyFont="1" applyFill="1" applyBorder="1" applyAlignment="1">
      <alignment horizontal="left"/>
    </xf>
    <xf numFmtId="0" fontId="9" fillId="2" borderId="14" xfId="0" applyFont="1" applyFill="1" applyBorder="1" applyAlignment="1">
      <alignment horizontal="left"/>
    </xf>
    <xf numFmtId="0" fontId="9" fillId="7" borderId="12" xfId="0" applyFont="1" applyFill="1" applyBorder="1" applyAlignment="1">
      <alignment horizontal="left"/>
    </xf>
    <xf numFmtId="14" fontId="9" fillId="7" borderId="0" xfId="0" applyNumberFormat="1" applyFont="1" applyFill="1" applyAlignment="1">
      <alignment horizontal="left"/>
    </xf>
    <xf numFmtId="0" fontId="9" fillId="7" borderId="0" xfId="0" applyFont="1" applyFill="1" applyAlignment="1">
      <alignment horizontal="left"/>
    </xf>
    <xf numFmtId="0" fontId="9" fillId="7" borderId="15" xfId="0" applyFont="1" applyFill="1" applyBorder="1" applyAlignment="1">
      <alignment horizontal="left"/>
    </xf>
    <xf numFmtId="0" fontId="9" fillId="2" borderId="12" xfId="0" applyFont="1" applyFill="1" applyBorder="1" applyAlignment="1">
      <alignment horizontal="left"/>
    </xf>
    <xf numFmtId="14" fontId="9" fillId="2" borderId="0" xfId="0" applyNumberFormat="1" applyFont="1" applyFill="1" applyAlignment="1">
      <alignment horizontal="left"/>
    </xf>
    <xf numFmtId="0" fontId="9" fillId="2" borderId="0" xfId="0" applyFont="1" applyFill="1" applyAlignment="1">
      <alignment horizontal="left"/>
    </xf>
    <xf numFmtId="0" fontId="9" fillId="2" borderId="15" xfId="0" applyFont="1" applyFill="1" applyBorder="1" applyAlignment="1">
      <alignment horizontal="left"/>
    </xf>
    <xf numFmtId="0" fontId="9" fillId="2" borderId="6" xfId="0" applyFont="1" applyFill="1" applyBorder="1" applyAlignment="1">
      <alignment horizontal="left"/>
    </xf>
    <xf numFmtId="14" fontId="9" fillId="2" borderId="7" xfId="0" applyNumberFormat="1" applyFont="1" applyFill="1" applyBorder="1" applyAlignment="1">
      <alignment horizontal="left"/>
    </xf>
    <xf numFmtId="0" fontId="9" fillId="2" borderId="7" xfId="0" applyFont="1" applyFill="1" applyBorder="1" applyAlignment="1">
      <alignment horizontal="left"/>
    </xf>
    <xf numFmtId="0" fontId="9" fillId="2" borderId="16" xfId="0" applyFont="1" applyFill="1" applyBorder="1" applyAlignment="1">
      <alignment horizontal="left"/>
    </xf>
    <xf numFmtId="0" fontId="9" fillId="3" borderId="0" xfId="0" quotePrefix="1" applyFont="1" applyFill="1"/>
    <xf numFmtId="164" fontId="9" fillId="3" borderId="0" xfId="0" applyNumberFormat="1" applyFont="1" applyFill="1" applyAlignment="1">
      <alignment horizontal="left"/>
    </xf>
    <xf numFmtId="0" fontId="8" fillId="8" borderId="2" xfId="0" applyFont="1" applyFill="1" applyBorder="1" applyAlignment="1">
      <alignment horizontal="left"/>
    </xf>
    <xf numFmtId="0" fontId="14" fillId="3" borderId="0" xfId="0" applyFont="1" applyFill="1" applyAlignment="1">
      <alignment horizontal="left"/>
    </xf>
    <xf numFmtId="0" fontId="8" fillId="8" borderId="9" xfId="0" applyFont="1" applyFill="1" applyBorder="1" applyAlignment="1">
      <alignment horizontal="left" wrapText="1"/>
    </xf>
    <xf numFmtId="0" fontId="9" fillId="3" borderId="5" xfId="0" applyFont="1" applyFill="1" applyBorder="1" applyAlignment="1">
      <alignment horizontal="left"/>
    </xf>
    <xf numFmtId="0" fontId="9" fillId="3" borderId="13" xfId="0" applyFont="1" applyFill="1" applyBorder="1" applyAlignment="1">
      <alignment horizontal="left"/>
    </xf>
    <xf numFmtId="0" fontId="10" fillId="6" borderId="7" xfId="0" applyFont="1" applyFill="1" applyBorder="1" applyAlignment="1">
      <alignment horizontal="left"/>
    </xf>
    <xf numFmtId="0" fontId="10" fillId="6" borderId="8" xfId="0" applyFont="1" applyFill="1" applyBorder="1" applyAlignment="1">
      <alignment horizontal="left"/>
    </xf>
    <xf numFmtId="0" fontId="15" fillId="3" borderId="0" xfId="0" applyFont="1" applyFill="1" applyAlignment="1">
      <alignment horizontal="left"/>
    </xf>
    <xf numFmtId="169" fontId="15" fillId="3" borderId="0" xfId="0" applyNumberFormat="1" applyFont="1" applyFill="1" applyAlignment="1">
      <alignment horizontal="left"/>
    </xf>
    <xf numFmtId="0" fontId="0" fillId="0" borderId="0" xfId="0" quotePrefix="1" applyAlignment="1">
      <alignment horizontal="left"/>
    </xf>
    <xf numFmtId="0" fontId="1" fillId="11" borderId="0" xfId="0" applyFont="1" applyFill="1" applyAlignment="1">
      <alignment horizontal="left"/>
    </xf>
    <xf numFmtId="0" fontId="1" fillId="12" borderId="0" xfId="0" applyFont="1" applyFill="1" applyAlignment="1">
      <alignment horizontal="left"/>
    </xf>
    <xf numFmtId="0" fontId="1" fillId="13" borderId="0" xfId="0" applyFont="1" applyFill="1" applyAlignment="1">
      <alignment horizontal="left"/>
    </xf>
    <xf numFmtId="0" fontId="1" fillId="6" borderId="0" xfId="0" applyFont="1" applyFill="1" applyAlignment="1">
      <alignment horizontal="left"/>
    </xf>
    <xf numFmtId="0" fontId="1" fillId="14" borderId="0" xfId="0" applyFont="1" applyFill="1" applyAlignment="1">
      <alignment horizontal="left"/>
    </xf>
    <xf numFmtId="14" fontId="0" fillId="2" borderId="1" xfId="0" applyNumberFormat="1" applyFill="1" applyBorder="1" applyAlignment="1">
      <alignment horizontal="left"/>
    </xf>
    <xf numFmtId="0" fontId="9" fillId="3" borderId="6" xfId="0" applyFont="1" applyFill="1" applyBorder="1" applyAlignment="1">
      <alignment horizontal="left"/>
    </xf>
    <xf numFmtId="0" fontId="9" fillId="3" borderId="7" xfId="0" applyFont="1" applyFill="1" applyBorder="1" applyAlignment="1">
      <alignment horizontal="left"/>
    </xf>
    <xf numFmtId="3" fontId="9" fillId="3" borderId="7" xfId="0" applyNumberFormat="1" applyFont="1" applyFill="1" applyBorder="1" applyAlignment="1">
      <alignment horizontal="center"/>
    </xf>
    <xf numFmtId="3" fontId="10" fillId="3" borderId="7" xfId="0" applyNumberFormat="1" applyFont="1" applyFill="1" applyBorder="1" applyAlignment="1">
      <alignment horizontal="center"/>
    </xf>
    <xf numFmtId="170" fontId="9" fillId="3" borderId="7" xfId="0" applyNumberFormat="1" applyFont="1" applyFill="1" applyBorder="1" applyAlignment="1">
      <alignment horizontal="center"/>
    </xf>
    <xf numFmtId="0" fontId="9" fillId="3" borderId="8" xfId="0" applyFont="1" applyFill="1" applyBorder="1" applyAlignment="1">
      <alignment horizontal="center"/>
    </xf>
    <xf numFmtId="0" fontId="9" fillId="3" borderId="6" xfId="0" applyFont="1" applyFill="1" applyBorder="1" applyAlignment="1">
      <alignment horizontal="center"/>
    </xf>
    <xf numFmtId="0" fontId="9" fillId="3" borderId="7" xfId="0" applyFont="1" applyFill="1" applyBorder="1" applyAlignment="1">
      <alignment horizontal="center"/>
    </xf>
    <xf numFmtId="165" fontId="9" fillId="3" borderId="7" xfId="0" applyNumberFormat="1" applyFont="1" applyFill="1" applyBorder="1" applyAlignment="1">
      <alignment horizontal="center"/>
    </xf>
    <xf numFmtId="165" fontId="9" fillId="3" borderId="8" xfId="0" applyNumberFormat="1" applyFont="1" applyFill="1" applyBorder="1" applyAlignment="1">
      <alignment horizontal="center"/>
    </xf>
    <xf numFmtId="0" fontId="9" fillId="3" borderId="8" xfId="0" applyFont="1" applyFill="1" applyBorder="1" applyAlignment="1">
      <alignment horizontal="left"/>
    </xf>
    <xf numFmtId="0" fontId="1" fillId="15" borderId="0" xfId="0" applyFont="1" applyFill="1" applyAlignment="1">
      <alignment horizontal="left"/>
    </xf>
    <xf numFmtId="0" fontId="1" fillId="16" borderId="0" xfId="0" applyFont="1" applyFill="1" applyAlignment="1">
      <alignment horizontal="left"/>
    </xf>
    <xf numFmtId="0" fontId="1" fillId="17" borderId="0" xfId="0" applyFont="1" applyFill="1" applyAlignment="1">
      <alignment horizontal="left"/>
    </xf>
    <xf numFmtId="0" fontId="3" fillId="18" borderId="0" xfId="0" applyFont="1" applyFill="1" applyAlignment="1">
      <alignment horizontal="left"/>
    </xf>
    <xf numFmtId="0" fontId="6" fillId="19" borderId="9" xfId="0" applyFont="1" applyFill="1" applyBorder="1"/>
    <xf numFmtId="0" fontId="6" fillId="19" borderId="10" xfId="0" applyFont="1" applyFill="1" applyBorder="1"/>
    <xf numFmtId="0" fontId="6" fillId="19" borderId="11" xfId="0" applyFont="1" applyFill="1" applyBorder="1"/>
    <xf numFmtId="0" fontId="3" fillId="8" borderId="9" xfId="0" applyFont="1" applyFill="1" applyBorder="1"/>
    <xf numFmtId="0" fontId="3" fillId="8" borderId="10" xfId="0" applyFont="1" applyFill="1" applyBorder="1"/>
    <xf numFmtId="0" fontId="3" fillId="8" borderId="11" xfId="0" applyFont="1" applyFill="1" applyBorder="1"/>
    <xf numFmtId="0" fontId="19" fillId="3" borderId="3" xfId="0" applyFont="1" applyFill="1" applyBorder="1" applyAlignment="1">
      <alignment horizontal="left"/>
    </xf>
    <xf numFmtId="0" fontId="19" fillId="3" borderId="4" xfId="0" applyFont="1" applyFill="1" applyBorder="1" applyAlignment="1">
      <alignment horizontal="left"/>
    </xf>
    <xf numFmtId="0" fontId="19" fillId="3" borderId="5" xfId="0" applyFont="1" applyFill="1" applyBorder="1" applyAlignment="1">
      <alignment horizontal="left"/>
    </xf>
    <xf numFmtId="0" fontId="19" fillId="3" borderId="12" xfId="0" applyFont="1" applyFill="1" applyBorder="1" applyAlignment="1">
      <alignment horizontal="left"/>
    </xf>
    <xf numFmtId="0" fontId="19" fillId="3" borderId="0" xfId="0" applyFont="1" applyFill="1" applyAlignment="1">
      <alignment horizontal="left"/>
    </xf>
    <xf numFmtId="0" fontId="19" fillId="3" borderId="13" xfId="0" applyFont="1" applyFill="1" applyBorder="1" applyAlignment="1">
      <alignment horizontal="left"/>
    </xf>
    <xf numFmtId="0" fontId="19" fillId="3" borderId="6" xfId="0" applyFont="1" applyFill="1" applyBorder="1" applyAlignment="1">
      <alignment horizontal="left"/>
    </xf>
    <xf numFmtId="0" fontId="19" fillId="3" borderId="7" xfId="0" applyFont="1" applyFill="1" applyBorder="1" applyAlignment="1">
      <alignment horizontal="left"/>
    </xf>
    <xf numFmtId="0" fontId="19" fillId="3" borderId="8" xfId="0" applyFont="1" applyFill="1" applyBorder="1" applyAlignment="1">
      <alignment horizontal="left"/>
    </xf>
    <xf numFmtId="0" fontId="6" fillId="10" borderId="9" xfId="0" applyFont="1" applyFill="1" applyBorder="1"/>
    <xf numFmtId="0" fontId="6" fillId="10" borderId="10" xfId="0" applyFont="1" applyFill="1" applyBorder="1"/>
    <xf numFmtId="0" fontId="6" fillId="10" borderId="11" xfId="0" applyFont="1" applyFill="1" applyBorder="1"/>
    <xf numFmtId="0" fontId="3" fillId="8" borderId="2" xfId="0" applyFont="1" applyFill="1" applyBorder="1"/>
    <xf numFmtId="0" fontId="19" fillId="3" borderId="14" xfId="0" applyFont="1" applyFill="1" applyBorder="1" applyAlignment="1">
      <alignment horizontal="left"/>
    </xf>
    <xf numFmtId="0" fontId="19" fillId="3" borderId="3" xfId="0" applyFont="1" applyFill="1" applyBorder="1"/>
    <xf numFmtId="0" fontId="19" fillId="3" borderId="4" xfId="0" applyFont="1" applyFill="1" applyBorder="1"/>
    <xf numFmtId="0" fontId="19" fillId="3" borderId="5" xfId="0" applyFont="1" applyFill="1" applyBorder="1"/>
    <xf numFmtId="0" fontId="19" fillId="3" borderId="14" xfId="0" applyFont="1" applyFill="1" applyBorder="1"/>
    <xf numFmtId="0" fontId="19" fillId="3" borderId="15" xfId="0" applyFont="1" applyFill="1" applyBorder="1" applyAlignment="1">
      <alignment horizontal="left"/>
    </xf>
    <xf numFmtId="0" fontId="19" fillId="3" borderId="12" xfId="0" applyFont="1" applyFill="1" applyBorder="1"/>
    <xf numFmtId="0" fontId="19" fillId="3" borderId="0" xfId="0" applyFont="1" applyFill="1"/>
    <xf numFmtId="0" fontId="19" fillId="3" borderId="13" xfId="0" applyFont="1" applyFill="1" applyBorder="1"/>
    <xf numFmtId="0" fontId="19" fillId="3" borderId="15" xfId="0" applyFont="1" applyFill="1" applyBorder="1"/>
    <xf numFmtId="0" fontId="19" fillId="3" borderId="16" xfId="0" applyFont="1" applyFill="1" applyBorder="1" applyAlignment="1">
      <alignment horizontal="left"/>
    </xf>
    <xf numFmtId="0" fontId="19" fillId="3" borderId="6" xfId="0" applyFont="1" applyFill="1" applyBorder="1"/>
    <xf numFmtId="0" fontId="19" fillId="3" borderId="7" xfId="0" applyFont="1" applyFill="1" applyBorder="1"/>
    <xf numFmtId="0" fontId="19" fillId="3" borderId="8" xfId="0" applyFont="1" applyFill="1" applyBorder="1"/>
    <xf numFmtId="0" fontId="19" fillId="3" borderId="16" xfId="0" applyFont="1" applyFill="1" applyBorder="1"/>
    <xf numFmtId="0" fontId="21" fillId="3" borderId="0" xfId="0" applyFont="1" applyFill="1"/>
    <xf numFmtId="0" fontId="22" fillId="3" borderId="0" xfId="0" applyFont="1" applyFill="1"/>
    <xf numFmtId="171" fontId="9" fillId="2" borderId="4" xfId="0" applyNumberFormat="1" applyFont="1" applyFill="1" applyBorder="1" applyAlignment="1">
      <alignment horizontal="left"/>
    </xf>
    <xf numFmtId="171" fontId="9" fillId="7" borderId="0" xfId="0" applyNumberFormat="1" applyFont="1" applyFill="1" applyAlignment="1">
      <alignment horizontal="left"/>
    </xf>
    <xf numFmtId="171" fontId="9" fillId="2" borderId="0" xfId="0" applyNumberFormat="1" applyFont="1" applyFill="1" applyAlignment="1">
      <alignment horizontal="left"/>
    </xf>
    <xf numFmtId="171" fontId="9" fillId="2" borderId="7" xfId="0" applyNumberFormat="1" applyFont="1" applyFill="1" applyBorder="1" applyAlignment="1">
      <alignment horizontal="left"/>
    </xf>
    <xf numFmtId="171" fontId="0" fillId="2" borderId="1" xfId="0" applyNumberFormat="1" applyFill="1" applyBorder="1" applyAlignment="1">
      <alignment horizontal="left"/>
    </xf>
    <xf numFmtId="0" fontId="15" fillId="3" borderId="0" xfId="0" quotePrefix="1" applyFont="1" applyFill="1" applyAlignment="1">
      <alignment horizontal="left"/>
    </xf>
    <xf numFmtId="0" fontId="23" fillId="3" borderId="0" xfId="0" applyFont="1" applyFill="1" applyAlignment="1">
      <alignment horizontal="left"/>
    </xf>
    <xf numFmtId="0" fontId="1" fillId="6" borderId="0" xfId="0" applyFont="1" applyFill="1"/>
    <xf numFmtId="0" fontId="0" fillId="11" borderId="0" xfId="0" applyFill="1"/>
    <xf numFmtId="0" fontId="1" fillId="6" borderId="0" xfId="0" applyFont="1" applyFill="1" applyAlignment="1">
      <alignment horizontal="center"/>
    </xf>
    <xf numFmtId="0" fontId="0" fillId="11" borderId="0" xfId="0" applyFill="1" applyAlignment="1">
      <alignment horizontal="center"/>
    </xf>
    <xf numFmtId="0" fontId="0" fillId="21" borderId="0" xfId="0" applyFill="1" applyAlignment="1">
      <alignment horizontal="center"/>
    </xf>
    <xf numFmtId="0" fontId="0" fillId="22" borderId="0" xfId="0" applyFill="1" applyAlignment="1">
      <alignment horizontal="center"/>
    </xf>
    <xf numFmtId="4" fontId="0" fillId="21" borderId="0" xfId="0" applyNumberFormat="1" applyFill="1" applyAlignment="1">
      <alignment horizontal="center"/>
    </xf>
    <xf numFmtId="9" fontId="0" fillId="22" borderId="0" xfId="1" applyFont="1" applyFill="1" applyAlignment="1">
      <alignment horizontal="center"/>
    </xf>
    <xf numFmtId="0" fontId="3" fillId="18" borderId="0" xfId="0" applyFont="1" applyFill="1" applyAlignment="1">
      <alignment horizontal="center"/>
    </xf>
    <xf numFmtId="3" fontId="3" fillId="20" borderId="0" xfId="0" applyNumberFormat="1" applyFont="1" applyFill="1" applyAlignment="1">
      <alignment horizontal="center"/>
    </xf>
    <xf numFmtId="4" fontId="3" fillId="4" borderId="0" xfId="0" applyNumberFormat="1" applyFont="1" applyFill="1" applyAlignment="1">
      <alignment horizontal="center"/>
    </xf>
    <xf numFmtId="0" fontId="0" fillId="15" borderId="0" xfId="0" applyFill="1" applyAlignment="1">
      <alignment horizontal="center"/>
    </xf>
    <xf numFmtId="0" fontId="0" fillId="21" borderId="0" xfId="0" applyFill="1"/>
    <xf numFmtId="0" fontId="3" fillId="18" borderId="0" xfId="0" applyFont="1" applyFill="1"/>
    <xf numFmtId="0" fontId="0" fillId="22" borderId="0" xfId="0" applyFill="1"/>
    <xf numFmtId="0" fontId="0" fillId="15" borderId="0" xfId="0" applyFill="1"/>
    <xf numFmtId="0" fontId="3" fillId="20" borderId="0" xfId="0" applyFont="1" applyFill="1"/>
    <xf numFmtId="0" fontId="3" fillId="4" borderId="0" xfId="0" applyFont="1" applyFill="1"/>
    <xf numFmtId="0" fontId="0" fillId="15" borderId="2" xfId="0" applyFill="1" applyBorder="1" applyAlignment="1">
      <alignment horizontal="center"/>
    </xf>
    <xf numFmtId="0" fontId="0" fillId="16" borderId="2" xfId="0" applyFill="1" applyBorder="1" applyAlignment="1">
      <alignment horizontal="center"/>
    </xf>
    <xf numFmtId="0" fontId="25" fillId="4" borderId="2" xfId="0" applyFont="1" applyFill="1" applyBorder="1" applyAlignment="1">
      <alignment horizontal="left"/>
    </xf>
    <xf numFmtId="0" fontId="25" fillId="20" borderId="2" xfId="0" applyFont="1" applyFill="1" applyBorder="1" applyAlignment="1">
      <alignment horizontal="left"/>
    </xf>
    <xf numFmtId="0" fontId="0" fillId="21" borderId="2" xfId="0" applyFill="1" applyBorder="1" applyAlignment="1">
      <alignment horizontal="center"/>
    </xf>
    <xf numFmtId="0" fontId="0" fillId="23" borderId="2" xfId="0" applyFill="1" applyBorder="1" applyAlignment="1">
      <alignment horizontal="center"/>
    </xf>
    <xf numFmtId="0" fontId="3" fillId="24" borderId="2" xfId="0" applyFont="1" applyFill="1" applyBorder="1" applyAlignment="1">
      <alignment horizontal="left"/>
    </xf>
    <xf numFmtId="0" fontId="3" fillId="5" borderId="2" xfId="0" applyFont="1" applyFill="1" applyBorder="1" applyAlignment="1">
      <alignment horizontal="left"/>
    </xf>
    <xf numFmtId="0" fontId="0" fillId="25" borderId="0" xfId="0" applyFill="1" applyAlignment="1">
      <alignment horizontal="left"/>
    </xf>
    <xf numFmtId="0" fontId="25" fillId="26" borderId="2" xfId="0" applyFont="1" applyFill="1" applyBorder="1" applyAlignment="1">
      <alignment horizontal="left"/>
    </xf>
    <xf numFmtId="0" fontId="0" fillId="11" borderId="2" xfId="0" applyFill="1" applyBorder="1" applyAlignment="1">
      <alignment horizontal="center"/>
    </xf>
    <xf numFmtId="0" fontId="0" fillId="12" borderId="2" xfId="0" applyFill="1" applyBorder="1" applyAlignment="1">
      <alignment horizontal="center"/>
    </xf>
    <xf numFmtId="0" fontId="25" fillId="14" borderId="2" xfId="0" applyFont="1" applyFill="1" applyBorder="1" applyAlignment="1">
      <alignment horizontal="left"/>
    </xf>
    <xf numFmtId="0" fontId="0" fillId="22" borderId="2" xfId="0" applyFill="1" applyBorder="1" applyAlignment="1">
      <alignment horizontal="center"/>
    </xf>
    <xf numFmtId="0" fontId="0" fillId="27" borderId="2" xfId="0" applyFill="1" applyBorder="1" applyAlignment="1">
      <alignment horizontal="center"/>
    </xf>
    <xf numFmtId="0" fontId="25" fillId="28" borderId="2" xfId="0" applyFont="1" applyFill="1" applyBorder="1" applyAlignment="1">
      <alignment horizontal="left"/>
    </xf>
    <xf numFmtId="0" fontId="0" fillId="29" borderId="0" xfId="0" applyFill="1" applyAlignment="1">
      <alignment horizontal="center"/>
    </xf>
    <xf numFmtId="0" fontId="1" fillId="29" borderId="0" xfId="0" applyFont="1" applyFill="1"/>
    <xf numFmtId="0" fontId="0" fillId="29" borderId="0" xfId="0" applyFill="1" applyAlignment="1">
      <alignment horizontal="left"/>
    </xf>
    <xf numFmtId="0" fontId="26" fillId="29" borderId="0" xfId="0" applyFont="1" applyFill="1"/>
    <xf numFmtId="0" fontId="0" fillId="29" borderId="0" xfId="0" applyFill="1"/>
    <xf numFmtId="0" fontId="28" fillId="29" borderId="0" xfId="0" applyFont="1" applyFill="1" applyAlignment="1">
      <alignment horizontal="centerContinuous"/>
    </xf>
    <xf numFmtId="0" fontId="1" fillId="30" borderId="0" xfId="0" applyFont="1" applyFill="1" applyAlignment="1">
      <alignment horizontal="left"/>
    </xf>
    <xf numFmtId="0" fontId="1" fillId="22" borderId="0" xfId="0" applyFont="1" applyFill="1" applyAlignment="1">
      <alignment horizontal="left"/>
    </xf>
    <xf numFmtId="0" fontId="1" fillId="20" borderId="0" xfId="0" applyFont="1" applyFill="1" applyAlignment="1">
      <alignment horizontal="left"/>
    </xf>
    <xf numFmtId="0" fontId="7" fillId="5" borderId="9" xfId="0" applyFont="1" applyFill="1" applyBorder="1" applyAlignment="1">
      <alignment horizontal="center"/>
    </xf>
    <xf numFmtId="0" fontId="7" fillId="5" borderId="10" xfId="0" applyFont="1" applyFill="1" applyBorder="1" applyAlignment="1">
      <alignment horizontal="center"/>
    </xf>
    <xf numFmtId="0" fontId="7" fillId="5" borderId="11" xfId="0" applyFont="1" applyFill="1" applyBorder="1" applyAlignment="1">
      <alignment horizontal="center"/>
    </xf>
    <xf numFmtId="0" fontId="12" fillId="3" borderId="0" xfId="0" applyFont="1" applyFill="1" applyAlignment="1">
      <alignment horizontal="left" vertical="top" wrapText="1"/>
    </xf>
    <xf numFmtId="0" fontId="6" fillId="5" borderId="9" xfId="0" applyFont="1" applyFill="1" applyBorder="1" applyAlignment="1">
      <alignment horizontal="center"/>
    </xf>
    <xf numFmtId="0" fontId="6" fillId="5" borderId="10" xfId="0" applyFont="1" applyFill="1" applyBorder="1" applyAlignment="1">
      <alignment horizontal="center"/>
    </xf>
    <xf numFmtId="0" fontId="6" fillId="5" borderId="11" xfId="0" applyFont="1" applyFill="1" applyBorder="1" applyAlignment="1">
      <alignment horizontal="center"/>
    </xf>
    <xf numFmtId="0" fontId="10" fillId="6" borderId="4" xfId="0" applyFont="1" applyFill="1" applyBorder="1" applyAlignment="1">
      <alignment horizontal="left"/>
    </xf>
    <xf numFmtId="0" fontId="10" fillId="6" borderId="5" xfId="0" applyFont="1" applyFill="1" applyBorder="1" applyAlignment="1">
      <alignment horizontal="left"/>
    </xf>
    <xf numFmtId="14" fontId="10" fillId="6" borderId="0" xfId="0" applyNumberFormat="1" applyFont="1" applyFill="1" applyAlignment="1">
      <alignment horizontal="left"/>
    </xf>
    <xf numFmtId="14" fontId="10" fillId="6" borderId="13" xfId="0" applyNumberFormat="1" applyFont="1" applyFill="1" applyBorder="1" applyAlignment="1">
      <alignment horizontal="left"/>
    </xf>
    <xf numFmtId="0" fontId="10" fillId="6" borderId="3" xfId="0" applyFont="1" applyFill="1" applyBorder="1" applyAlignment="1">
      <alignment horizontal="right" indent="2"/>
    </xf>
    <xf numFmtId="0" fontId="10" fillId="6" borderId="4" xfId="0" applyFont="1" applyFill="1" applyBorder="1" applyAlignment="1">
      <alignment horizontal="right" indent="2"/>
    </xf>
    <xf numFmtId="0" fontId="10" fillId="6" borderId="12" xfId="0" applyFont="1" applyFill="1" applyBorder="1" applyAlignment="1">
      <alignment horizontal="right" indent="2"/>
    </xf>
    <xf numFmtId="0" fontId="10" fillId="6" borderId="0" xfId="0" applyFont="1" applyFill="1" applyAlignment="1">
      <alignment horizontal="right" indent="2"/>
    </xf>
    <xf numFmtId="0" fontId="10" fillId="6" borderId="6" xfId="0" applyFont="1" applyFill="1" applyBorder="1" applyAlignment="1">
      <alignment horizontal="right" indent="2"/>
    </xf>
    <xf numFmtId="0" fontId="10" fillId="6" borderId="7" xfId="0" applyFont="1" applyFill="1" applyBorder="1" applyAlignment="1">
      <alignment horizontal="right" indent="2"/>
    </xf>
    <xf numFmtId="0" fontId="6" fillId="10" borderId="2" xfId="0" applyFont="1" applyFill="1" applyBorder="1" applyAlignment="1">
      <alignment horizontal="right" vertical="center" indent="1"/>
    </xf>
    <xf numFmtId="0" fontId="20" fillId="6" borderId="2" xfId="0" applyFont="1" applyFill="1" applyBorder="1" applyAlignment="1">
      <alignment horizontal="left" vertical="center" indent="1"/>
    </xf>
    <xf numFmtId="0" fontId="2" fillId="0" borderId="0" xfId="0" applyFont="1" applyAlignment="1">
      <alignment horizontal="left"/>
    </xf>
    <xf numFmtId="0" fontId="16" fillId="0" borderId="0" xfId="0" applyFont="1" applyAlignment="1">
      <alignment horizontal="center" vertical="center"/>
    </xf>
    <xf numFmtId="0" fontId="3" fillId="9" borderId="0" xfId="0" applyFont="1" applyFill="1" applyAlignment="1">
      <alignment horizontal="center"/>
    </xf>
    <xf numFmtId="0" fontId="0" fillId="23" borderId="2" xfId="0" applyFill="1" applyBorder="1" applyAlignment="1">
      <alignment horizontal="center"/>
    </xf>
    <xf numFmtId="0" fontId="0" fillId="21" borderId="2" xfId="0" applyFill="1" applyBorder="1" applyAlignment="1">
      <alignment horizontal="center"/>
    </xf>
    <xf numFmtId="0" fontId="0" fillId="16" borderId="2" xfId="0" applyFill="1" applyBorder="1" applyAlignment="1">
      <alignment horizontal="center"/>
    </xf>
    <xf numFmtId="0" fontId="17" fillId="9" borderId="0" xfId="0" applyFont="1" applyFill="1" applyAlignment="1">
      <alignment horizontal="left" vertical="center"/>
    </xf>
    <xf numFmtId="0" fontId="27" fillId="9" borderId="0" xfId="0" applyFont="1" applyFill="1" applyAlignment="1">
      <alignment horizontal="center" vertical="center"/>
    </xf>
    <xf numFmtId="0" fontId="1" fillId="21" borderId="2" xfId="0" applyFont="1" applyFill="1" applyBorder="1" applyAlignment="1">
      <alignment horizontal="center"/>
    </xf>
    <xf numFmtId="0" fontId="1" fillId="23" borderId="2" xfId="0" applyFont="1" applyFill="1" applyBorder="1" applyAlignment="1">
      <alignment horizontal="center"/>
    </xf>
    <xf numFmtId="0" fontId="0" fillId="15" borderId="2" xfId="0" applyFill="1" applyBorder="1" applyAlignment="1">
      <alignment horizontal="center"/>
    </xf>
    <xf numFmtId="0" fontId="0" fillId="12" borderId="2" xfId="0" applyFill="1" applyBorder="1" applyAlignment="1">
      <alignment horizontal="center"/>
    </xf>
    <xf numFmtId="0" fontId="0" fillId="11" borderId="2" xfId="0" applyFill="1" applyBorder="1" applyAlignment="1">
      <alignment horizontal="center"/>
    </xf>
    <xf numFmtId="0" fontId="1" fillId="16" borderId="2" xfId="0" applyFont="1" applyFill="1" applyBorder="1" applyAlignment="1">
      <alignment horizontal="center"/>
    </xf>
    <xf numFmtId="0" fontId="1" fillId="15" borderId="2" xfId="0" applyFont="1" applyFill="1" applyBorder="1" applyAlignment="1">
      <alignment horizontal="center"/>
    </xf>
    <xf numFmtId="0" fontId="0" fillId="29" borderId="0" xfId="0" applyFill="1" applyAlignment="1">
      <alignment horizontal="left" vertical="top" wrapText="1"/>
    </xf>
    <xf numFmtId="0" fontId="28" fillId="29" borderId="0" xfId="0" applyFont="1" applyFill="1" applyAlignment="1">
      <alignment horizontal="center"/>
    </xf>
    <xf numFmtId="0" fontId="0" fillId="29" borderId="0" xfId="0" applyFill="1" applyAlignment="1">
      <alignment horizontal="center"/>
    </xf>
    <xf numFmtId="0" fontId="29" fillId="3" borderId="0" xfId="0" applyFont="1" applyFill="1" applyAlignment="1">
      <alignment horizontal="center"/>
    </xf>
    <xf numFmtId="1" fontId="25" fillId="31" borderId="0" xfId="0" applyNumberFormat="1" applyFont="1" applyFill="1" applyAlignment="1">
      <alignment horizontal="left"/>
    </xf>
    <xf numFmtId="0" fontId="20" fillId="2" borderId="14" xfId="0" applyFont="1" applyFill="1" applyBorder="1"/>
    <xf numFmtId="0" fontId="20" fillId="2" borderId="15" xfId="0" applyFont="1" applyFill="1" applyBorder="1"/>
    <xf numFmtId="0" fontId="20" fillId="2" borderId="16" xfId="0" applyFont="1" applyFill="1" applyBorder="1"/>
  </cellXfs>
  <cellStyles count="2">
    <cellStyle name="Normal" xfId="0" builtinId="0"/>
    <cellStyle name="Percent" xfId="1" builtinId="5"/>
  </cellStyles>
  <dxfs count="234">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5" formatCode="0.0"/>
    </dxf>
    <dxf>
      <numFmt numFmtId="165" formatCode="0.0"/>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5" formatCode="0.0"/>
    </dxf>
    <dxf>
      <numFmt numFmtId="165" formatCode="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5" formatCode="0.0"/>
    </dxf>
    <dxf>
      <numFmt numFmtId="165" formatCode="0.0"/>
    </dxf>
    <dxf>
      <font>
        <color rgb="FF9C0006"/>
      </font>
      <fill>
        <patternFill>
          <bgColor rgb="FFFFC7CE"/>
        </patternFill>
      </fill>
    </dxf>
    <dxf>
      <font>
        <color rgb="FF9C0006"/>
      </font>
      <fill>
        <patternFill>
          <bgColor rgb="FFFFC7CE"/>
        </patternFill>
      </fill>
    </dxf>
    <dxf>
      <numFmt numFmtId="165" formatCode="0.0"/>
    </dxf>
    <dxf>
      <numFmt numFmtId="165" formatCode="0.0"/>
    </dxf>
    <dxf>
      <font>
        <color rgb="FF9C0006"/>
      </font>
      <fill>
        <patternFill>
          <bgColor rgb="FFFFC7CE"/>
        </patternFill>
      </fill>
    </dxf>
    <dxf>
      <numFmt numFmtId="165" formatCode="0.0"/>
    </dxf>
    <dxf>
      <numFmt numFmtId="165" formatCode="0.0"/>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numFmt numFmtId="165" formatCode="0.0"/>
    </dxf>
    <dxf>
      <numFmt numFmtId="165" formatCode="0.0"/>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numFmt numFmtId="165" formatCode="0.0"/>
    </dxf>
    <dxf>
      <numFmt numFmtId="165" formatCode="0.0"/>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numFmt numFmtId="165" formatCode="0.0"/>
    </dxf>
    <dxf>
      <numFmt numFmtId="165" formatCode="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numFmt numFmtId="165" formatCode="0.0"/>
    </dxf>
    <dxf>
      <numFmt numFmtId="165" formatCode="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numFmt numFmtId="165" formatCode="0.0"/>
    </dxf>
    <dxf>
      <numFmt numFmtId="165" formatCode="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5" formatCode="0.0"/>
    </dxf>
    <dxf>
      <numFmt numFmtId="165" formatCode="0.0"/>
    </dxf>
    <dxf>
      <font>
        <color rgb="FF9C0006"/>
      </font>
      <fill>
        <patternFill>
          <bgColor rgb="FFFFC7CE"/>
        </patternFill>
      </fill>
    </dxf>
    <dxf>
      <numFmt numFmtId="165" formatCode="0.0"/>
    </dxf>
    <dxf>
      <numFmt numFmtId="165" formatCode="0.0"/>
    </dxf>
    <dxf>
      <numFmt numFmtId="165" formatCode="0.0"/>
    </dxf>
    <dxf>
      <numFmt numFmtId="165" formatCode="0.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FF0000"/>
      </font>
      <fill>
        <patternFill>
          <bgColor theme="0"/>
        </patternFill>
      </fill>
    </dxf>
    <dxf>
      <fill>
        <patternFill>
          <bgColor rgb="FFFFFF00"/>
        </patternFill>
      </fill>
    </dxf>
    <dxf>
      <font>
        <color rgb="FF9C0006"/>
      </font>
      <fill>
        <patternFill>
          <bgColor rgb="FFFFC7CE"/>
        </patternFill>
      </fill>
    </dxf>
    <dxf>
      <numFmt numFmtId="165" formatCode="0.0"/>
    </dxf>
    <dxf>
      <font>
        <b/>
        <i val="0"/>
        <color theme="7"/>
      </font>
      <fill>
        <patternFill>
          <bgColor theme="8" tint="-0.499984740745262"/>
        </patternFill>
      </fill>
    </dxf>
    <dxf>
      <font>
        <b/>
        <i val="0"/>
        <color theme="0"/>
      </font>
      <fill>
        <patternFill>
          <bgColor theme="4" tint="-0.24994659260841701"/>
        </patternFill>
      </fill>
      <border>
        <bottom style="thin">
          <color auto="1"/>
        </bottom>
        <vertical/>
        <horizontal/>
      </border>
    </dxf>
    <dxf>
      <font>
        <strike/>
      </font>
    </dxf>
    <dxf>
      <font>
        <strike/>
      </font>
    </dxf>
    <dxf>
      <font>
        <color theme="0"/>
      </font>
      <numFmt numFmtId="0" formatCode="General"/>
      <fill>
        <patternFill>
          <bgColor theme="4" tint="-0.24994659260841701"/>
        </patternFill>
      </fill>
      <border>
        <left style="thin">
          <color auto="1"/>
        </left>
        <right style="thin">
          <color auto="1"/>
        </right>
        <top style="thin">
          <color auto="1"/>
        </top>
        <bottom style="thin">
          <color auto="1"/>
        </bottom>
        <vertical/>
        <horizontal/>
      </border>
    </dxf>
    <dxf>
      <font>
        <color theme="0"/>
      </font>
      <numFmt numFmtId="0" formatCode="General"/>
      <fill>
        <patternFill>
          <bgColor theme="4" tint="-0.2499465926084170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151B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fi-FI"/>
        </a:p>
      </c:txPr>
    </c:title>
    <c:autoTitleDeleted val="0"/>
    <c:plotArea>
      <c:layout/>
      <c:doughnutChart>
        <c:varyColors val="1"/>
        <c:ser>
          <c:idx val="0"/>
          <c:order val="0"/>
          <c:tx>
            <c:strRef>
              <c:f>Data!$DF$2</c:f>
              <c:strCache>
                <c:ptCount val="1"/>
                <c:pt idx="0">
                  <c:v>GP-voittojen jakauma</c:v>
                </c:pt>
              </c:strCache>
            </c:strRef>
          </c:tx>
          <c:spPr>
            <a:ln>
              <a:noFill/>
            </a:ln>
            <a:effectLst>
              <a:outerShdw blurRad="50800" dist="38100" dir="2700000" algn="tl" rotWithShape="0">
                <a:prstClr val="black">
                  <a:alpha val="40000"/>
                </a:prstClr>
              </a:outerShdw>
            </a:effectLst>
            <a:scene3d>
              <a:camera prst="orthographicFront"/>
              <a:lightRig rig="soft" dir="t"/>
            </a:scene3d>
            <a:sp3d prstMaterial="dkEdge"/>
          </c:spPr>
          <c:dPt>
            <c:idx val="0"/>
            <c:bubble3D val="0"/>
            <c:spPr>
              <a:solidFill>
                <a:schemeClr val="accent1"/>
              </a:solidFill>
              <a:ln w="19050">
                <a:noFill/>
              </a:ln>
              <a:effectLst>
                <a:outerShdw blurRad="50800" dist="38100" dir="2700000" algn="tl" rotWithShape="0">
                  <a:prstClr val="black">
                    <a:alpha val="40000"/>
                  </a:prstClr>
                </a:outerShdw>
              </a:effectLst>
              <a:scene3d>
                <a:camera prst="orthographicFront"/>
                <a:lightRig rig="soft" dir="t"/>
              </a:scene3d>
              <a:sp3d prstMaterial="dkEdge"/>
            </c:spPr>
            <c:extLst>
              <c:ext xmlns:c16="http://schemas.microsoft.com/office/drawing/2014/chart" uri="{C3380CC4-5D6E-409C-BE32-E72D297353CC}">
                <c16:uniqueId val="{00000001-7E8D-403F-A058-3787EB324E9E}"/>
              </c:ext>
            </c:extLst>
          </c:dPt>
          <c:dPt>
            <c:idx val="1"/>
            <c:bubble3D val="0"/>
            <c:spPr>
              <a:solidFill>
                <a:schemeClr val="accent2"/>
              </a:solidFill>
              <a:ln w="19050">
                <a:noFill/>
              </a:ln>
              <a:effectLst>
                <a:outerShdw blurRad="50800" dist="38100" dir="2700000" algn="tl" rotWithShape="0">
                  <a:prstClr val="black">
                    <a:alpha val="40000"/>
                  </a:prstClr>
                </a:outerShdw>
              </a:effectLst>
              <a:scene3d>
                <a:camera prst="orthographicFront"/>
                <a:lightRig rig="soft" dir="t"/>
              </a:scene3d>
              <a:sp3d prstMaterial="dkEdge"/>
            </c:spPr>
            <c:extLst>
              <c:ext xmlns:c16="http://schemas.microsoft.com/office/drawing/2014/chart" uri="{C3380CC4-5D6E-409C-BE32-E72D297353CC}">
                <c16:uniqueId val="{00000003-7E8D-403F-A058-3787EB324E9E}"/>
              </c:ext>
            </c:extLst>
          </c:dPt>
          <c:dPt>
            <c:idx val="2"/>
            <c:bubble3D val="0"/>
            <c:spPr>
              <a:solidFill>
                <a:schemeClr val="accent3"/>
              </a:solidFill>
              <a:ln w="19050">
                <a:noFill/>
              </a:ln>
              <a:effectLst>
                <a:outerShdw blurRad="50800" dist="38100" dir="2700000" algn="tl" rotWithShape="0">
                  <a:prstClr val="black">
                    <a:alpha val="40000"/>
                  </a:prstClr>
                </a:outerShdw>
              </a:effectLst>
              <a:scene3d>
                <a:camera prst="orthographicFront"/>
                <a:lightRig rig="soft" dir="t"/>
              </a:scene3d>
              <a:sp3d prstMaterial="dkEdge"/>
            </c:spPr>
            <c:extLst>
              <c:ext xmlns:c16="http://schemas.microsoft.com/office/drawing/2014/chart" uri="{C3380CC4-5D6E-409C-BE32-E72D297353CC}">
                <c16:uniqueId val="{00000005-7E8D-403F-A058-3787EB324E9E}"/>
              </c:ext>
            </c:extLst>
          </c:dPt>
          <c:dPt>
            <c:idx val="3"/>
            <c:bubble3D val="0"/>
            <c:spPr>
              <a:solidFill>
                <a:schemeClr val="accent4"/>
              </a:solidFill>
              <a:ln w="19050">
                <a:noFill/>
              </a:ln>
              <a:effectLst>
                <a:outerShdw blurRad="50800" dist="38100" dir="2700000" algn="tl" rotWithShape="0">
                  <a:prstClr val="black">
                    <a:alpha val="40000"/>
                  </a:prstClr>
                </a:outerShdw>
              </a:effectLst>
              <a:scene3d>
                <a:camera prst="orthographicFront"/>
                <a:lightRig rig="soft" dir="t"/>
              </a:scene3d>
              <a:sp3d prstMaterial="dkEdge"/>
            </c:spPr>
            <c:extLst>
              <c:ext xmlns:c16="http://schemas.microsoft.com/office/drawing/2014/chart" uri="{C3380CC4-5D6E-409C-BE32-E72D297353CC}">
                <c16:uniqueId val="{00000007-7E8D-403F-A058-3787EB324E9E}"/>
              </c:ext>
            </c:extLst>
          </c:dPt>
          <c:dPt>
            <c:idx val="4"/>
            <c:bubble3D val="0"/>
            <c:spPr>
              <a:solidFill>
                <a:schemeClr val="accent5"/>
              </a:solidFill>
              <a:ln w="19050">
                <a:noFill/>
              </a:ln>
              <a:effectLst>
                <a:outerShdw blurRad="50800" dist="38100" dir="2700000" algn="tl" rotWithShape="0">
                  <a:prstClr val="black">
                    <a:alpha val="40000"/>
                  </a:prstClr>
                </a:outerShdw>
              </a:effectLst>
              <a:scene3d>
                <a:camera prst="orthographicFront"/>
                <a:lightRig rig="soft" dir="t"/>
              </a:scene3d>
              <a:sp3d prstMaterial="dkEdge"/>
            </c:spPr>
            <c:extLst>
              <c:ext xmlns:c16="http://schemas.microsoft.com/office/drawing/2014/chart" uri="{C3380CC4-5D6E-409C-BE32-E72D297353CC}">
                <c16:uniqueId val="{00000009-7E8D-403F-A058-3787EB324E9E}"/>
              </c:ext>
            </c:extLst>
          </c:dPt>
          <c:dPt>
            <c:idx val="5"/>
            <c:bubble3D val="0"/>
            <c:spPr>
              <a:solidFill>
                <a:schemeClr val="accent6"/>
              </a:solidFill>
              <a:ln w="19050">
                <a:noFill/>
              </a:ln>
              <a:effectLst>
                <a:outerShdw blurRad="50800" dist="38100" dir="2700000" algn="tl" rotWithShape="0">
                  <a:prstClr val="black">
                    <a:alpha val="40000"/>
                  </a:prstClr>
                </a:outerShdw>
              </a:effectLst>
              <a:scene3d>
                <a:camera prst="orthographicFront"/>
                <a:lightRig rig="soft" dir="t"/>
              </a:scene3d>
              <a:sp3d prstMaterial="dkEdge"/>
            </c:spPr>
            <c:extLst>
              <c:ext xmlns:c16="http://schemas.microsoft.com/office/drawing/2014/chart" uri="{C3380CC4-5D6E-409C-BE32-E72D297353CC}">
                <c16:uniqueId val="{0000000B-7E8D-403F-A058-3787EB324E9E}"/>
              </c:ext>
            </c:extLst>
          </c:dPt>
          <c:dPt>
            <c:idx val="6"/>
            <c:bubble3D val="0"/>
            <c:spPr>
              <a:solidFill>
                <a:schemeClr val="accent1">
                  <a:lumMod val="60000"/>
                </a:schemeClr>
              </a:solidFill>
              <a:ln w="19050">
                <a:noFill/>
              </a:ln>
              <a:effectLst>
                <a:outerShdw blurRad="50800" dist="38100" dir="2700000" algn="tl" rotWithShape="0">
                  <a:prstClr val="black">
                    <a:alpha val="40000"/>
                  </a:prstClr>
                </a:outerShdw>
              </a:effectLst>
              <a:scene3d>
                <a:camera prst="orthographicFront"/>
                <a:lightRig rig="soft" dir="t"/>
              </a:scene3d>
              <a:sp3d prstMaterial="dkEdge"/>
            </c:spPr>
            <c:extLst>
              <c:ext xmlns:c16="http://schemas.microsoft.com/office/drawing/2014/chart" uri="{C3380CC4-5D6E-409C-BE32-E72D297353CC}">
                <c16:uniqueId val="{0000000D-7E8D-403F-A058-3787EB324E9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fi-FI"/>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Data!$DE$3:$DE$9</c:f>
              <c:strCache>
                <c:ptCount val="6"/>
                <c:pt idx="0">
                  <c:v>Kaleva Latvala</c:v>
                </c:pt>
                <c:pt idx="1">
                  <c:v>Frans Hartman</c:v>
                </c:pt>
                <c:pt idx="2">
                  <c:v>Ossi Oksa</c:v>
                </c:pt>
                <c:pt idx="3">
                  <c:v>Jami Kallio</c:v>
                </c:pt>
                <c:pt idx="4">
                  <c:v>Miika Nordblad</c:v>
                </c:pt>
                <c:pt idx="5">
                  <c:v>Asko Haaksi</c:v>
                </c:pt>
              </c:strCache>
            </c:strRef>
          </c:cat>
          <c:val>
            <c:numRef>
              <c:f>Data!$DF$3:$DF$9</c:f>
              <c:numCache>
                <c:formatCode>General</c:formatCode>
                <c:ptCount val="7"/>
                <c:pt idx="0">
                  <c:v>1</c:v>
                </c:pt>
                <c:pt idx="1">
                  <c:v>2</c:v>
                </c:pt>
                <c:pt idx="2">
                  <c:v>1</c:v>
                </c:pt>
                <c:pt idx="3">
                  <c:v>2</c:v>
                </c:pt>
                <c:pt idx="4">
                  <c:v>3</c:v>
                </c:pt>
                <c:pt idx="5">
                  <c:v>1</c:v>
                </c:pt>
                <c:pt idx="6">
                  <c:v>0</c:v>
                </c:pt>
              </c:numCache>
            </c:numRef>
          </c:val>
          <c:extLst>
            <c:ext xmlns:c16="http://schemas.microsoft.com/office/drawing/2014/chart" uri="{C3380CC4-5D6E-409C-BE32-E72D297353CC}">
              <c16:uniqueId val="{00000000-A4D2-4BB5-B519-B8A0F136B7D9}"/>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0"/>
    <c:dispBlanksAs val="gap"/>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dk1">
                    <a:lumMod val="65000"/>
                    <a:lumOff val="35000"/>
                  </a:schemeClr>
                </a:solidFill>
                <a:effectLst/>
                <a:latin typeface="+mn-lt"/>
                <a:ea typeface="+mn-ea"/>
                <a:cs typeface="+mn-cs"/>
              </a:defRPr>
            </a:pPr>
            <a:r>
              <a:rPr lang="en-US" sz="1400" b="1"/>
              <a:t>Pisteet ja sarjakeskiarvot</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65000"/>
                  <a:lumOff val="35000"/>
                </a:schemeClr>
              </a:solidFill>
              <a:effectLst/>
              <a:latin typeface="+mn-lt"/>
              <a:ea typeface="+mn-ea"/>
              <a:cs typeface="+mn-cs"/>
            </a:defRPr>
          </a:pPr>
          <a:endParaRPr lang="fi-FI"/>
        </a:p>
      </c:txPr>
    </c:title>
    <c:autoTitleDeleted val="0"/>
    <c:plotArea>
      <c:layout/>
      <c:barChart>
        <c:barDir val="col"/>
        <c:grouping val="clustered"/>
        <c:varyColors val="0"/>
        <c:ser>
          <c:idx val="0"/>
          <c:order val="0"/>
          <c:tx>
            <c:strRef>
              <c:f>Sarjataulukko!$D$5</c:f>
              <c:strCache>
                <c:ptCount val="1"/>
                <c:pt idx="0">
                  <c:v>Pisteet</c:v>
                </c:pt>
              </c:strCache>
            </c:strRef>
          </c:tx>
          <c: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a:noFill/>
            </a:ln>
            <a:effectLst>
              <a:glow rad="63500">
                <a:schemeClr val="accent1">
                  <a:satMod val="175000"/>
                  <a:alpha val="40000"/>
                </a:schemeClr>
              </a:glow>
              <a:outerShdw blurRad="50800" dist="38100" dir="2700000" algn="tl" rotWithShape="0">
                <a:prstClr val="black">
                  <a:alpha val="40000"/>
                </a:prstClr>
              </a:outerShdw>
              <a:softEdge rad="12700"/>
            </a:effectLst>
            <a:scene3d>
              <a:camera prst="orthographicFront"/>
              <a:lightRig rig="threePt" dir="t"/>
            </a:scene3d>
            <a:sp3d prstMaterial="dkEdge"/>
          </c:spPr>
          <c:invertIfNegative val="0"/>
          <c:dLbls>
            <c:delete val="1"/>
          </c:dLbls>
          <c:cat>
            <c:strRef>
              <c:f>Sarjataulukko!$B$6:$B$23</c:f>
              <c:strCache>
                <c:ptCount val="18"/>
                <c:pt idx="0">
                  <c:v>Jami Kallio</c:v>
                </c:pt>
                <c:pt idx="1">
                  <c:v>Miika Nordblad</c:v>
                </c:pt>
                <c:pt idx="2">
                  <c:v>Henri Verho</c:v>
                </c:pt>
                <c:pt idx="3">
                  <c:v>Ossi Oksa</c:v>
                </c:pt>
                <c:pt idx="4">
                  <c:v>Niko Reunanen</c:v>
                </c:pt>
                <c:pt idx="5">
                  <c:v>Mika Sola</c:v>
                </c:pt>
                <c:pt idx="6">
                  <c:v>Frans Hartman</c:v>
                </c:pt>
                <c:pt idx="7">
                  <c:v>Asko Haaksi</c:v>
                </c:pt>
                <c:pt idx="8">
                  <c:v>Juho Korpi</c:v>
                </c:pt>
                <c:pt idx="9">
                  <c:v>Olli Kajava</c:v>
                </c:pt>
                <c:pt idx="10">
                  <c:v>Kaleva Latvala</c:v>
                </c:pt>
                <c:pt idx="11">
                  <c:v>Miikka Korventausta</c:v>
                </c:pt>
                <c:pt idx="12">
                  <c:v>Sakari Leinonen</c:v>
                </c:pt>
                <c:pt idx="13">
                  <c:v>Iiro Riikonen</c:v>
                </c:pt>
                <c:pt idx="14">
                  <c:v>Roope Warro</c:v>
                </c:pt>
                <c:pt idx="15">
                  <c:v>Mikko Mansikkamäki</c:v>
                </c:pt>
                <c:pt idx="16">
                  <c:v>Tatu Erlin</c:v>
                </c:pt>
                <c:pt idx="17">
                  <c:v>Joonas Ollonqvist</c:v>
                </c:pt>
              </c:strCache>
            </c:strRef>
          </c:cat>
          <c:val>
            <c:numRef>
              <c:f>Sarjataulukko!$D$6:$D$23</c:f>
              <c:numCache>
                <c:formatCode>#,##0</c:formatCode>
                <c:ptCount val="18"/>
                <c:pt idx="0">
                  <c:v>85</c:v>
                </c:pt>
                <c:pt idx="1">
                  <c:v>81</c:v>
                </c:pt>
                <c:pt idx="2">
                  <c:v>56</c:v>
                </c:pt>
                <c:pt idx="3">
                  <c:v>51.5</c:v>
                </c:pt>
                <c:pt idx="4">
                  <c:v>42</c:v>
                </c:pt>
                <c:pt idx="5">
                  <c:v>42</c:v>
                </c:pt>
                <c:pt idx="6">
                  <c:v>40.5</c:v>
                </c:pt>
                <c:pt idx="7">
                  <c:v>29</c:v>
                </c:pt>
                <c:pt idx="8">
                  <c:v>29</c:v>
                </c:pt>
                <c:pt idx="9">
                  <c:v>24</c:v>
                </c:pt>
                <c:pt idx="10">
                  <c:v>24</c:v>
                </c:pt>
                <c:pt idx="11">
                  <c:v>20</c:v>
                </c:pt>
                <c:pt idx="12">
                  <c:v>18</c:v>
                </c:pt>
                <c:pt idx="13">
                  <c:v>17</c:v>
                </c:pt>
                <c:pt idx="14">
                  <c:v>11</c:v>
                </c:pt>
                <c:pt idx="15">
                  <c:v>11</c:v>
                </c:pt>
                <c:pt idx="16">
                  <c:v>5</c:v>
                </c:pt>
                <c:pt idx="17">
                  <c:v>1</c:v>
                </c:pt>
              </c:numCache>
            </c:numRef>
          </c:val>
          <c:extLst>
            <c:ext xmlns:c16="http://schemas.microsoft.com/office/drawing/2014/chart" uri="{C3380CC4-5D6E-409C-BE32-E72D297353CC}">
              <c16:uniqueId val="{00000000-DBC1-47DF-B752-8229D51DC619}"/>
            </c:ext>
          </c:extLst>
        </c:ser>
        <c:dLbls>
          <c:dLblPos val="inEnd"/>
          <c:showLegendKey val="0"/>
          <c:showVal val="1"/>
          <c:showCatName val="0"/>
          <c:showSerName val="0"/>
          <c:showPercent val="0"/>
          <c:showBubbleSize val="0"/>
        </c:dLbls>
        <c:gapWidth val="41"/>
        <c:axId val="628490536"/>
        <c:axId val="628494144"/>
      </c:barChart>
      <c:lineChart>
        <c:grouping val="standard"/>
        <c:varyColors val="0"/>
        <c:ser>
          <c:idx val="1"/>
          <c:order val="1"/>
          <c:tx>
            <c:strRef>
              <c:f>Sarjataulukko!$V$5</c:f>
              <c:strCache>
                <c:ptCount val="1"/>
                <c:pt idx="0">
                  <c:v>K.A./sarja</c:v>
                </c:pt>
              </c:strCache>
            </c:strRef>
          </c:tx>
          <c:spPr>
            <a:ln w="38100" cap="rnd">
              <a:solidFill>
                <a:schemeClr val="accent4"/>
              </a:solidFill>
              <a:round/>
            </a:ln>
            <a:effectLst>
              <a:glow rad="63500">
                <a:schemeClr val="accent4">
                  <a:satMod val="175000"/>
                  <a:alpha val="40000"/>
                </a:schemeClr>
              </a:glow>
              <a:outerShdw blurRad="50800" dist="38100" dir="2700000" algn="tl" rotWithShape="0">
                <a:prstClr val="black">
                  <a:alpha val="40000"/>
                </a:prstClr>
              </a:outerShdw>
            </a:effectLst>
          </c:spPr>
          <c:marker>
            <c:symbol val="none"/>
          </c:marker>
          <c:cat>
            <c:strRef>
              <c:f>Sarjataulukko!$B$6:$B$23</c:f>
              <c:strCache>
                <c:ptCount val="18"/>
                <c:pt idx="0">
                  <c:v>Jami Kallio</c:v>
                </c:pt>
                <c:pt idx="1">
                  <c:v>Miika Nordblad</c:v>
                </c:pt>
                <c:pt idx="2">
                  <c:v>Henri Verho</c:v>
                </c:pt>
                <c:pt idx="3">
                  <c:v>Ossi Oksa</c:v>
                </c:pt>
                <c:pt idx="4">
                  <c:v>Niko Reunanen</c:v>
                </c:pt>
                <c:pt idx="5">
                  <c:v>Mika Sola</c:v>
                </c:pt>
                <c:pt idx="6">
                  <c:v>Frans Hartman</c:v>
                </c:pt>
                <c:pt idx="7">
                  <c:v>Asko Haaksi</c:v>
                </c:pt>
                <c:pt idx="8">
                  <c:v>Juho Korpi</c:v>
                </c:pt>
                <c:pt idx="9">
                  <c:v>Olli Kajava</c:v>
                </c:pt>
                <c:pt idx="10">
                  <c:v>Kaleva Latvala</c:v>
                </c:pt>
                <c:pt idx="11">
                  <c:v>Miikka Korventausta</c:v>
                </c:pt>
                <c:pt idx="12">
                  <c:v>Sakari Leinonen</c:v>
                </c:pt>
                <c:pt idx="13">
                  <c:v>Iiro Riikonen</c:v>
                </c:pt>
                <c:pt idx="14">
                  <c:v>Roope Warro</c:v>
                </c:pt>
                <c:pt idx="15">
                  <c:v>Mikko Mansikkamäki</c:v>
                </c:pt>
                <c:pt idx="16">
                  <c:v>Tatu Erlin</c:v>
                </c:pt>
                <c:pt idx="17">
                  <c:v>Joonas Ollonqvist</c:v>
                </c:pt>
              </c:strCache>
            </c:strRef>
          </c:cat>
          <c:val>
            <c:numRef>
              <c:f>Sarjataulukko!$V$6:$V$23</c:f>
              <c:numCache>
                <c:formatCode>0.0</c:formatCode>
                <c:ptCount val="18"/>
                <c:pt idx="0">
                  <c:v>150.05000000000001</c:v>
                </c:pt>
                <c:pt idx="1">
                  <c:v>154.72222222222223</c:v>
                </c:pt>
                <c:pt idx="2">
                  <c:v>140</c:v>
                </c:pt>
                <c:pt idx="3">
                  <c:v>144.9375</c:v>
                </c:pt>
                <c:pt idx="4">
                  <c:v>133.16666666666666</c:v>
                </c:pt>
                <c:pt idx="5">
                  <c:v>131.1</c:v>
                </c:pt>
                <c:pt idx="6">
                  <c:v>153.25</c:v>
                </c:pt>
                <c:pt idx="7">
                  <c:v>140.21428571428572</c:v>
                </c:pt>
                <c:pt idx="8">
                  <c:v>131.0625</c:v>
                </c:pt>
                <c:pt idx="9">
                  <c:v>135.42857142857142</c:v>
                </c:pt>
                <c:pt idx="10">
                  <c:v>124.07142857142857</c:v>
                </c:pt>
                <c:pt idx="11">
                  <c:v>121.875</c:v>
                </c:pt>
                <c:pt idx="12">
                  <c:v>126.58333333333333</c:v>
                </c:pt>
                <c:pt idx="13">
                  <c:v>142.5</c:v>
                </c:pt>
                <c:pt idx="14">
                  <c:v>122.5</c:v>
                </c:pt>
                <c:pt idx="15">
                  <c:v>108.75</c:v>
                </c:pt>
                <c:pt idx="16">
                  <c:v>104.33333333333333</c:v>
                </c:pt>
                <c:pt idx="17">
                  <c:v>117.85714285714286</c:v>
                </c:pt>
              </c:numCache>
            </c:numRef>
          </c:val>
          <c:smooth val="0"/>
          <c:extLst>
            <c:ext xmlns:c16="http://schemas.microsoft.com/office/drawing/2014/chart" uri="{C3380CC4-5D6E-409C-BE32-E72D297353CC}">
              <c16:uniqueId val="{00000001-DBC1-47DF-B752-8229D51DC619}"/>
            </c:ext>
          </c:extLst>
        </c:ser>
        <c:dLbls>
          <c:showLegendKey val="0"/>
          <c:showVal val="0"/>
          <c:showCatName val="0"/>
          <c:showSerName val="0"/>
          <c:showPercent val="0"/>
          <c:showBubbleSize val="0"/>
        </c:dLbls>
        <c:marker val="1"/>
        <c:smooth val="0"/>
        <c:axId val="548440168"/>
        <c:axId val="548439840"/>
      </c:lineChart>
      <c:valAx>
        <c:axId val="548439840"/>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i-FI"/>
          </a:p>
        </c:txPr>
        <c:crossAx val="548440168"/>
        <c:crosses val="max"/>
        <c:crossBetween val="between"/>
      </c:valAx>
      <c:catAx>
        <c:axId val="54844016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fi-FI"/>
          </a:p>
        </c:txPr>
        <c:crossAx val="548439840"/>
        <c:crosses val="autoZero"/>
        <c:auto val="1"/>
        <c:lblAlgn val="ctr"/>
        <c:lblOffset val="100"/>
        <c:noMultiLvlLbl val="0"/>
      </c:catAx>
      <c:valAx>
        <c:axId val="62849414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i-FI"/>
          </a:p>
        </c:txPr>
        <c:crossAx val="628490536"/>
        <c:crosses val="autoZero"/>
        <c:crossBetween val="between"/>
      </c:valAx>
      <c:catAx>
        <c:axId val="628490536"/>
        <c:scaling>
          <c:orientation val="minMax"/>
        </c:scaling>
        <c:delete val="1"/>
        <c:axPos val="b"/>
        <c:numFmt formatCode="General" sourceLinked="1"/>
        <c:majorTickMark val="out"/>
        <c:minorTickMark val="none"/>
        <c:tickLblPos val="nextTo"/>
        <c:crossAx val="628494144"/>
        <c:crosses val="autoZero"/>
        <c:auto val="1"/>
        <c:lblAlgn val="ctr"/>
        <c:lblOffset val="100"/>
        <c:noMultiLvlLbl val="0"/>
      </c:catAx>
      <c:spPr>
        <a:pattFill prst="dotGrid">
          <a:fgClr>
            <a:schemeClr val="tx2"/>
          </a:fgClr>
          <a:bgClr>
            <a:schemeClr val="accent5">
              <a:lumMod val="20000"/>
              <a:lumOff val="80000"/>
            </a:schemeClr>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i-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GP-kohtainen tulostaso</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fi-FI"/>
        </a:p>
      </c:txPr>
    </c:title>
    <c:autoTitleDeleted val="0"/>
    <c:plotArea>
      <c:layout/>
      <c:lineChart>
        <c:grouping val="standard"/>
        <c:varyColors val="0"/>
        <c:ser>
          <c:idx val="0"/>
          <c:order val="0"/>
          <c:tx>
            <c:strRef>
              <c:f>Data!$DB$2</c:f>
              <c:strCache>
                <c:ptCount val="1"/>
                <c:pt idx="0">
                  <c:v>Voittotulos</c:v>
                </c:pt>
              </c:strCache>
            </c:strRef>
          </c:tx>
          <c:spPr>
            <a:ln w="22225" cap="rnd">
              <a:solidFill>
                <a:schemeClr val="accent1"/>
              </a:solidFill>
            </a:ln>
            <a:effectLst>
              <a:glow rad="139700">
                <a:schemeClr val="accent1">
                  <a:satMod val="175000"/>
                  <a:alpha val="14000"/>
                </a:schemeClr>
              </a:glow>
            </a:effectLst>
          </c:spPr>
          <c:marker>
            <c:symbol val="none"/>
          </c:marker>
          <c:cat>
            <c:numRef>
              <c:f>Data!$CR$3:$CR$15</c:f>
              <c:numCache>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Cache>
            </c:numRef>
          </c:cat>
          <c:val>
            <c:numRef>
              <c:f>Data!$DB$3:$DB$15</c:f>
              <c:numCache>
                <c:formatCode>General</c:formatCode>
                <c:ptCount val="13"/>
                <c:pt idx="0">
                  <c:v>259</c:v>
                </c:pt>
                <c:pt idx="1">
                  <c:v>333</c:v>
                </c:pt>
                <c:pt idx="2">
                  <c:v>401</c:v>
                </c:pt>
                <c:pt idx="3">
                  <c:v>386</c:v>
                </c:pt>
                <c:pt idx="4">
                  <c:v>333</c:v>
                </c:pt>
                <c:pt idx="5">
                  <c:v>350</c:v>
                </c:pt>
                <c:pt idx="6">
                  <c:v>332</c:v>
                </c:pt>
                <c:pt idx="7">
                  <c:v>343</c:v>
                </c:pt>
                <c:pt idx="8">
                  <c:v>307</c:v>
                </c:pt>
                <c:pt idx="9">
                  <c:v>313</c:v>
                </c:pt>
                <c:pt idx="10">
                  <c:v>#N/A</c:v>
                </c:pt>
                <c:pt idx="11">
                  <c:v>#N/A</c:v>
                </c:pt>
                <c:pt idx="12">
                  <c:v>#N/A</c:v>
                </c:pt>
              </c:numCache>
            </c:numRef>
          </c:val>
          <c:smooth val="0"/>
          <c:extLst>
            <c:ext xmlns:c16="http://schemas.microsoft.com/office/drawing/2014/chart" uri="{C3380CC4-5D6E-409C-BE32-E72D297353CC}">
              <c16:uniqueId val="{00000000-9F9A-40F1-BA12-82533D6547F7}"/>
            </c:ext>
          </c:extLst>
        </c:ser>
        <c:ser>
          <c:idx val="1"/>
          <c:order val="1"/>
          <c:tx>
            <c:strRef>
              <c:f>Data!$DC$2</c:f>
              <c:strCache>
                <c:ptCount val="1"/>
                <c:pt idx="0">
                  <c:v>Pistesijoitus</c:v>
                </c:pt>
              </c:strCache>
            </c:strRef>
          </c:tx>
          <c:spPr>
            <a:ln w="22225" cap="rnd">
              <a:solidFill>
                <a:schemeClr val="accent2"/>
              </a:solidFill>
            </a:ln>
            <a:effectLst>
              <a:glow rad="139700">
                <a:schemeClr val="accent2">
                  <a:satMod val="175000"/>
                  <a:alpha val="14000"/>
                </a:schemeClr>
              </a:glow>
            </a:effectLst>
          </c:spPr>
          <c:marker>
            <c:symbol val="none"/>
          </c:marker>
          <c:val>
            <c:numRef>
              <c:f>Data!$DC$3:$DC$15</c:f>
              <c:numCache>
                <c:formatCode>General</c:formatCode>
                <c:ptCount val="13"/>
                <c:pt idx="0">
                  <c:v>192</c:v>
                </c:pt>
                <c:pt idx="1">
                  <c:v>253</c:v>
                </c:pt>
                <c:pt idx="2">
                  <c:v>226</c:v>
                </c:pt>
                <c:pt idx="3">
                  <c:v>245</c:v>
                </c:pt>
                <c:pt idx="4">
                  <c:v>278</c:v>
                </c:pt>
                <c:pt idx="5">
                  <c:v>241</c:v>
                </c:pt>
                <c:pt idx="6">
                  <c:v>247</c:v>
                </c:pt>
                <c:pt idx="7">
                  <c:v>242</c:v>
                </c:pt>
                <c:pt idx="8">
                  <c:v>256</c:v>
                </c:pt>
                <c:pt idx="9">
                  <c:v>226</c:v>
                </c:pt>
                <c:pt idx="10">
                  <c:v>#N/A</c:v>
                </c:pt>
                <c:pt idx="11">
                  <c:v>#N/A</c:v>
                </c:pt>
                <c:pt idx="12">
                  <c:v>#N/A</c:v>
                </c:pt>
              </c:numCache>
            </c:numRef>
          </c:val>
          <c:smooth val="0"/>
          <c:extLst>
            <c:ext xmlns:c16="http://schemas.microsoft.com/office/drawing/2014/chart" uri="{C3380CC4-5D6E-409C-BE32-E72D297353CC}">
              <c16:uniqueId val="{00000001-9F9A-40F1-BA12-82533D6547F7}"/>
            </c:ext>
          </c:extLst>
        </c:ser>
        <c:ser>
          <c:idx val="2"/>
          <c:order val="2"/>
          <c:tx>
            <c:strRef>
              <c:f>Data!$DD$2</c:f>
              <c:strCache>
                <c:ptCount val="1"/>
                <c:pt idx="0">
                  <c:v>Keskiarvotulos</c:v>
                </c:pt>
              </c:strCache>
            </c:strRef>
          </c:tx>
          <c:spPr>
            <a:ln w="22225" cap="rnd">
              <a:solidFill>
                <a:schemeClr val="accent3"/>
              </a:solidFill>
            </a:ln>
            <a:effectLst>
              <a:glow rad="139700">
                <a:schemeClr val="accent3">
                  <a:satMod val="175000"/>
                  <a:alpha val="14000"/>
                </a:schemeClr>
              </a:glow>
            </a:effectLst>
          </c:spPr>
          <c:marker>
            <c:symbol val="none"/>
          </c:marker>
          <c:val>
            <c:numRef>
              <c:f>Data!$DD$3:$DD$15</c:f>
              <c:numCache>
                <c:formatCode>General</c:formatCode>
                <c:ptCount val="13"/>
                <c:pt idx="0">
                  <c:v>218.90909090909091</c:v>
                </c:pt>
                <c:pt idx="1">
                  <c:v>281.66666666666669</c:v>
                </c:pt>
                <c:pt idx="2">
                  <c:v>272.27272727272725</c:v>
                </c:pt>
                <c:pt idx="3">
                  <c:v>268.71428571428572</c:v>
                </c:pt>
                <c:pt idx="4">
                  <c:v>293.25</c:v>
                </c:pt>
                <c:pt idx="5">
                  <c:v>260.73333333333335</c:v>
                </c:pt>
                <c:pt idx="6">
                  <c:v>282.18181818181819</c:v>
                </c:pt>
                <c:pt idx="7">
                  <c:v>272.5</c:v>
                </c:pt>
                <c:pt idx="8">
                  <c:v>266.61538461538464</c:v>
                </c:pt>
                <c:pt idx="9">
                  <c:v>256.3</c:v>
                </c:pt>
                <c:pt idx="10">
                  <c:v>#N/A</c:v>
                </c:pt>
                <c:pt idx="11">
                  <c:v>#N/A</c:v>
                </c:pt>
                <c:pt idx="12">
                  <c:v>#N/A</c:v>
                </c:pt>
              </c:numCache>
            </c:numRef>
          </c:val>
          <c:smooth val="0"/>
          <c:extLst>
            <c:ext xmlns:c16="http://schemas.microsoft.com/office/drawing/2014/chart" uri="{C3380CC4-5D6E-409C-BE32-E72D297353CC}">
              <c16:uniqueId val="{00000002-9F9A-40F1-BA12-82533D6547F7}"/>
            </c:ext>
          </c:extLst>
        </c:ser>
        <c:dLbls>
          <c:showLegendKey val="0"/>
          <c:showVal val="0"/>
          <c:showCatName val="0"/>
          <c:showSerName val="0"/>
          <c:showPercent val="0"/>
          <c:showBubbleSize val="0"/>
        </c:dLbls>
        <c:smooth val="0"/>
        <c:axId val="657991368"/>
        <c:axId val="657992680"/>
      </c:lineChart>
      <c:catAx>
        <c:axId val="6579913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fi-FI"/>
          </a:p>
        </c:txPr>
        <c:crossAx val="657992680"/>
        <c:crosses val="autoZero"/>
        <c:auto val="1"/>
        <c:lblAlgn val="ctr"/>
        <c:lblOffset val="100"/>
        <c:noMultiLvlLbl val="0"/>
      </c:catAx>
      <c:valAx>
        <c:axId val="657992680"/>
        <c:scaling>
          <c:orientation val="minMax"/>
          <c:min val="200"/>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fi-FI"/>
          </a:p>
        </c:txPr>
        <c:crossAx val="657991368"/>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fi-FI"/>
          </a:p>
        </c:txPr>
      </c:dTable>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93</xdr:col>
      <xdr:colOff>0</xdr:colOff>
      <xdr:row>43</xdr:row>
      <xdr:rowOff>0</xdr:rowOff>
    </xdr:from>
    <xdr:to>
      <xdr:col>99</xdr:col>
      <xdr:colOff>0</xdr:colOff>
      <xdr:row>60</xdr:row>
      <xdr:rowOff>0</xdr:rowOff>
    </xdr:to>
    <xdr:graphicFrame macro="">
      <xdr:nvGraphicFramePr>
        <xdr:cNvPr id="2" name="Kaavio 1">
          <a:extLst>
            <a:ext uri="{FF2B5EF4-FFF2-40B4-BE49-F238E27FC236}">
              <a16:creationId xmlns:a16="http://schemas.microsoft.com/office/drawing/2014/main" id="{809B1E05-E58C-45AE-8410-D8CC1B692D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99</xdr:col>
      <xdr:colOff>0</xdr:colOff>
      <xdr:row>43</xdr:row>
      <xdr:rowOff>0</xdr:rowOff>
    </xdr:from>
    <xdr:to>
      <xdr:col>109</xdr:col>
      <xdr:colOff>0</xdr:colOff>
      <xdr:row>72</xdr:row>
      <xdr:rowOff>0</xdr:rowOff>
    </xdr:to>
    <xdr:graphicFrame macro="">
      <xdr:nvGraphicFramePr>
        <xdr:cNvPr id="4" name="Kaavio 3">
          <a:extLst>
            <a:ext uri="{FF2B5EF4-FFF2-40B4-BE49-F238E27FC236}">
              <a16:creationId xmlns:a16="http://schemas.microsoft.com/office/drawing/2014/main" id="{58B3A103-5CED-4FBB-916B-1DA2518453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93</xdr:col>
      <xdr:colOff>0</xdr:colOff>
      <xdr:row>60</xdr:row>
      <xdr:rowOff>0</xdr:rowOff>
    </xdr:from>
    <xdr:to>
      <xdr:col>99</xdr:col>
      <xdr:colOff>0</xdr:colOff>
      <xdr:row>72</xdr:row>
      <xdr:rowOff>0</xdr:rowOff>
    </xdr:to>
    <xdr:graphicFrame macro="">
      <xdr:nvGraphicFramePr>
        <xdr:cNvPr id="5" name="Kaavio 4">
          <a:extLst>
            <a:ext uri="{FF2B5EF4-FFF2-40B4-BE49-F238E27FC236}">
              <a16:creationId xmlns:a16="http://schemas.microsoft.com/office/drawing/2014/main" id="{15643E02-3F65-497B-AC84-E42306644F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13</xdr:col>
      <xdr:colOff>0</xdr:colOff>
      <xdr:row>23</xdr:row>
      <xdr:rowOff>1025</xdr:rowOff>
    </xdr:to>
    <xdr:pic>
      <xdr:nvPicPr>
        <xdr:cNvPr id="2" name="Picture 1">
          <a:extLst>
            <a:ext uri="{FF2B5EF4-FFF2-40B4-BE49-F238E27FC236}">
              <a16:creationId xmlns:a16="http://schemas.microsoft.com/office/drawing/2014/main" id="{FC10C81D-202F-0727-F5EA-9C137648411A}"/>
            </a:ext>
          </a:extLst>
        </xdr:cNvPr>
        <xdr:cNvPicPr>
          <a:picLocks noChangeAspect="1"/>
        </xdr:cNvPicPr>
      </xdr:nvPicPr>
      <xdr:blipFill>
        <a:blip xmlns:r="http://schemas.openxmlformats.org/officeDocument/2006/relationships" r:embed="rId1"/>
        <a:stretch>
          <a:fillRect/>
        </a:stretch>
      </xdr:blipFill>
      <xdr:spPr>
        <a:xfrm>
          <a:off x="0" y="1476375"/>
          <a:ext cx="6219825" cy="30490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Verho Henri" id="{66F42331-0020-4E1B-AC18-A81117BB5BD1}" userId="S::henri.verho@valmet-automotive.com::0f8091e6-adbc-457a-b695-ae118b1630cc" providerId="AD"/>
</personList>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L10" dT="2024-09-23T11:28:05.82" personId="{66F42331-0020-4E1B-AC18-A81117BB5BD1}" id="{EA7470B0-9C6A-4E79-B98E-BF84E78649F3}">
    <text>Sarjat tasan. Paremman sarjan täyskaadot ratkaisee: Ossi Oksa, 5; Frans Hartman, 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8.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B2F52-C2D4-47FC-8266-E0215D0E9187}">
  <dimension ref="A1:BB51"/>
  <sheetViews>
    <sheetView zoomScaleNormal="100" workbookViewId="0"/>
  </sheetViews>
  <sheetFormatPr defaultColWidth="8.85546875" defaultRowHeight="15" x14ac:dyDescent="0.25"/>
  <cols>
    <col min="1" max="1" width="3.7109375" style="10" customWidth="1"/>
    <col min="2" max="2" width="18.7109375" style="10" customWidth="1"/>
    <col min="3" max="3" width="7.7109375" style="10" customWidth="1"/>
    <col min="4" max="4" width="10.42578125" style="10" customWidth="1"/>
    <col min="5" max="5" width="8.7109375" style="10" customWidth="1"/>
    <col min="6" max="6" width="7.7109375" style="10" customWidth="1"/>
    <col min="7" max="19" width="4.28515625" style="10" customWidth="1"/>
    <col min="20" max="44" width="8.85546875" style="10"/>
    <col min="45" max="50" width="13.5703125" style="10" bestFit="1" customWidth="1"/>
    <col min="51" max="16384" width="8.85546875" style="10"/>
  </cols>
  <sheetData>
    <row r="1" spans="1:54" x14ac:dyDescent="0.25">
      <c r="A1" s="9" t="str">
        <f>otsikko</f>
        <v>Kaatokerho, 2024-25</v>
      </c>
    </row>
    <row r="2" spans="1:54" ht="26.25" x14ac:dyDescent="0.4">
      <c r="A2" s="11" t="s">
        <v>0</v>
      </c>
      <c r="AZ2" s="12" t="s">
        <v>2</v>
      </c>
    </row>
    <row r="3" spans="1:54" ht="6" customHeight="1" x14ac:dyDescent="0.25"/>
    <row r="4" spans="1:54" x14ac:dyDescent="0.25">
      <c r="A4" s="188" t="s">
        <v>3</v>
      </c>
      <c r="B4" s="189"/>
      <c r="C4" s="189"/>
      <c r="D4" s="189"/>
      <c r="E4" s="189"/>
      <c r="F4" s="190"/>
      <c r="G4" s="188" t="s">
        <v>4</v>
      </c>
      <c r="H4" s="189"/>
      <c r="I4" s="189"/>
      <c r="J4" s="189"/>
      <c r="K4" s="189"/>
      <c r="L4" s="189"/>
      <c r="M4" s="189"/>
      <c r="N4" s="189"/>
      <c r="O4" s="189"/>
      <c r="P4" s="189"/>
      <c r="Q4" s="189"/>
      <c r="R4" s="189"/>
      <c r="S4" s="189"/>
      <c r="T4" s="189"/>
      <c r="U4" s="189"/>
      <c r="V4" s="190"/>
      <c r="Z4" s="10" t="s">
        <v>5</v>
      </c>
      <c r="AM4" s="10">
        <f>MAX(0,keilatut-10)</f>
        <v>0</v>
      </c>
      <c r="AN4" s="10" t="s">
        <v>1</v>
      </c>
      <c r="AS4" s="10">
        <v>100</v>
      </c>
      <c r="AT4" s="10">
        <f>AS4*100</f>
        <v>10000</v>
      </c>
      <c r="AU4" s="10">
        <f t="shared" ref="AU4:AW4" si="0">AT4*100</f>
        <v>1000000</v>
      </c>
      <c r="AV4" s="10">
        <f t="shared" si="0"/>
        <v>100000000</v>
      </c>
      <c r="AW4" s="10">
        <f t="shared" si="0"/>
        <v>10000000000</v>
      </c>
    </row>
    <row r="5" spans="1:54" x14ac:dyDescent="0.25">
      <c r="A5" s="21" t="s">
        <v>6</v>
      </c>
      <c r="B5" s="22" t="s">
        <v>7</v>
      </c>
      <c r="C5" s="19" t="s">
        <v>8</v>
      </c>
      <c r="D5" s="19" t="s">
        <v>9</v>
      </c>
      <c r="E5" s="19" t="s">
        <v>10</v>
      </c>
      <c r="F5" s="20" t="s">
        <v>11</v>
      </c>
      <c r="G5" s="18">
        <f t="array" ref="G5:S5">TRANSPOSE(Data!$CR$3:$CR$15)</f>
        <v>1</v>
      </c>
      <c r="H5" s="19">
        <v>2</v>
      </c>
      <c r="I5" s="19">
        <v>3</v>
      </c>
      <c r="J5" s="19">
        <v>4</v>
      </c>
      <c r="K5" s="19">
        <v>5</v>
      </c>
      <c r="L5" s="19">
        <v>6</v>
      </c>
      <c r="M5" s="19">
        <v>7</v>
      </c>
      <c r="N5" s="19">
        <v>8</v>
      </c>
      <c r="O5" s="19">
        <v>9</v>
      </c>
      <c r="P5" s="19">
        <v>10</v>
      </c>
      <c r="Q5" s="19">
        <v>11</v>
      </c>
      <c r="R5" s="19">
        <v>12</v>
      </c>
      <c r="S5" s="20">
        <v>13</v>
      </c>
      <c r="T5" s="18" t="s">
        <v>12</v>
      </c>
      <c r="U5" s="19" t="s">
        <v>13</v>
      </c>
      <c r="V5" s="20" t="s">
        <v>14</v>
      </c>
      <c r="Z5" s="10">
        <f>G5</f>
        <v>1</v>
      </c>
      <c r="AA5" s="10">
        <f t="shared" ref="AA5:AI5" si="1">H5</f>
        <v>2</v>
      </c>
      <c r="AB5" s="10">
        <f t="shared" si="1"/>
        <v>3</v>
      </c>
      <c r="AC5" s="10">
        <f t="shared" si="1"/>
        <v>4</v>
      </c>
      <c r="AD5" s="10">
        <f t="shared" si="1"/>
        <v>5</v>
      </c>
      <c r="AE5" s="10">
        <f t="shared" si="1"/>
        <v>6</v>
      </c>
      <c r="AF5" s="10">
        <f t="shared" si="1"/>
        <v>7</v>
      </c>
      <c r="AG5" s="10">
        <f t="shared" si="1"/>
        <v>8</v>
      </c>
      <c r="AH5" s="10">
        <f t="shared" si="1"/>
        <v>9</v>
      </c>
      <c r="AI5" s="10">
        <f t="shared" si="1"/>
        <v>10</v>
      </c>
      <c r="AJ5" s="10">
        <f>Q5</f>
        <v>11</v>
      </c>
      <c r="AK5" s="10">
        <f t="shared" ref="AK5" si="2">R5</f>
        <v>12</v>
      </c>
      <c r="AL5" s="10">
        <f t="shared" ref="AL5" si="3">S5</f>
        <v>13</v>
      </c>
      <c r="AM5" s="10" t="s">
        <v>15</v>
      </c>
      <c r="AN5" s="10" t="s">
        <v>16</v>
      </c>
      <c r="AO5" s="10" t="s">
        <v>17</v>
      </c>
      <c r="AP5" s="10" t="s">
        <v>269</v>
      </c>
      <c r="AQ5" s="10" t="s">
        <v>18</v>
      </c>
      <c r="AR5" s="10" t="s">
        <v>19</v>
      </c>
      <c r="AS5" s="10" t="s">
        <v>20</v>
      </c>
      <c r="AT5" s="10" t="s">
        <v>21</v>
      </c>
      <c r="AU5" s="10" t="s">
        <v>22</v>
      </c>
      <c r="AV5" s="10" t="s">
        <v>23</v>
      </c>
      <c r="AW5" s="10" t="s">
        <v>24</v>
      </c>
      <c r="AX5" s="10" t="s">
        <v>12</v>
      </c>
      <c r="AY5" s="10" t="s">
        <v>25</v>
      </c>
      <c r="AZ5" s="10" t="s">
        <v>26</v>
      </c>
      <c r="BA5" s="10" t="s">
        <v>27</v>
      </c>
      <c r="BB5" s="10" t="s">
        <v>7</v>
      </c>
    </row>
    <row r="6" spans="1:54" x14ac:dyDescent="0.25">
      <c r="A6" s="33">
        <f>IF(keilatut=0,"",1)</f>
        <v>1</v>
      </c>
      <c r="B6" s="34" t="str">
        <f ca="1">IF($A6="","",OFFSET(Data!$I$1,MATCH(Sarjataulukko!$A6,Data!$AX$2:$AX$313,0),0))</f>
        <v>Jami Kallio</v>
      </c>
      <c r="C6" s="35">
        <f ca="1">IF($A6="","",COUNT($G6:$S6))</f>
        <v>10</v>
      </c>
      <c r="D6" s="36">
        <f ca="1">IF($A6="","",SUMIFS(Data!$AM$2:$AM$313,Data!$I$2:$I$313,Sarjataulukko!$B6,Data!$B$2:$B$313,keilatut))</f>
        <v>85</v>
      </c>
      <c r="E6" s="37">
        <f ca="1">IF($A6="","",IF($C6=0,0,D6/C6))</f>
        <v>8.5</v>
      </c>
      <c r="F6" s="38">
        <f ca="1">IF(Sarjataulukko!$A6="","",_xlfn.MAXIFS(Data!$AQ$2:$AQ$313,Data!$I$2:$I$313,Sarjataulukko!$B6))</f>
        <v>2</v>
      </c>
      <c r="G6" s="39">
        <f ca="1">IF(G$5&gt;keilatut,"",IF(SUMIFS(Data!$L$2:$L$313,Data!$I$2:$I$313,Sarjataulukko!$B6,Data!$B$2:$B$313,Sarjataulukko!G$5)=0,"",SUMIFS(Data!$L$2:$L$313,Data!$I$2:$I$313,Sarjataulukko!$B6,Data!$B$2:$B$313,Sarjataulukko!G$5)))</f>
        <v>199</v>
      </c>
      <c r="H6" s="40">
        <f ca="1">IF(H$5&gt;keilatut,"",IF(SUMIFS(Data!$L$2:$L$313,Data!$I$2:$I$313,Sarjataulukko!$B6,Data!$B$2:$B$313,Sarjataulukko!H$5)=0,"",SUMIFS(Data!$L$2:$L$313,Data!$I$2:$I$313,Sarjataulukko!$B6,Data!$B$2:$B$313,Sarjataulukko!H$5)))</f>
        <v>326</v>
      </c>
      <c r="I6" s="40">
        <f ca="1">IF(I$5&gt;keilatut,"",IF(SUMIFS(Data!$L$2:$L$313,Data!$I$2:$I$313,Sarjataulukko!$B6,Data!$B$2:$B$313,Sarjataulukko!I$5)=0,"",SUMIFS(Data!$L$2:$L$313,Data!$I$2:$I$313,Sarjataulukko!$B6,Data!$B$2:$B$313,Sarjataulukko!I$5)))</f>
        <v>282</v>
      </c>
      <c r="J6" s="40">
        <f ca="1">IF(J$5&gt;keilatut,"",IF(SUMIFS(Data!$L$2:$L$313,Data!$I$2:$I$313,Sarjataulukko!$B6,Data!$B$2:$B$313,Sarjataulukko!J$5)=0,"",SUMIFS(Data!$L$2:$L$313,Data!$I$2:$I$313,Sarjataulukko!$B6,Data!$B$2:$B$313,Sarjataulukko!J$5)))</f>
        <v>386</v>
      </c>
      <c r="K6" s="40">
        <f ca="1">IF(K$5&gt;keilatut,"",IF(SUMIFS(Data!$L$2:$L$313,Data!$I$2:$I$313,Sarjataulukko!$B6,Data!$B$2:$B$313,Sarjataulukko!K$5)=0,"",SUMIFS(Data!$L$2:$L$313,Data!$I$2:$I$313,Sarjataulukko!$B6,Data!$B$2:$B$313,Sarjataulukko!K$5)))</f>
        <v>305</v>
      </c>
      <c r="L6" s="40">
        <f ca="1">IF(L$5&gt;keilatut,"",IF(SUMIFS(Data!$L$2:$L$313,Data!$I$2:$I$313,Sarjataulukko!$B6,Data!$B$2:$B$313,Sarjataulukko!L$5)=0,"",SUMIFS(Data!$L$2:$L$313,Data!$I$2:$I$313,Sarjataulukko!$B6,Data!$B$2:$B$313,Sarjataulukko!L$5)))</f>
        <v>313</v>
      </c>
      <c r="M6" s="40">
        <f ca="1">IF(M$5&gt;keilatut,"",IF(SUMIFS(Data!$L$2:$L$313,Data!$I$2:$I$313,Sarjataulukko!$B6,Data!$B$2:$B$313,Sarjataulukko!M$5)=0,"",SUMIFS(Data!$L$2:$L$313,Data!$I$2:$I$313,Sarjataulukko!$B6,Data!$B$2:$B$313,Sarjataulukko!M$5)))</f>
        <v>312</v>
      </c>
      <c r="N6" s="40">
        <f ca="1">IF(N$5&gt;keilatut,"",IF(SUMIFS(Data!$L$2:$L$313,Data!$I$2:$I$313,Sarjataulukko!$B6,Data!$B$2:$B$313,Sarjataulukko!N$5)=0,"",SUMIFS(Data!$L$2:$L$313,Data!$I$2:$I$313,Sarjataulukko!$B6,Data!$B$2:$B$313,Sarjataulukko!N$5)))</f>
        <v>294</v>
      </c>
      <c r="O6" s="40">
        <f ca="1">IF(O$5&gt;keilatut,"",IF(SUMIFS(Data!$L$2:$L$313,Data!$I$2:$I$313,Sarjataulukko!$B6,Data!$B$2:$B$313,Sarjataulukko!O$5)=0,"",SUMIFS(Data!$L$2:$L$313,Data!$I$2:$I$313,Sarjataulukko!$B6,Data!$B$2:$B$313,Sarjataulukko!O$5)))</f>
        <v>307</v>
      </c>
      <c r="P6" s="40">
        <f ca="1">IF(P$5&gt;keilatut,"",IF(SUMIFS(Data!$L$2:$L$313,Data!$I$2:$I$313,Sarjataulukko!$B6,Data!$B$2:$B$313,Sarjataulukko!P$5)=0,"",SUMIFS(Data!$L$2:$L$313,Data!$I$2:$I$313,Sarjataulukko!$B6,Data!$B$2:$B$313,Sarjataulukko!P$5)))</f>
        <v>277</v>
      </c>
      <c r="Q6" s="40" t="str">
        <f>IF(Q$5&gt;keilatut,"",IF(SUMIFS(Data!$L$2:$L$313,Data!$I$2:$I$313,Sarjataulukko!$B6,Data!$B$2:$B$313,Sarjataulukko!Q$5)=0,"",SUMIFS(Data!$L$2:$L$313,Data!$I$2:$I$313,Sarjataulukko!$B6,Data!$B$2:$B$313,Sarjataulukko!Q$5)))</f>
        <v/>
      </c>
      <c r="R6" s="40" t="str">
        <f>IF(R$5&gt;keilatut,"",IF(SUMIFS(Data!$L$2:$L$313,Data!$I$2:$I$313,Sarjataulukko!$B6,Data!$B$2:$B$313,Sarjataulukko!R$5)=0,"",SUMIFS(Data!$L$2:$L$313,Data!$I$2:$I$313,Sarjataulukko!$B6,Data!$B$2:$B$313,Sarjataulukko!R$5)))</f>
        <v/>
      </c>
      <c r="S6" s="38" t="str">
        <f>IF(S$5&gt;keilatut,"",IF(SUMIFS(Data!$L$2:$L$313,Data!$I$2:$I$313,Sarjataulukko!$B6,Data!$B$2:$B$313,Sarjataulukko!S$5)=0,"",SUMIFS(Data!$L$2:$L$313,Data!$I$2:$I$313,Sarjataulukko!$B6,Data!$B$2:$B$313,Sarjataulukko!S$5)))</f>
        <v/>
      </c>
      <c r="T6" s="39">
        <f ca="1">IF($A6="","",SUM($G6:$S6))</f>
        <v>3001</v>
      </c>
      <c r="U6" s="41">
        <f ca="1">IF($A6="","",IF($C6=0,0,T6/C6))</f>
        <v>300.10000000000002</v>
      </c>
      <c r="V6" s="42">
        <f ca="1">IF($A6="","",U6/2)</f>
        <v>150.05000000000001</v>
      </c>
      <c r="Y6" s="10" t="str">
        <f ca="1">IF($B6="","",B6)</f>
        <v>Jami Kallio</v>
      </c>
      <c r="Z6" s="10">
        <f ca="1">IF(Z$5&gt;keilatut,"",SUMIFS(Data!$AL$2:$AL$313,Data!$I$2:$I$313,Sarjataulukko!$Y6,Data!$B$2:$B$313,Sarjataulukko!Z$5))</f>
        <v>2</v>
      </c>
      <c r="AA6" s="10">
        <f ca="1">IF(AA$5&gt;keilatut,"",SUMIFS(Data!$AL$2:$AL$313,Data!$I$2:$I$313,Sarjataulukko!$Y6,Data!$B$2:$B$313,Sarjataulukko!AA$5))</f>
        <v>7</v>
      </c>
      <c r="AB6" s="10">
        <f ca="1">IF(AB$5&gt;keilatut,"",SUMIFS(Data!$AL$2:$AL$313,Data!$I$2:$I$313,Sarjataulukko!$Y6,Data!$B$2:$B$313,Sarjataulukko!AB$5))</f>
        <v>7</v>
      </c>
      <c r="AC6" s="10">
        <f ca="1">IF(AC$5&gt;keilatut,"",SUMIFS(Data!$AL$2:$AL$313,Data!$I$2:$I$313,Sarjataulukko!$Y6,Data!$B$2:$B$313,Sarjataulukko!AC$5))</f>
        <v>12</v>
      </c>
      <c r="AD6" s="10">
        <f ca="1">IF(AD$5&gt;keilatut,"",SUMIFS(Data!$AL$2:$AL$313,Data!$I$2:$I$313,Sarjataulukko!$Y6,Data!$B$2:$B$313,Sarjataulukko!AD$5))</f>
        <v>7</v>
      </c>
      <c r="AE6" s="10">
        <f ca="1">IF(AE$5&gt;keilatut,"",SUMIFS(Data!$AL$2:$AL$313,Data!$I$2:$I$313,Sarjataulukko!$Y6,Data!$B$2:$B$313,Sarjataulukko!AE$5))</f>
        <v>11</v>
      </c>
      <c r="AF6" s="10">
        <f ca="1">IF(AF$5&gt;keilatut,"",SUMIFS(Data!$AL$2:$AL$313,Data!$I$2:$I$313,Sarjataulukko!$Y6,Data!$B$2:$B$313,Sarjataulukko!AF$5))</f>
        <v>11</v>
      </c>
      <c r="AG6" s="10">
        <f ca="1">IF(AG$5&gt;keilatut,"",SUMIFS(Data!$AL$2:$AL$313,Data!$I$2:$I$313,Sarjataulukko!$Y6,Data!$B$2:$B$313,Sarjataulukko!AG$5))</f>
        <v>7</v>
      </c>
      <c r="AH6" s="10">
        <f ca="1">IF(AH$5&gt;keilatut,"",SUMIFS(Data!$AL$2:$AL$313,Data!$I$2:$I$313,Sarjataulukko!$Y6,Data!$B$2:$B$313,Sarjataulukko!AH$5))</f>
        <v>12</v>
      </c>
      <c r="AI6" s="10">
        <f ca="1">IF(AI$5&gt;keilatut,"",SUMIFS(Data!$AL$2:$AL$313,Data!$I$2:$I$313,Sarjataulukko!$Y6,Data!$B$2:$B$313,Sarjataulukko!AI$5))</f>
        <v>9</v>
      </c>
      <c r="AJ6" s="10" t="str">
        <f>IF(AJ$5&gt;keilatut,"",SUMIFS(Data!$AL$2:$AL$313,Data!$I$2:$I$313,Sarjataulukko!$Y6,Data!$B$2:$B$313,Sarjataulukko!AJ$5))</f>
        <v/>
      </c>
      <c r="AK6" s="10" t="str">
        <f>IF(AK$5&gt;keilatut,"",SUMIFS(Data!$AL$2:$AL$313,Data!$I$2:$I$313,Sarjataulukko!$Y6,Data!$B$2:$B$313,Sarjataulukko!AK$5))</f>
        <v/>
      </c>
      <c r="AL6" s="10" t="str">
        <f>IF(AL$5&gt;keilatut,"",SUMIFS(Data!$AL$2:$AL$313,Data!$I$2:$I$313,Sarjataulukko!$Y6,Data!$B$2:$B$313,Sarjataulukko!AL$5))</f>
        <v/>
      </c>
      <c r="AM6" s="10">
        <f ca="1">AO6-AN6</f>
        <v>0</v>
      </c>
      <c r="AN6" s="10" cm="1">
        <f t="array" aca="1" ref="AN6" ca="1">IF($Y6="","",SUM(LARGE($Z6:$AL6,{1;2;3;4;5;6;7;8;9;10})))</f>
        <v>85</v>
      </c>
      <c r="AO6" s="10">
        <f t="shared" ref="AO6:AO23" ca="1" si="4">IF($Y6="","",SUM($Z6:$AL6))</f>
        <v>85</v>
      </c>
      <c r="AP6" s="10">
        <f ca="1">IF($Y6="","",ROUND($V6,1))</f>
        <v>150.1</v>
      </c>
      <c r="AQ6" s="10">
        <f ca="1">IF(Sarjataulukko!$Y6="","",_xlfn.MAXIFS(Data!$AQ$2:$AQ$313,Data!$I$2:$I$313,Sarjataulukko!$Y6))</f>
        <v>2</v>
      </c>
      <c r="AR6" s="10">
        <f ca="1">IF($Y6="","",ROW())</f>
        <v>6</v>
      </c>
      <c r="AS6" s="13">
        <f t="shared" ref="AS6:AS23" ca="1" si="5">IF($Y6="","",_xlfn.RANK.EQ(AN6,AN$6:AN$23,0)/AS$4)</f>
        <v>0.01</v>
      </c>
      <c r="AT6" s="14">
        <f t="shared" ref="AT6:AT23" ca="1" si="6">IF($Y6="","",_xlfn.RANK.EQ(AO6,AO$6:AO$23,0)/AT$4)</f>
        <v>1E-4</v>
      </c>
      <c r="AU6" s="15">
        <f t="shared" ref="AU6:AU23" ca="1" si="7">IF($Y6="","",_xlfn.RANK.EQ(AP6,AP$6:AP$23,0)/AU$4)</f>
        <v>3.0000000000000001E-6</v>
      </c>
      <c r="AV6" s="16">
        <f t="shared" ref="AV6:AV23" ca="1" si="8">IF($Y6="","",_xlfn.RANK.EQ(AQ6,AQ$6:AQ$23,0)/AV$4)</f>
        <v>2E-8</v>
      </c>
      <c r="AW6" s="17">
        <f t="shared" ref="AW6:AW23" ca="1" si="9">IF($Y6="","",_xlfn.RANK.EQ(AR6,AR$6:AR$23,1)/AW$4)</f>
        <v>1E-10</v>
      </c>
      <c r="AX6" s="17">
        <f ca="1">IF($Y6="","",SUM($AS6:$AW6))</f>
        <v>1.0103020099999999E-2</v>
      </c>
      <c r="AY6" s="10">
        <f ca="1">IF($Y6="","",_xlfn.RANK.EQ($AX6,$AX$6:$AX$23,1))</f>
        <v>1</v>
      </c>
      <c r="AZ6" s="10">
        <f t="shared" ref="AZ6:AZ23" ca="1" si="10">IF($Y6="","",SUMPRODUCT(($Y6&gt;$Y$6:$Y$23)+0)+1)</f>
        <v>5</v>
      </c>
      <c r="BA6" s="10">
        <f ca="1">IF($AZ6="","",1)</f>
        <v>1</v>
      </c>
      <c r="BB6" s="10" t="str">
        <f t="shared" ref="BB6:BB23" ca="1" si="11">IF(BA6="","",OFFSET($Y$5,MATCH(BA6,AZ$6:AZ$23,0),0))</f>
        <v>Asko Haaksi</v>
      </c>
    </row>
    <row r="7" spans="1:54" x14ac:dyDescent="0.25">
      <c r="A7" s="33">
        <f>IF(keilatut=0,"",IF(1+A6&gt;Data!$CP$2,"",1+A6))</f>
        <v>2</v>
      </c>
      <c r="B7" s="34" t="str">
        <f ca="1">IF($A7="","",OFFSET(Data!$I$1,MATCH(Sarjataulukko!$A7,Data!$AX$2:$AX$313,0),0))</f>
        <v>Miika Nordblad</v>
      </c>
      <c r="C7" s="35">
        <f t="shared" ref="C7:C23" ca="1" si="12">IF($A7="","",COUNT($G7:$S7))</f>
        <v>9</v>
      </c>
      <c r="D7" s="36">
        <f ca="1">IF($A7="","",SUMIFS(Data!$AM$2:$AM$313,Data!$I$2:$I$313,Sarjataulukko!$B7,Data!$B$2:$B$313,keilatut))</f>
        <v>81</v>
      </c>
      <c r="E7" s="37">
        <f t="shared" ref="E7" ca="1" si="13">IF($A7="","",IF($C7=0,0,D7/C7))</f>
        <v>9</v>
      </c>
      <c r="F7" s="38">
        <f ca="1">IF(Sarjataulukko!$A7="","",_xlfn.MAXIFS(Data!$AQ$2:$AQ$313,Data!$I$2:$I$313,Sarjataulukko!$B7))</f>
        <v>4</v>
      </c>
      <c r="G7" s="39" t="str">
        <f ca="1">IF(G$5&gt;keilatut,"",IF(SUMIFS(Data!$L$2:$L$313,Data!$I$2:$I$313,Sarjataulukko!$B7,Data!$B$2:$B$313,Sarjataulukko!G$5)=0,"",SUMIFS(Data!$L$2:$L$313,Data!$I$2:$I$313,Sarjataulukko!$B7,Data!$B$2:$B$313,Sarjataulukko!G$5)))</f>
        <v/>
      </c>
      <c r="H7" s="40">
        <f ca="1">IF(H$5&gt;keilatut,"",IF(SUMIFS(Data!$L$2:$L$313,Data!$I$2:$I$313,Sarjataulukko!$B7,Data!$B$2:$B$313,Sarjataulukko!H$5)=0,"",SUMIFS(Data!$L$2:$L$313,Data!$I$2:$I$313,Sarjataulukko!$B7,Data!$B$2:$B$313,Sarjataulukko!H$5)))</f>
        <v>333</v>
      </c>
      <c r="I7" s="40">
        <f ca="1">IF(I$5&gt;keilatut,"",IF(SUMIFS(Data!$L$2:$L$313,Data!$I$2:$I$313,Sarjataulukko!$B7,Data!$B$2:$B$313,Sarjataulukko!I$5)=0,"",SUMIFS(Data!$L$2:$L$313,Data!$I$2:$I$313,Sarjataulukko!$B7,Data!$B$2:$B$313,Sarjataulukko!I$5)))</f>
        <v>327</v>
      </c>
      <c r="J7" s="40">
        <f ca="1">IF(J$5&gt;keilatut,"",IF(SUMIFS(Data!$L$2:$L$313,Data!$I$2:$I$313,Sarjataulukko!$B7,Data!$B$2:$B$313,Sarjataulukko!J$5)=0,"",SUMIFS(Data!$L$2:$L$313,Data!$I$2:$I$313,Sarjataulukko!$B7,Data!$B$2:$B$313,Sarjataulukko!J$5)))</f>
        <v>281</v>
      </c>
      <c r="K7" s="40">
        <f ca="1">IF(K$5&gt;keilatut,"",IF(SUMIFS(Data!$L$2:$L$313,Data!$I$2:$I$313,Sarjataulukko!$B7,Data!$B$2:$B$313,Sarjataulukko!K$5)=0,"",SUMIFS(Data!$L$2:$L$313,Data!$I$2:$I$313,Sarjataulukko!$B7,Data!$B$2:$B$313,Sarjataulukko!K$5)))</f>
        <v>333</v>
      </c>
      <c r="L7" s="40">
        <f ca="1">IF(L$5&gt;keilatut,"",IF(SUMIFS(Data!$L$2:$L$313,Data!$I$2:$I$313,Sarjataulukko!$B7,Data!$B$2:$B$313,Sarjataulukko!L$5)=0,"",SUMIFS(Data!$L$2:$L$313,Data!$I$2:$I$313,Sarjataulukko!$B7,Data!$B$2:$B$313,Sarjataulukko!L$5)))</f>
        <v>256</v>
      </c>
      <c r="M7" s="40">
        <f ca="1">IF(M$5&gt;keilatut,"",IF(SUMIFS(Data!$L$2:$L$313,Data!$I$2:$I$313,Sarjataulukko!$B7,Data!$B$2:$B$313,Sarjataulukko!M$5)=0,"",SUMIFS(Data!$L$2:$L$313,Data!$I$2:$I$313,Sarjataulukko!$B7,Data!$B$2:$B$313,Sarjataulukko!M$5)))</f>
        <v>309</v>
      </c>
      <c r="N7" s="40">
        <f ca="1">IF(N$5&gt;keilatut,"",IF(SUMIFS(Data!$L$2:$L$313,Data!$I$2:$I$313,Sarjataulukko!$B7,Data!$B$2:$B$313,Sarjataulukko!N$5)=0,"",SUMIFS(Data!$L$2:$L$313,Data!$I$2:$I$313,Sarjataulukko!$B7,Data!$B$2:$B$313,Sarjataulukko!N$5)))</f>
        <v>343</v>
      </c>
      <c r="O7" s="40">
        <f ca="1">IF(O$5&gt;keilatut,"",IF(SUMIFS(Data!$L$2:$L$313,Data!$I$2:$I$313,Sarjataulukko!$B7,Data!$B$2:$B$313,Sarjataulukko!O$5)=0,"",SUMIFS(Data!$L$2:$L$313,Data!$I$2:$I$313,Sarjataulukko!$B7,Data!$B$2:$B$313,Sarjataulukko!O$5)))</f>
        <v>290</v>
      </c>
      <c r="P7" s="40">
        <f ca="1">IF(P$5&gt;keilatut,"",IF(SUMIFS(Data!$L$2:$L$313,Data!$I$2:$I$313,Sarjataulukko!$B7,Data!$B$2:$B$313,Sarjataulukko!P$5)=0,"",SUMIFS(Data!$L$2:$L$313,Data!$I$2:$I$313,Sarjataulukko!$B7,Data!$B$2:$B$313,Sarjataulukko!P$5)))</f>
        <v>313</v>
      </c>
      <c r="Q7" s="40" t="str">
        <f>IF(Q$5&gt;keilatut,"",IF(SUMIFS(Data!$L$2:$L$313,Data!$I$2:$I$313,Sarjataulukko!$B7,Data!$B$2:$B$313,Sarjataulukko!Q$5)=0,"",SUMIFS(Data!$L$2:$L$313,Data!$I$2:$I$313,Sarjataulukko!$B7,Data!$B$2:$B$313,Sarjataulukko!Q$5)))</f>
        <v/>
      </c>
      <c r="R7" s="40" t="str">
        <f>IF(R$5&gt;keilatut,"",IF(SUMIFS(Data!$L$2:$L$313,Data!$I$2:$I$313,Sarjataulukko!$B7,Data!$B$2:$B$313,Sarjataulukko!R$5)=0,"",SUMIFS(Data!$L$2:$L$313,Data!$I$2:$I$313,Sarjataulukko!$B7,Data!$B$2:$B$313,Sarjataulukko!R$5)))</f>
        <v/>
      </c>
      <c r="S7" s="38" t="str">
        <f>IF(S$5&gt;keilatut,"",IF(SUMIFS(Data!$L$2:$L$313,Data!$I$2:$I$313,Sarjataulukko!$B7,Data!$B$2:$B$313,Sarjataulukko!S$5)=0,"",SUMIFS(Data!$L$2:$L$313,Data!$I$2:$I$313,Sarjataulukko!$B7,Data!$B$2:$B$313,Sarjataulukko!S$5)))</f>
        <v/>
      </c>
      <c r="T7" s="39">
        <f t="shared" ref="T7:T23" ca="1" si="14">IF($A7="","",SUM($G7:$S7))</f>
        <v>2785</v>
      </c>
      <c r="U7" s="41">
        <f t="shared" ref="U7" ca="1" si="15">IF($A7="","",IF($C7=0,0,T7/C7))</f>
        <v>309.44444444444446</v>
      </c>
      <c r="V7" s="42">
        <f t="shared" ref="V7" ca="1" si="16">IF($A7="","",U7/2)</f>
        <v>154.72222222222223</v>
      </c>
      <c r="Y7" s="10" t="str">
        <f t="shared" ref="Y7:Y23" ca="1" si="17">IF($B7="","",B7)</f>
        <v>Miika Nordblad</v>
      </c>
      <c r="Z7" s="10">
        <f ca="1">IF(Z$5&gt;keilatut,"",SUMIFS(Data!$AL$2:$AL$313,Data!$I$2:$I$313,Sarjataulukko!$Y7,Data!$B$2:$B$313,Sarjataulukko!Z$5))</f>
        <v>0</v>
      </c>
      <c r="AA7" s="10">
        <f ca="1">IF(AA$5&gt;keilatut,"",SUMIFS(Data!$AL$2:$AL$313,Data!$I$2:$I$313,Sarjataulukko!$Y7,Data!$B$2:$B$313,Sarjataulukko!AA$5))</f>
        <v>11</v>
      </c>
      <c r="AB7" s="10">
        <f ca="1">IF(AB$5&gt;keilatut,"",SUMIFS(Data!$AL$2:$AL$313,Data!$I$2:$I$313,Sarjataulukko!$Y7,Data!$B$2:$B$313,Sarjataulukko!AB$5))</f>
        <v>10</v>
      </c>
      <c r="AC7" s="10">
        <f ca="1">IF(AC$5&gt;keilatut,"",SUMIFS(Data!$AL$2:$AL$313,Data!$I$2:$I$313,Sarjataulukko!$Y7,Data!$B$2:$B$313,Sarjataulukko!AC$5))</f>
        <v>6</v>
      </c>
      <c r="AD7" s="10">
        <f ca="1">IF(AD$5&gt;keilatut,"",SUMIFS(Data!$AL$2:$AL$313,Data!$I$2:$I$313,Sarjataulukko!$Y7,Data!$B$2:$B$313,Sarjataulukko!AD$5))</f>
        <v>13</v>
      </c>
      <c r="AE7" s="10">
        <f ca="1">IF(AE$5&gt;keilatut,"",SUMIFS(Data!$AL$2:$AL$313,Data!$I$2:$I$313,Sarjataulukko!$Y7,Data!$B$2:$B$313,Sarjataulukko!AE$5))</f>
        <v>2</v>
      </c>
      <c r="AF7" s="10">
        <f ca="1">IF(AF$5&gt;keilatut,"",SUMIFS(Data!$AL$2:$AL$313,Data!$I$2:$I$313,Sarjataulukko!$Y7,Data!$B$2:$B$313,Sarjataulukko!AF$5))</f>
        <v>8</v>
      </c>
      <c r="AG7" s="10">
        <f ca="1">IF(AG$5&gt;keilatut,"",SUMIFS(Data!$AL$2:$AL$313,Data!$I$2:$I$313,Sarjataulukko!$Y7,Data!$B$2:$B$313,Sarjataulukko!AG$5))</f>
        <v>12</v>
      </c>
      <c r="AH7" s="10">
        <f ca="1">IF(AH$5&gt;keilatut,"",SUMIFS(Data!$AL$2:$AL$313,Data!$I$2:$I$313,Sarjataulukko!$Y7,Data!$B$2:$B$313,Sarjataulukko!AH$5))</f>
        <v>7</v>
      </c>
      <c r="AI7" s="10">
        <f ca="1">IF(AI$5&gt;keilatut,"",SUMIFS(Data!$AL$2:$AL$313,Data!$I$2:$I$313,Sarjataulukko!$Y7,Data!$B$2:$B$313,Sarjataulukko!AI$5))</f>
        <v>12</v>
      </c>
      <c r="AJ7" s="10" t="str">
        <f>IF(AJ$5&gt;keilatut,"",SUMIFS(Data!$AL$2:$AL$313,Data!$I$2:$I$313,Sarjataulukko!$Y7,Data!$B$2:$B$313,Sarjataulukko!AJ$5))</f>
        <v/>
      </c>
      <c r="AK7" s="10" t="str">
        <f>IF(AK$5&gt;keilatut,"",SUMIFS(Data!$AL$2:$AL$313,Data!$I$2:$I$313,Sarjataulukko!$Y7,Data!$B$2:$B$313,Sarjataulukko!AK$5))</f>
        <v/>
      </c>
      <c r="AL7" s="10" t="str">
        <f>IF(AL$5&gt;keilatut,"",SUMIFS(Data!$AL$2:$AL$313,Data!$I$2:$I$313,Sarjataulukko!$Y7,Data!$B$2:$B$313,Sarjataulukko!AL$5))</f>
        <v/>
      </c>
      <c r="AM7" s="10">
        <f t="shared" ref="AM7:AM23" ca="1" si="18">AO7-AN7</f>
        <v>0</v>
      </c>
      <c r="AN7" s="10" cm="1">
        <f t="array" aca="1" ref="AN7" ca="1">IF($Y7="","",SUM(LARGE($Z7:$AL7,{1;2;3;4;5;6;7;8;9;10})))</f>
        <v>81</v>
      </c>
      <c r="AO7" s="10">
        <f t="shared" ca="1" si="4"/>
        <v>81</v>
      </c>
      <c r="AP7" s="10">
        <f t="shared" ref="AP7:AP23" ca="1" si="19">IF($Y7="","",ROUND($V7,1))</f>
        <v>154.69999999999999</v>
      </c>
      <c r="AQ7" s="10">
        <f ca="1">IF(Sarjataulukko!$Y7="","",_xlfn.MAXIFS(Data!$AQ$2:$AQ$313,Data!$I$2:$I$313,Sarjataulukko!$Y7))</f>
        <v>4</v>
      </c>
      <c r="AR7" s="10">
        <f t="shared" ref="AR7:AR23" ca="1" si="20">IF($Y7="","",ROW())</f>
        <v>7</v>
      </c>
      <c r="AS7" s="13">
        <f t="shared" ca="1" si="5"/>
        <v>0.02</v>
      </c>
      <c r="AT7" s="14">
        <f t="shared" ca="1" si="6"/>
        <v>2.0000000000000001E-4</v>
      </c>
      <c r="AU7" s="15">
        <f t="shared" ca="1" si="7"/>
        <v>9.9999999999999995E-7</v>
      </c>
      <c r="AV7" s="16">
        <f t="shared" ca="1" si="8"/>
        <v>1E-8</v>
      </c>
      <c r="AW7" s="17">
        <f t="shared" ca="1" si="9"/>
        <v>2.0000000000000001E-10</v>
      </c>
      <c r="AX7" s="17">
        <f ca="1">IF($Y7="","",SUM($AS7:$AW7))</f>
        <v>2.0201010200000001E-2</v>
      </c>
      <c r="AY7" s="10">
        <f ca="1">IF($Y7="","",_xlfn.RANK.EQ($AX7,$AX$6:$AX$23,1))</f>
        <v>2</v>
      </c>
      <c r="AZ7" s="10">
        <f t="shared" ca="1" si="10"/>
        <v>9</v>
      </c>
      <c r="BA7" s="10">
        <f ca="1">IF(BA6="","",1+BA6)</f>
        <v>2</v>
      </c>
      <c r="BB7" s="10" t="str">
        <f t="shared" ca="1" si="11"/>
        <v>Frans Hartman</v>
      </c>
    </row>
    <row r="8" spans="1:54" x14ac:dyDescent="0.25">
      <c r="A8" s="33">
        <f>IF(keilatut=0,"",IF(1+A7&gt;Data!$CP$2,"",1+A7))</f>
        <v>3</v>
      </c>
      <c r="B8" s="34" t="str">
        <f ca="1">IF($A8="","",OFFSET(Data!$I$1,MATCH(Sarjataulukko!$A8,Data!$AX$2:$AX$313,0),0))</f>
        <v>Henri Verho</v>
      </c>
      <c r="C8" s="35">
        <f t="shared" ca="1" si="12"/>
        <v>10</v>
      </c>
      <c r="D8" s="36">
        <f ca="1">IF($A8="","",SUMIFS(Data!$AM$2:$AM$313,Data!$I$2:$I$313,Sarjataulukko!$B8,Data!$B$2:$B$313,keilatut))</f>
        <v>56</v>
      </c>
      <c r="E8" s="37">
        <f t="shared" ref="E8:E23" ca="1" si="21">IF($A8="","",IF($C8=0,0,D8/C8))</f>
        <v>5.6</v>
      </c>
      <c r="F8" s="38">
        <f ca="1">IF(Sarjataulukko!$A8="","",_xlfn.MAXIFS(Data!$AQ$2:$AQ$313,Data!$I$2:$I$313,Sarjataulukko!$B8))</f>
        <v>0</v>
      </c>
      <c r="G8" s="39">
        <f ca="1">IF(G$5&gt;keilatut,"",IF(SUMIFS(Data!$L$2:$L$313,Data!$I$2:$I$313,Sarjataulukko!$B8,Data!$B$2:$B$313,Sarjataulukko!G$5)=0,"",SUMIFS(Data!$L$2:$L$313,Data!$I$2:$I$313,Sarjataulukko!$B8,Data!$B$2:$B$313,Sarjataulukko!G$5)))</f>
        <v>213</v>
      </c>
      <c r="H8" s="40">
        <f ca="1">IF(H$5&gt;keilatut,"",IF(SUMIFS(Data!$L$2:$L$313,Data!$I$2:$I$313,Sarjataulukko!$B8,Data!$B$2:$B$313,Sarjataulukko!H$5)=0,"",SUMIFS(Data!$L$2:$L$313,Data!$I$2:$I$313,Sarjataulukko!$B8,Data!$B$2:$B$313,Sarjataulukko!H$5)))</f>
        <v>317</v>
      </c>
      <c r="I8" s="40">
        <f ca="1">IF(I$5&gt;keilatut,"",IF(SUMIFS(Data!$L$2:$L$313,Data!$I$2:$I$313,Sarjataulukko!$B8,Data!$B$2:$B$313,Sarjataulukko!I$5)=0,"",SUMIFS(Data!$L$2:$L$313,Data!$I$2:$I$313,Sarjataulukko!$B8,Data!$B$2:$B$313,Sarjataulukko!I$5)))</f>
        <v>244</v>
      </c>
      <c r="J8" s="40">
        <f ca="1">IF(J$5&gt;keilatut,"",IF(SUMIFS(Data!$L$2:$L$313,Data!$I$2:$I$313,Sarjataulukko!$B8,Data!$B$2:$B$313,Sarjataulukko!J$5)=0,"",SUMIFS(Data!$L$2:$L$313,Data!$I$2:$I$313,Sarjataulukko!$B8,Data!$B$2:$B$313,Sarjataulukko!J$5)))</f>
        <v>320</v>
      </c>
      <c r="K8" s="40">
        <f ca="1">IF(K$5&gt;keilatut,"",IF(SUMIFS(Data!$L$2:$L$313,Data!$I$2:$I$313,Sarjataulukko!$B8,Data!$B$2:$B$313,Sarjataulukko!K$5)=0,"",SUMIFS(Data!$L$2:$L$313,Data!$I$2:$I$313,Sarjataulukko!$B8,Data!$B$2:$B$313,Sarjataulukko!K$5)))</f>
        <v>293</v>
      </c>
      <c r="L8" s="40">
        <f ca="1">IF(L$5&gt;keilatut,"",IF(SUMIFS(Data!$L$2:$L$313,Data!$I$2:$I$313,Sarjataulukko!$B8,Data!$B$2:$B$313,Sarjataulukko!L$5)=0,"",SUMIFS(Data!$L$2:$L$313,Data!$I$2:$I$313,Sarjataulukko!$B8,Data!$B$2:$B$313,Sarjataulukko!L$5)))</f>
        <v>298</v>
      </c>
      <c r="M8" s="40">
        <f ca="1">IF(M$5&gt;keilatut,"",IF(SUMIFS(Data!$L$2:$L$313,Data!$I$2:$I$313,Sarjataulukko!$B8,Data!$B$2:$B$313,Sarjataulukko!M$5)=0,"",SUMIFS(Data!$L$2:$L$313,Data!$I$2:$I$313,Sarjataulukko!$B8,Data!$B$2:$B$313,Sarjataulukko!M$5)))</f>
        <v>288</v>
      </c>
      <c r="N8" s="40">
        <f ca="1">IF(N$5&gt;keilatut,"",IF(SUMIFS(Data!$L$2:$L$313,Data!$I$2:$I$313,Sarjataulukko!$B8,Data!$B$2:$B$313,Sarjataulukko!N$5)=0,"",SUMIFS(Data!$L$2:$L$313,Data!$I$2:$I$313,Sarjataulukko!$B8,Data!$B$2:$B$313,Sarjataulukko!N$5)))</f>
        <v>280</v>
      </c>
      <c r="O8" s="40">
        <f ca="1">IF(O$5&gt;keilatut,"",IF(SUMIFS(Data!$L$2:$L$313,Data!$I$2:$I$313,Sarjataulukko!$B8,Data!$B$2:$B$313,Sarjataulukko!O$5)=0,"",SUMIFS(Data!$L$2:$L$313,Data!$I$2:$I$313,Sarjataulukko!$B8,Data!$B$2:$B$313,Sarjataulukko!O$5)))</f>
        <v>256</v>
      </c>
      <c r="P8" s="40">
        <f ca="1">IF(P$5&gt;keilatut,"",IF(SUMIFS(Data!$L$2:$L$313,Data!$I$2:$I$313,Sarjataulukko!$B8,Data!$B$2:$B$313,Sarjataulukko!P$5)=0,"",SUMIFS(Data!$L$2:$L$313,Data!$I$2:$I$313,Sarjataulukko!$B8,Data!$B$2:$B$313,Sarjataulukko!P$5)))</f>
        <v>291</v>
      </c>
      <c r="Q8" s="40" t="str">
        <f>IF(Q$5&gt;keilatut,"",IF(SUMIFS(Data!$L$2:$L$313,Data!$I$2:$I$313,Sarjataulukko!$B8,Data!$B$2:$B$313,Sarjataulukko!Q$5)=0,"",SUMIFS(Data!$L$2:$L$313,Data!$I$2:$I$313,Sarjataulukko!$B8,Data!$B$2:$B$313,Sarjataulukko!Q$5)))</f>
        <v/>
      </c>
      <c r="R8" s="40" t="str">
        <f>IF(R$5&gt;keilatut,"",IF(SUMIFS(Data!$L$2:$L$313,Data!$I$2:$I$313,Sarjataulukko!$B8,Data!$B$2:$B$313,Sarjataulukko!R$5)=0,"",SUMIFS(Data!$L$2:$L$313,Data!$I$2:$I$313,Sarjataulukko!$B8,Data!$B$2:$B$313,Sarjataulukko!R$5)))</f>
        <v/>
      </c>
      <c r="S8" s="38" t="str">
        <f>IF(S$5&gt;keilatut,"",IF(SUMIFS(Data!$L$2:$L$313,Data!$I$2:$I$313,Sarjataulukko!$B8,Data!$B$2:$B$313,Sarjataulukko!S$5)=0,"",SUMIFS(Data!$L$2:$L$313,Data!$I$2:$I$313,Sarjataulukko!$B8,Data!$B$2:$B$313,Sarjataulukko!S$5)))</f>
        <v/>
      </c>
      <c r="T8" s="39">
        <f t="shared" ca="1" si="14"/>
        <v>2800</v>
      </c>
      <c r="U8" s="41">
        <f t="shared" ref="U8:U23" ca="1" si="22">IF($A8="","",IF($C8=0,0,T8/C8))</f>
        <v>280</v>
      </c>
      <c r="V8" s="42">
        <f t="shared" ref="V8:V23" ca="1" si="23">IF($A8="","",U8/2)</f>
        <v>140</v>
      </c>
      <c r="Y8" s="10" t="str">
        <f t="shared" ca="1" si="17"/>
        <v>Henri Verho</v>
      </c>
      <c r="Z8" s="10">
        <f ca="1">IF(Z$5&gt;keilatut,"",SUMIFS(Data!$AL$2:$AL$313,Data!$I$2:$I$313,Sarjataulukko!$Y8,Data!$B$2:$B$313,Sarjataulukko!Z$5))</f>
        <v>5</v>
      </c>
      <c r="AA8" s="10">
        <f ca="1">IF(AA$5&gt;keilatut,"",SUMIFS(Data!$AL$2:$AL$313,Data!$I$2:$I$313,Sarjataulukko!$Y8,Data!$B$2:$B$313,Sarjataulukko!AA$5))</f>
        <v>6</v>
      </c>
      <c r="AB8" s="10">
        <f ca="1">IF(AB$5&gt;keilatut,"",SUMIFS(Data!$AL$2:$AL$313,Data!$I$2:$I$313,Sarjataulukko!$Y8,Data!$B$2:$B$313,Sarjataulukko!AB$5))</f>
        <v>3</v>
      </c>
      <c r="AC8" s="10">
        <f ca="1">IF(AC$5&gt;keilatut,"",SUMIFS(Data!$AL$2:$AL$313,Data!$I$2:$I$313,Sarjataulukko!$Y8,Data!$B$2:$B$313,Sarjataulukko!AC$5))</f>
        <v>8</v>
      </c>
      <c r="AD8" s="10">
        <f ca="1">IF(AD$5&gt;keilatut,"",SUMIFS(Data!$AL$2:$AL$313,Data!$I$2:$I$313,Sarjataulukko!$Y8,Data!$B$2:$B$313,Sarjataulukko!AD$5))</f>
        <v>6</v>
      </c>
      <c r="AE8" s="10">
        <f ca="1">IF(AE$5&gt;keilatut,"",SUMIFS(Data!$AL$2:$AL$313,Data!$I$2:$I$313,Sarjataulukko!$Y8,Data!$B$2:$B$313,Sarjataulukko!AE$5))</f>
        <v>7</v>
      </c>
      <c r="AF8" s="10">
        <f ca="1">IF(AF$5&gt;keilatut,"",SUMIFS(Data!$AL$2:$AL$313,Data!$I$2:$I$313,Sarjataulukko!$Y8,Data!$B$2:$B$313,Sarjataulukko!AF$5))</f>
        <v>5</v>
      </c>
      <c r="AG8" s="10">
        <f ca="1">IF(AG$5&gt;keilatut,"",SUMIFS(Data!$AL$2:$AL$313,Data!$I$2:$I$313,Sarjataulukko!$Y8,Data!$B$2:$B$313,Sarjataulukko!AG$5))</f>
        <v>5</v>
      </c>
      <c r="AH8" s="10">
        <f ca="1">IF(AH$5&gt;keilatut,"",SUMIFS(Data!$AL$2:$AL$313,Data!$I$2:$I$313,Sarjataulukko!$Y8,Data!$B$2:$B$313,Sarjataulukko!AH$5))</f>
        <v>1</v>
      </c>
      <c r="AI8" s="10">
        <f ca="1">IF(AI$5&gt;keilatut,"",SUMIFS(Data!$AL$2:$AL$313,Data!$I$2:$I$313,Sarjataulukko!$Y8,Data!$B$2:$B$313,Sarjataulukko!AI$5))</f>
        <v>10</v>
      </c>
      <c r="AJ8" s="10" t="str">
        <f>IF(AJ$5&gt;keilatut,"",SUMIFS(Data!$AL$2:$AL$313,Data!$I$2:$I$313,Sarjataulukko!$Y8,Data!$B$2:$B$313,Sarjataulukko!AJ$5))</f>
        <v/>
      </c>
      <c r="AK8" s="10" t="str">
        <f>IF(AK$5&gt;keilatut,"",SUMIFS(Data!$AL$2:$AL$313,Data!$I$2:$I$313,Sarjataulukko!$Y8,Data!$B$2:$B$313,Sarjataulukko!AK$5))</f>
        <v/>
      </c>
      <c r="AL8" s="10" t="str">
        <f>IF(AL$5&gt;keilatut,"",SUMIFS(Data!$AL$2:$AL$313,Data!$I$2:$I$313,Sarjataulukko!$Y8,Data!$B$2:$B$313,Sarjataulukko!AL$5))</f>
        <v/>
      </c>
      <c r="AM8" s="10">
        <f t="shared" ca="1" si="18"/>
        <v>0</v>
      </c>
      <c r="AN8" s="10" cm="1">
        <f t="array" aca="1" ref="AN8" ca="1">IF($Y8="","",SUM(LARGE($Z8:$AL8,{1;2;3;4;5;6;7;8;9;10})))</f>
        <v>56</v>
      </c>
      <c r="AO8" s="10">
        <f t="shared" ca="1" si="4"/>
        <v>56</v>
      </c>
      <c r="AP8" s="10">
        <f t="shared" ca="1" si="19"/>
        <v>140</v>
      </c>
      <c r="AQ8" s="10">
        <f ca="1">IF(Sarjataulukko!$Y8="","",_xlfn.MAXIFS(Data!$AQ$2:$AQ$313,Data!$I$2:$I$313,Sarjataulukko!$Y8))</f>
        <v>0</v>
      </c>
      <c r="AR8" s="10">
        <f t="shared" ca="1" si="20"/>
        <v>8</v>
      </c>
      <c r="AS8" s="13">
        <f t="shared" ca="1" si="5"/>
        <v>0.03</v>
      </c>
      <c r="AT8" s="14">
        <f t="shared" ca="1" si="6"/>
        <v>2.9999999999999997E-4</v>
      </c>
      <c r="AU8" s="15">
        <f t="shared" ca="1" si="7"/>
        <v>6.9999999999999999E-6</v>
      </c>
      <c r="AV8" s="16">
        <f t="shared" ca="1" si="8"/>
        <v>8.0000000000000002E-8</v>
      </c>
      <c r="AW8" s="17">
        <f t="shared" ca="1" si="9"/>
        <v>3E-10</v>
      </c>
      <c r="AX8" s="17">
        <f ca="1">IF($Y8="","",SUM($AS8:$AW8))</f>
        <v>3.0307080300000001E-2</v>
      </c>
      <c r="AY8" s="10">
        <f ca="1">IF($Y8="","",_xlfn.RANK.EQ($AX8,$AX$6:$AX$23,1))</f>
        <v>3</v>
      </c>
      <c r="AZ8" s="10">
        <f t="shared" ca="1" si="10"/>
        <v>3</v>
      </c>
      <c r="BA8" s="10">
        <f t="shared" ref="BA8:BA23" ca="1" si="24">IF(BA7="","",1+BA7)</f>
        <v>3</v>
      </c>
      <c r="BB8" s="10" t="str">
        <f t="shared" ca="1" si="11"/>
        <v>Henri Verho</v>
      </c>
    </row>
    <row r="9" spans="1:54" x14ac:dyDescent="0.25">
      <c r="A9" s="33">
        <f>IF(keilatut=0,"",IF(1+A8&gt;Data!$CP$2,"",1+A8))</f>
        <v>4</v>
      </c>
      <c r="B9" s="34" t="str">
        <f ca="1">IF($A9="","",OFFSET(Data!$I$1,MATCH(Sarjataulukko!$A9,Data!$AX$2:$AX$313,0),0))</f>
        <v>Ossi Oksa</v>
      </c>
      <c r="C9" s="35">
        <f t="shared" ca="1" si="12"/>
        <v>8</v>
      </c>
      <c r="D9" s="36">
        <f ca="1">IF($A9="","",SUMIFS(Data!$AM$2:$AM$313,Data!$I$2:$I$313,Sarjataulukko!$B9,Data!$B$2:$B$313,keilatut))</f>
        <v>51.5</v>
      </c>
      <c r="E9" s="37">
        <f t="shared" ca="1" si="21"/>
        <v>6.4375</v>
      </c>
      <c r="F9" s="38">
        <f ca="1">IF(Sarjataulukko!$A9="","",_xlfn.MAXIFS(Data!$AQ$2:$AQ$313,Data!$I$2:$I$313,Sarjataulukko!$B9))</f>
        <v>1</v>
      </c>
      <c r="G9" s="39">
        <f ca="1">IF(G$5&gt;keilatut,"",IF(SUMIFS(Data!$L$2:$L$313,Data!$I$2:$I$313,Sarjataulukko!$B9,Data!$B$2:$B$313,Sarjataulukko!G$5)=0,"",SUMIFS(Data!$L$2:$L$313,Data!$I$2:$I$313,Sarjataulukko!$B9,Data!$B$2:$B$313,Sarjataulukko!G$5)))</f>
        <v>241</v>
      </c>
      <c r="H9" s="40">
        <f ca="1">IF(H$5&gt;keilatut,"",IF(SUMIFS(Data!$L$2:$L$313,Data!$I$2:$I$313,Sarjataulukko!$B9,Data!$B$2:$B$313,Sarjataulukko!H$5)=0,"",SUMIFS(Data!$L$2:$L$313,Data!$I$2:$I$313,Sarjataulukko!$B9,Data!$B$2:$B$313,Sarjataulukko!H$5)))</f>
        <v>308</v>
      </c>
      <c r="I9" s="40">
        <f ca="1">IF(I$5&gt;keilatut,"",IF(SUMIFS(Data!$L$2:$L$313,Data!$I$2:$I$313,Sarjataulukko!$B9,Data!$B$2:$B$313,Sarjataulukko!I$5)=0,"",SUMIFS(Data!$L$2:$L$313,Data!$I$2:$I$313,Sarjataulukko!$B9,Data!$B$2:$B$313,Sarjataulukko!I$5)))</f>
        <v>401</v>
      </c>
      <c r="J9" s="40" t="str">
        <f ca="1">IF(J$5&gt;keilatut,"",IF(SUMIFS(Data!$L$2:$L$313,Data!$I$2:$I$313,Sarjataulukko!$B9,Data!$B$2:$B$313,Sarjataulukko!J$5)=0,"",SUMIFS(Data!$L$2:$L$313,Data!$I$2:$I$313,Sarjataulukko!$B9,Data!$B$2:$B$313,Sarjataulukko!J$5)))</f>
        <v/>
      </c>
      <c r="K9" s="40">
        <f ca="1">IF(K$5&gt;keilatut,"",IF(SUMIFS(Data!$L$2:$L$313,Data!$I$2:$I$313,Sarjataulukko!$B9,Data!$B$2:$B$313,Sarjataulukko!K$5)=0,"",SUMIFS(Data!$L$2:$L$313,Data!$I$2:$I$313,Sarjataulukko!$B9,Data!$B$2:$B$313,Sarjataulukko!K$5)))</f>
        <v>320</v>
      </c>
      <c r="L9" s="40" t="str">
        <f ca="1">IF(L$5&gt;keilatut,"",IF(SUMIFS(Data!$L$2:$L$313,Data!$I$2:$I$313,Sarjataulukko!$B9,Data!$B$2:$B$313,Sarjataulukko!L$5)=0,"",SUMIFS(Data!$L$2:$L$313,Data!$I$2:$I$313,Sarjataulukko!$B9,Data!$B$2:$B$313,Sarjataulukko!L$5)))</f>
        <v/>
      </c>
      <c r="M9" s="40">
        <f ca="1">IF(M$5&gt;keilatut,"",IF(SUMIFS(Data!$L$2:$L$313,Data!$I$2:$I$313,Sarjataulukko!$B9,Data!$B$2:$B$313,Sarjataulukko!M$5)=0,"",SUMIFS(Data!$L$2:$L$313,Data!$I$2:$I$313,Sarjataulukko!$B9,Data!$B$2:$B$313,Sarjataulukko!M$5)))</f>
        <v>247</v>
      </c>
      <c r="N9" s="40">
        <f ca="1">IF(N$5&gt;keilatut,"",IF(SUMIFS(Data!$L$2:$L$313,Data!$I$2:$I$313,Sarjataulukko!$B9,Data!$B$2:$B$313,Sarjataulukko!N$5)=0,"",SUMIFS(Data!$L$2:$L$313,Data!$I$2:$I$313,Sarjataulukko!$B9,Data!$B$2:$B$313,Sarjataulukko!N$5)))</f>
        <v>319</v>
      </c>
      <c r="O9" s="40">
        <f ca="1">IF(O$5&gt;keilatut,"",IF(SUMIFS(Data!$L$2:$L$313,Data!$I$2:$I$313,Sarjataulukko!$B9,Data!$B$2:$B$313,Sarjataulukko!O$5)=0,"",SUMIFS(Data!$L$2:$L$313,Data!$I$2:$I$313,Sarjataulukko!$B9,Data!$B$2:$B$313,Sarjataulukko!O$5)))</f>
        <v>280</v>
      </c>
      <c r="P9" s="40">
        <f ca="1">IF(P$5&gt;keilatut,"",IF(SUMIFS(Data!$L$2:$L$313,Data!$I$2:$I$313,Sarjataulukko!$B9,Data!$B$2:$B$313,Sarjataulukko!P$5)=0,"",SUMIFS(Data!$L$2:$L$313,Data!$I$2:$I$313,Sarjataulukko!$B9,Data!$B$2:$B$313,Sarjataulukko!P$5)))</f>
        <v>203</v>
      </c>
      <c r="Q9" s="40" t="str">
        <f>IF(Q$5&gt;keilatut,"",IF(SUMIFS(Data!$L$2:$L$313,Data!$I$2:$I$313,Sarjataulukko!$B9,Data!$B$2:$B$313,Sarjataulukko!Q$5)=0,"",SUMIFS(Data!$L$2:$L$313,Data!$I$2:$I$313,Sarjataulukko!$B9,Data!$B$2:$B$313,Sarjataulukko!Q$5)))</f>
        <v/>
      </c>
      <c r="R9" s="40" t="str">
        <f>IF(R$5&gt;keilatut,"",IF(SUMIFS(Data!$L$2:$L$313,Data!$I$2:$I$313,Sarjataulukko!$B9,Data!$B$2:$B$313,Sarjataulukko!R$5)=0,"",SUMIFS(Data!$L$2:$L$313,Data!$I$2:$I$313,Sarjataulukko!$B9,Data!$B$2:$B$313,Sarjataulukko!R$5)))</f>
        <v/>
      </c>
      <c r="S9" s="38" t="str">
        <f>IF(S$5&gt;keilatut,"",IF(SUMIFS(Data!$L$2:$L$313,Data!$I$2:$I$313,Sarjataulukko!$B9,Data!$B$2:$B$313,Sarjataulukko!S$5)=0,"",SUMIFS(Data!$L$2:$L$313,Data!$I$2:$I$313,Sarjataulukko!$B9,Data!$B$2:$B$313,Sarjataulukko!S$5)))</f>
        <v/>
      </c>
      <c r="T9" s="39">
        <f t="shared" ca="1" si="14"/>
        <v>2319</v>
      </c>
      <c r="U9" s="41">
        <f t="shared" ca="1" si="22"/>
        <v>289.875</v>
      </c>
      <c r="V9" s="42">
        <f t="shared" ca="1" si="23"/>
        <v>144.9375</v>
      </c>
      <c r="Y9" s="10" t="str">
        <f t="shared" ca="1" si="17"/>
        <v>Ossi Oksa</v>
      </c>
      <c r="Z9" s="10">
        <f ca="1">IF(Z$5&gt;keilatut,"",SUMIFS(Data!$AL$2:$AL$313,Data!$I$2:$I$313,Sarjataulukko!$Y9,Data!$B$2:$B$313,Sarjataulukko!Z$5))</f>
        <v>7.5</v>
      </c>
      <c r="AA9" s="10">
        <f ca="1">IF(AA$5&gt;keilatut,"",SUMIFS(Data!$AL$2:$AL$313,Data!$I$2:$I$313,Sarjataulukko!$Y9,Data!$B$2:$B$313,Sarjataulukko!AA$5))</f>
        <v>6</v>
      </c>
      <c r="AB9" s="10">
        <f ca="1">IF(AB$5&gt;keilatut,"",SUMIFS(Data!$AL$2:$AL$313,Data!$I$2:$I$313,Sarjataulukko!$Y9,Data!$B$2:$B$313,Sarjataulukko!AB$5))</f>
        <v>13</v>
      </c>
      <c r="AC9" s="10">
        <f ca="1">IF(AC$5&gt;keilatut,"",SUMIFS(Data!$AL$2:$AL$313,Data!$I$2:$I$313,Sarjataulukko!$Y9,Data!$B$2:$B$313,Sarjataulukko!AC$5))</f>
        <v>0</v>
      </c>
      <c r="AD9" s="10">
        <f ca="1">IF(AD$5&gt;keilatut,"",SUMIFS(Data!$AL$2:$AL$313,Data!$I$2:$I$313,Sarjataulukko!$Y9,Data!$B$2:$B$313,Sarjataulukko!AD$5))</f>
        <v>8</v>
      </c>
      <c r="AE9" s="10">
        <f ca="1">IF(AE$5&gt;keilatut,"",SUMIFS(Data!$AL$2:$AL$313,Data!$I$2:$I$313,Sarjataulukko!$Y9,Data!$B$2:$B$313,Sarjataulukko!AE$5))</f>
        <v>0</v>
      </c>
      <c r="AF9" s="10">
        <f ca="1">IF(AF$5&gt;keilatut,"",SUMIFS(Data!$AL$2:$AL$313,Data!$I$2:$I$313,Sarjataulukko!$Y9,Data!$B$2:$B$313,Sarjataulukko!AF$5))</f>
        <v>1</v>
      </c>
      <c r="AG9" s="10">
        <f ca="1">IF(AG$5&gt;keilatut,"",SUMIFS(Data!$AL$2:$AL$313,Data!$I$2:$I$313,Sarjataulukko!$Y9,Data!$B$2:$B$313,Sarjataulukko!AG$5))</f>
        <v>10</v>
      </c>
      <c r="AH9" s="10">
        <f ca="1">IF(AH$5&gt;keilatut,"",SUMIFS(Data!$AL$2:$AL$313,Data!$I$2:$I$313,Sarjataulukko!$Y9,Data!$B$2:$B$313,Sarjataulukko!AH$5))</f>
        <v>6</v>
      </c>
      <c r="AI9" s="10">
        <f ca="1">IF(AI$5&gt;keilatut,"",SUMIFS(Data!$AL$2:$AL$313,Data!$I$2:$I$313,Sarjataulukko!$Y9,Data!$B$2:$B$313,Sarjataulukko!AI$5))</f>
        <v>0</v>
      </c>
      <c r="AJ9" s="10" t="str">
        <f>IF(AJ$5&gt;keilatut,"",SUMIFS(Data!$AL$2:$AL$313,Data!$I$2:$I$313,Sarjataulukko!$Y9,Data!$B$2:$B$313,Sarjataulukko!AJ$5))</f>
        <v/>
      </c>
      <c r="AK9" s="10" t="str">
        <f>IF(AK$5&gt;keilatut,"",SUMIFS(Data!$AL$2:$AL$313,Data!$I$2:$I$313,Sarjataulukko!$Y9,Data!$B$2:$B$313,Sarjataulukko!AK$5))</f>
        <v/>
      </c>
      <c r="AL9" s="10" t="str">
        <f>IF(AL$5&gt;keilatut,"",SUMIFS(Data!$AL$2:$AL$313,Data!$I$2:$I$313,Sarjataulukko!$Y9,Data!$B$2:$B$313,Sarjataulukko!AL$5))</f>
        <v/>
      </c>
      <c r="AM9" s="10">
        <f t="shared" ca="1" si="18"/>
        <v>0</v>
      </c>
      <c r="AN9" s="10" cm="1">
        <f t="array" aca="1" ref="AN9" ca="1">IF($Y9="","",SUM(LARGE($Z9:$AL9,{1;2;3;4;5;6;7;8;9;10})))</f>
        <v>51.5</v>
      </c>
      <c r="AO9" s="10">
        <f t="shared" ca="1" si="4"/>
        <v>51.5</v>
      </c>
      <c r="AP9" s="10">
        <f t="shared" ca="1" si="19"/>
        <v>144.9</v>
      </c>
      <c r="AQ9" s="10">
        <f ca="1">IF(Sarjataulukko!$Y9="","",_xlfn.MAXIFS(Data!$AQ$2:$AQ$313,Data!$I$2:$I$313,Sarjataulukko!$Y9))</f>
        <v>1</v>
      </c>
      <c r="AR9" s="10">
        <f t="shared" ca="1" si="20"/>
        <v>9</v>
      </c>
      <c r="AS9" s="13">
        <f t="shared" ca="1" si="5"/>
        <v>0.04</v>
      </c>
      <c r="AT9" s="14">
        <f t="shared" ca="1" si="6"/>
        <v>4.0000000000000002E-4</v>
      </c>
      <c r="AU9" s="15">
        <f t="shared" ca="1" si="7"/>
        <v>3.9999999999999998E-6</v>
      </c>
      <c r="AV9" s="16">
        <f t="shared" ca="1" si="8"/>
        <v>4.0000000000000001E-8</v>
      </c>
      <c r="AW9" s="17">
        <f t="shared" ca="1" si="9"/>
        <v>4.0000000000000001E-10</v>
      </c>
      <c r="AX9" s="17">
        <f ca="1">IF($Y9="","",SUM($AS9:$AW9))</f>
        <v>4.0404040399999994E-2</v>
      </c>
      <c r="AY9" s="10">
        <f ca="1">IF($Y9="","",_xlfn.RANK.EQ($AX9,$AX$6:$AX$23,1))</f>
        <v>4</v>
      </c>
      <c r="AZ9" s="10">
        <f t="shared" ca="1" si="10"/>
        <v>15</v>
      </c>
      <c r="BA9" s="10">
        <f t="shared" ca="1" si="24"/>
        <v>4</v>
      </c>
      <c r="BB9" s="10" t="str">
        <f t="shared" ca="1" si="11"/>
        <v>Iiro Riikonen</v>
      </c>
    </row>
    <row r="10" spans="1:54" x14ac:dyDescent="0.25">
      <c r="A10" s="33">
        <f>IF(keilatut=0,"",IF(1+A9&gt;Data!$CP$2,"",1+A9))</f>
        <v>5</v>
      </c>
      <c r="B10" s="34" t="str">
        <f ca="1">IF($A10="","",OFFSET(Data!$I$1,MATCH(Sarjataulukko!$A10,Data!$AX$2:$AX$313,0),0))</f>
        <v>Niko Reunanen</v>
      </c>
      <c r="C10" s="35">
        <f t="shared" ca="1" si="12"/>
        <v>9</v>
      </c>
      <c r="D10" s="36">
        <f ca="1">IF($A10="","",SUMIFS(Data!$AM$2:$AM$313,Data!$I$2:$I$313,Sarjataulukko!$B10,Data!$B$2:$B$313,keilatut))</f>
        <v>42</v>
      </c>
      <c r="E10" s="37">
        <f t="shared" ca="1" si="21"/>
        <v>4.666666666666667</v>
      </c>
      <c r="F10" s="38">
        <f ca="1">IF(Sarjataulukko!$A10="","",_xlfn.MAXIFS(Data!$AQ$2:$AQ$313,Data!$I$2:$I$313,Sarjataulukko!$B10))</f>
        <v>1</v>
      </c>
      <c r="G10" s="39">
        <f ca="1">IF(G$5&gt;keilatut,"",IF(SUMIFS(Data!$L$2:$L$313,Data!$I$2:$I$313,Sarjataulukko!$B10,Data!$B$2:$B$313,Sarjataulukko!G$5)=0,"",SUMIFS(Data!$L$2:$L$313,Data!$I$2:$I$313,Sarjataulukko!$B10,Data!$B$2:$B$313,Sarjataulukko!G$5)))</f>
        <v>201</v>
      </c>
      <c r="H10" s="40" t="str">
        <f ca="1">IF(H$5&gt;keilatut,"",IF(SUMIFS(Data!$L$2:$L$313,Data!$I$2:$I$313,Sarjataulukko!$B10,Data!$B$2:$B$313,Sarjataulukko!H$5)=0,"",SUMIFS(Data!$L$2:$L$313,Data!$I$2:$I$313,Sarjataulukko!$B10,Data!$B$2:$B$313,Sarjataulukko!H$5)))</f>
        <v/>
      </c>
      <c r="I10" s="40">
        <f ca="1">IF(I$5&gt;keilatut,"",IF(SUMIFS(Data!$L$2:$L$313,Data!$I$2:$I$313,Sarjataulukko!$B10,Data!$B$2:$B$313,Sarjataulukko!I$5)=0,"",SUMIFS(Data!$L$2:$L$313,Data!$I$2:$I$313,Sarjataulukko!$B10,Data!$B$2:$B$313,Sarjataulukko!I$5)))</f>
        <v>275</v>
      </c>
      <c r="J10" s="40">
        <f ca="1">IF(J$5&gt;keilatut,"",IF(SUMIFS(Data!$L$2:$L$313,Data!$I$2:$I$313,Sarjataulukko!$B10,Data!$B$2:$B$313,Sarjataulukko!J$5)=0,"",SUMIFS(Data!$L$2:$L$313,Data!$I$2:$I$313,Sarjataulukko!$B10,Data!$B$2:$B$313,Sarjataulukko!J$5)))</f>
        <v>333</v>
      </c>
      <c r="K10" s="40">
        <f ca="1">IF(K$5&gt;keilatut,"",IF(SUMIFS(Data!$L$2:$L$313,Data!$I$2:$I$313,Sarjataulukko!$B10,Data!$B$2:$B$313,Sarjataulukko!K$5)=0,"",SUMIFS(Data!$L$2:$L$313,Data!$I$2:$I$313,Sarjataulukko!$B10,Data!$B$2:$B$313,Sarjataulukko!K$5)))</f>
        <v>243</v>
      </c>
      <c r="L10" s="40">
        <f ca="1">IF(L$5&gt;keilatut,"",IF(SUMIFS(Data!$L$2:$L$313,Data!$I$2:$I$313,Sarjataulukko!$B10,Data!$B$2:$B$313,Sarjataulukko!L$5)=0,"",SUMIFS(Data!$L$2:$L$313,Data!$I$2:$I$313,Sarjataulukko!$B10,Data!$B$2:$B$313,Sarjataulukko!L$5)))</f>
        <v>289</v>
      </c>
      <c r="M10" s="40">
        <f ca="1">IF(M$5&gt;keilatut,"",IF(SUMIFS(Data!$L$2:$L$313,Data!$I$2:$I$313,Sarjataulukko!$B10,Data!$B$2:$B$313,Sarjataulukko!M$5)=0,"",SUMIFS(Data!$L$2:$L$313,Data!$I$2:$I$313,Sarjataulukko!$B10,Data!$B$2:$B$313,Sarjataulukko!M$5)))</f>
        <v>261</v>
      </c>
      <c r="N10" s="40">
        <f ca="1">IF(N$5&gt;keilatut,"",IF(SUMIFS(Data!$L$2:$L$313,Data!$I$2:$I$313,Sarjataulukko!$B10,Data!$B$2:$B$313,Sarjataulukko!N$5)=0,"",SUMIFS(Data!$L$2:$L$313,Data!$I$2:$I$313,Sarjataulukko!$B10,Data!$B$2:$B$313,Sarjataulukko!N$5)))</f>
        <v>242</v>
      </c>
      <c r="O10" s="40">
        <f ca="1">IF(O$5&gt;keilatut,"",IF(SUMIFS(Data!$L$2:$L$313,Data!$I$2:$I$313,Sarjataulukko!$B10,Data!$B$2:$B$313,Sarjataulukko!O$5)=0,"",SUMIFS(Data!$L$2:$L$313,Data!$I$2:$I$313,Sarjataulukko!$B10,Data!$B$2:$B$313,Sarjataulukko!O$5)))</f>
        <v>307</v>
      </c>
      <c r="P10" s="40">
        <f ca="1">IF(P$5&gt;keilatut,"",IF(SUMIFS(Data!$L$2:$L$313,Data!$I$2:$I$313,Sarjataulukko!$B10,Data!$B$2:$B$313,Sarjataulukko!P$5)=0,"",SUMIFS(Data!$L$2:$L$313,Data!$I$2:$I$313,Sarjataulukko!$B10,Data!$B$2:$B$313,Sarjataulukko!P$5)))</f>
        <v>246</v>
      </c>
      <c r="Q10" s="40" t="str">
        <f>IF(Q$5&gt;keilatut,"",IF(SUMIFS(Data!$L$2:$L$313,Data!$I$2:$I$313,Sarjataulukko!$B10,Data!$B$2:$B$313,Sarjataulukko!Q$5)=0,"",SUMIFS(Data!$L$2:$L$313,Data!$I$2:$I$313,Sarjataulukko!$B10,Data!$B$2:$B$313,Sarjataulukko!Q$5)))</f>
        <v/>
      </c>
      <c r="R10" s="40" t="str">
        <f>IF(R$5&gt;keilatut,"",IF(SUMIFS(Data!$L$2:$L$313,Data!$I$2:$I$313,Sarjataulukko!$B10,Data!$B$2:$B$313,Sarjataulukko!R$5)=0,"",SUMIFS(Data!$L$2:$L$313,Data!$I$2:$I$313,Sarjataulukko!$B10,Data!$B$2:$B$313,Sarjataulukko!R$5)))</f>
        <v/>
      </c>
      <c r="S10" s="38" t="str">
        <f>IF(S$5&gt;keilatut,"",IF(SUMIFS(Data!$L$2:$L$313,Data!$I$2:$I$313,Sarjataulukko!$B10,Data!$B$2:$B$313,Sarjataulukko!S$5)=0,"",SUMIFS(Data!$L$2:$L$313,Data!$I$2:$I$313,Sarjataulukko!$B10,Data!$B$2:$B$313,Sarjataulukko!S$5)))</f>
        <v/>
      </c>
      <c r="T10" s="39">
        <f t="shared" ca="1" si="14"/>
        <v>2397</v>
      </c>
      <c r="U10" s="41">
        <f t="shared" ca="1" si="22"/>
        <v>266.33333333333331</v>
      </c>
      <c r="V10" s="42">
        <f t="shared" ca="1" si="23"/>
        <v>133.16666666666666</v>
      </c>
      <c r="Y10" s="10" t="str">
        <f t="shared" ca="1" si="17"/>
        <v>Niko Reunanen</v>
      </c>
      <c r="Z10" s="10">
        <f ca="1">IF(Z$5&gt;keilatut,"",SUMIFS(Data!$AL$2:$AL$313,Data!$I$2:$I$313,Sarjataulukko!$Y10,Data!$B$2:$B$313,Sarjataulukko!Z$5))</f>
        <v>3</v>
      </c>
      <c r="AA10" s="10">
        <f ca="1">IF(AA$5&gt;keilatut,"",SUMIFS(Data!$AL$2:$AL$313,Data!$I$2:$I$313,Sarjataulukko!$Y10,Data!$B$2:$B$313,Sarjataulukko!AA$5))</f>
        <v>0</v>
      </c>
      <c r="AB10" s="10">
        <f ca="1">IF(AB$5&gt;keilatut,"",SUMIFS(Data!$AL$2:$AL$313,Data!$I$2:$I$313,Sarjataulukko!$Y10,Data!$B$2:$B$313,Sarjataulukko!AB$5))</f>
        <v>6</v>
      </c>
      <c r="AC10" s="10">
        <f ca="1">IF(AC$5&gt;keilatut,"",SUMIFS(Data!$AL$2:$AL$313,Data!$I$2:$I$313,Sarjataulukko!$Y10,Data!$B$2:$B$313,Sarjataulukko!AC$5))</f>
        <v>10</v>
      </c>
      <c r="AD10" s="10">
        <f ca="1">IF(AD$5&gt;keilatut,"",SUMIFS(Data!$AL$2:$AL$313,Data!$I$2:$I$313,Sarjataulukko!$Y10,Data!$B$2:$B$313,Sarjataulukko!AD$5))</f>
        <v>0</v>
      </c>
      <c r="AE10" s="10">
        <f ca="1">IF(AE$5&gt;keilatut,"",SUMIFS(Data!$AL$2:$AL$313,Data!$I$2:$I$313,Sarjataulukko!$Y10,Data!$B$2:$B$313,Sarjataulukko!AE$5))</f>
        <v>5</v>
      </c>
      <c r="AF10" s="10">
        <f ca="1">IF(AF$5&gt;keilatut,"",SUMIFS(Data!$AL$2:$AL$313,Data!$I$2:$I$313,Sarjataulukko!$Y10,Data!$B$2:$B$313,Sarjataulukko!AF$5))</f>
        <v>2</v>
      </c>
      <c r="AG10" s="10">
        <f ca="1">IF(AG$5&gt;keilatut,"",SUMIFS(Data!$AL$2:$AL$313,Data!$I$2:$I$313,Sarjataulukko!$Y10,Data!$B$2:$B$313,Sarjataulukko!AG$5))</f>
        <v>1</v>
      </c>
      <c r="AH10" s="10">
        <f ca="1">IF(AH$5&gt;keilatut,"",SUMIFS(Data!$AL$2:$AL$313,Data!$I$2:$I$313,Sarjataulukko!$Y10,Data!$B$2:$B$313,Sarjataulukko!AH$5))</f>
        <v>11</v>
      </c>
      <c r="AI10" s="10">
        <f ca="1">IF(AI$5&gt;keilatut,"",SUMIFS(Data!$AL$2:$AL$313,Data!$I$2:$I$313,Sarjataulukko!$Y10,Data!$B$2:$B$313,Sarjataulukko!AI$5))</f>
        <v>4</v>
      </c>
      <c r="AJ10" s="10" t="str">
        <f>IF(AJ$5&gt;keilatut,"",SUMIFS(Data!$AL$2:$AL$313,Data!$I$2:$I$313,Sarjataulukko!$Y10,Data!$B$2:$B$313,Sarjataulukko!AJ$5))</f>
        <v/>
      </c>
      <c r="AK10" s="10" t="str">
        <f>IF(AK$5&gt;keilatut,"",SUMIFS(Data!$AL$2:$AL$313,Data!$I$2:$I$313,Sarjataulukko!$Y10,Data!$B$2:$B$313,Sarjataulukko!AK$5))</f>
        <v/>
      </c>
      <c r="AL10" s="10" t="str">
        <f>IF(AL$5&gt;keilatut,"",SUMIFS(Data!$AL$2:$AL$313,Data!$I$2:$I$313,Sarjataulukko!$Y10,Data!$B$2:$B$313,Sarjataulukko!AL$5))</f>
        <v/>
      </c>
      <c r="AM10" s="10">
        <f t="shared" ca="1" si="18"/>
        <v>0</v>
      </c>
      <c r="AN10" s="10" cm="1">
        <f t="array" aca="1" ref="AN10" ca="1">IF($Y10="","",SUM(LARGE($Z10:$AL10,{1;2;3;4;5;6;7;8;9;10})))</f>
        <v>42</v>
      </c>
      <c r="AO10" s="10">
        <f t="shared" ca="1" si="4"/>
        <v>42</v>
      </c>
      <c r="AP10" s="10">
        <f t="shared" ca="1" si="19"/>
        <v>133.19999999999999</v>
      </c>
      <c r="AQ10" s="10">
        <f ca="1">IF(Sarjataulukko!$Y10="","",_xlfn.MAXIFS(Data!$AQ$2:$AQ$313,Data!$I$2:$I$313,Sarjataulukko!$Y10))</f>
        <v>1</v>
      </c>
      <c r="AR10" s="10">
        <f t="shared" ca="1" si="20"/>
        <v>10</v>
      </c>
      <c r="AS10" s="13">
        <f t="shared" ca="1" si="5"/>
        <v>0.05</v>
      </c>
      <c r="AT10" s="14">
        <f t="shared" ca="1" si="6"/>
        <v>5.0000000000000001E-4</v>
      </c>
      <c r="AU10" s="15">
        <f t="shared" ca="1" si="7"/>
        <v>9.0000000000000002E-6</v>
      </c>
      <c r="AV10" s="16">
        <f t="shared" ca="1" si="8"/>
        <v>4.0000000000000001E-8</v>
      </c>
      <c r="AW10" s="17">
        <f t="shared" ca="1" si="9"/>
        <v>5.0000000000000003E-10</v>
      </c>
      <c r="AX10" s="17">
        <f ca="1">IF($Y10="","",SUM($AS10:$AW10))</f>
        <v>5.0509040500000005E-2</v>
      </c>
      <c r="AY10" s="10">
        <f ca="1">IF($Y10="","",_xlfn.RANK.EQ($AX10,$AX$6:$AX$23,1))</f>
        <v>5</v>
      </c>
      <c r="AZ10" s="10">
        <f t="shared" ca="1" si="10"/>
        <v>13</v>
      </c>
      <c r="BA10" s="10">
        <f t="shared" ca="1" si="24"/>
        <v>5</v>
      </c>
      <c r="BB10" s="10" t="str">
        <f t="shared" ca="1" si="11"/>
        <v>Jami Kallio</v>
      </c>
    </row>
    <row r="11" spans="1:54" x14ac:dyDescent="0.25">
      <c r="A11" s="33">
        <f>IF(keilatut=0,"",IF(1+A10&gt;Data!$CP$2,"",1+A10))</f>
        <v>6</v>
      </c>
      <c r="B11" s="34" t="str">
        <f ca="1">IF($A11="","",OFFSET(Data!$I$1,MATCH(Sarjataulukko!$A11,Data!$AX$2:$AX$313,0),0))</f>
        <v>Mika Sola</v>
      </c>
      <c r="C11" s="35">
        <f t="shared" ca="1" si="12"/>
        <v>10</v>
      </c>
      <c r="D11" s="36">
        <f ca="1">IF($A11="","",SUMIFS(Data!$AM$2:$AM$313,Data!$I$2:$I$313,Sarjataulukko!$B11,Data!$B$2:$B$313,keilatut))</f>
        <v>42</v>
      </c>
      <c r="E11" s="37">
        <f t="shared" ca="1" si="21"/>
        <v>4.2</v>
      </c>
      <c r="F11" s="38">
        <f ca="1">IF(Sarjataulukko!$A11="","",_xlfn.MAXIFS(Data!$AQ$2:$AQ$313,Data!$I$2:$I$313,Sarjataulukko!$B11))</f>
        <v>0</v>
      </c>
      <c r="G11" s="39">
        <f ca="1">IF(G$5&gt;keilatut,"",IF(SUMIFS(Data!$L$2:$L$313,Data!$I$2:$I$313,Sarjataulukko!$B11,Data!$B$2:$B$313,Sarjataulukko!G$5)=0,"",SUMIFS(Data!$L$2:$L$313,Data!$I$2:$I$313,Sarjataulukko!$B11,Data!$B$2:$B$313,Sarjataulukko!G$5)))</f>
        <v>248</v>
      </c>
      <c r="H11" s="40">
        <f ca="1">IF(H$5&gt;keilatut,"",IF(SUMIFS(Data!$L$2:$L$313,Data!$I$2:$I$313,Sarjataulukko!$B11,Data!$B$2:$B$313,Sarjataulukko!H$5)=0,"",SUMIFS(Data!$L$2:$L$313,Data!$I$2:$I$313,Sarjataulukko!$B11,Data!$B$2:$B$313,Sarjataulukko!H$5)))</f>
        <v>230</v>
      </c>
      <c r="I11" s="40">
        <f ca="1">IF(I$5&gt;keilatut,"",IF(SUMIFS(Data!$L$2:$L$313,Data!$I$2:$I$313,Sarjataulukko!$B11,Data!$B$2:$B$313,Sarjataulukko!I$5)=0,"",SUMIFS(Data!$L$2:$L$313,Data!$I$2:$I$313,Sarjataulukko!$B11,Data!$B$2:$B$313,Sarjataulukko!I$5)))</f>
        <v>291</v>
      </c>
      <c r="J11" s="40">
        <f ca="1">IF(J$5&gt;keilatut,"",IF(SUMIFS(Data!$L$2:$L$313,Data!$I$2:$I$313,Sarjataulukko!$B11,Data!$B$2:$B$313,Sarjataulukko!J$5)=0,"",SUMIFS(Data!$L$2:$L$313,Data!$I$2:$I$313,Sarjataulukko!$B11,Data!$B$2:$B$313,Sarjataulukko!J$5)))</f>
        <v>245</v>
      </c>
      <c r="K11" s="40">
        <f ca="1">IF(K$5&gt;keilatut,"",IF(SUMIFS(Data!$L$2:$L$313,Data!$I$2:$I$313,Sarjataulukko!$B11,Data!$B$2:$B$313,Sarjataulukko!K$5)=0,"",SUMIFS(Data!$L$2:$L$313,Data!$I$2:$I$313,Sarjataulukko!$B11,Data!$B$2:$B$313,Sarjataulukko!K$5)))</f>
        <v>278</v>
      </c>
      <c r="L11" s="40">
        <f ca="1">IF(L$5&gt;keilatut,"",IF(SUMIFS(Data!$L$2:$L$313,Data!$I$2:$I$313,Sarjataulukko!$B11,Data!$B$2:$B$313,Sarjataulukko!L$5)=0,"",SUMIFS(Data!$L$2:$L$313,Data!$I$2:$I$313,Sarjataulukko!$B11,Data!$B$2:$B$313,Sarjataulukko!L$5)))</f>
        <v>254</v>
      </c>
      <c r="M11" s="40">
        <f ca="1">IF(M$5&gt;keilatut,"",IF(SUMIFS(Data!$L$2:$L$313,Data!$I$2:$I$313,Sarjataulukko!$B11,Data!$B$2:$B$313,Sarjataulukko!M$5)=0,"",SUMIFS(Data!$L$2:$L$313,Data!$I$2:$I$313,Sarjataulukko!$B11,Data!$B$2:$B$313,Sarjataulukko!M$5)))</f>
        <v>295</v>
      </c>
      <c r="N11" s="40">
        <f ca="1">IF(N$5&gt;keilatut,"",IF(SUMIFS(Data!$L$2:$L$313,Data!$I$2:$I$313,Sarjataulukko!$B11,Data!$B$2:$B$313,Sarjataulukko!N$5)=0,"",SUMIFS(Data!$L$2:$L$313,Data!$I$2:$I$313,Sarjataulukko!$B11,Data!$B$2:$B$313,Sarjataulukko!N$5)))</f>
        <v>318</v>
      </c>
      <c r="O11" s="40">
        <f ca="1">IF(O$5&gt;keilatut,"",IF(SUMIFS(Data!$L$2:$L$313,Data!$I$2:$I$313,Sarjataulukko!$B11,Data!$B$2:$B$313,Sarjataulukko!O$5)=0,"",SUMIFS(Data!$L$2:$L$313,Data!$I$2:$I$313,Sarjataulukko!$B11,Data!$B$2:$B$313,Sarjataulukko!O$5)))</f>
        <v>213</v>
      </c>
      <c r="P11" s="40">
        <f ca="1">IF(P$5&gt;keilatut,"",IF(SUMIFS(Data!$L$2:$L$313,Data!$I$2:$I$313,Sarjataulukko!$B11,Data!$B$2:$B$313,Sarjataulukko!P$5)=0,"",SUMIFS(Data!$L$2:$L$313,Data!$I$2:$I$313,Sarjataulukko!$B11,Data!$B$2:$B$313,Sarjataulukko!P$5)))</f>
        <v>250</v>
      </c>
      <c r="Q11" s="40" t="str">
        <f>IF(Q$5&gt;keilatut,"",IF(SUMIFS(Data!$L$2:$L$313,Data!$I$2:$I$313,Sarjataulukko!$B11,Data!$B$2:$B$313,Sarjataulukko!Q$5)=0,"",SUMIFS(Data!$L$2:$L$313,Data!$I$2:$I$313,Sarjataulukko!$B11,Data!$B$2:$B$313,Sarjataulukko!Q$5)))</f>
        <v/>
      </c>
      <c r="R11" s="40" t="str">
        <f>IF(R$5&gt;keilatut,"",IF(SUMIFS(Data!$L$2:$L$313,Data!$I$2:$I$313,Sarjataulukko!$B11,Data!$B$2:$B$313,Sarjataulukko!R$5)=0,"",SUMIFS(Data!$L$2:$L$313,Data!$I$2:$I$313,Sarjataulukko!$B11,Data!$B$2:$B$313,Sarjataulukko!R$5)))</f>
        <v/>
      </c>
      <c r="S11" s="38" t="str">
        <f>IF(S$5&gt;keilatut,"",IF(SUMIFS(Data!$L$2:$L$313,Data!$I$2:$I$313,Sarjataulukko!$B11,Data!$B$2:$B$313,Sarjataulukko!S$5)=0,"",SUMIFS(Data!$L$2:$L$313,Data!$I$2:$I$313,Sarjataulukko!$B11,Data!$B$2:$B$313,Sarjataulukko!S$5)))</f>
        <v/>
      </c>
      <c r="T11" s="39">
        <f t="shared" ca="1" si="14"/>
        <v>2622</v>
      </c>
      <c r="U11" s="41">
        <f t="shared" ca="1" si="22"/>
        <v>262.2</v>
      </c>
      <c r="V11" s="42">
        <f t="shared" ca="1" si="23"/>
        <v>131.1</v>
      </c>
      <c r="Y11" s="10" t="str">
        <f t="shared" ca="1" si="17"/>
        <v>Mika Sola</v>
      </c>
      <c r="Z11" s="10">
        <f ca="1">IF(Z$5&gt;keilatut,"",SUMIFS(Data!$AL$2:$AL$313,Data!$I$2:$I$313,Sarjataulukko!$Y11,Data!$B$2:$B$313,Sarjataulukko!Z$5))</f>
        <v>10</v>
      </c>
      <c r="AA11" s="10">
        <f ca="1">IF(AA$5&gt;keilatut,"",SUMIFS(Data!$AL$2:$AL$313,Data!$I$2:$I$313,Sarjataulukko!$Y11,Data!$B$2:$B$313,Sarjataulukko!AA$5))</f>
        <v>0</v>
      </c>
      <c r="AB11" s="10">
        <f ca="1">IF(AB$5&gt;keilatut,"",SUMIFS(Data!$AL$2:$AL$313,Data!$I$2:$I$313,Sarjataulukko!$Y11,Data!$B$2:$B$313,Sarjataulukko!AB$5))</f>
        <v>8</v>
      </c>
      <c r="AC11" s="10">
        <f ca="1">IF(AC$5&gt;keilatut,"",SUMIFS(Data!$AL$2:$AL$313,Data!$I$2:$I$313,Sarjataulukko!$Y11,Data!$B$2:$B$313,Sarjataulukko!AC$5))</f>
        <v>1</v>
      </c>
      <c r="AD11" s="10">
        <f ca="1">IF(AD$5&gt;keilatut,"",SUMIFS(Data!$AL$2:$AL$313,Data!$I$2:$I$313,Sarjataulukko!$Y11,Data!$B$2:$B$313,Sarjataulukko!AD$5))</f>
        <v>1</v>
      </c>
      <c r="AE11" s="10">
        <f ca="1">IF(AE$5&gt;keilatut,"",SUMIFS(Data!$AL$2:$AL$313,Data!$I$2:$I$313,Sarjataulukko!$Y11,Data!$B$2:$B$313,Sarjataulukko!AE$5))</f>
        <v>2</v>
      </c>
      <c r="AF11" s="10">
        <f ca="1">IF(AF$5&gt;keilatut,"",SUMIFS(Data!$AL$2:$AL$313,Data!$I$2:$I$313,Sarjataulukko!$Y11,Data!$B$2:$B$313,Sarjataulukko!AF$5))</f>
        <v>7</v>
      </c>
      <c r="AG11" s="10">
        <f ca="1">IF(AG$5&gt;keilatut,"",SUMIFS(Data!$AL$2:$AL$313,Data!$I$2:$I$313,Sarjataulukko!$Y11,Data!$B$2:$B$313,Sarjataulukko!AG$5))</f>
        <v>8</v>
      </c>
      <c r="AH11" s="10">
        <f ca="1">IF(AH$5&gt;keilatut,"",SUMIFS(Data!$AL$2:$AL$313,Data!$I$2:$I$313,Sarjataulukko!$Y11,Data!$B$2:$B$313,Sarjataulukko!AH$5))</f>
        <v>0</v>
      </c>
      <c r="AI11" s="10">
        <f ca="1">IF(AI$5&gt;keilatut,"",SUMIFS(Data!$AL$2:$AL$313,Data!$I$2:$I$313,Sarjataulukko!$Y11,Data!$B$2:$B$313,Sarjataulukko!AI$5))</f>
        <v>5</v>
      </c>
      <c r="AJ11" s="10" t="str">
        <f>IF(AJ$5&gt;keilatut,"",SUMIFS(Data!$AL$2:$AL$313,Data!$I$2:$I$313,Sarjataulukko!$Y11,Data!$B$2:$B$313,Sarjataulukko!AJ$5))</f>
        <v/>
      </c>
      <c r="AK11" s="10" t="str">
        <f>IF(AK$5&gt;keilatut,"",SUMIFS(Data!$AL$2:$AL$313,Data!$I$2:$I$313,Sarjataulukko!$Y11,Data!$B$2:$B$313,Sarjataulukko!AK$5))</f>
        <v/>
      </c>
      <c r="AL11" s="10" t="str">
        <f>IF(AL$5&gt;keilatut,"",SUMIFS(Data!$AL$2:$AL$313,Data!$I$2:$I$313,Sarjataulukko!$Y11,Data!$B$2:$B$313,Sarjataulukko!AL$5))</f>
        <v/>
      </c>
      <c r="AM11" s="10">
        <f t="shared" ca="1" si="18"/>
        <v>0</v>
      </c>
      <c r="AN11" s="10" cm="1">
        <f t="array" aca="1" ref="AN11" ca="1">IF($Y11="","",SUM(LARGE($Z11:$AL11,{1;2;3;4;5;6;7;8;9;10})))</f>
        <v>42</v>
      </c>
      <c r="AO11" s="10">
        <f t="shared" ca="1" si="4"/>
        <v>42</v>
      </c>
      <c r="AP11" s="10">
        <f t="shared" ca="1" si="19"/>
        <v>131.1</v>
      </c>
      <c r="AQ11" s="10">
        <f ca="1">IF(Sarjataulukko!$Y11="","",_xlfn.MAXIFS(Data!$AQ$2:$AQ$313,Data!$I$2:$I$313,Sarjataulukko!$Y11))</f>
        <v>0</v>
      </c>
      <c r="AR11" s="10">
        <f t="shared" ca="1" si="20"/>
        <v>11</v>
      </c>
      <c r="AS11" s="13">
        <f t="shared" ca="1" si="5"/>
        <v>0.05</v>
      </c>
      <c r="AT11" s="14">
        <f t="shared" ca="1" si="6"/>
        <v>5.0000000000000001E-4</v>
      </c>
      <c r="AU11" s="15">
        <f t="shared" ca="1" si="7"/>
        <v>1.0000000000000001E-5</v>
      </c>
      <c r="AV11" s="16">
        <f t="shared" ca="1" si="8"/>
        <v>8.0000000000000002E-8</v>
      </c>
      <c r="AW11" s="17">
        <f t="shared" ca="1" si="9"/>
        <v>6E-10</v>
      </c>
      <c r="AX11" s="17">
        <f ca="1">IF($Y11="","",SUM($AS11:$AW11))</f>
        <v>5.0510080600000007E-2</v>
      </c>
      <c r="AY11" s="10">
        <f ca="1">IF($Y11="","",_xlfn.RANK.EQ($AX11,$AX$6:$AX$23,1))</f>
        <v>6</v>
      </c>
      <c r="AZ11" s="10">
        <f t="shared" ca="1" si="10"/>
        <v>11</v>
      </c>
      <c r="BA11" s="10">
        <f t="shared" ca="1" si="24"/>
        <v>6</v>
      </c>
      <c r="BB11" s="10" t="str">
        <f t="shared" ca="1" si="11"/>
        <v>Joonas Ollonqvist</v>
      </c>
    </row>
    <row r="12" spans="1:54" x14ac:dyDescent="0.25">
      <c r="A12" s="33">
        <f>IF(keilatut=0,"",IF(1+A11&gt;Data!$CP$2,"",1+A11))</f>
        <v>7</v>
      </c>
      <c r="B12" s="34" t="str">
        <f ca="1">IF($A12="","",OFFSET(Data!$I$1,MATCH(Sarjataulukko!$A12,Data!$AX$2:$AX$313,0),0))</f>
        <v>Frans Hartman</v>
      </c>
      <c r="C12" s="35">
        <f t="shared" ca="1" si="12"/>
        <v>4</v>
      </c>
      <c r="D12" s="36">
        <f ca="1">IF($A12="","",SUMIFS(Data!$AM$2:$AM$313,Data!$I$2:$I$313,Sarjataulukko!$B12,Data!$B$2:$B$313,keilatut))</f>
        <v>40.5</v>
      </c>
      <c r="E12" s="37">
        <f t="shared" ca="1" si="21"/>
        <v>10.125</v>
      </c>
      <c r="F12" s="38">
        <f ca="1">IF(Sarjataulukko!$A12="","",_xlfn.MAXIFS(Data!$AQ$2:$AQ$313,Data!$I$2:$I$313,Sarjataulukko!$B12))</f>
        <v>2</v>
      </c>
      <c r="G12" s="39">
        <f ca="1">IF(G$5&gt;keilatut,"",IF(SUMIFS(Data!$L$2:$L$313,Data!$I$2:$I$313,Sarjataulukko!$B12,Data!$B$2:$B$313,Sarjataulukko!G$5)=0,"",SUMIFS(Data!$L$2:$L$313,Data!$I$2:$I$313,Sarjataulukko!$B12,Data!$B$2:$B$313,Sarjataulukko!G$5)))</f>
        <v>241</v>
      </c>
      <c r="H12" s="40">
        <f ca="1">IF(H$5&gt;keilatut,"",IF(SUMIFS(Data!$L$2:$L$313,Data!$I$2:$I$313,Sarjataulukko!$B12,Data!$B$2:$B$313,Sarjataulukko!H$5)=0,"",SUMIFS(Data!$L$2:$L$313,Data!$I$2:$I$313,Sarjataulukko!$B12,Data!$B$2:$B$313,Sarjataulukko!H$5)))</f>
        <v>333</v>
      </c>
      <c r="I12" s="40" t="str">
        <f ca="1">IF(I$5&gt;keilatut,"",IF(SUMIFS(Data!$L$2:$L$313,Data!$I$2:$I$313,Sarjataulukko!$B12,Data!$B$2:$B$313,Sarjataulukko!I$5)=0,"",SUMIFS(Data!$L$2:$L$313,Data!$I$2:$I$313,Sarjataulukko!$B12,Data!$B$2:$B$313,Sarjataulukko!I$5)))</f>
        <v/>
      </c>
      <c r="J12" s="40" t="str">
        <f ca="1">IF(J$5&gt;keilatut,"",IF(SUMIFS(Data!$L$2:$L$313,Data!$I$2:$I$313,Sarjataulukko!$B12,Data!$B$2:$B$313,Sarjataulukko!J$5)=0,"",SUMIFS(Data!$L$2:$L$313,Data!$I$2:$I$313,Sarjataulukko!$B12,Data!$B$2:$B$313,Sarjataulukko!J$5)))</f>
        <v/>
      </c>
      <c r="K12" s="40" t="str">
        <f ca="1">IF(K$5&gt;keilatut,"",IF(SUMIFS(Data!$L$2:$L$313,Data!$I$2:$I$313,Sarjataulukko!$B12,Data!$B$2:$B$313,Sarjataulukko!K$5)=0,"",SUMIFS(Data!$L$2:$L$313,Data!$I$2:$I$313,Sarjataulukko!$B12,Data!$B$2:$B$313,Sarjataulukko!K$5)))</f>
        <v/>
      </c>
      <c r="L12" s="40">
        <f ca="1">IF(L$5&gt;keilatut,"",IF(SUMIFS(Data!$L$2:$L$313,Data!$I$2:$I$313,Sarjataulukko!$B12,Data!$B$2:$B$313,Sarjataulukko!L$5)=0,"",SUMIFS(Data!$L$2:$L$313,Data!$I$2:$I$313,Sarjataulukko!$B12,Data!$B$2:$B$313,Sarjataulukko!L$5)))</f>
        <v>350</v>
      </c>
      <c r="M12" s="40" t="str">
        <f ca="1">IF(M$5&gt;keilatut,"",IF(SUMIFS(Data!$L$2:$L$313,Data!$I$2:$I$313,Sarjataulukko!$B12,Data!$B$2:$B$313,Sarjataulukko!M$5)=0,"",SUMIFS(Data!$L$2:$L$313,Data!$I$2:$I$313,Sarjataulukko!$B12,Data!$B$2:$B$313,Sarjataulukko!M$5)))</f>
        <v/>
      </c>
      <c r="N12" s="40" t="str">
        <f ca="1">IF(N$5&gt;keilatut,"",IF(SUMIFS(Data!$L$2:$L$313,Data!$I$2:$I$313,Sarjataulukko!$B12,Data!$B$2:$B$313,Sarjataulukko!N$5)=0,"",SUMIFS(Data!$L$2:$L$313,Data!$I$2:$I$313,Sarjataulukko!$B12,Data!$B$2:$B$313,Sarjataulukko!N$5)))</f>
        <v/>
      </c>
      <c r="O12" s="40">
        <f ca="1">IF(O$5&gt;keilatut,"",IF(SUMIFS(Data!$L$2:$L$313,Data!$I$2:$I$313,Sarjataulukko!$B12,Data!$B$2:$B$313,Sarjataulukko!O$5)=0,"",SUMIFS(Data!$L$2:$L$313,Data!$I$2:$I$313,Sarjataulukko!$B12,Data!$B$2:$B$313,Sarjataulukko!O$5)))</f>
        <v>302</v>
      </c>
      <c r="P12" s="40" t="str">
        <f ca="1">IF(P$5&gt;keilatut,"",IF(SUMIFS(Data!$L$2:$L$313,Data!$I$2:$I$313,Sarjataulukko!$B12,Data!$B$2:$B$313,Sarjataulukko!P$5)=0,"",SUMIFS(Data!$L$2:$L$313,Data!$I$2:$I$313,Sarjataulukko!$B12,Data!$B$2:$B$313,Sarjataulukko!P$5)))</f>
        <v/>
      </c>
      <c r="Q12" s="40" t="str">
        <f>IF(Q$5&gt;keilatut,"",IF(SUMIFS(Data!$L$2:$L$313,Data!$I$2:$I$313,Sarjataulukko!$B12,Data!$B$2:$B$313,Sarjataulukko!Q$5)=0,"",SUMIFS(Data!$L$2:$L$313,Data!$I$2:$I$313,Sarjataulukko!$B12,Data!$B$2:$B$313,Sarjataulukko!Q$5)))</f>
        <v/>
      </c>
      <c r="R12" s="40" t="str">
        <f>IF(R$5&gt;keilatut,"",IF(SUMIFS(Data!$L$2:$L$313,Data!$I$2:$I$313,Sarjataulukko!$B12,Data!$B$2:$B$313,Sarjataulukko!R$5)=0,"",SUMIFS(Data!$L$2:$L$313,Data!$I$2:$I$313,Sarjataulukko!$B12,Data!$B$2:$B$313,Sarjataulukko!R$5)))</f>
        <v/>
      </c>
      <c r="S12" s="38" t="str">
        <f>IF(S$5&gt;keilatut,"",IF(SUMIFS(Data!$L$2:$L$313,Data!$I$2:$I$313,Sarjataulukko!$B12,Data!$B$2:$B$313,Sarjataulukko!S$5)=0,"",SUMIFS(Data!$L$2:$L$313,Data!$I$2:$I$313,Sarjataulukko!$B12,Data!$B$2:$B$313,Sarjataulukko!S$5)))</f>
        <v/>
      </c>
      <c r="T12" s="39">
        <f t="shared" ca="1" si="14"/>
        <v>1226</v>
      </c>
      <c r="U12" s="41">
        <f t="shared" ca="1" si="22"/>
        <v>306.5</v>
      </c>
      <c r="V12" s="42">
        <f t="shared" ca="1" si="23"/>
        <v>153.25</v>
      </c>
      <c r="Y12" s="10" t="str">
        <f t="shared" ca="1" si="17"/>
        <v>Frans Hartman</v>
      </c>
      <c r="Z12" s="10">
        <f ca="1">IF(Z$5&gt;keilatut,"",SUMIFS(Data!$AL$2:$AL$313,Data!$I$2:$I$313,Sarjataulukko!$Y12,Data!$B$2:$B$313,Sarjataulukko!Z$5))</f>
        <v>7.5</v>
      </c>
      <c r="AA12" s="10">
        <f ca="1">IF(AA$5&gt;keilatut,"",SUMIFS(Data!$AL$2:$AL$313,Data!$I$2:$I$313,Sarjataulukko!$Y12,Data!$B$2:$B$313,Sarjataulukko!AA$5))</f>
        <v>11</v>
      </c>
      <c r="AB12" s="10">
        <f ca="1">IF(AB$5&gt;keilatut,"",SUMIFS(Data!$AL$2:$AL$313,Data!$I$2:$I$313,Sarjataulukko!$Y12,Data!$B$2:$B$313,Sarjataulukko!AB$5))</f>
        <v>0</v>
      </c>
      <c r="AC12" s="10">
        <f ca="1">IF(AC$5&gt;keilatut,"",SUMIFS(Data!$AL$2:$AL$313,Data!$I$2:$I$313,Sarjataulukko!$Y12,Data!$B$2:$B$313,Sarjataulukko!AC$5))</f>
        <v>0</v>
      </c>
      <c r="AD12" s="10">
        <f ca="1">IF(AD$5&gt;keilatut,"",SUMIFS(Data!$AL$2:$AL$313,Data!$I$2:$I$313,Sarjataulukko!$Y12,Data!$B$2:$B$313,Sarjataulukko!AD$5))</f>
        <v>0</v>
      </c>
      <c r="AE12" s="10">
        <f ca="1">IF(AE$5&gt;keilatut,"",SUMIFS(Data!$AL$2:$AL$313,Data!$I$2:$I$313,Sarjataulukko!$Y12,Data!$B$2:$B$313,Sarjataulukko!AE$5))</f>
        <v>14</v>
      </c>
      <c r="AF12" s="10">
        <f ca="1">IF(AF$5&gt;keilatut,"",SUMIFS(Data!$AL$2:$AL$313,Data!$I$2:$I$313,Sarjataulukko!$Y12,Data!$B$2:$B$313,Sarjataulukko!AF$5))</f>
        <v>0</v>
      </c>
      <c r="AG12" s="10">
        <f ca="1">IF(AG$5&gt;keilatut,"",SUMIFS(Data!$AL$2:$AL$313,Data!$I$2:$I$313,Sarjataulukko!$Y12,Data!$B$2:$B$313,Sarjataulukko!AG$5))</f>
        <v>0</v>
      </c>
      <c r="AH12" s="10">
        <f ca="1">IF(AH$5&gt;keilatut,"",SUMIFS(Data!$AL$2:$AL$313,Data!$I$2:$I$313,Sarjataulukko!$Y12,Data!$B$2:$B$313,Sarjataulukko!AH$5))</f>
        <v>8</v>
      </c>
      <c r="AI12" s="10">
        <f ca="1">IF(AI$5&gt;keilatut,"",SUMIFS(Data!$AL$2:$AL$313,Data!$I$2:$I$313,Sarjataulukko!$Y12,Data!$B$2:$B$313,Sarjataulukko!AI$5))</f>
        <v>0</v>
      </c>
      <c r="AJ12" s="10" t="str">
        <f>IF(AJ$5&gt;keilatut,"",SUMIFS(Data!$AL$2:$AL$313,Data!$I$2:$I$313,Sarjataulukko!$Y12,Data!$B$2:$B$313,Sarjataulukko!AJ$5))</f>
        <v/>
      </c>
      <c r="AK12" s="10" t="str">
        <f>IF(AK$5&gt;keilatut,"",SUMIFS(Data!$AL$2:$AL$313,Data!$I$2:$I$313,Sarjataulukko!$Y12,Data!$B$2:$B$313,Sarjataulukko!AK$5))</f>
        <v/>
      </c>
      <c r="AL12" s="10" t="str">
        <f>IF(AL$5&gt;keilatut,"",SUMIFS(Data!$AL$2:$AL$313,Data!$I$2:$I$313,Sarjataulukko!$Y12,Data!$B$2:$B$313,Sarjataulukko!AL$5))</f>
        <v/>
      </c>
      <c r="AM12" s="10">
        <f t="shared" ca="1" si="18"/>
        <v>0</v>
      </c>
      <c r="AN12" s="10" cm="1">
        <f t="array" aca="1" ref="AN12" ca="1">IF($Y12="","",SUM(LARGE($Z12:$AL12,{1;2;3;4;5;6;7;8;9;10})))</f>
        <v>40.5</v>
      </c>
      <c r="AO12" s="10">
        <f t="shared" ca="1" si="4"/>
        <v>40.5</v>
      </c>
      <c r="AP12" s="10">
        <f t="shared" ca="1" si="19"/>
        <v>153.30000000000001</v>
      </c>
      <c r="AQ12" s="10">
        <f ca="1">IF(Sarjataulukko!$Y12="","",_xlfn.MAXIFS(Data!$AQ$2:$AQ$313,Data!$I$2:$I$313,Sarjataulukko!$Y12))</f>
        <v>2</v>
      </c>
      <c r="AR12" s="10">
        <f t="shared" ca="1" si="20"/>
        <v>12</v>
      </c>
      <c r="AS12" s="13">
        <f t="shared" ca="1" si="5"/>
        <v>7.0000000000000007E-2</v>
      </c>
      <c r="AT12" s="14">
        <f t="shared" ca="1" si="6"/>
        <v>6.9999999999999999E-4</v>
      </c>
      <c r="AU12" s="15">
        <f t="shared" ca="1" si="7"/>
        <v>1.9999999999999999E-6</v>
      </c>
      <c r="AV12" s="16">
        <f t="shared" ca="1" si="8"/>
        <v>2E-8</v>
      </c>
      <c r="AW12" s="17">
        <f t="shared" ca="1" si="9"/>
        <v>6.9999999999999996E-10</v>
      </c>
      <c r="AX12" s="17">
        <f ca="1">IF($Y12="","",SUM($AS12:$AW12))</f>
        <v>7.0702020700000021E-2</v>
      </c>
      <c r="AY12" s="10">
        <f ca="1">IF($Y12="","",_xlfn.RANK.EQ($AX12,$AX$6:$AX$23,1))</f>
        <v>7</v>
      </c>
      <c r="AZ12" s="10">
        <f t="shared" ca="1" si="10"/>
        <v>2</v>
      </c>
      <c r="BA12" s="10">
        <f t="shared" ca="1" si="24"/>
        <v>7</v>
      </c>
      <c r="BB12" s="10" t="str">
        <f t="shared" ca="1" si="11"/>
        <v>Juho Korpi</v>
      </c>
    </row>
    <row r="13" spans="1:54" x14ac:dyDescent="0.25">
      <c r="A13" s="33">
        <f>IF(keilatut=0,"",IF(1+A12&gt;Data!$CP$2,"",1+A12))</f>
        <v>8</v>
      </c>
      <c r="B13" s="34" t="str">
        <f ca="1">IF($A13="","",OFFSET(Data!$I$1,MATCH(Sarjataulukko!$A13,Data!$AX$2:$AX$313,0),0))</f>
        <v>Asko Haaksi</v>
      </c>
      <c r="C13" s="35">
        <f t="shared" ca="1" si="12"/>
        <v>7</v>
      </c>
      <c r="D13" s="36">
        <f ca="1">IF($A13="","",SUMIFS(Data!$AM$2:$AM$313,Data!$I$2:$I$313,Sarjataulukko!$B13,Data!$B$2:$B$313,keilatut))</f>
        <v>29</v>
      </c>
      <c r="E13" s="37">
        <f t="shared" ca="1" si="21"/>
        <v>4.1428571428571432</v>
      </c>
      <c r="F13" s="38">
        <f ca="1">IF(Sarjataulukko!$A13="","",_xlfn.MAXIFS(Data!$AQ$2:$AQ$313,Data!$I$2:$I$313,Sarjataulukko!$B13))</f>
        <v>1</v>
      </c>
      <c r="G13" s="39" t="str">
        <f ca="1">IF(G$5&gt;keilatut,"",IF(SUMIFS(Data!$L$2:$L$313,Data!$I$2:$I$313,Sarjataulukko!$B13,Data!$B$2:$B$313,Sarjataulukko!G$5)=0,"",SUMIFS(Data!$L$2:$L$313,Data!$I$2:$I$313,Sarjataulukko!$B13,Data!$B$2:$B$313,Sarjataulukko!G$5)))</f>
        <v/>
      </c>
      <c r="H13" s="40">
        <f ca="1">IF(H$5&gt;keilatut,"",IF(SUMIFS(Data!$L$2:$L$313,Data!$I$2:$I$313,Sarjataulukko!$B13,Data!$B$2:$B$313,Sarjataulukko!H$5)=0,"",SUMIFS(Data!$L$2:$L$313,Data!$I$2:$I$313,Sarjataulukko!$B13,Data!$B$2:$B$313,Sarjataulukko!H$5)))</f>
        <v>307</v>
      </c>
      <c r="I13" s="40" t="str">
        <f ca="1">IF(I$5&gt;keilatut,"",IF(SUMIFS(Data!$L$2:$L$313,Data!$I$2:$I$313,Sarjataulukko!$B13,Data!$B$2:$B$313,Sarjataulukko!I$5)=0,"",SUMIFS(Data!$L$2:$L$313,Data!$I$2:$I$313,Sarjataulukko!$B13,Data!$B$2:$B$313,Sarjataulukko!I$5)))</f>
        <v/>
      </c>
      <c r="J13" s="40">
        <f ca="1">IF(J$5&gt;keilatut,"",IF(SUMIFS(Data!$L$2:$L$313,Data!$I$2:$I$313,Sarjataulukko!$B13,Data!$B$2:$B$313,Sarjataulukko!J$5)=0,"",SUMIFS(Data!$L$2:$L$313,Data!$I$2:$I$313,Sarjataulukko!$B13,Data!$B$2:$B$313,Sarjataulukko!J$5)))</f>
        <v>289</v>
      </c>
      <c r="K13" s="40">
        <f ca="1">IF(K$5&gt;keilatut,"",IF(SUMIFS(Data!$L$2:$L$313,Data!$I$2:$I$313,Sarjataulukko!$B13,Data!$B$2:$B$313,Sarjataulukko!K$5)=0,"",SUMIFS(Data!$L$2:$L$313,Data!$I$2:$I$313,Sarjataulukko!$B13,Data!$B$2:$B$313,Sarjataulukko!K$5)))</f>
        <v>288</v>
      </c>
      <c r="L13" s="40">
        <f ca="1">IF(L$5&gt;keilatut,"",IF(SUMIFS(Data!$L$2:$L$313,Data!$I$2:$I$313,Sarjataulukko!$B13,Data!$B$2:$B$313,Sarjataulukko!L$5)=0,"",SUMIFS(Data!$L$2:$L$313,Data!$I$2:$I$313,Sarjataulukko!$B13,Data!$B$2:$B$313,Sarjataulukko!L$5)))</f>
        <v>224</v>
      </c>
      <c r="M13" s="40">
        <f ca="1">IF(M$5&gt;keilatut,"",IF(SUMIFS(Data!$L$2:$L$313,Data!$I$2:$I$313,Sarjataulukko!$B13,Data!$B$2:$B$313,Sarjataulukko!M$5)=0,"",SUMIFS(Data!$L$2:$L$313,Data!$I$2:$I$313,Sarjataulukko!$B13,Data!$B$2:$B$313,Sarjataulukko!M$5)))</f>
        <v>332</v>
      </c>
      <c r="N13" s="40">
        <f ca="1">IF(N$5&gt;keilatut,"",IF(SUMIFS(Data!$L$2:$L$313,Data!$I$2:$I$313,Sarjataulukko!$B13,Data!$B$2:$B$313,Sarjataulukko!N$5)=0,"",SUMIFS(Data!$L$2:$L$313,Data!$I$2:$I$313,Sarjataulukko!$B13,Data!$B$2:$B$313,Sarjataulukko!N$5)))</f>
        <v>260</v>
      </c>
      <c r="O13" s="40">
        <f ca="1">IF(O$5&gt;keilatut,"",IF(SUMIFS(Data!$L$2:$L$313,Data!$I$2:$I$313,Sarjataulukko!$B13,Data!$B$2:$B$313,Sarjataulukko!O$5)=0,"",SUMIFS(Data!$L$2:$L$313,Data!$I$2:$I$313,Sarjataulukko!$B13,Data!$B$2:$B$313,Sarjataulukko!O$5)))</f>
        <v>263</v>
      </c>
      <c r="P13" s="40" t="str">
        <f ca="1">IF(P$5&gt;keilatut,"",IF(SUMIFS(Data!$L$2:$L$313,Data!$I$2:$I$313,Sarjataulukko!$B13,Data!$B$2:$B$313,Sarjataulukko!P$5)=0,"",SUMIFS(Data!$L$2:$L$313,Data!$I$2:$I$313,Sarjataulukko!$B13,Data!$B$2:$B$313,Sarjataulukko!P$5)))</f>
        <v/>
      </c>
      <c r="Q13" s="40" t="str">
        <f>IF(Q$5&gt;keilatut,"",IF(SUMIFS(Data!$L$2:$L$313,Data!$I$2:$I$313,Sarjataulukko!$B13,Data!$B$2:$B$313,Sarjataulukko!Q$5)=0,"",SUMIFS(Data!$L$2:$L$313,Data!$I$2:$I$313,Sarjataulukko!$B13,Data!$B$2:$B$313,Sarjataulukko!Q$5)))</f>
        <v/>
      </c>
      <c r="R13" s="40" t="str">
        <f>IF(R$5&gt;keilatut,"",IF(SUMIFS(Data!$L$2:$L$313,Data!$I$2:$I$313,Sarjataulukko!$B13,Data!$B$2:$B$313,Sarjataulukko!R$5)=0,"",SUMIFS(Data!$L$2:$L$313,Data!$I$2:$I$313,Sarjataulukko!$B13,Data!$B$2:$B$313,Sarjataulukko!R$5)))</f>
        <v/>
      </c>
      <c r="S13" s="38" t="str">
        <f>IF(S$5&gt;keilatut,"",IF(SUMIFS(Data!$L$2:$L$313,Data!$I$2:$I$313,Sarjataulukko!$B13,Data!$B$2:$B$313,Sarjataulukko!S$5)=0,"",SUMIFS(Data!$L$2:$L$313,Data!$I$2:$I$313,Sarjataulukko!$B13,Data!$B$2:$B$313,Sarjataulukko!S$5)))</f>
        <v/>
      </c>
      <c r="T13" s="39">
        <f t="shared" ca="1" si="14"/>
        <v>1963</v>
      </c>
      <c r="U13" s="41">
        <f t="shared" ca="1" si="22"/>
        <v>280.42857142857144</v>
      </c>
      <c r="V13" s="42">
        <f t="shared" ca="1" si="23"/>
        <v>140.21428571428572</v>
      </c>
      <c r="Y13" s="10" t="str">
        <f t="shared" ca="1" si="17"/>
        <v>Asko Haaksi</v>
      </c>
      <c r="Z13" s="10">
        <f ca="1">IF(Z$5&gt;keilatut,"",SUMIFS(Data!$AL$2:$AL$313,Data!$I$2:$I$313,Sarjataulukko!$Y13,Data!$B$2:$B$313,Sarjataulukko!Z$5))</f>
        <v>0</v>
      </c>
      <c r="AA13" s="10">
        <f ca="1">IF(AA$5&gt;keilatut,"",SUMIFS(Data!$AL$2:$AL$313,Data!$I$2:$I$313,Sarjataulukko!$Y13,Data!$B$2:$B$313,Sarjataulukko!AA$5))</f>
        <v>4</v>
      </c>
      <c r="AB13" s="10">
        <f ca="1">IF(AB$5&gt;keilatut,"",SUMIFS(Data!$AL$2:$AL$313,Data!$I$2:$I$313,Sarjataulukko!$Y13,Data!$B$2:$B$313,Sarjataulukko!AB$5))</f>
        <v>0</v>
      </c>
      <c r="AC13" s="10">
        <f ca="1">IF(AC$5&gt;keilatut,"",SUMIFS(Data!$AL$2:$AL$313,Data!$I$2:$I$313,Sarjataulukko!$Y13,Data!$B$2:$B$313,Sarjataulukko!AC$5))</f>
        <v>7</v>
      </c>
      <c r="AD13" s="10">
        <f ca="1">IF(AD$5&gt;keilatut,"",SUMIFS(Data!$AL$2:$AL$313,Data!$I$2:$I$313,Sarjataulukko!$Y13,Data!$B$2:$B$313,Sarjataulukko!AD$5))</f>
        <v>3</v>
      </c>
      <c r="AE13" s="10">
        <f ca="1">IF(AE$5&gt;keilatut,"",SUMIFS(Data!$AL$2:$AL$313,Data!$I$2:$I$313,Sarjataulukko!$Y13,Data!$B$2:$B$313,Sarjataulukko!AE$5))</f>
        <v>-1</v>
      </c>
      <c r="AF13" s="10">
        <f ca="1">IF(AF$5&gt;keilatut,"",SUMIFS(Data!$AL$2:$AL$313,Data!$I$2:$I$313,Sarjataulukko!$Y13,Data!$B$2:$B$313,Sarjataulukko!AF$5))</f>
        <v>12</v>
      </c>
      <c r="AG13" s="10">
        <f ca="1">IF(AG$5&gt;keilatut,"",SUMIFS(Data!$AL$2:$AL$313,Data!$I$2:$I$313,Sarjataulukko!$Y13,Data!$B$2:$B$313,Sarjataulukko!AG$5))</f>
        <v>2</v>
      </c>
      <c r="AH13" s="10">
        <f ca="1">IF(AH$5&gt;keilatut,"",SUMIFS(Data!$AL$2:$AL$313,Data!$I$2:$I$313,Sarjataulukko!$Y13,Data!$B$2:$B$313,Sarjataulukko!AH$5))</f>
        <v>2</v>
      </c>
      <c r="AI13" s="10">
        <f ca="1">IF(AI$5&gt;keilatut,"",SUMIFS(Data!$AL$2:$AL$313,Data!$I$2:$I$313,Sarjataulukko!$Y13,Data!$B$2:$B$313,Sarjataulukko!AI$5))</f>
        <v>0</v>
      </c>
      <c r="AJ13" s="10" t="str">
        <f>IF(AJ$5&gt;keilatut,"",SUMIFS(Data!$AL$2:$AL$313,Data!$I$2:$I$313,Sarjataulukko!$Y13,Data!$B$2:$B$313,Sarjataulukko!AJ$5))</f>
        <v/>
      </c>
      <c r="AK13" s="10" t="str">
        <f>IF(AK$5&gt;keilatut,"",SUMIFS(Data!$AL$2:$AL$313,Data!$I$2:$I$313,Sarjataulukko!$Y13,Data!$B$2:$B$313,Sarjataulukko!AK$5))</f>
        <v/>
      </c>
      <c r="AL13" s="10" t="str">
        <f>IF(AL$5&gt;keilatut,"",SUMIFS(Data!$AL$2:$AL$313,Data!$I$2:$I$313,Sarjataulukko!$Y13,Data!$B$2:$B$313,Sarjataulukko!AL$5))</f>
        <v/>
      </c>
      <c r="AM13" s="10">
        <f t="shared" ca="1" si="18"/>
        <v>0</v>
      </c>
      <c r="AN13" s="10" cm="1">
        <f t="array" aca="1" ref="AN13" ca="1">IF($Y13="","",SUM(LARGE($Z13:$AL13,{1;2;3;4;5;6;7;8;9;10})))</f>
        <v>29</v>
      </c>
      <c r="AO13" s="10">
        <f t="shared" ca="1" si="4"/>
        <v>29</v>
      </c>
      <c r="AP13" s="10">
        <f t="shared" ca="1" si="19"/>
        <v>140.19999999999999</v>
      </c>
      <c r="AQ13" s="10">
        <f ca="1">IF(Sarjataulukko!$Y13="","",_xlfn.MAXIFS(Data!$AQ$2:$AQ$313,Data!$I$2:$I$313,Sarjataulukko!$Y13))</f>
        <v>1</v>
      </c>
      <c r="AR13" s="10">
        <f t="shared" ca="1" si="20"/>
        <v>13</v>
      </c>
      <c r="AS13" s="13">
        <f t="shared" ca="1" si="5"/>
        <v>0.08</v>
      </c>
      <c r="AT13" s="14">
        <f t="shared" ca="1" si="6"/>
        <v>8.0000000000000004E-4</v>
      </c>
      <c r="AU13" s="15">
        <f t="shared" ca="1" si="7"/>
        <v>6.0000000000000002E-6</v>
      </c>
      <c r="AV13" s="16">
        <f t="shared" ca="1" si="8"/>
        <v>4.0000000000000001E-8</v>
      </c>
      <c r="AW13" s="17">
        <f t="shared" ca="1" si="9"/>
        <v>8.0000000000000003E-10</v>
      </c>
      <c r="AX13" s="17">
        <f ca="1">IF($Y13="","",SUM($AS13:$AW13))</f>
        <v>8.0806040800000006E-2</v>
      </c>
      <c r="AY13" s="10">
        <f ca="1">IF($Y13="","",_xlfn.RANK.EQ($AX13,$AX$6:$AX$23,1))</f>
        <v>8</v>
      </c>
      <c r="AZ13" s="10">
        <f t="shared" ca="1" si="10"/>
        <v>1</v>
      </c>
      <c r="BA13" s="10">
        <f t="shared" ca="1" si="24"/>
        <v>8</v>
      </c>
      <c r="BB13" s="10" t="str">
        <f t="shared" ca="1" si="11"/>
        <v>Kaleva Latvala</v>
      </c>
    </row>
    <row r="14" spans="1:54" x14ac:dyDescent="0.25">
      <c r="A14" s="33">
        <f>IF(keilatut=0,"",IF(1+A13&gt;Data!$CP$2,"",1+A13))</f>
        <v>9</v>
      </c>
      <c r="B14" s="34" t="str">
        <f ca="1">IF($A14="","",OFFSET(Data!$I$1,MATCH(Sarjataulukko!$A14,Data!$AX$2:$AX$313,0),0))</f>
        <v>Juho Korpi</v>
      </c>
      <c r="C14" s="35">
        <f t="shared" ca="1" si="12"/>
        <v>8</v>
      </c>
      <c r="D14" s="36">
        <f ca="1">IF($A14="","",SUMIFS(Data!$AM$2:$AM$313,Data!$I$2:$I$313,Sarjataulukko!$B14,Data!$B$2:$B$313,keilatut))</f>
        <v>29</v>
      </c>
      <c r="E14" s="37">
        <f t="shared" ca="1" si="21"/>
        <v>3.625</v>
      </c>
      <c r="F14" s="38">
        <f ca="1">IF(Sarjataulukko!$A14="","",_xlfn.MAXIFS(Data!$AQ$2:$AQ$313,Data!$I$2:$I$313,Sarjataulukko!$B14))</f>
        <v>0</v>
      </c>
      <c r="G14" s="39" t="str">
        <f ca="1">IF(G$5&gt;keilatut,"",IF(SUMIFS(Data!$L$2:$L$313,Data!$I$2:$I$313,Sarjataulukko!$B14,Data!$B$2:$B$313,Sarjataulukko!G$5)=0,"",SUMIFS(Data!$L$2:$L$313,Data!$I$2:$I$313,Sarjataulukko!$B14,Data!$B$2:$B$313,Sarjataulukko!G$5)))</f>
        <v/>
      </c>
      <c r="H14" s="40">
        <f ca="1">IF(H$5&gt;keilatut,"",IF(SUMIFS(Data!$L$2:$L$313,Data!$I$2:$I$313,Sarjataulukko!$B14,Data!$B$2:$B$313,Sarjataulukko!H$5)=0,"",SUMIFS(Data!$L$2:$L$313,Data!$I$2:$I$313,Sarjataulukko!$B14,Data!$B$2:$B$313,Sarjataulukko!H$5)))</f>
        <v>241</v>
      </c>
      <c r="I14" s="40">
        <f ca="1">IF(I$5&gt;keilatut,"",IF(SUMIFS(Data!$L$2:$L$313,Data!$I$2:$I$313,Sarjataulukko!$B14,Data!$B$2:$B$313,Sarjataulukko!I$5)=0,"",SUMIFS(Data!$L$2:$L$313,Data!$I$2:$I$313,Sarjataulukko!$B14,Data!$B$2:$B$313,Sarjataulukko!I$5)))</f>
        <v>250</v>
      </c>
      <c r="J14" s="40">
        <f ca="1">IF(J$5&gt;keilatut,"",IF(SUMIFS(Data!$L$2:$L$313,Data!$I$2:$I$313,Sarjataulukko!$B14,Data!$B$2:$B$313,Sarjataulukko!J$5)=0,"",SUMIFS(Data!$L$2:$L$313,Data!$I$2:$I$313,Sarjataulukko!$B14,Data!$B$2:$B$313,Sarjataulukko!J$5)))</f>
        <v>229</v>
      </c>
      <c r="K14" s="40">
        <f ca="1">IF(K$5&gt;keilatut,"",IF(SUMIFS(Data!$L$2:$L$313,Data!$I$2:$I$313,Sarjataulukko!$B14,Data!$B$2:$B$313,Sarjataulukko!K$5)=0,"",SUMIFS(Data!$L$2:$L$313,Data!$I$2:$I$313,Sarjataulukko!$B14,Data!$B$2:$B$313,Sarjataulukko!K$5)))</f>
        <v>289</v>
      </c>
      <c r="L14" s="40">
        <f ca="1">IF(L$5&gt;keilatut,"",IF(SUMIFS(Data!$L$2:$L$313,Data!$I$2:$I$313,Sarjataulukko!$B14,Data!$B$2:$B$313,Sarjataulukko!L$5)=0,"",SUMIFS(Data!$L$2:$L$313,Data!$I$2:$I$313,Sarjataulukko!$B14,Data!$B$2:$B$313,Sarjataulukko!L$5)))</f>
        <v>290</v>
      </c>
      <c r="M14" s="40">
        <f ca="1">IF(M$5&gt;keilatut,"",IF(SUMIFS(Data!$L$2:$L$313,Data!$I$2:$I$313,Sarjataulukko!$B14,Data!$B$2:$B$313,Sarjataulukko!M$5)=0,"",SUMIFS(Data!$L$2:$L$313,Data!$I$2:$I$313,Sarjataulukko!$B14,Data!$B$2:$B$313,Sarjataulukko!M$5)))</f>
        <v>270</v>
      </c>
      <c r="N14" s="40">
        <f ca="1">IF(N$5&gt;keilatut,"",IF(SUMIFS(Data!$L$2:$L$313,Data!$I$2:$I$313,Sarjataulukko!$B14,Data!$B$2:$B$313,Sarjataulukko!N$5)=0,"",SUMIFS(Data!$L$2:$L$313,Data!$I$2:$I$313,Sarjataulukko!$B14,Data!$B$2:$B$313,Sarjataulukko!N$5)))</f>
        <v>275</v>
      </c>
      <c r="O14" s="40" t="str">
        <f ca="1">IF(O$5&gt;keilatut,"",IF(SUMIFS(Data!$L$2:$L$313,Data!$I$2:$I$313,Sarjataulukko!$B14,Data!$B$2:$B$313,Sarjataulukko!O$5)=0,"",SUMIFS(Data!$L$2:$L$313,Data!$I$2:$I$313,Sarjataulukko!$B14,Data!$B$2:$B$313,Sarjataulukko!O$5)))</f>
        <v/>
      </c>
      <c r="P14" s="40">
        <f ca="1">IF(P$5&gt;keilatut,"",IF(SUMIFS(Data!$L$2:$L$313,Data!$I$2:$I$313,Sarjataulukko!$B14,Data!$B$2:$B$313,Sarjataulukko!P$5)=0,"",SUMIFS(Data!$L$2:$L$313,Data!$I$2:$I$313,Sarjataulukko!$B14,Data!$B$2:$B$313,Sarjataulukko!P$5)))</f>
        <v>253</v>
      </c>
      <c r="Q14" s="40" t="str">
        <f>IF(Q$5&gt;keilatut,"",IF(SUMIFS(Data!$L$2:$L$313,Data!$I$2:$I$313,Sarjataulukko!$B14,Data!$B$2:$B$313,Sarjataulukko!Q$5)=0,"",SUMIFS(Data!$L$2:$L$313,Data!$I$2:$I$313,Sarjataulukko!$B14,Data!$B$2:$B$313,Sarjataulukko!Q$5)))</f>
        <v/>
      </c>
      <c r="R14" s="40" t="str">
        <f>IF(R$5&gt;keilatut,"",IF(SUMIFS(Data!$L$2:$L$313,Data!$I$2:$I$313,Sarjataulukko!$B14,Data!$B$2:$B$313,Sarjataulukko!R$5)=0,"",SUMIFS(Data!$L$2:$L$313,Data!$I$2:$I$313,Sarjataulukko!$B14,Data!$B$2:$B$313,Sarjataulukko!R$5)))</f>
        <v/>
      </c>
      <c r="S14" s="38" t="str">
        <f>IF(S$5&gt;keilatut,"",IF(SUMIFS(Data!$L$2:$L$313,Data!$I$2:$I$313,Sarjataulukko!$B14,Data!$B$2:$B$313,Sarjataulukko!S$5)=0,"",SUMIFS(Data!$L$2:$L$313,Data!$I$2:$I$313,Sarjataulukko!$B14,Data!$B$2:$B$313,Sarjataulukko!S$5)))</f>
        <v/>
      </c>
      <c r="T14" s="39">
        <f t="shared" ca="1" si="14"/>
        <v>2097</v>
      </c>
      <c r="U14" s="41">
        <f t="shared" ca="1" si="22"/>
        <v>262.125</v>
      </c>
      <c r="V14" s="42">
        <f t="shared" ca="1" si="23"/>
        <v>131.0625</v>
      </c>
      <c r="Y14" s="10" t="str">
        <f t="shared" ca="1" si="17"/>
        <v>Juho Korpi</v>
      </c>
      <c r="Z14" s="10">
        <f ca="1">IF(Z$5&gt;keilatut,"",SUMIFS(Data!$AL$2:$AL$313,Data!$I$2:$I$313,Sarjataulukko!$Y14,Data!$B$2:$B$313,Sarjataulukko!Z$5))</f>
        <v>0</v>
      </c>
      <c r="AA14" s="10">
        <f ca="1">IF(AA$5&gt;keilatut,"",SUMIFS(Data!$AL$2:$AL$313,Data!$I$2:$I$313,Sarjataulukko!$Y14,Data!$B$2:$B$313,Sarjataulukko!AA$5))</f>
        <v>0</v>
      </c>
      <c r="AB14" s="10">
        <f ca="1">IF(AB$5&gt;keilatut,"",SUMIFS(Data!$AL$2:$AL$313,Data!$I$2:$I$313,Sarjataulukko!$Y14,Data!$B$2:$B$313,Sarjataulukko!AB$5))</f>
        <v>4</v>
      </c>
      <c r="AC14" s="10">
        <f ca="1">IF(AC$5&gt;keilatut,"",SUMIFS(Data!$AL$2:$AL$313,Data!$I$2:$I$313,Sarjataulukko!$Y14,Data!$B$2:$B$313,Sarjataulukko!AC$5))</f>
        <v>0</v>
      </c>
      <c r="AD14" s="10">
        <f ca="1">IF(AD$5&gt;keilatut,"",SUMIFS(Data!$AL$2:$AL$313,Data!$I$2:$I$313,Sarjataulukko!$Y14,Data!$B$2:$B$313,Sarjataulukko!AD$5))</f>
        <v>4</v>
      </c>
      <c r="AE14" s="10">
        <f ca="1">IF(AE$5&gt;keilatut,"",SUMIFS(Data!$AL$2:$AL$313,Data!$I$2:$I$313,Sarjataulukko!$Y14,Data!$B$2:$B$313,Sarjataulukko!AE$5))</f>
        <v>7</v>
      </c>
      <c r="AF14" s="10">
        <f ca="1">IF(AF$5&gt;keilatut,"",SUMIFS(Data!$AL$2:$AL$313,Data!$I$2:$I$313,Sarjataulukko!$Y14,Data!$B$2:$B$313,Sarjataulukko!AF$5))</f>
        <v>4</v>
      </c>
      <c r="AG14" s="10">
        <f ca="1">IF(AG$5&gt;keilatut,"",SUMIFS(Data!$AL$2:$AL$313,Data!$I$2:$I$313,Sarjataulukko!$Y14,Data!$B$2:$B$313,Sarjataulukko!AG$5))</f>
        <v>4</v>
      </c>
      <c r="AH14" s="10">
        <f ca="1">IF(AH$5&gt;keilatut,"",SUMIFS(Data!$AL$2:$AL$313,Data!$I$2:$I$313,Sarjataulukko!$Y14,Data!$B$2:$B$313,Sarjataulukko!AH$5))</f>
        <v>0</v>
      </c>
      <c r="AI14" s="10">
        <f ca="1">IF(AI$5&gt;keilatut,"",SUMIFS(Data!$AL$2:$AL$313,Data!$I$2:$I$313,Sarjataulukko!$Y14,Data!$B$2:$B$313,Sarjataulukko!AI$5))</f>
        <v>6</v>
      </c>
      <c r="AJ14" s="10" t="str">
        <f>IF(AJ$5&gt;keilatut,"",SUMIFS(Data!$AL$2:$AL$313,Data!$I$2:$I$313,Sarjataulukko!$Y14,Data!$B$2:$B$313,Sarjataulukko!AJ$5))</f>
        <v/>
      </c>
      <c r="AK14" s="10" t="str">
        <f>IF(AK$5&gt;keilatut,"",SUMIFS(Data!$AL$2:$AL$313,Data!$I$2:$I$313,Sarjataulukko!$Y14,Data!$B$2:$B$313,Sarjataulukko!AK$5))</f>
        <v/>
      </c>
      <c r="AL14" s="10" t="str">
        <f>IF(AL$5&gt;keilatut,"",SUMIFS(Data!$AL$2:$AL$313,Data!$I$2:$I$313,Sarjataulukko!$Y14,Data!$B$2:$B$313,Sarjataulukko!AL$5))</f>
        <v/>
      </c>
      <c r="AM14" s="10">
        <f t="shared" ca="1" si="18"/>
        <v>0</v>
      </c>
      <c r="AN14" s="10" cm="1">
        <f t="array" aca="1" ref="AN14" ca="1">IF($Y14="","",SUM(LARGE($Z14:$AL14,{1;2;3;4;5;6;7;8;9;10})))</f>
        <v>29</v>
      </c>
      <c r="AO14" s="10">
        <f t="shared" ca="1" si="4"/>
        <v>29</v>
      </c>
      <c r="AP14" s="10">
        <f t="shared" ca="1" si="19"/>
        <v>131.1</v>
      </c>
      <c r="AQ14" s="10">
        <f ca="1">IF(Sarjataulukko!$Y14="","",_xlfn.MAXIFS(Data!$AQ$2:$AQ$313,Data!$I$2:$I$313,Sarjataulukko!$Y14))</f>
        <v>0</v>
      </c>
      <c r="AR14" s="10">
        <f t="shared" ca="1" si="20"/>
        <v>14</v>
      </c>
      <c r="AS14" s="13">
        <f t="shared" ca="1" si="5"/>
        <v>0.08</v>
      </c>
      <c r="AT14" s="14">
        <f t="shared" ca="1" si="6"/>
        <v>8.0000000000000004E-4</v>
      </c>
      <c r="AU14" s="15">
        <f t="shared" ca="1" si="7"/>
        <v>1.0000000000000001E-5</v>
      </c>
      <c r="AV14" s="16">
        <f t="shared" ca="1" si="8"/>
        <v>8.0000000000000002E-8</v>
      </c>
      <c r="AW14" s="17">
        <f t="shared" ca="1" si="9"/>
        <v>8.9999999999999999E-10</v>
      </c>
      <c r="AX14" s="17">
        <f ca="1">IF($Y14="","",SUM($AS14:$AW14))</f>
        <v>8.0810080899999998E-2</v>
      </c>
      <c r="AY14" s="10">
        <f ca="1">IF($Y14="","",_xlfn.RANK.EQ($AX14,$AX$6:$AX$23,1))</f>
        <v>9</v>
      </c>
      <c r="AZ14" s="10">
        <f t="shared" ca="1" si="10"/>
        <v>7</v>
      </c>
      <c r="BA14" s="10">
        <f t="shared" ca="1" si="24"/>
        <v>9</v>
      </c>
      <c r="BB14" s="10" t="str">
        <f t="shared" ca="1" si="11"/>
        <v>Miika Nordblad</v>
      </c>
    </row>
    <row r="15" spans="1:54" x14ac:dyDescent="0.25">
      <c r="A15" s="33">
        <f>IF(keilatut=0,"",IF(1+A14&gt;Data!$CP$2,"",1+A14))</f>
        <v>10</v>
      </c>
      <c r="B15" s="34" t="str">
        <f ca="1">IF($A15="","",OFFSET(Data!$I$1,MATCH(Sarjataulukko!$A15,Data!$AX$2:$AX$313,0),0))</f>
        <v>Olli Kajava</v>
      </c>
      <c r="C15" s="35">
        <f t="shared" ca="1" si="12"/>
        <v>7</v>
      </c>
      <c r="D15" s="36">
        <f ca="1">IF($A15="","",SUMIFS(Data!$AM$2:$AM$313,Data!$I$2:$I$313,Sarjataulukko!$B15,Data!$B$2:$B$313,keilatut))</f>
        <v>24</v>
      </c>
      <c r="E15" s="37">
        <f t="shared" ca="1" si="21"/>
        <v>3.4285714285714284</v>
      </c>
      <c r="F15" s="38">
        <f ca="1">IF(Sarjataulukko!$A15="","",_xlfn.MAXIFS(Data!$AQ$2:$AQ$313,Data!$I$2:$I$313,Sarjataulukko!$B15))</f>
        <v>0</v>
      </c>
      <c r="G15" s="39" t="str">
        <f ca="1">IF(G$5&gt;keilatut,"",IF(SUMIFS(Data!$L$2:$L$313,Data!$I$2:$I$313,Sarjataulukko!$B15,Data!$B$2:$B$313,Sarjataulukko!G$5)=0,"",SUMIFS(Data!$L$2:$L$313,Data!$I$2:$I$313,Sarjataulukko!$B15,Data!$B$2:$B$313,Sarjataulukko!G$5)))</f>
        <v/>
      </c>
      <c r="H15" s="40">
        <f ca="1">IF(H$5&gt;keilatut,"",IF(SUMIFS(Data!$L$2:$L$313,Data!$I$2:$I$313,Sarjataulukko!$B15,Data!$B$2:$B$313,Sarjataulukko!H$5)=0,"",SUMIFS(Data!$L$2:$L$313,Data!$I$2:$I$313,Sarjataulukko!$B15,Data!$B$2:$B$313,Sarjataulukko!H$5)))</f>
        <v>253</v>
      </c>
      <c r="I15" s="40" t="str">
        <f ca="1">IF(I$5&gt;keilatut,"",IF(SUMIFS(Data!$L$2:$L$313,Data!$I$2:$I$313,Sarjataulukko!$B15,Data!$B$2:$B$313,Sarjataulukko!I$5)=0,"",SUMIFS(Data!$L$2:$L$313,Data!$I$2:$I$313,Sarjataulukko!$B15,Data!$B$2:$B$313,Sarjataulukko!I$5)))</f>
        <v/>
      </c>
      <c r="J15" s="40">
        <f ca="1">IF(J$5&gt;keilatut,"",IF(SUMIFS(Data!$L$2:$L$313,Data!$I$2:$I$313,Sarjataulukko!$B15,Data!$B$2:$B$313,Sarjataulukko!J$5)=0,"",SUMIFS(Data!$L$2:$L$313,Data!$I$2:$I$313,Sarjataulukko!$B15,Data!$B$2:$B$313,Sarjataulukko!J$5)))</f>
        <v>284</v>
      </c>
      <c r="K15" s="40">
        <f ca="1">IF(K$5&gt;keilatut,"",IF(SUMIFS(Data!$L$2:$L$313,Data!$I$2:$I$313,Sarjataulukko!$B15,Data!$B$2:$B$313,Sarjataulukko!K$5)=0,"",SUMIFS(Data!$L$2:$L$313,Data!$I$2:$I$313,Sarjataulukko!$B15,Data!$B$2:$B$313,Sarjataulukko!K$5)))</f>
        <v>284</v>
      </c>
      <c r="L15" s="40">
        <f ca="1">IF(L$5&gt;keilatut,"",IF(SUMIFS(Data!$L$2:$L$313,Data!$I$2:$I$313,Sarjataulukko!$B15,Data!$B$2:$B$313,Sarjataulukko!L$5)=0,"",SUMIFS(Data!$L$2:$L$313,Data!$I$2:$I$313,Sarjataulukko!$B15,Data!$B$2:$B$313,Sarjataulukko!L$5)))</f>
        <v>286</v>
      </c>
      <c r="M15" s="40">
        <f ca="1">IF(M$5&gt;keilatut,"",IF(SUMIFS(Data!$L$2:$L$313,Data!$I$2:$I$313,Sarjataulukko!$B15,Data!$B$2:$B$313,Sarjataulukko!M$5)=0,"",SUMIFS(Data!$L$2:$L$313,Data!$I$2:$I$313,Sarjataulukko!$B15,Data!$B$2:$B$313,Sarjataulukko!M$5)))</f>
        <v>292</v>
      </c>
      <c r="N15" s="40" t="str">
        <f ca="1">IF(N$5&gt;keilatut,"",IF(SUMIFS(Data!$L$2:$L$313,Data!$I$2:$I$313,Sarjataulukko!$B15,Data!$B$2:$B$313,Sarjataulukko!N$5)=0,"",SUMIFS(Data!$L$2:$L$313,Data!$I$2:$I$313,Sarjataulukko!$B15,Data!$B$2:$B$313,Sarjataulukko!N$5)))</f>
        <v/>
      </c>
      <c r="O15" s="40">
        <f ca="1">IF(O$5&gt;keilatut,"",IF(SUMIFS(Data!$L$2:$L$313,Data!$I$2:$I$313,Sarjataulukko!$B15,Data!$B$2:$B$313,Sarjataulukko!O$5)=0,"",SUMIFS(Data!$L$2:$L$313,Data!$I$2:$I$313,Sarjataulukko!$B15,Data!$B$2:$B$313,Sarjataulukko!O$5)))</f>
        <v>271</v>
      </c>
      <c r="P15" s="40">
        <f ca="1">IF(P$5&gt;keilatut,"",IF(SUMIFS(Data!$L$2:$L$313,Data!$I$2:$I$313,Sarjataulukko!$B15,Data!$B$2:$B$313,Sarjataulukko!P$5)=0,"",SUMIFS(Data!$L$2:$L$313,Data!$I$2:$I$313,Sarjataulukko!$B15,Data!$B$2:$B$313,Sarjataulukko!P$5)))</f>
        <v>226</v>
      </c>
      <c r="Q15" s="40" t="str">
        <f>IF(Q$5&gt;keilatut,"",IF(SUMIFS(Data!$L$2:$L$313,Data!$I$2:$I$313,Sarjataulukko!$B15,Data!$B$2:$B$313,Sarjataulukko!Q$5)=0,"",SUMIFS(Data!$L$2:$L$313,Data!$I$2:$I$313,Sarjataulukko!$B15,Data!$B$2:$B$313,Sarjataulukko!Q$5)))</f>
        <v/>
      </c>
      <c r="R15" s="40" t="str">
        <f>IF(R$5&gt;keilatut,"",IF(SUMIFS(Data!$L$2:$L$313,Data!$I$2:$I$313,Sarjataulukko!$B15,Data!$B$2:$B$313,Sarjataulukko!R$5)=0,"",SUMIFS(Data!$L$2:$L$313,Data!$I$2:$I$313,Sarjataulukko!$B15,Data!$B$2:$B$313,Sarjataulukko!R$5)))</f>
        <v/>
      </c>
      <c r="S15" s="38" t="str">
        <f>IF(S$5&gt;keilatut,"",IF(SUMIFS(Data!$L$2:$L$313,Data!$I$2:$I$313,Sarjataulukko!$B15,Data!$B$2:$B$313,Sarjataulukko!S$5)=0,"",SUMIFS(Data!$L$2:$L$313,Data!$I$2:$I$313,Sarjataulukko!$B15,Data!$B$2:$B$313,Sarjataulukko!S$5)))</f>
        <v/>
      </c>
      <c r="T15" s="39">
        <f t="shared" ca="1" si="14"/>
        <v>1896</v>
      </c>
      <c r="U15" s="41">
        <f t="shared" ca="1" si="22"/>
        <v>270.85714285714283</v>
      </c>
      <c r="V15" s="42">
        <f t="shared" ca="1" si="23"/>
        <v>135.42857142857142</v>
      </c>
      <c r="Y15" s="10" t="str">
        <f t="shared" ca="1" si="17"/>
        <v>Olli Kajava</v>
      </c>
      <c r="Z15" s="10">
        <f ca="1">IF(Z$5&gt;keilatut,"",SUMIFS(Data!$AL$2:$AL$313,Data!$I$2:$I$313,Sarjataulukko!$Y15,Data!$B$2:$B$313,Sarjataulukko!Z$5))</f>
        <v>0</v>
      </c>
      <c r="AA15" s="10">
        <f ca="1">IF(AA$5&gt;keilatut,"",SUMIFS(Data!$AL$2:$AL$313,Data!$I$2:$I$313,Sarjataulukko!$Y15,Data!$B$2:$B$313,Sarjataulukko!AA$5))</f>
        <v>1</v>
      </c>
      <c r="AB15" s="10">
        <f ca="1">IF(AB$5&gt;keilatut,"",SUMIFS(Data!$AL$2:$AL$313,Data!$I$2:$I$313,Sarjataulukko!$Y15,Data!$B$2:$B$313,Sarjataulukko!AB$5))</f>
        <v>0</v>
      </c>
      <c r="AC15" s="10">
        <f ca="1">IF(AC$5&gt;keilatut,"",SUMIFS(Data!$AL$2:$AL$313,Data!$I$2:$I$313,Sarjataulukko!$Y15,Data!$B$2:$B$313,Sarjataulukko!AC$5))</f>
        <v>6</v>
      </c>
      <c r="AD15" s="10">
        <f ca="1">IF(AD$5&gt;keilatut,"",SUMIFS(Data!$AL$2:$AL$313,Data!$I$2:$I$313,Sarjataulukko!$Y15,Data!$B$2:$B$313,Sarjataulukko!AD$5))</f>
        <v>2</v>
      </c>
      <c r="AE15" s="10">
        <f ca="1">IF(AE$5&gt;keilatut,"",SUMIFS(Data!$AL$2:$AL$313,Data!$I$2:$I$313,Sarjataulukko!$Y15,Data!$B$2:$B$313,Sarjataulukko!AE$5))</f>
        <v>4</v>
      </c>
      <c r="AF15" s="10">
        <f ca="1">IF(AF$5&gt;keilatut,"",SUMIFS(Data!$AL$2:$AL$313,Data!$I$2:$I$313,Sarjataulukko!$Y15,Data!$B$2:$B$313,Sarjataulukko!AF$5))</f>
        <v>6</v>
      </c>
      <c r="AG15" s="10">
        <f ca="1">IF(AG$5&gt;keilatut,"",SUMIFS(Data!$AL$2:$AL$313,Data!$I$2:$I$313,Sarjataulukko!$Y15,Data!$B$2:$B$313,Sarjataulukko!AG$5))</f>
        <v>0</v>
      </c>
      <c r="AH15" s="10">
        <f ca="1">IF(AH$5&gt;keilatut,"",SUMIFS(Data!$AL$2:$AL$313,Data!$I$2:$I$313,Sarjataulukko!$Y15,Data!$B$2:$B$313,Sarjataulukko!AH$5))</f>
        <v>3</v>
      </c>
      <c r="AI15" s="10">
        <f ca="1">IF(AI$5&gt;keilatut,"",SUMIFS(Data!$AL$2:$AL$313,Data!$I$2:$I$313,Sarjataulukko!$Y15,Data!$B$2:$B$313,Sarjataulukko!AI$5))</f>
        <v>2</v>
      </c>
      <c r="AJ15" s="10" t="str">
        <f>IF(AJ$5&gt;keilatut,"",SUMIFS(Data!$AL$2:$AL$313,Data!$I$2:$I$313,Sarjataulukko!$Y15,Data!$B$2:$B$313,Sarjataulukko!AJ$5))</f>
        <v/>
      </c>
      <c r="AK15" s="10" t="str">
        <f>IF(AK$5&gt;keilatut,"",SUMIFS(Data!$AL$2:$AL$313,Data!$I$2:$I$313,Sarjataulukko!$Y15,Data!$B$2:$B$313,Sarjataulukko!AK$5))</f>
        <v/>
      </c>
      <c r="AL15" s="10" t="str">
        <f>IF(AL$5&gt;keilatut,"",SUMIFS(Data!$AL$2:$AL$313,Data!$I$2:$I$313,Sarjataulukko!$Y15,Data!$B$2:$B$313,Sarjataulukko!AL$5))</f>
        <v/>
      </c>
      <c r="AM15" s="10">
        <f t="shared" ca="1" si="18"/>
        <v>0</v>
      </c>
      <c r="AN15" s="10" cm="1">
        <f t="array" aca="1" ref="AN15" ca="1">IF($Y15="","",SUM(LARGE($Z15:$AL15,{1;2;3;4;5;6;7;8;9;10})))</f>
        <v>24</v>
      </c>
      <c r="AO15" s="10">
        <f t="shared" ca="1" si="4"/>
        <v>24</v>
      </c>
      <c r="AP15" s="10">
        <f t="shared" ca="1" si="19"/>
        <v>135.4</v>
      </c>
      <c r="AQ15" s="10">
        <f ca="1">IF(Sarjataulukko!$Y15="","",_xlfn.MAXIFS(Data!$AQ$2:$AQ$313,Data!$I$2:$I$313,Sarjataulukko!$Y15))</f>
        <v>0</v>
      </c>
      <c r="AR15" s="10">
        <f t="shared" ca="1" si="20"/>
        <v>15</v>
      </c>
      <c r="AS15" s="13">
        <f t="shared" ca="1" si="5"/>
        <v>0.1</v>
      </c>
      <c r="AT15" s="14">
        <f t="shared" ca="1" si="6"/>
        <v>1E-3</v>
      </c>
      <c r="AU15" s="15">
        <f t="shared" ca="1" si="7"/>
        <v>7.9999999999999996E-6</v>
      </c>
      <c r="AV15" s="16">
        <f t="shared" ca="1" si="8"/>
        <v>8.0000000000000002E-8</v>
      </c>
      <c r="AW15" s="17">
        <f t="shared" ca="1" si="9"/>
        <v>1.0000000000000001E-9</v>
      </c>
      <c r="AX15" s="17">
        <f ca="1">IF($Y15="","",SUM($AS15:$AW15))</f>
        <v>0.101008081</v>
      </c>
      <c r="AY15" s="10">
        <f ca="1">IF($Y15="","",_xlfn.RANK.EQ($AX15,$AX$6:$AX$23,1))</f>
        <v>10</v>
      </c>
      <c r="AZ15" s="10">
        <f t="shared" ca="1" si="10"/>
        <v>14</v>
      </c>
      <c r="BA15" s="10">
        <f t="shared" ca="1" si="24"/>
        <v>10</v>
      </c>
      <c r="BB15" s="10" t="str">
        <f t="shared" ca="1" si="11"/>
        <v>Miikka Korventausta</v>
      </c>
    </row>
    <row r="16" spans="1:54" x14ac:dyDescent="0.25">
      <c r="A16" s="33">
        <f>IF(keilatut=0,"",IF(1+A15&gt;Data!$CP$2,"",1+A15))</f>
        <v>11</v>
      </c>
      <c r="B16" s="34" t="str">
        <f ca="1">IF($A16="","",OFFSET(Data!$I$1,MATCH(Sarjataulukko!$A16,Data!$AX$2:$AX$313,0),0))</f>
        <v>Kaleva Latvala</v>
      </c>
      <c r="C16" s="35">
        <f t="shared" ca="1" si="12"/>
        <v>7</v>
      </c>
      <c r="D16" s="36">
        <f ca="1">IF($A16="","",SUMIFS(Data!$AM$2:$AM$313,Data!$I$2:$I$313,Sarjataulukko!$B16,Data!$B$2:$B$313,keilatut))</f>
        <v>24</v>
      </c>
      <c r="E16" s="37">
        <f t="shared" ca="1" si="21"/>
        <v>3.4285714285714284</v>
      </c>
      <c r="F16" s="38">
        <f ca="1">IF(Sarjataulukko!$A16="","",_xlfn.MAXIFS(Data!$AQ$2:$AQ$313,Data!$I$2:$I$313,Sarjataulukko!$B16))</f>
        <v>1</v>
      </c>
      <c r="G16" s="39">
        <f ca="1">IF(G$5&gt;keilatut,"",IF(SUMIFS(Data!$L$2:$L$313,Data!$I$2:$I$313,Sarjataulukko!$B16,Data!$B$2:$B$313,Sarjataulukko!G$5)=0,"",SUMIFS(Data!$L$2:$L$313,Data!$I$2:$I$313,Sarjataulukko!$B16,Data!$B$2:$B$313,Sarjataulukko!G$5)))</f>
        <v>259</v>
      </c>
      <c r="H16" s="40">
        <f ca="1">IF(H$5&gt;keilatut,"",IF(SUMIFS(Data!$L$2:$L$313,Data!$I$2:$I$313,Sarjataulukko!$B16,Data!$B$2:$B$313,Sarjataulukko!H$5)=0,"",SUMIFS(Data!$L$2:$L$313,Data!$I$2:$I$313,Sarjataulukko!$B16,Data!$B$2:$B$313,Sarjataulukko!H$5)))</f>
        <v>261</v>
      </c>
      <c r="I16" s="40">
        <f ca="1">IF(I$5&gt;keilatut,"",IF(SUMIFS(Data!$L$2:$L$313,Data!$I$2:$I$313,Sarjataulukko!$B16,Data!$B$2:$B$313,Sarjataulukko!I$5)=0,"",SUMIFS(Data!$L$2:$L$313,Data!$I$2:$I$313,Sarjataulukko!$B16,Data!$B$2:$B$313,Sarjataulukko!I$5)))</f>
        <v>232</v>
      </c>
      <c r="J16" s="40">
        <f ca="1">IF(J$5&gt;keilatut,"",IF(SUMIFS(Data!$L$2:$L$313,Data!$I$2:$I$313,Sarjataulukko!$B16,Data!$B$2:$B$313,Sarjataulukko!J$5)=0,"",SUMIFS(Data!$L$2:$L$313,Data!$I$2:$I$313,Sarjataulukko!$B16,Data!$B$2:$B$313,Sarjataulukko!J$5)))</f>
        <v>279</v>
      </c>
      <c r="K16" s="40" t="str">
        <f ca="1">IF(K$5&gt;keilatut,"",IF(SUMIFS(Data!$L$2:$L$313,Data!$I$2:$I$313,Sarjataulukko!$B16,Data!$B$2:$B$313,Sarjataulukko!K$5)=0,"",SUMIFS(Data!$L$2:$L$313,Data!$I$2:$I$313,Sarjataulukko!$B16,Data!$B$2:$B$313,Sarjataulukko!K$5)))</f>
        <v/>
      </c>
      <c r="L16" s="40">
        <f ca="1">IF(L$5&gt;keilatut,"",IF(SUMIFS(Data!$L$2:$L$313,Data!$I$2:$I$313,Sarjataulukko!$B16,Data!$B$2:$B$313,Sarjataulukko!L$5)=0,"",SUMIFS(Data!$L$2:$L$313,Data!$I$2:$I$313,Sarjataulukko!$B16,Data!$B$2:$B$313,Sarjataulukko!L$5)))</f>
        <v>218</v>
      </c>
      <c r="M16" s="40" t="str">
        <f ca="1">IF(M$5&gt;keilatut,"",IF(SUMIFS(Data!$L$2:$L$313,Data!$I$2:$I$313,Sarjataulukko!$B16,Data!$B$2:$B$313,Sarjataulukko!M$5)=0,"",SUMIFS(Data!$L$2:$L$313,Data!$I$2:$I$313,Sarjataulukko!$B16,Data!$B$2:$B$313,Sarjataulukko!M$5)))</f>
        <v/>
      </c>
      <c r="N16" s="40">
        <f ca="1">IF(N$5&gt;keilatut,"",IF(SUMIFS(Data!$L$2:$L$313,Data!$I$2:$I$313,Sarjataulukko!$B16,Data!$B$2:$B$313,Sarjataulukko!N$5)=0,"",SUMIFS(Data!$L$2:$L$313,Data!$I$2:$I$313,Sarjataulukko!$B16,Data!$B$2:$B$313,Sarjataulukko!N$5)))</f>
        <v>216</v>
      </c>
      <c r="O16" s="40">
        <f ca="1">IF(O$5&gt;keilatut,"",IF(SUMIFS(Data!$L$2:$L$313,Data!$I$2:$I$313,Sarjataulukko!$B16,Data!$B$2:$B$313,Sarjataulukko!O$5)=0,"",SUMIFS(Data!$L$2:$L$313,Data!$I$2:$I$313,Sarjataulukko!$B16,Data!$B$2:$B$313,Sarjataulukko!O$5)))</f>
        <v>272</v>
      </c>
      <c r="P16" s="40" t="str">
        <f ca="1">IF(P$5&gt;keilatut,"",IF(SUMIFS(Data!$L$2:$L$313,Data!$I$2:$I$313,Sarjataulukko!$B16,Data!$B$2:$B$313,Sarjataulukko!P$5)=0,"",SUMIFS(Data!$L$2:$L$313,Data!$I$2:$I$313,Sarjataulukko!$B16,Data!$B$2:$B$313,Sarjataulukko!P$5)))</f>
        <v/>
      </c>
      <c r="Q16" s="40" t="str">
        <f>IF(Q$5&gt;keilatut,"",IF(SUMIFS(Data!$L$2:$L$313,Data!$I$2:$I$313,Sarjataulukko!$B16,Data!$B$2:$B$313,Sarjataulukko!Q$5)=0,"",SUMIFS(Data!$L$2:$L$313,Data!$I$2:$I$313,Sarjataulukko!$B16,Data!$B$2:$B$313,Sarjataulukko!Q$5)))</f>
        <v/>
      </c>
      <c r="R16" s="40" t="str">
        <f>IF(R$5&gt;keilatut,"",IF(SUMIFS(Data!$L$2:$L$313,Data!$I$2:$I$313,Sarjataulukko!$B16,Data!$B$2:$B$313,Sarjataulukko!R$5)=0,"",SUMIFS(Data!$L$2:$L$313,Data!$I$2:$I$313,Sarjataulukko!$B16,Data!$B$2:$B$313,Sarjataulukko!R$5)))</f>
        <v/>
      </c>
      <c r="S16" s="38" t="str">
        <f>IF(S$5&gt;keilatut,"",IF(SUMIFS(Data!$L$2:$L$313,Data!$I$2:$I$313,Sarjataulukko!$B16,Data!$B$2:$B$313,Sarjataulukko!S$5)=0,"",SUMIFS(Data!$L$2:$L$313,Data!$I$2:$I$313,Sarjataulukko!$B16,Data!$B$2:$B$313,Sarjataulukko!S$5)))</f>
        <v/>
      </c>
      <c r="T16" s="39">
        <f t="shared" ca="1" si="14"/>
        <v>1737</v>
      </c>
      <c r="U16" s="41">
        <f t="shared" ca="1" si="22"/>
        <v>248.14285714285714</v>
      </c>
      <c r="V16" s="42">
        <f t="shared" ca="1" si="23"/>
        <v>124.07142857142857</v>
      </c>
      <c r="Y16" s="10" t="str">
        <f t="shared" ca="1" si="17"/>
        <v>Kaleva Latvala</v>
      </c>
      <c r="Z16" s="10">
        <f ca="1">IF(Z$5&gt;keilatut,"",SUMIFS(Data!$AL$2:$AL$313,Data!$I$2:$I$313,Sarjataulukko!$Y16,Data!$B$2:$B$313,Sarjataulukko!Z$5))</f>
        <v>13</v>
      </c>
      <c r="AA16" s="10">
        <f ca="1">IF(AA$5&gt;keilatut,"",SUMIFS(Data!$AL$2:$AL$313,Data!$I$2:$I$313,Sarjataulukko!$Y16,Data!$B$2:$B$313,Sarjataulukko!AA$5))</f>
        <v>2</v>
      </c>
      <c r="AB16" s="10">
        <f ca="1">IF(AB$5&gt;keilatut,"",SUMIFS(Data!$AL$2:$AL$313,Data!$I$2:$I$313,Sarjataulukko!$Y16,Data!$B$2:$B$313,Sarjataulukko!AB$5))</f>
        <v>2</v>
      </c>
      <c r="AC16" s="10">
        <f ca="1">IF(AC$5&gt;keilatut,"",SUMIFS(Data!$AL$2:$AL$313,Data!$I$2:$I$313,Sarjataulukko!$Y16,Data!$B$2:$B$313,Sarjataulukko!AC$5))</f>
        <v>4</v>
      </c>
      <c r="AD16" s="10">
        <f ca="1">IF(AD$5&gt;keilatut,"",SUMIFS(Data!$AL$2:$AL$313,Data!$I$2:$I$313,Sarjataulukko!$Y16,Data!$B$2:$B$313,Sarjataulukko!AD$5))</f>
        <v>0</v>
      </c>
      <c r="AE16" s="10">
        <f ca="1">IF(AE$5&gt;keilatut,"",SUMIFS(Data!$AL$2:$AL$313,Data!$I$2:$I$313,Sarjataulukko!$Y16,Data!$B$2:$B$313,Sarjataulukko!AE$5))</f>
        <v>-1</v>
      </c>
      <c r="AF16" s="10">
        <f ca="1">IF(AF$5&gt;keilatut,"",SUMIFS(Data!$AL$2:$AL$313,Data!$I$2:$I$313,Sarjataulukko!$Y16,Data!$B$2:$B$313,Sarjataulukko!AF$5))</f>
        <v>0</v>
      </c>
      <c r="AG16" s="10">
        <f ca="1">IF(AG$5&gt;keilatut,"",SUMIFS(Data!$AL$2:$AL$313,Data!$I$2:$I$313,Sarjataulukko!$Y16,Data!$B$2:$B$313,Sarjataulukko!AG$5))</f>
        <v>0</v>
      </c>
      <c r="AH16" s="10">
        <f ca="1">IF(AH$5&gt;keilatut,"",SUMIFS(Data!$AL$2:$AL$313,Data!$I$2:$I$313,Sarjataulukko!$Y16,Data!$B$2:$B$313,Sarjataulukko!AH$5))</f>
        <v>4</v>
      </c>
      <c r="AI16" s="10">
        <f ca="1">IF(AI$5&gt;keilatut,"",SUMIFS(Data!$AL$2:$AL$313,Data!$I$2:$I$313,Sarjataulukko!$Y16,Data!$B$2:$B$313,Sarjataulukko!AI$5))</f>
        <v>0</v>
      </c>
      <c r="AJ16" s="10" t="str">
        <f>IF(AJ$5&gt;keilatut,"",SUMIFS(Data!$AL$2:$AL$313,Data!$I$2:$I$313,Sarjataulukko!$Y16,Data!$B$2:$B$313,Sarjataulukko!AJ$5))</f>
        <v/>
      </c>
      <c r="AK16" s="10" t="str">
        <f>IF(AK$5&gt;keilatut,"",SUMIFS(Data!$AL$2:$AL$313,Data!$I$2:$I$313,Sarjataulukko!$Y16,Data!$B$2:$B$313,Sarjataulukko!AK$5))</f>
        <v/>
      </c>
      <c r="AL16" s="10" t="str">
        <f>IF(AL$5&gt;keilatut,"",SUMIFS(Data!$AL$2:$AL$313,Data!$I$2:$I$313,Sarjataulukko!$Y16,Data!$B$2:$B$313,Sarjataulukko!AL$5))</f>
        <v/>
      </c>
      <c r="AM16" s="10">
        <f t="shared" ca="1" si="18"/>
        <v>0</v>
      </c>
      <c r="AN16" s="10" cm="1">
        <f t="array" aca="1" ref="AN16" ca="1">IF($Y16="","",SUM(LARGE($Z16:$AL16,{1;2;3;4;5;6;7;8;9;10})))</f>
        <v>24</v>
      </c>
      <c r="AO16" s="10">
        <f t="shared" ca="1" si="4"/>
        <v>24</v>
      </c>
      <c r="AP16" s="10">
        <f t="shared" ca="1" si="19"/>
        <v>124.1</v>
      </c>
      <c r="AQ16" s="10">
        <f ca="1">IF(Sarjataulukko!$Y16="","",_xlfn.MAXIFS(Data!$AQ$2:$AQ$313,Data!$I$2:$I$313,Sarjataulukko!$Y16))</f>
        <v>1</v>
      </c>
      <c r="AR16" s="10">
        <f t="shared" ca="1" si="20"/>
        <v>16</v>
      </c>
      <c r="AS16" s="13">
        <f t="shared" ca="1" si="5"/>
        <v>0.1</v>
      </c>
      <c r="AT16" s="14">
        <f t="shared" ca="1" si="6"/>
        <v>1E-3</v>
      </c>
      <c r="AU16" s="15">
        <f t="shared" ca="1" si="7"/>
        <v>1.2999999999999999E-5</v>
      </c>
      <c r="AV16" s="16">
        <f t="shared" ca="1" si="8"/>
        <v>4.0000000000000001E-8</v>
      </c>
      <c r="AW16" s="17">
        <f t="shared" ca="1" si="9"/>
        <v>1.0999999999999999E-9</v>
      </c>
      <c r="AX16" s="17">
        <f ca="1">IF($Y16="","",SUM($AS16:$AW16))</f>
        <v>0.10101304110000001</v>
      </c>
      <c r="AY16" s="10">
        <f ca="1">IF($Y16="","",_xlfn.RANK.EQ($AX16,$AX$6:$AX$23,1))</f>
        <v>11</v>
      </c>
      <c r="AZ16" s="10">
        <f t="shared" ca="1" si="10"/>
        <v>8</v>
      </c>
      <c r="BA16" s="10">
        <f t="shared" ca="1" si="24"/>
        <v>11</v>
      </c>
      <c r="BB16" s="10" t="str">
        <f t="shared" ca="1" si="11"/>
        <v>Mika Sola</v>
      </c>
    </row>
    <row r="17" spans="1:54" x14ac:dyDescent="0.25">
      <c r="A17" s="33">
        <f>IF(keilatut=0,"",IF(1+A16&gt;Data!$CP$2,"",1+A16))</f>
        <v>12</v>
      </c>
      <c r="B17" s="34" t="str">
        <f ca="1">IF($A17="","",OFFSET(Data!$I$1,MATCH(Sarjataulukko!$A17,Data!$AX$2:$AX$313,0),0))</f>
        <v>Miikka Korventausta</v>
      </c>
      <c r="C17" s="35">
        <f t="shared" ca="1" si="12"/>
        <v>8</v>
      </c>
      <c r="D17" s="36">
        <f ca="1">IF($A17="","",SUMIFS(Data!$AM$2:$AM$313,Data!$I$2:$I$313,Sarjataulukko!$B17,Data!$B$2:$B$313,keilatut))</f>
        <v>20</v>
      </c>
      <c r="E17" s="37">
        <f t="shared" ca="1" si="21"/>
        <v>2.5</v>
      </c>
      <c r="F17" s="38">
        <f ca="1">IF(Sarjataulukko!$A17="","",_xlfn.MAXIFS(Data!$AQ$2:$AQ$313,Data!$I$2:$I$313,Sarjataulukko!$B17))</f>
        <v>0</v>
      </c>
      <c r="G17" s="39">
        <f ca="1">IF(G$5&gt;keilatut,"",IF(SUMIFS(Data!$L$2:$L$313,Data!$I$2:$I$313,Sarjataulukko!$B17,Data!$B$2:$B$313,Sarjataulukko!G$5)=0,"",SUMIFS(Data!$L$2:$L$313,Data!$I$2:$I$313,Sarjataulukko!$B17,Data!$B$2:$B$313,Sarjataulukko!G$5)))</f>
        <v>180</v>
      </c>
      <c r="H17" s="40">
        <f ca="1">IF(H$5&gt;keilatut,"",IF(SUMIFS(Data!$L$2:$L$313,Data!$I$2:$I$313,Sarjataulukko!$B17,Data!$B$2:$B$313,Sarjataulukko!H$5)=0,"",SUMIFS(Data!$L$2:$L$313,Data!$I$2:$I$313,Sarjataulukko!$B17,Data!$B$2:$B$313,Sarjataulukko!H$5)))</f>
        <v>217</v>
      </c>
      <c r="I17" s="40">
        <f ca="1">IF(I$5&gt;keilatut,"",IF(SUMIFS(Data!$L$2:$L$313,Data!$I$2:$I$313,Sarjataulukko!$B17,Data!$B$2:$B$313,Sarjataulukko!I$5)=0,"",SUMIFS(Data!$L$2:$L$313,Data!$I$2:$I$313,Sarjataulukko!$B17,Data!$B$2:$B$313,Sarjataulukko!I$5)))</f>
        <v>258</v>
      </c>
      <c r="J17" s="40">
        <f ca="1">IF(J$5&gt;keilatut,"",IF(SUMIFS(Data!$L$2:$L$313,Data!$I$2:$I$313,Sarjataulukko!$B17,Data!$B$2:$B$313,Sarjataulukko!J$5)=0,"",SUMIFS(Data!$L$2:$L$313,Data!$I$2:$I$313,Sarjataulukko!$B17,Data!$B$2:$B$313,Sarjataulukko!J$5)))</f>
        <v>266</v>
      </c>
      <c r="K17" s="40">
        <f ca="1">IF(K$5&gt;keilatut,"",IF(SUMIFS(Data!$L$2:$L$313,Data!$I$2:$I$313,Sarjataulukko!$B17,Data!$B$2:$B$313,Sarjataulukko!K$5)=0,"",SUMIFS(Data!$L$2:$L$313,Data!$I$2:$I$313,Sarjataulukko!$B17,Data!$B$2:$B$313,Sarjataulukko!K$5)))</f>
        <v>327</v>
      </c>
      <c r="L17" s="40" t="str">
        <f ca="1">IF(L$5&gt;keilatut,"",IF(SUMIFS(Data!$L$2:$L$313,Data!$I$2:$I$313,Sarjataulukko!$B17,Data!$B$2:$B$313,Sarjataulukko!L$5)=0,"",SUMIFS(Data!$L$2:$L$313,Data!$I$2:$I$313,Sarjataulukko!$B17,Data!$B$2:$B$313,Sarjataulukko!L$5)))</f>
        <v/>
      </c>
      <c r="M17" s="40">
        <f ca="1">IF(M$5&gt;keilatut,"",IF(SUMIFS(Data!$L$2:$L$313,Data!$I$2:$I$313,Sarjataulukko!$B17,Data!$B$2:$B$313,Sarjataulukko!M$5)=0,"",SUMIFS(Data!$L$2:$L$313,Data!$I$2:$I$313,Sarjataulukko!$B17,Data!$B$2:$B$313,Sarjataulukko!M$5)))</f>
        <v>265</v>
      </c>
      <c r="N17" s="40">
        <f ca="1">IF(N$5&gt;keilatut,"",IF(SUMIFS(Data!$L$2:$L$313,Data!$I$2:$I$313,Sarjataulukko!$B17,Data!$B$2:$B$313,Sarjataulukko!N$5)=0,"",SUMIFS(Data!$L$2:$L$313,Data!$I$2:$I$313,Sarjataulukko!$B17,Data!$B$2:$B$313,Sarjataulukko!N$5)))</f>
        <v>233</v>
      </c>
      <c r="O17" s="40">
        <f ca="1">IF(O$5&gt;keilatut,"",IF(SUMIFS(Data!$L$2:$L$313,Data!$I$2:$I$313,Sarjataulukko!$B17,Data!$B$2:$B$313,Sarjataulukko!O$5)=0,"",SUMIFS(Data!$L$2:$L$313,Data!$I$2:$I$313,Sarjataulukko!$B17,Data!$B$2:$B$313,Sarjataulukko!O$5)))</f>
        <v>204</v>
      </c>
      <c r="P17" s="40" t="str">
        <f ca="1">IF(P$5&gt;keilatut,"",IF(SUMIFS(Data!$L$2:$L$313,Data!$I$2:$I$313,Sarjataulukko!$B17,Data!$B$2:$B$313,Sarjataulukko!P$5)=0,"",SUMIFS(Data!$L$2:$L$313,Data!$I$2:$I$313,Sarjataulukko!$B17,Data!$B$2:$B$313,Sarjataulukko!P$5)))</f>
        <v/>
      </c>
      <c r="Q17" s="40" t="str">
        <f>IF(Q$5&gt;keilatut,"",IF(SUMIFS(Data!$L$2:$L$313,Data!$I$2:$I$313,Sarjataulukko!$B17,Data!$B$2:$B$313,Sarjataulukko!Q$5)=0,"",SUMIFS(Data!$L$2:$L$313,Data!$I$2:$I$313,Sarjataulukko!$B17,Data!$B$2:$B$313,Sarjataulukko!Q$5)))</f>
        <v/>
      </c>
      <c r="R17" s="40" t="str">
        <f>IF(R$5&gt;keilatut,"",IF(SUMIFS(Data!$L$2:$L$313,Data!$I$2:$I$313,Sarjataulukko!$B17,Data!$B$2:$B$313,Sarjataulukko!R$5)=0,"",SUMIFS(Data!$L$2:$L$313,Data!$I$2:$I$313,Sarjataulukko!$B17,Data!$B$2:$B$313,Sarjataulukko!R$5)))</f>
        <v/>
      </c>
      <c r="S17" s="38" t="str">
        <f>IF(S$5&gt;keilatut,"",IF(SUMIFS(Data!$L$2:$L$313,Data!$I$2:$I$313,Sarjataulukko!$B17,Data!$B$2:$B$313,Sarjataulukko!S$5)=0,"",SUMIFS(Data!$L$2:$L$313,Data!$I$2:$I$313,Sarjataulukko!$B17,Data!$B$2:$B$313,Sarjataulukko!S$5)))</f>
        <v/>
      </c>
      <c r="T17" s="39">
        <f t="shared" ca="1" si="14"/>
        <v>1950</v>
      </c>
      <c r="U17" s="41">
        <f t="shared" ca="1" si="22"/>
        <v>243.75</v>
      </c>
      <c r="V17" s="42">
        <f t="shared" ca="1" si="23"/>
        <v>121.875</v>
      </c>
      <c r="Y17" s="10" t="str">
        <f t="shared" ca="1" si="17"/>
        <v>Miikka Korventausta</v>
      </c>
      <c r="Z17" s="10">
        <f ca="1">IF(Z$5&gt;keilatut,"",SUMIFS(Data!$AL$2:$AL$313,Data!$I$2:$I$313,Sarjataulukko!$Y17,Data!$B$2:$B$313,Sarjataulukko!Z$5))</f>
        <v>0</v>
      </c>
      <c r="AA17" s="10">
        <f ca="1">IF(AA$5&gt;keilatut,"",SUMIFS(Data!$AL$2:$AL$313,Data!$I$2:$I$313,Sarjataulukko!$Y17,Data!$B$2:$B$313,Sarjataulukko!AA$5))</f>
        <v>0</v>
      </c>
      <c r="AB17" s="10">
        <f ca="1">IF(AB$5&gt;keilatut,"",SUMIFS(Data!$AL$2:$AL$313,Data!$I$2:$I$313,Sarjataulukko!$Y17,Data!$B$2:$B$313,Sarjataulukko!AB$5))</f>
        <v>5</v>
      </c>
      <c r="AC17" s="10">
        <f ca="1">IF(AC$5&gt;keilatut,"",SUMIFS(Data!$AL$2:$AL$313,Data!$I$2:$I$313,Sarjataulukko!$Y17,Data!$B$2:$B$313,Sarjataulukko!AC$5))</f>
        <v>2</v>
      </c>
      <c r="AD17" s="10">
        <f ca="1">IF(AD$5&gt;keilatut,"",SUMIFS(Data!$AL$2:$AL$313,Data!$I$2:$I$313,Sarjataulukko!$Y17,Data!$B$2:$B$313,Sarjataulukko!AD$5))</f>
        <v>10</v>
      </c>
      <c r="AE17" s="10">
        <f ca="1">IF(AE$5&gt;keilatut,"",SUMIFS(Data!$AL$2:$AL$313,Data!$I$2:$I$313,Sarjataulukko!$Y17,Data!$B$2:$B$313,Sarjataulukko!AE$5))</f>
        <v>0</v>
      </c>
      <c r="AF17" s="10">
        <f ca="1">IF(AF$5&gt;keilatut,"",SUMIFS(Data!$AL$2:$AL$313,Data!$I$2:$I$313,Sarjataulukko!$Y17,Data!$B$2:$B$313,Sarjataulukko!AF$5))</f>
        <v>3</v>
      </c>
      <c r="AG17" s="10">
        <f ca="1">IF(AG$5&gt;keilatut,"",SUMIFS(Data!$AL$2:$AL$313,Data!$I$2:$I$313,Sarjataulukko!$Y17,Data!$B$2:$B$313,Sarjataulukko!AG$5))</f>
        <v>0</v>
      </c>
      <c r="AH17" s="10">
        <f ca="1">IF(AH$5&gt;keilatut,"",SUMIFS(Data!$AL$2:$AL$313,Data!$I$2:$I$313,Sarjataulukko!$Y17,Data!$B$2:$B$313,Sarjataulukko!AH$5))</f>
        <v>0</v>
      </c>
      <c r="AI17" s="10">
        <f ca="1">IF(AI$5&gt;keilatut,"",SUMIFS(Data!$AL$2:$AL$313,Data!$I$2:$I$313,Sarjataulukko!$Y17,Data!$B$2:$B$313,Sarjataulukko!AI$5))</f>
        <v>0</v>
      </c>
      <c r="AJ17" s="10" t="str">
        <f>IF(AJ$5&gt;keilatut,"",SUMIFS(Data!$AL$2:$AL$313,Data!$I$2:$I$313,Sarjataulukko!$Y17,Data!$B$2:$B$313,Sarjataulukko!AJ$5))</f>
        <v/>
      </c>
      <c r="AK17" s="10" t="str">
        <f>IF(AK$5&gt;keilatut,"",SUMIFS(Data!$AL$2:$AL$313,Data!$I$2:$I$313,Sarjataulukko!$Y17,Data!$B$2:$B$313,Sarjataulukko!AK$5))</f>
        <v/>
      </c>
      <c r="AL17" s="10" t="str">
        <f>IF(AL$5&gt;keilatut,"",SUMIFS(Data!$AL$2:$AL$313,Data!$I$2:$I$313,Sarjataulukko!$Y17,Data!$B$2:$B$313,Sarjataulukko!AL$5))</f>
        <v/>
      </c>
      <c r="AM17" s="10">
        <f t="shared" ca="1" si="18"/>
        <v>0</v>
      </c>
      <c r="AN17" s="10" cm="1">
        <f t="array" aca="1" ref="AN17" ca="1">IF($Y17="","",SUM(LARGE($Z17:$AL17,{1;2;3;4;5;6;7;8;9;10})))</f>
        <v>20</v>
      </c>
      <c r="AO17" s="10">
        <f t="shared" ca="1" si="4"/>
        <v>20</v>
      </c>
      <c r="AP17" s="10">
        <f t="shared" ca="1" si="19"/>
        <v>121.9</v>
      </c>
      <c r="AQ17" s="10">
        <f ca="1">IF(Sarjataulukko!$Y17="","",_xlfn.MAXIFS(Data!$AQ$2:$AQ$313,Data!$I$2:$I$313,Sarjataulukko!$Y17))</f>
        <v>0</v>
      </c>
      <c r="AR17" s="10">
        <f t="shared" ca="1" si="20"/>
        <v>17</v>
      </c>
      <c r="AS17" s="13">
        <f t="shared" ca="1" si="5"/>
        <v>0.12</v>
      </c>
      <c r="AT17" s="14">
        <f t="shared" ca="1" si="6"/>
        <v>1.1999999999999999E-3</v>
      </c>
      <c r="AU17" s="15">
        <f t="shared" ca="1" si="7"/>
        <v>1.5E-5</v>
      </c>
      <c r="AV17" s="16">
        <f t="shared" ca="1" si="8"/>
        <v>8.0000000000000002E-8</v>
      </c>
      <c r="AW17" s="17">
        <f t="shared" ca="1" si="9"/>
        <v>1.2E-9</v>
      </c>
      <c r="AX17" s="17">
        <f ca="1">IF($Y17="","",SUM($AS17:$AW17))</f>
        <v>0.1212150812</v>
      </c>
      <c r="AY17" s="10">
        <f ca="1">IF($Y17="","",_xlfn.RANK.EQ($AX17,$AX$6:$AX$23,1))</f>
        <v>12</v>
      </c>
      <c r="AZ17" s="10">
        <f t="shared" ca="1" si="10"/>
        <v>10</v>
      </c>
      <c r="BA17" s="10">
        <f t="shared" ca="1" si="24"/>
        <v>12</v>
      </c>
      <c r="BB17" s="10" t="str">
        <f t="shared" ca="1" si="11"/>
        <v>Mikko Mansikkamäki</v>
      </c>
    </row>
    <row r="18" spans="1:54" x14ac:dyDescent="0.25">
      <c r="A18" s="33">
        <f>IF(keilatut=0,"",IF(1+A17&gt;Data!$CP$2,"",1+A17))</f>
        <v>13</v>
      </c>
      <c r="B18" s="34" t="str">
        <f ca="1">IF($A18="","",OFFSET(Data!$I$1,MATCH(Sarjataulukko!$A18,Data!$AX$2:$AX$313,0),0))</f>
        <v>Sakari Leinonen</v>
      </c>
      <c r="C18" s="35">
        <f t="shared" ca="1" si="12"/>
        <v>6</v>
      </c>
      <c r="D18" s="36">
        <f ca="1">IF($A18="","",SUMIFS(Data!$AM$2:$AM$313,Data!$I$2:$I$313,Sarjataulukko!$B18,Data!$B$2:$B$313,keilatut))</f>
        <v>18</v>
      </c>
      <c r="E18" s="37">
        <f t="shared" ca="1" si="21"/>
        <v>3</v>
      </c>
      <c r="F18" s="38">
        <f ca="1">IF(Sarjataulukko!$A18="","",_xlfn.MAXIFS(Data!$AQ$2:$AQ$313,Data!$I$2:$I$313,Sarjataulukko!$B18))</f>
        <v>0</v>
      </c>
      <c r="G18" s="39">
        <f ca="1">IF(G$5&gt;keilatut,"",IF(SUMIFS(Data!$L$2:$L$313,Data!$I$2:$I$313,Sarjataulukko!$B18,Data!$B$2:$B$313,Sarjataulukko!G$5)=0,"",SUMIFS(Data!$L$2:$L$313,Data!$I$2:$I$313,Sarjataulukko!$B18,Data!$B$2:$B$313,Sarjataulukko!G$5)))</f>
        <v>192</v>
      </c>
      <c r="H18" s="40">
        <f ca="1">IF(H$5&gt;keilatut,"",IF(SUMIFS(Data!$L$2:$L$313,Data!$I$2:$I$313,Sarjataulukko!$B18,Data!$B$2:$B$313,Sarjataulukko!H$5)=0,"",SUMIFS(Data!$L$2:$L$313,Data!$I$2:$I$313,Sarjataulukko!$B18,Data!$B$2:$B$313,Sarjataulukko!H$5)))</f>
        <v>332</v>
      </c>
      <c r="I18" s="40">
        <f ca="1">IF(I$5&gt;keilatut,"",IF(SUMIFS(Data!$L$2:$L$313,Data!$I$2:$I$313,Sarjataulukko!$B18,Data!$B$2:$B$313,Sarjataulukko!I$5)=0,"",SUMIFS(Data!$L$2:$L$313,Data!$I$2:$I$313,Sarjataulukko!$B18,Data!$B$2:$B$313,Sarjataulukko!I$5)))</f>
        <v>226</v>
      </c>
      <c r="J18" s="40" t="str">
        <f ca="1">IF(J$5&gt;keilatut,"",IF(SUMIFS(Data!$L$2:$L$313,Data!$I$2:$I$313,Sarjataulukko!$B18,Data!$B$2:$B$313,Sarjataulukko!J$5)=0,"",SUMIFS(Data!$L$2:$L$313,Data!$I$2:$I$313,Sarjataulukko!$B18,Data!$B$2:$B$313,Sarjataulukko!J$5)))</f>
        <v/>
      </c>
      <c r="K18" s="40">
        <f ca="1">IF(K$5&gt;keilatut,"",IF(SUMIFS(Data!$L$2:$L$313,Data!$I$2:$I$313,Sarjataulukko!$B18,Data!$B$2:$B$313,Sarjataulukko!K$5)=0,"",SUMIFS(Data!$L$2:$L$313,Data!$I$2:$I$313,Sarjataulukko!$B18,Data!$B$2:$B$313,Sarjataulukko!K$5)))</f>
        <v>292</v>
      </c>
      <c r="L18" s="40">
        <f ca="1">IF(L$5&gt;keilatut,"",IF(SUMIFS(Data!$L$2:$L$313,Data!$I$2:$I$313,Sarjataulukko!$B18,Data!$B$2:$B$313,Sarjataulukko!L$5)=0,"",SUMIFS(Data!$L$2:$L$313,Data!$I$2:$I$313,Sarjataulukko!$B18,Data!$B$2:$B$313,Sarjataulukko!L$5)))</f>
        <v>237</v>
      </c>
      <c r="M18" s="40" t="str">
        <f ca="1">IF(M$5&gt;keilatut,"",IF(SUMIFS(Data!$L$2:$L$313,Data!$I$2:$I$313,Sarjataulukko!$B18,Data!$B$2:$B$313,Sarjataulukko!M$5)=0,"",SUMIFS(Data!$L$2:$L$313,Data!$I$2:$I$313,Sarjataulukko!$B18,Data!$B$2:$B$313,Sarjataulukko!M$5)))</f>
        <v/>
      </c>
      <c r="N18" s="40" t="str">
        <f ca="1">IF(N$5&gt;keilatut,"",IF(SUMIFS(Data!$L$2:$L$313,Data!$I$2:$I$313,Sarjataulukko!$B18,Data!$B$2:$B$313,Sarjataulukko!N$5)=0,"",SUMIFS(Data!$L$2:$L$313,Data!$I$2:$I$313,Sarjataulukko!$B18,Data!$B$2:$B$313,Sarjataulukko!N$5)))</f>
        <v/>
      </c>
      <c r="O18" s="40" t="str">
        <f ca="1">IF(O$5&gt;keilatut,"",IF(SUMIFS(Data!$L$2:$L$313,Data!$I$2:$I$313,Sarjataulukko!$B18,Data!$B$2:$B$313,Sarjataulukko!O$5)=0,"",SUMIFS(Data!$L$2:$L$313,Data!$I$2:$I$313,Sarjataulukko!$B18,Data!$B$2:$B$313,Sarjataulukko!O$5)))</f>
        <v/>
      </c>
      <c r="P18" s="40">
        <f ca="1">IF(P$5&gt;keilatut,"",IF(SUMIFS(Data!$L$2:$L$313,Data!$I$2:$I$313,Sarjataulukko!$B18,Data!$B$2:$B$313,Sarjataulukko!P$5)=0,"",SUMIFS(Data!$L$2:$L$313,Data!$I$2:$I$313,Sarjataulukko!$B18,Data!$B$2:$B$313,Sarjataulukko!P$5)))</f>
        <v>240</v>
      </c>
      <c r="Q18" s="40" t="str">
        <f>IF(Q$5&gt;keilatut,"",IF(SUMIFS(Data!$L$2:$L$313,Data!$I$2:$I$313,Sarjataulukko!$B18,Data!$B$2:$B$313,Sarjataulukko!Q$5)=0,"",SUMIFS(Data!$L$2:$L$313,Data!$I$2:$I$313,Sarjataulukko!$B18,Data!$B$2:$B$313,Sarjataulukko!Q$5)))</f>
        <v/>
      </c>
      <c r="R18" s="40" t="str">
        <f>IF(R$5&gt;keilatut,"",IF(SUMIFS(Data!$L$2:$L$313,Data!$I$2:$I$313,Sarjataulukko!$B18,Data!$B$2:$B$313,Sarjataulukko!R$5)=0,"",SUMIFS(Data!$L$2:$L$313,Data!$I$2:$I$313,Sarjataulukko!$B18,Data!$B$2:$B$313,Sarjataulukko!R$5)))</f>
        <v/>
      </c>
      <c r="S18" s="38" t="str">
        <f>IF(S$5&gt;keilatut,"",IF(SUMIFS(Data!$L$2:$L$313,Data!$I$2:$I$313,Sarjataulukko!$B18,Data!$B$2:$B$313,Sarjataulukko!S$5)=0,"",SUMIFS(Data!$L$2:$L$313,Data!$I$2:$I$313,Sarjataulukko!$B18,Data!$B$2:$B$313,Sarjataulukko!S$5)))</f>
        <v/>
      </c>
      <c r="T18" s="39">
        <f t="shared" ca="1" si="14"/>
        <v>1519</v>
      </c>
      <c r="U18" s="41">
        <f t="shared" ca="1" si="22"/>
        <v>253.16666666666666</v>
      </c>
      <c r="V18" s="42">
        <f t="shared" ca="1" si="23"/>
        <v>126.58333333333333</v>
      </c>
      <c r="Y18" s="10" t="str">
        <f t="shared" ca="1" si="17"/>
        <v>Sakari Leinonen</v>
      </c>
      <c r="Z18" s="10">
        <f ca="1">IF(Z$5&gt;keilatut,"",SUMIFS(Data!$AL$2:$AL$313,Data!$I$2:$I$313,Sarjataulukko!$Y18,Data!$B$2:$B$313,Sarjataulukko!Z$5))</f>
        <v>1</v>
      </c>
      <c r="AA18" s="10">
        <f ca="1">IF(AA$5&gt;keilatut,"",SUMIFS(Data!$AL$2:$AL$313,Data!$I$2:$I$313,Sarjataulukko!$Y18,Data!$B$2:$B$313,Sarjataulukko!AA$5))</f>
        <v>8</v>
      </c>
      <c r="AB18" s="10">
        <f ca="1">IF(AB$5&gt;keilatut,"",SUMIFS(Data!$AL$2:$AL$313,Data!$I$2:$I$313,Sarjataulukko!$Y18,Data!$B$2:$B$313,Sarjataulukko!AB$5))</f>
        <v>1</v>
      </c>
      <c r="AC18" s="10">
        <f ca="1">IF(AC$5&gt;keilatut,"",SUMIFS(Data!$AL$2:$AL$313,Data!$I$2:$I$313,Sarjataulukko!$Y18,Data!$B$2:$B$313,Sarjataulukko!AC$5))</f>
        <v>0</v>
      </c>
      <c r="AD18" s="10">
        <f ca="1">IF(AD$5&gt;keilatut,"",SUMIFS(Data!$AL$2:$AL$313,Data!$I$2:$I$313,Sarjataulukko!$Y18,Data!$B$2:$B$313,Sarjataulukko!AD$5))</f>
        <v>5</v>
      </c>
      <c r="AE18" s="10">
        <f ca="1">IF(AE$5&gt;keilatut,"",SUMIFS(Data!$AL$2:$AL$313,Data!$I$2:$I$313,Sarjataulukko!$Y18,Data!$B$2:$B$313,Sarjataulukko!AE$5))</f>
        <v>0</v>
      </c>
      <c r="AF18" s="10">
        <f ca="1">IF(AF$5&gt;keilatut,"",SUMIFS(Data!$AL$2:$AL$313,Data!$I$2:$I$313,Sarjataulukko!$Y18,Data!$B$2:$B$313,Sarjataulukko!AF$5))</f>
        <v>0</v>
      </c>
      <c r="AG18" s="10">
        <f ca="1">IF(AG$5&gt;keilatut,"",SUMIFS(Data!$AL$2:$AL$313,Data!$I$2:$I$313,Sarjataulukko!$Y18,Data!$B$2:$B$313,Sarjataulukko!AG$5))</f>
        <v>0</v>
      </c>
      <c r="AH18" s="10">
        <f ca="1">IF(AH$5&gt;keilatut,"",SUMIFS(Data!$AL$2:$AL$313,Data!$I$2:$I$313,Sarjataulukko!$Y18,Data!$B$2:$B$313,Sarjataulukko!AH$5))</f>
        <v>0</v>
      </c>
      <c r="AI18" s="10">
        <f ca="1">IF(AI$5&gt;keilatut,"",SUMIFS(Data!$AL$2:$AL$313,Data!$I$2:$I$313,Sarjataulukko!$Y18,Data!$B$2:$B$313,Sarjataulukko!AI$5))</f>
        <v>3</v>
      </c>
      <c r="AJ18" s="10" t="str">
        <f>IF(AJ$5&gt;keilatut,"",SUMIFS(Data!$AL$2:$AL$313,Data!$I$2:$I$313,Sarjataulukko!$Y18,Data!$B$2:$B$313,Sarjataulukko!AJ$5))</f>
        <v/>
      </c>
      <c r="AK18" s="10" t="str">
        <f>IF(AK$5&gt;keilatut,"",SUMIFS(Data!$AL$2:$AL$313,Data!$I$2:$I$313,Sarjataulukko!$Y18,Data!$B$2:$B$313,Sarjataulukko!AK$5))</f>
        <v/>
      </c>
      <c r="AL18" s="10" t="str">
        <f>IF(AL$5&gt;keilatut,"",SUMIFS(Data!$AL$2:$AL$313,Data!$I$2:$I$313,Sarjataulukko!$Y18,Data!$B$2:$B$313,Sarjataulukko!AL$5))</f>
        <v/>
      </c>
      <c r="AM18" s="10">
        <f t="shared" ca="1" si="18"/>
        <v>0</v>
      </c>
      <c r="AN18" s="10" cm="1">
        <f t="array" aca="1" ref="AN18" ca="1">IF($Y18="","",SUM(LARGE($Z18:$AL18,{1;2;3;4;5;6;7;8;9;10})))</f>
        <v>18</v>
      </c>
      <c r="AO18" s="10">
        <f t="shared" ca="1" si="4"/>
        <v>18</v>
      </c>
      <c r="AP18" s="10">
        <f t="shared" ca="1" si="19"/>
        <v>126.6</v>
      </c>
      <c r="AQ18" s="10">
        <f ca="1">IF(Sarjataulukko!$Y18="","",_xlfn.MAXIFS(Data!$AQ$2:$AQ$313,Data!$I$2:$I$313,Sarjataulukko!$Y18))</f>
        <v>0</v>
      </c>
      <c r="AR18" s="10">
        <f t="shared" ca="1" si="20"/>
        <v>18</v>
      </c>
      <c r="AS18" s="13">
        <f t="shared" ca="1" si="5"/>
        <v>0.13</v>
      </c>
      <c r="AT18" s="14">
        <f t="shared" ca="1" si="6"/>
        <v>1.2999999999999999E-3</v>
      </c>
      <c r="AU18" s="15">
        <f t="shared" ca="1" si="7"/>
        <v>1.2E-5</v>
      </c>
      <c r="AV18" s="16">
        <f t="shared" ca="1" si="8"/>
        <v>8.0000000000000002E-8</v>
      </c>
      <c r="AW18" s="17">
        <f t="shared" ca="1" si="9"/>
        <v>1.3000000000000001E-9</v>
      </c>
      <c r="AX18" s="17">
        <f ca="1">IF($Y18="","",SUM($AS18:$AW18))</f>
        <v>0.13131208130000002</v>
      </c>
      <c r="AY18" s="10">
        <f ca="1">IF($Y18="","",_xlfn.RANK.EQ($AX18,$AX$6:$AX$23,1))</f>
        <v>13</v>
      </c>
      <c r="AZ18" s="10">
        <f t="shared" ca="1" si="10"/>
        <v>17</v>
      </c>
      <c r="BA18" s="10">
        <f t="shared" ca="1" si="24"/>
        <v>13</v>
      </c>
      <c r="BB18" s="10" t="str">
        <f t="shared" ca="1" si="11"/>
        <v>Niko Reunanen</v>
      </c>
    </row>
    <row r="19" spans="1:54" x14ac:dyDescent="0.25">
      <c r="A19" s="33">
        <f>IF(keilatut=0,"",IF(1+A18&gt;Data!$CP$2,"",1+A18))</f>
        <v>14</v>
      </c>
      <c r="B19" s="34" t="str">
        <f ca="1">IF($A19="","",OFFSET(Data!$I$1,MATCH(Sarjataulukko!$A19,Data!$AX$2:$AX$313,0),0))</f>
        <v>Iiro Riikonen</v>
      </c>
      <c r="C19" s="35">
        <f t="shared" ca="1" si="12"/>
        <v>4</v>
      </c>
      <c r="D19" s="36">
        <f ca="1">IF($A19="","",SUMIFS(Data!$AM$2:$AM$313,Data!$I$2:$I$313,Sarjataulukko!$B19,Data!$B$2:$B$313,keilatut))</f>
        <v>17</v>
      </c>
      <c r="E19" s="37">
        <f t="shared" ca="1" si="21"/>
        <v>4.25</v>
      </c>
      <c r="F19" s="38">
        <f ca="1">IF(Sarjataulukko!$A19="","",_xlfn.MAXIFS(Data!$AQ$2:$AQ$313,Data!$I$2:$I$313,Sarjataulukko!$B19))</f>
        <v>0</v>
      </c>
      <c r="G19" s="39" t="str">
        <f ca="1">IF(G$5&gt;keilatut,"",IF(SUMIFS(Data!$L$2:$L$313,Data!$I$2:$I$313,Sarjataulukko!$B19,Data!$B$2:$B$313,Sarjataulukko!G$5)=0,"",SUMIFS(Data!$L$2:$L$313,Data!$I$2:$I$313,Sarjataulukko!$B19,Data!$B$2:$B$313,Sarjataulukko!G$5)))</f>
        <v/>
      </c>
      <c r="H19" s="40">
        <f ca="1">IF(H$5&gt;keilatut,"",IF(SUMIFS(Data!$L$2:$L$313,Data!$I$2:$I$313,Sarjataulukko!$B19,Data!$B$2:$B$313,Sarjataulukko!H$5)=0,"",SUMIFS(Data!$L$2:$L$313,Data!$I$2:$I$313,Sarjataulukko!$B19,Data!$B$2:$B$313,Sarjataulukko!H$5)))</f>
        <v>297</v>
      </c>
      <c r="I19" s="40" t="str">
        <f ca="1">IF(I$5&gt;keilatut,"",IF(SUMIFS(Data!$L$2:$L$313,Data!$I$2:$I$313,Sarjataulukko!$B19,Data!$B$2:$B$313,Sarjataulukko!I$5)=0,"",SUMIFS(Data!$L$2:$L$313,Data!$I$2:$I$313,Sarjataulukko!$B19,Data!$B$2:$B$313,Sarjataulukko!I$5)))</f>
        <v/>
      </c>
      <c r="J19" s="40">
        <f ca="1">IF(J$5&gt;keilatut,"",IF(SUMIFS(Data!$L$2:$L$313,Data!$I$2:$I$313,Sarjataulukko!$B19,Data!$B$2:$B$313,Sarjataulukko!J$5)=0,"",SUMIFS(Data!$L$2:$L$313,Data!$I$2:$I$313,Sarjataulukko!$B19,Data!$B$2:$B$313,Sarjataulukko!J$5)))</f>
        <v>275</v>
      </c>
      <c r="K19" s="40" t="str">
        <f ca="1">IF(K$5&gt;keilatut,"",IF(SUMIFS(Data!$L$2:$L$313,Data!$I$2:$I$313,Sarjataulukko!$B19,Data!$B$2:$B$313,Sarjataulukko!K$5)=0,"",SUMIFS(Data!$L$2:$L$313,Data!$I$2:$I$313,Sarjataulukko!$B19,Data!$B$2:$B$313,Sarjataulukko!K$5)))</f>
        <v/>
      </c>
      <c r="L19" s="40">
        <f ca="1">IF(L$5&gt;keilatut,"",IF(SUMIFS(Data!$L$2:$L$313,Data!$I$2:$I$313,Sarjataulukko!$B19,Data!$B$2:$B$313,Sarjataulukko!L$5)=0,"",SUMIFS(Data!$L$2:$L$313,Data!$I$2:$I$313,Sarjataulukko!$B19,Data!$B$2:$B$313,Sarjataulukko!L$5)))</f>
        <v>304</v>
      </c>
      <c r="M19" s="40" t="str">
        <f ca="1">IF(M$5&gt;keilatut,"",IF(SUMIFS(Data!$L$2:$L$313,Data!$I$2:$I$313,Sarjataulukko!$B19,Data!$B$2:$B$313,Sarjataulukko!M$5)=0,"",SUMIFS(Data!$L$2:$L$313,Data!$I$2:$I$313,Sarjataulukko!$B19,Data!$B$2:$B$313,Sarjataulukko!M$5)))</f>
        <v/>
      </c>
      <c r="N19" s="40">
        <f ca="1">IF(N$5&gt;keilatut,"",IF(SUMIFS(Data!$L$2:$L$313,Data!$I$2:$I$313,Sarjataulukko!$B19,Data!$B$2:$B$313,Sarjataulukko!N$5)=0,"",SUMIFS(Data!$L$2:$L$313,Data!$I$2:$I$313,Sarjataulukko!$B19,Data!$B$2:$B$313,Sarjataulukko!N$5)))</f>
        <v>264</v>
      </c>
      <c r="O19" s="40" t="str">
        <f ca="1">IF(O$5&gt;keilatut,"",IF(SUMIFS(Data!$L$2:$L$313,Data!$I$2:$I$313,Sarjataulukko!$B19,Data!$B$2:$B$313,Sarjataulukko!O$5)=0,"",SUMIFS(Data!$L$2:$L$313,Data!$I$2:$I$313,Sarjataulukko!$B19,Data!$B$2:$B$313,Sarjataulukko!O$5)))</f>
        <v/>
      </c>
      <c r="P19" s="40" t="str">
        <f ca="1">IF(P$5&gt;keilatut,"",IF(SUMIFS(Data!$L$2:$L$313,Data!$I$2:$I$313,Sarjataulukko!$B19,Data!$B$2:$B$313,Sarjataulukko!P$5)=0,"",SUMIFS(Data!$L$2:$L$313,Data!$I$2:$I$313,Sarjataulukko!$B19,Data!$B$2:$B$313,Sarjataulukko!P$5)))</f>
        <v/>
      </c>
      <c r="Q19" s="40" t="str">
        <f>IF(Q$5&gt;keilatut,"",IF(SUMIFS(Data!$L$2:$L$313,Data!$I$2:$I$313,Sarjataulukko!$B19,Data!$B$2:$B$313,Sarjataulukko!Q$5)=0,"",SUMIFS(Data!$L$2:$L$313,Data!$I$2:$I$313,Sarjataulukko!$B19,Data!$B$2:$B$313,Sarjataulukko!Q$5)))</f>
        <v/>
      </c>
      <c r="R19" s="40" t="str">
        <f>IF(R$5&gt;keilatut,"",IF(SUMIFS(Data!$L$2:$L$313,Data!$I$2:$I$313,Sarjataulukko!$B19,Data!$B$2:$B$313,Sarjataulukko!R$5)=0,"",SUMIFS(Data!$L$2:$L$313,Data!$I$2:$I$313,Sarjataulukko!$B19,Data!$B$2:$B$313,Sarjataulukko!R$5)))</f>
        <v/>
      </c>
      <c r="S19" s="38" t="str">
        <f>IF(S$5&gt;keilatut,"",IF(SUMIFS(Data!$L$2:$L$313,Data!$I$2:$I$313,Sarjataulukko!$B19,Data!$B$2:$B$313,Sarjataulukko!S$5)=0,"",SUMIFS(Data!$L$2:$L$313,Data!$I$2:$I$313,Sarjataulukko!$B19,Data!$B$2:$B$313,Sarjataulukko!S$5)))</f>
        <v/>
      </c>
      <c r="T19" s="39">
        <f t="shared" ca="1" si="14"/>
        <v>1140</v>
      </c>
      <c r="U19" s="41">
        <f t="shared" ca="1" si="22"/>
        <v>285</v>
      </c>
      <c r="V19" s="42">
        <f t="shared" ca="1" si="23"/>
        <v>142.5</v>
      </c>
      <c r="Y19" s="10" t="str">
        <f t="shared" ca="1" si="17"/>
        <v>Iiro Riikonen</v>
      </c>
      <c r="Z19" s="10">
        <f ca="1">IF(Z$5&gt;keilatut,"",SUMIFS(Data!$AL$2:$AL$313,Data!$I$2:$I$313,Sarjataulukko!$Y19,Data!$B$2:$B$313,Sarjataulukko!Z$5))</f>
        <v>0</v>
      </c>
      <c r="AA19" s="10">
        <f ca="1">IF(AA$5&gt;keilatut,"",SUMIFS(Data!$AL$2:$AL$313,Data!$I$2:$I$313,Sarjataulukko!$Y19,Data!$B$2:$B$313,Sarjataulukko!AA$5))</f>
        <v>3</v>
      </c>
      <c r="AB19" s="10">
        <f ca="1">IF(AB$5&gt;keilatut,"",SUMIFS(Data!$AL$2:$AL$313,Data!$I$2:$I$313,Sarjataulukko!$Y19,Data!$B$2:$B$313,Sarjataulukko!AB$5))</f>
        <v>0</v>
      </c>
      <c r="AC19" s="10">
        <f ca="1">IF(AC$5&gt;keilatut,"",SUMIFS(Data!$AL$2:$AL$313,Data!$I$2:$I$313,Sarjataulukko!$Y19,Data!$B$2:$B$313,Sarjataulukko!AC$5))</f>
        <v>3</v>
      </c>
      <c r="AD19" s="10">
        <f ca="1">IF(AD$5&gt;keilatut,"",SUMIFS(Data!$AL$2:$AL$313,Data!$I$2:$I$313,Sarjataulukko!$Y19,Data!$B$2:$B$313,Sarjataulukko!AD$5))</f>
        <v>0</v>
      </c>
      <c r="AE19" s="10">
        <f ca="1">IF(AE$5&gt;keilatut,"",SUMIFS(Data!$AL$2:$AL$313,Data!$I$2:$I$313,Sarjataulukko!$Y19,Data!$B$2:$B$313,Sarjataulukko!AE$5))</f>
        <v>8</v>
      </c>
      <c r="AF19" s="10">
        <f ca="1">IF(AF$5&gt;keilatut,"",SUMIFS(Data!$AL$2:$AL$313,Data!$I$2:$I$313,Sarjataulukko!$Y19,Data!$B$2:$B$313,Sarjataulukko!AF$5))</f>
        <v>0</v>
      </c>
      <c r="AG19" s="10">
        <f ca="1">IF(AG$5&gt;keilatut,"",SUMIFS(Data!$AL$2:$AL$313,Data!$I$2:$I$313,Sarjataulukko!$Y19,Data!$B$2:$B$313,Sarjataulukko!AG$5))</f>
        <v>3</v>
      </c>
      <c r="AH19" s="10">
        <f ca="1">IF(AH$5&gt;keilatut,"",SUMIFS(Data!$AL$2:$AL$313,Data!$I$2:$I$313,Sarjataulukko!$Y19,Data!$B$2:$B$313,Sarjataulukko!AH$5))</f>
        <v>0</v>
      </c>
      <c r="AI19" s="10">
        <f ca="1">IF(AI$5&gt;keilatut,"",SUMIFS(Data!$AL$2:$AL$313,Data!$I$2:$I$313,Sarjataulukko!$Y19,Data!$B$2:$B$313,Sarjataulukko!AI$5))</f>
        <v>0</v>
      </c>
      <c r="AJ19" s="10" t="str">
        <f>IF(AJ$5&gt;keilatut,"",SUMIFS(Data!$AL$2:$AL$313,Data!$I$2:$I$313,Sarjataulukko!$Y19,Data!$B$2:$B$313,Sarjataulukko!AJ$5))</f>
        <v/>
      </c>
      <c r="AK19" s="10" t="str">
        <f>IF(AK$5&gt;keilatut,"",SUMIFS(Data!$AL$2:$AL$313,Data!$I$2:$I$313,Sarjataulukko!$Y19,Data!$B$2:$B$313,Sarjataulukko!AK$5))</f>
        <v/>
      </c>
      <c r="AL19" s="10" t="str">
        <f>IF(AL$5&gt;keilatut,"",SUMIFS(Data!$AL$2:$AL$313,Data!$I$2:$I$313,Sarjataulukko!$Y19,Data!$B$2:$B$313,Sarjataulukko!AL$5))</f>
        <v/>
      </c>
      <c r="AM19" s="10">
        <f t="shared" ca="1" si="18"/>
        <v>0</v>
      </c>
      <c r="AN19" s="10" cm="1">
        <f t="array" aca="1" ref="AN19" ca="1">IF($Y19="","",SUM(LARGE($Z19:$AL19,{1;2;3;4;5;6;7;8;9;10})))</f>
        <v>17</v>
      </c>
      <c r="AO19" s="10">
        <f t="shared" ca="1" si="4"/>
        <v>17</v>
      </c>
      <c r="AP19" s="10">
        <f t="shared" ca="1" si="19"/>
        <v>142.5</v>
      </c>
      <c r="AQ19" s="10">
        <f ca="1">IF(Sarjataulukko!$Y19="","",_xlfn.MAXIFS(Data!$AQ$2:$AQ$313,Data!$I$2:$I$313,Sarjataulukko!$Y19))</f>
        <v>0</v>
      </c>
      <c r="AR19" s="10">
        <f t="shared" ca="1" si="20"/>
        <v>19</v>
      </c>
      <c r="AS19" s="13">
        <f t="shared" ca="1" si="5"/>
        <v>0.14000000000000001</v>
      </c>
      <c r="AT19" s="14">
        <f t="shared" ca="1" si="6"/>
        <v>1.4E-3</v>
      </c>
      <c r="AU19" s="15">
        <f t="shared" ca="1" si="7"/>
        <v>5.0000000000000004E-6</v>
      </c>
      <c r="AV19" s="16">
        <f t="shared" ca="1" si="8"/>
        <v>8.0000000000000002E-8</v>
      </c>
      <c r="AW19" s="17">
        <f t="shared" ca="1" si="9"/>
        <v>1.3999999999999999E-9</v>
      </c>
      <c r="AX19" s="17">
        <f ca="1">IF($Y19="","",SUM($AS19:$AW19))</f>
        <v>0.14140508140000005</v>
      </c>
      <c r="AY19" s="10">
        <f ca="1">IF($Y19="","",_xlfn.RANK.EQ($AX19,$AX$6:$AX$23,1))</f>
        <v>14</v>
      </c>
      <c r="AZ19" s="10">
        <f t="shared" ca="1" si="10"/>
        <v>4</v>
      </c>
      <c r="BA19" s="10">
        <f t="shared" ca="1" si="24"/>
        <v>14</v>
      </c>
      <c r="BB19" s="10" t="str">
        <f t="shared" ca="1" si="11"/>
        <v>Olli Kajava</v>
      </c>
    </row>
    <row r="20" spans="1:54" x14ac:dyDescent="0.25">
      <c r="A20" s="33">
        <f>IF(keilatut=0,"",IF(1+A19&gt;Data!$CP$2,"",1+A19))</f>
        <v>15</v>
      </c>
      <c r="B20" s="34" t="str">
        <f ca="1">IF($A20="","",OFFSET(Data!$I$1,MATCH(Sarjataulukko!$A20,Data!$AX$2:$AX$313,0),0))</f>
        <v>Roope Warro</v>
      </c>
      <c r="C20" s="35">
        <f t="shared" ca="1" si="12"/>
        <v>3</v>
      </c>
      <c r="D20" s="36">
        <f ca="1">IF($A20="","",SUMIFS(Data!$AM$2:$AM$313,Data!$I$2:$I$313,Sarjataulukko!$B20,Data!$B$2:$B$313,keilatut))</f>
        <v>11</v>
      </c>
      <c r="E20" s="37">
        <f t="shared" ca="1" si="21"/>
        <v>3.6666666666666665</v>
      </c>
      <c r="F20" s="38">
        <f ca="1">IF(Sarjataulukko!$A20="","",_xlfn.MAXIFS(Data!$AQ$2:$AQ$313,Data!$I$2:$I$313,Sarjataulukko!$B20))</f>
        <v>0</v>
      </c>
      <c r="G20" s="39">
        <f ca="1">IF(G$5&gt;keilatut,"",IF(SUMIFS(Data!$L$2:$L$313,Data!$I$2:$I$313,Sarjataulukko!$B20,Data!$B$2:$B$313,Sarjataulukko!G$5)=0,"",SUMIFS(Data!$L$2:$L$313,Data!$I$2:$I$313,Sarjataulukko!$B20,Data!$B$2:$B$313,Sarjataulukko!G$5)))</f>
        <v>204</v>
      </c>
      <c r="H20" s="40" t="str">
        <f ca="1">IF(H$5&gt;keilatut,"",IF(SUMIFS(Data!$L$2:$L$313,Data!$I$2:$I$313,Sarjataulukko!$B20,Data!$B$2:$B$313,Sarjataulukko!H$5)=0,"",SUMIFS(Data!$L$2:$L$313,Data!$I$2:$I$313,Sarjataulukko!$B20,Data!$B$2:$B$313,Sarjataulukko!H$5)))</f>
        <v/>
      </c>
      <c r="I20" s="40" t="str">
        <f ca="1">IF(I$5&gt;keilatut,"",IF(SUMIFS(Data!$L$2:$L$313,Data!$I$2:$I$313,Sarjataulukko!$B20,Data!$B$2:$B$313,Sarjataulukko!I$5)=0,"",SUMIFS(Data!$L$2:$L$313,Data!$I$2:$I$313,Sarjataulukko!$B20,Data!$B$2:$B$313,Sarjataulukko!I$5)))</f>
        <v/>
      </c>
      <c r="J20" s="40">
        <f ca="1">IF(J$5&gt;keilatut,"",IF(SUMIFS(Data!$L$2:$L$313,Data!$I$2:$I$313,Sarjataulukko!$B20,Data!$B$2:$B$313,Sarjataulukko!J$5)=0,"",SUMIFS(Data!$L$2:$L$313,Data!$I$2:$I$313,Sarjataulukko!$B20,Data!$B$2:$B$313,Sarjataulukko!J$5)))</f>
        <v>224</v>
      </c>
      <c r="K20" s="40" t="str">
        <f ca="1">IF(K$5&gt;keilatut,"",IF(SUMIFS(Data!$L$2:$L$313,Data!$I$2:$I$313,Sarjataulukko!$B20,Data!$B$2:$B$313,Sarjataulukko!K$5)=0,"",SUMIFS(Data!$L$2:$L$313,Data!$I$2:$I$313,Sarjataulukko!$B20,Data!$B$2:$B$313,Sarjataulukko!K$5)))</f>
        <v/>
      </c>
      <c r="L20" s="40" t="str">
        <f ca="1">IF(L$5&gt;keilatut,"",IF(SUMIFS(Data!$L$2:$L$313,Data!$I$2:$I$313,Sarjataulukko!$B20,Data!$B$2:$B$313,Sarjataulukko!L$5)=0,"",SUMIFS(Data!$L$2:$L$313,Data!$I$2:$I$313,Sarjataulukko!$B20,Data!$B$2:$B$313,Sarjataulukko!L$5)))</f>
        <v/>
      </c>
      <c r="M20" s="40" t="str">
        <f ca="1">IF(M$5&gt;keilatut,"",IF(SUMIFS(Data!$L$2:$L$313,Data!$I$2:$I$313,Sarjataulukko!$B20,Data!$B$2:$B$313,Sarjataulukko!M$5)=0,"",SUMIFS(Data!$L$2:$L$313,Data!$I$2:$I$313,Sarjataulukko!$B20,Data!$B$2:$B$313,Sarjataulukko!M$5)))</f>
        <v/>
      </c>
      <c r="N20" s="40">
        <f ca="1">IF(N$5&gt;keilatut,"",IF(SUMIFS(Data!$L$2:$L$313,Data!$I$2:$I$313,Sarjataulukko!$B20,Data!$B$2:$B$313,Sarjataulukko!N$5)=0,"",SUMIFS(Data!$L$2:$L$313,Data!$I$2:$I$313,Sarjataulukko!$B20,Data!$B$2:$B$313,Sarjataulukko!N$5)))</f>
        <v>307</v>
      </c>
      <c r="O20" s="40" t="str">
        <f ca="1">IF(O$5&gt;keilatut,"",IF(SUMIFS(Data!$L$2:$L$313,Data!$I$2:$I$313,Sarjataulukko!$B20,Data!$B$2:$B$313,Sarjataulukko!O$5)=0,"",SUMIFS(Data!$L$2:$L$313,Data!$I$2:$I$313,Sarjataulukko!$B20,Data!$B$2:$B$313,Sarjataulukko!O$5)))</f>
        <v/>
      </c>
      <c r="P20" s="40" t="str">
        <f ca="1">IF(P$5&gt;keilatut,"",IF(SUMIFS(Data!$L$2:$L$313,Data!$I$2:$I$313,Sarjataulukko!$B20,Data!$B$2:$B$313,Sarjataulukko!P$5)=0,"",SUMIFS(Data!$L$2:$L$313,Data!$I$2:$I$313,Sarjataulukko!$B20,Data!$B$2:$B$313,Sarjataulukko!P$5)))</f>
        <v/>
      </c>
      <c r="Q20" s="40" t="str">
        <f>IF(Q$5&gt;keilatut,"",IF(SUMIFS(Data!$L$2:$L$313,Data!$I$2:$I$313,Sarjataulukko!$B20,Data!$B$2:$B$313,Sarjataulukko!Q$5)=0,"",SUMIFS(Data!$L$2:$L$313,Data!$I$2:$I$313,Sarjataulukko!$B20,Data!$B$2:$B$313,Sarjataulukko!Q$5)))</f>
        <v/>
      </c>
      <c r="R20" s="40" t="str">
        <f>IF(R$5&gt;keilatut,"",IF(SUMIFS(Data!$L$2:$L$313,Data!$I$2:$I$313,Sarjataulukko!$B20,Data!$B$2:$B$313,Sarjataulukko!R$5)=0,"",SUMIFS(Data!$L$2:$L$313,Data!$I$2:$I$313,Sarjataulukko!$B20,Data!$B$2:$B$313,Sarjataulukko!R$5)))</f>
        <v/>
      </c>
      <c r="S20" s="38" t="str">
        <f>IF(S$5&gt;keilatut,"",IF(SUMIFS(Data!$L$2:$L$313,Data!$I$2:$I$313,Sarjataulukko!$B20,Data!$B$2:$B$313,Sarjataulukko!S$5)=0,"",SUMIFS(Data!$L$2:$L$313,Data!$I$2:$I$313,Sarjataulukko!$B20,Data!$B$2:$B$313,Sarjataulukko!S$5)))</f>
        <v/>
      </c>
      <c r="T20" s="39">
        <f t="shared" ca="1" si="14"/>
        <v>735</v>
      </c>
      <c r="U20" s="41">
        <f t="shared" ca="1" si="22"/>
        <v>245</v>
      </c>
      <c r="V20" s="42">
        <f t="shared" ca="1" si="23"/>
        <v>122.5</v>
      </c>
      <c r="Y20" s="10" t="str">
        <f t="shared" ref="Y20" ca="1" si="25">IF($B20="","",B20)</f>
        <v>Roope Warro</v>
      </c>
      <c r="Z20" s="10">
        <f ca="1">IF(Z$5&gt;keilatut,"",SUMIFS(Data!$AL$2:$AL$313,Data!$I$2:$I$313,Sarjataulukko!$Y20,Data!$B$2:$B$313,Sarjataulukko!Z$5))</f>
        <v>4</v>
      </c>
      <c r="AA20" s="10">
        <f ca="1">IF(AA$5&gt;keilatut,"",SUMIFS(Data!$AL$2:$AL$313,Data!$I$2:$I$313,Sarjataulukko!$Y20,Data!$B$2:$B$313,Sarjataulukko!AA$5))</f>
        <v>0</v>
      </c>
      <c r="AB20" s="10">
        <f ca="1">IF(AB$5&gt;keilatut,"",SUMIFS(Data!$AL$2:$AL$313,Data!$I$2:$I$313,Sarjataulukko!$Y20,Data!$B$2:$B$313,Sarjataulukko!AB$5))</f>
        <v>0</v>
      </c>
      <c r="AC20" s="10">
        <f ca="1">IF(AC$5&gt;keilatut,"",SUMIFS(Data!$AL$2:$AL$313,Data!$I$2:$I$313,Sarjataulukko!$Y20,Data!$B$2:$B$313,Sarjataulukko!AC$5))</f>
        <v>0</v>
      </c>
      <c r="AD20" s="10">
        <f ca="1">IF(AD$5&gt;keilatut,"",SUMIFS(Data!$AL$2:$AL$313,Data!$I$2:$I$313,Sarjataulukko!$Y20,Data!$B$2:$B$313,Sarjataulukko!AD$5))</f>
        <v>0</v>
      </c>
      <c r="AE20" s="10">
        <f ca="1">IF(AE$5&gt;keilatut,"",SUMIFS(Data!$AL$2:$AL$313,Data!$I$2:$I$313,Sarjataulukko!$Y20,Data!$B$2:$B$313,Sarjataulukko!AE$5))</f>
        <v>0</v>
      </c>
      <c r="AF20" s="10">
        <f ca="1">IF(AF$5&gt;keilatut,"",SUMIFS(Data!$AL$2:$AL$313,Data!$I$2:$I$313,Sarjataulukko!$Y20,Data!$B$2:$B$313,Sarjataulukko!AF$5))</f>
        <v>0</v>
      </c>
      <c r="AG20" s="10">
        <f ca="1">IF(AG$5&gt;keilatut,"",SUMIFS(Data!$AL$2:$AL$313,Data!$I$2:$I$313,Sarjataulukko!$Y20,Data!$B$2:$B$313,Sarjataulukko!AG$5))</f>
        <v>7</v>
      </c>
      <c r="AH20" s="10">
        <f ca="1">IF(AH$5&gt;keilatut,"",SUMIFS(Data!$AL$2:$AL$313,Data!$I$2:$I$313,Sarjataulukko!$Y20,Data!$B$2:$B$313,Sarjataulukko!AH$5))</f>
        <v>0</v>
      </c>
      <c r="AI20" s="10">
        <f ca="1">IF(AI$5&gt;keilatut,"",SUMIFS(Data!$AL$2:$AL$313,Data!$I$2:$I$313,Sarjataulukko!$Y20,Data!$B$2:$B$313,Sarjataulukko!AI$5))</f>
        <v>0</v>
      </c>
      <c r="AJ20" s="10" t="str">
        <f>IF(AJ$5&gt;keilatut,"",SUMIFS(Data!$AL$2:$AL$313,Data!$I$2:$I$313,Sarjataulukko!$Y20,Data!$B$2:$B$313,Sarjataulukko!AJ$5))</f>
        <v/>
      </c>
      <c r="AK20" s="10" t="str">
        <f>IF(AK$5&gt;keilatut,"",SUMIFS(Data!$AL$2:$AL$313,Data!$I$2:$I$313,Sarjataulukko!$Y20,Data!$B$2:$B$313,Sarjataulukko!AK$5))</f>
        <v/>
      </c>
      <c r="AL20" s="10" t="str">
        <f>IF(AL$5&gt;keilatut,"",SUMIFS(Data!$AL$2:$AL$313,Data!$I$2:$I$313,Sarjataulukko!$Y20,Data!$B$2:$B$313,Sarjataulukko!AL$5))</f>
        <v/>
      </c>
      <c r="AM20" s="10">
        <f t="shared" ca="1" si="18"/>
        <v>0</v>
      </c>
      <c r="AN20" s="10" cm="1">
        <f t="array" aca="1" ref="AN20" ca="1">IF($Y20="","",SUM(LARGE($Z20:$AL20,{1;2;3;4;5;6;7;8;9;10})))</f>
        <v>11</v>
      </c>
      <c r="AO20" s="10">
        <f t="shared" ca="1" si="4"/>
        <v>11</v>
      </c>
      <c r="AP20" s="10">
        <f t="shared" ca="1" si="19"/>
        <v>122.5</v>
      </c>
      <c r="AQ20" s="10">
        <f ca="1">IF(Sarjataulukko!$Y20="","",_xlfn.MAXIFS(Data!$AQ$2:$AQ$313,Data!$I$2:$I$313,Sarjataulukko!$Y20))</f>
        <v>0</v>
      </c>
      <c r="AR20" s="10">
        <f t="shared" ca="1" si="20"/>
        <v>20</v>
      </c>
      <c r="AS20" s="13">
        <f t="shared" ca="1" si="5"/>
        <v>0.15</v>
      </c>
      <c r="AT20" s="14">
        <f t="shared" ca="1" si="6"/>
        <v>1.5E-3</v>
      </c>
      <c r="AU20" s="15">
        <f t="shared" ca="1" si="7"/>
        <v>1.4E-5</v>
      </c>
      <c r="AV20" s="16">
        <f t="shared" ca="1" si="8"/>
        <v>8.0000000000000002E-8</v>
      </c>
      <c r="AW20" s="17">
        <f t="shared" ca="1" si="9"/>
        <v>1.5E-9</v>
      </c>
      <c r="AX20" s="17">
        <f ca="1">IF($Y20="","",SUM($AS20:$AW20))</f>
        <v>0.15151408150000001</v>
      </c>
      <c r="AY20" s="10">
        <f ca="1">IF($Y20="","",_xlfn.RANK.EQ($AX20,$AX$6:$AX$23,1))</f>
        <v>15</v>
      </c>
      <c r="AZ20" s="10">
        <f t="shared" ca="1" si="10"/>
        <v>16</v>
      </c>
      <c r="BA20" s="10">
        <f t="shared" ca="1" si="24"/>
        <v>15</v>
      </c>
      <c r="BB20" s="10" t="str">
        <f t="shared" ca="1" si="11"/>
        <v>Ossi Oksa</v>
      </c>
    </row>
    <row r="21" spans="1:54" x14ac:dyDescent="0.25">
      <c r="A21" s="33">
        <f>IF(keilatut=0,"",IF(1+A20&gt;Data!$CP$2,"",1+A20))</f>
        <v>16</v>
      </c>
      <c r="B21" s="34" t="str">
        <f ca="1">IF($A21="","",OFFSET(Data!$I$1,MATCH(Sarjataulukko!$A21,Data!$AX$2:$AX$313,0),0))</f>
        <v>Mikko Mansikkamäki</v>
      </c>
      <c r="C21" s="35">
        <f t="shared" ca="1" si="12"/>
        <v>6</v>
      </c>
      <c r="D21" s="36">
        <f ca="1">IF($A21="","",SUMIFS(Data!$AM$2:$AM$313,Data!$I$2:$I$313,Sarjataulukko!$B21,Data!$B$2:$B$313,keilatut))</f>
        <v>11</v>
      </c>
      <c r="E21" s="37">
        <f t="shared" ca="1" si="21"/>
        <v>1.8333333333333333</v>
      </c>
      <c r="F21" s="38">
        <f ca="1">IF(Sarjataulukko!$A21="","",_xlfn.MAXIFS(Data!$AQ$2:$AQ$313,Data!$I$2:$I$313,Sarjataulukko!$B21))</f>
        <v>0</v>
      </c>
      <c r="G21" s="39" t="str">
        <f ca="1">IF(G$5&gt;keilatut,"",IF(SUMIFS(Data!$L$2:$L$313,Data!$I$2:$I$313,Sarjataulukko!$B21,Data!$B$2:$B$313,Sarjataulukko!G$5)=0,"",SUMIFS(Data!$L$2:$L$313,Data!$I$2:$I$313,Sarjataulukko!$B21,Data!$B$2:$B$313,Sarjataulukko!G$5)))</f>
        <v/>
      </c>
      <c r="H21" s="40" t="str">
        <f ca="1">IF(H$5&gt;keilatut,"",IF(SUMIFS(Data!$L$2:$L$313,Data!$I$2:$I$313,Sarjataulukko!$B21,Data!$B$2:$B$313,Sarjataulukko!H$5)=0,"",SUMIFS(Data!$L$2:$L$313,Data!$I$2:$I$313,Sarjataulukko!$B21,Data!$B$2:$B$313,Sarjataulukko!H$5)))</f>
        <v/>
      </c>
      <c r="I21" s="40">
        <f ca="1">IF(I$5&gt;keilatut,"",IF(SUMIFS(Data!$L$2:$L$313,Data!$I$2:$I$313,Sarjataulukko!$B21,Data!$B$2:$B$313,Sarjataulukko!I$5)=0,"",SUMIFS(Data!$L$2:$L$313,Data!$I$2:$I$313,Sarjataulukko!$B21,Data!$B$2:$B$313,Sarjataulukko!I$5)))</f>
        <v>209</v>
      </c>
      <c r="J21" s="40">
        <f ca="1">IF(J$5&gt;keilatut,"",IF(SUMIFS(Data!$L$2:$L$313,Data!$I$2:$I$313,Sarjataulukko!$B21,Data!$B$2:$B$313,Sarjataulukko!J$5)=0,"",SUMIFS(Data!$L$2:$L$313,Data!$I$2:$I$313,Sarjataulukko!$B21,Data!$B$2:$B$313,Sarjataulukko!J$5)))</f>
        <v>148</v>
      </c>
      <c r="K21" s="40" t="str">
        <f ca="1">IF(K$5&gt;keilatut,"",IF(SUMIFS(Data!$L$2:$L$313,Data!$I$2:$I$313,Sarjataulukko!$B21,Data!$B$2:$B$313,Sarjataulukko!K$5)=0,"",SUMIFS(Data!$L$2:$L$313,Data!$I$2:$I$313,Sarjataulukko!$B21,Data!$B$2:$B$313,Sarjataulukko!K$5)))</f>
        <v/>
      </c>
      <c r="L21" s="40">
        <f ca="1">IF(L$5&gt;keilatut,"",IF(SUMIFS(Data!$L$2:$L$313,Data!$I$2:$I$313,Sarjataulukko!$B21,Data!$B$2:$B$313,Sarjataulukko!L$5)=0,"",SUMIFS(Data!$L$2:$L$313,Data!$I$2:$I$313,Sarjataulukko!$B21,Data!$B$2:$B$313,Sarjataulukko!L$5)))</f>
        <v>178</v>
      </c>
      <c r="M21" s="40" t="str">
        <f ca="1">IF(M$5&gt;keilatut,"",IF(SUMIFS(Data!$L$2:$L$313,Data!$I$2:$I$313,Sarjataulukko!$B21,Data!$B$2:$B$313,Sarjataulukko!M$5)=0,"",SUMIFS(Data!$L$2:$L$313,Data!$I$2:$I$313,Sarjataulukko!$B21,Data!$B$2:$B$313,Sarjataulukko!M$5)))</f>
        <v/>
      </c>
      <c r="N21" s="40">
        <f ca="1">IF(N$5&gt;keilatut,"",IF(SUMIFS(Data!$L$2:$L$313,Data!$I$2:$I$313,Sarjataulukko!$B21,Data!$B$2:$B$313,Sarjataulukko!N$5)=0,"",SUMIFS(Data!$L$2:$L$313,Data!$I$2:$I$313,Sarjataulukko!$B21,Data!$B$2:$B$313,Sarjataulukko!N$5)))</f>
        <v>228</v>
      </c>
      <c r="O21" s="40">
        <f ca="1">IF(O$5&gt;keilatut,"",IF(SUMIFS(Data!$L$2:$L$313,Data!$I$2:$I$313,Sarjataulukko!$B21,Data!$B$2:$B$313,Sarjataulukko!O$5)=0,"",SUMIFS(Data!$L$2:$L$313,Data!$I$2:$I$313,Sarjataulukko!$B21,Data!$B$2:$B$313,Sarjataulukko!O$5)))</f>
        <v>278</v>
      </c>
      <c r="P21" s="40">
        <f ca="1">IF(P$5&gt;keilatut,"",IF(SUMIFS(Data!$L$2:$L$313,Data!$I$2:$I$313,Sarjataulukko!$B21,Data!$B$2:$B$313,Sarjataulukko!P$5)=0,"",SUMIFS(Data!$L$2:$L$313,Data!$I$2:$I$313,Sarjataulukko!$B21,Data!$B$2:$B$313,Sarjataulukko!P$5)))</f>
        <v>264</v>
      </c>
      <c r="Q21" s="40" t="str">
        <f>IF(Q$5&gt;keilatut,"",IF(SUMIFS(Data!$L$2:$L$313,Data!$I$2:$I$313,Sarjataulukko!$B21,Data!$B$2:$B$313,Sarjataulukko!Q$5)=0,"",SUMIFS(Data!$L$2:$L$313,Data!$I$2:$I$313,Sarjataulukko!$B21,Data!$B$2:$B$313,Sarjataulukko!Q$5)))</f>
        <v/>
      </c>
      <c r="R21" s="40" t="str">
        <f>IF(R$5&gt;keilatut,"",IF(SUMIFS(Data!$L$2:$L$313,Data!$I$2:$I$313,Sarjataulukko!$B21,Data!$B$2:$B$313,Sarjataulukko!R$5)=0,"",SUMIFS(Data!$L$2:$L$313,Data!$I$2:$I$313,Sarjataulukko!$B21,Data!$B$2:$B$313,Sarjataulukko!R$5)))</f>
        <v/>
      </c>
      <c r="S21" s="38" t="str">
        <f>IF(S$5&gt;keilatut,"",IF(SUMIFS(Data!$L$2:$L$313,Data!$I$2:$I$313,Sarjataulukko!$B21,Data!$B$2:$B$313,Sarjataulukko!S$5)=0,"",SUMIFS(Data!$L$2:$L$313,Data!$I$2:$I$313,Sarjataulukko!$B21,Data!$B$2:$B$313,Sarjataulukko!S$5)))</f>
        <v/>
      </c>
      <c r="T21" s="39">
        <f t="shared" ca="1" si="14"/>
        <v>1305</v>
      </c>
      <c r="U21" s="41">
        <f t="shared" ca="1" si="22"/>
        <v>217.5</v>
      </c>
      <c r="V21" s="42">
        <f t="shared" ca="1" si="23"/>
        <v>108.75</v>
      </c>
      <c r="Y21" s="10" t="str">
        <f t="shared" ca="1" si="17"/>
        <v>Mikko Mansikkamäki</v>
      </c>
      <c r="Z21" s="10">
        <f ca="1">IF(Z$5&gt;keilatut,"",SUMIFS(Data!$AL$2:$AL$313,Data!$I$2:$I$313,Sarjataulukko!$Y21,Data!$B$2:$B$313,Sarjataulukko!Z$5))</f>
        <v>0</v>
      </c>
      <c r="AA21" s="10">
        <f ca="1">IF(AA$5&gt;keilatut,"",SUMIFS(Data!$AL$2:$AL$313,Data!$I$2:$I$313,Sarjataulukko!$Y21,Data!$B$2:$B$313,Sarjataulukko!AA$5))</f>
        <v>0</v>
      </c>
      <c r="AB21" s="10">
        <f ca="1">IF(AB$5&gt;keilatut,"",SUMIFS(Data!$AL$2:$AL$313,Data!$I$2:$I$313,Sarjataulukko!$Y21,Data!$B$2:$B$313,Sarjataulukko!AB$5))</f>
        <v>0</v>
      </c>
      <c r="AC21" s="10">
        <f ca="1">IF(AC$5&gt;keilatut,"",SUMIFS(Data!$AL$2:$AL$313,Data!$I$2:$I$313,Sarjataulukko!$Y21,Data!$B$2:$B$313,Sarjataulukko!AC$5))</f>
        <v>0</v>
      </c>
      <c r="AD21" s="10">
        <f ca="1">IF(AD$5&gt;keilatut,"",SUMIFS(Data!$AL$2:$AL$313,Data!$I$2:$I$313,Sarjataulukko!$Y21,Data!$B$2:$B$313,Sarjataulukko!AD$5))</f>
        <v>0</v>
      </c>
      <c r="AE21" s="10">
        <f ca="1">IF(AE$5&gt;keilatut,"",SUMIFS(Data!$AL$2:$AL$313,Data!$I$2:$I$313,Sarjataulukko!$Y21,Data!$B$2:$B$313,Sarjataulukko!AE$5))</f>
        <v>-1</v>
      </c>
      <c r="AF21" s="10">
        <f ca="1">IF(AF$5&gt;keilatut,"",SUMIFS(Data!$AL$2:$AL$313,Data!$I$2:$I$313,Sarjataulukko!$Y21,Data!$B$2:$B$313,Sarjataulukko!AF$5))</f>
        <v>0</v>
      </c>
      <c r="AG21" s="10">
        <f ca="1">IF(AG$5&gt;keilatut,"",SUMIFS(Data!$AL$2:$AL$313,Data!$I$2:$I$313,Sarjataulukko!$Y21,Data!$B$2:$B$313,Sarjataulukko!AG$5))</f>
        <v>0</v>
      </c>
      <c r="AH21" s="10">
        <f ca="1">IF(AH$5&gt;keilatut,"",SUMIFS(Data!$AL$2:$AL$313,Data!$I$2:$I$313,Sarjataulukko!$Y21,Data!$B$2:$B$313,Sarjataulukko!AH$5))</f>
        <v>5</v>
      </c>
      <c r="AI21" s="10">
        <f ca="1">IF(AI$5&gt;keilatut,"",SUMIFS(Data!$AL$2:$AL$313,Data!$I$2:$I$313,Sarjataulukko!$Y21,Data!$B$2:$B$313,Sarjataulukko!AI$5))</f>
        <v>7</v>
      </c>
      <c r="AJ21" s="10" t="str">
        <f>IF(AJ$5&gt;keilatut,"",SUMIFS(Data!$AL$2:$AL$313,Data!$I$2:$I$313,Sarjataulukko!$Y21,Data!$B$2:$B$313,Sarjataulukko!AJ$5))</f>
        <v/>
      </c>
      <c r="AK21" s="10" t="str">
        <f>IF(AK$5&gt;keilatut,"",SUMIFS(Data!$AL$2:$AL$313,Data!$I$2:$I$313,Sarjataulukko!$Y21,Data!$B$2:$B$313,Sarjataulukko!AK$5))</f>
        <v/>
      </c>
      <c r="AL21" s="10" t="str">
        <f>IF(AL$5&gt;keilatut,"",SUMIFS(Data!$AL$2:$AL$313,Data!$I$2:$I$313,Sarjataulukko!$Y21,Data!$B$2:$B$313,Sarjataulukko!AL$5))</f>
        <v/>
      </c>
      <c r="AM21" s="10">
        <f t="shared" ca="1" si="18"/>
        <v>0</v>
      </c>
      <c r="AN21" s="10" cm="1">
        <f t="array" aca="1" ref="AN21" ca="1">IF($Y21="","",SUM(LARGE($Z21:$AL21,{1;2;3;4;5;6;7;8;9;10})))</f>
        <v>11</v>
      </c>
      <c r="AO21" s="10">
        <f t="shared" ca="1" si="4"/>
        <v>11</v>
      </c>
      <c r="AP21" s="10">
        <f t="shared" ca="1" si="19"/>
        <v>108.8</v>
      </c>
      <c r="AQ21" s="10">
        <f ca="1">IF(Sarjataulukko!$Y21="","",_xlfn.MAXIFS(Data!$AQ$2:$AQ$313,Data!$I$2:$I$313,Sarjataulukko!$Y21))</f>
        <v>0</v>
      </c>
      <c r="AR21" s="10">
        <f t="shared" ca="1" si="20"/>
        <v>21</v>
      </c>
      <c r="AS21" s="13">
        <f t="shared" ca="1" si="5"/>
        <v>0.15</v>
      </c>
      <c r="AT21" s="14">
        <f t="shared" ca="1" si="6"/>
        <v>1.5E-3</v>
      </c>
      <c r="AU21" s="15">
        <f t="shared" ca="1" si="7"/>
        <v>1.7E-5</v>
      </c>
      <c r="AV21" s="16">
        <f t="shared" ca="1" si="8"/>
        <v>8.0000000000000002E-8</v>
      </c>
      <c r="AW21" s="17">
        <f t="shared" ca="1" si="9"/>
        <v>1.6000000000000001E-9</v>
      </c>
      <c r="AX21" s="17">
        <f ca="1">IF($Y21="","",SUM($AS21:$AW21))</f>
        <v>0.15151708159999999</v>
      </c>
      <c r="AY21" s="10">
        <f ca="1">IF($Y21="","",_xlfn.RANK.EQ($AX21,$AX$6:$AX$23,1))</f>
        <v>16</v>
      </c>
      <c r="AZ21" s="10">
        <f t="shared" ca="1" si="10"/>
        <v>12</v>
      </c>
      <c r="BA21" s="10">
        <f t="shared" ca="1" si="24"/>
        <v>16</v>
      </c>
      <c r="BB21" s="10" t="str">
        <f t="shared" ca="1" si="11"/>
        <v>Roope Warro</v>
      </c>
    </row>
    <row r="22" spans="1:54" x14ac:dyDescent="0.25">
      <c r="A22" s="33">
        <f>IF(keilatut=0,"",IF(1+A21&gt;Data!$CP$2,"",1+A21))</f>
        <v>17</v>
      </c>
      <c r="B22" s="34" t="str">
        <f ca="1">IF($A22="","",OFFSET(Data!$I$1,MATCH(Sarjataulukko!$A22,Data!$AX$2:$AX$313,0),0))</f>
        <v>Tatu Erlin</v>
      </c>
      <c r="C22" s="35">
        <f t="shared" ca="1" si="12"/>
        <v>3</v>
      </c>
      <c r="D22" s="36">
        <f ca="1">IF($A22="","",SUMIFS(Data!$AM$2:$AM$313,Data!$I$2:$I$313,Sarjataulukko!$B22,Data!$B$2:$B$313,keilatut))</f>
        <v>5</v>
      </c>
      <c r="E22" s="37">
        <f t="shared" ca="1" si="21"/>
        <v>1.6666666666666667</v>
      </c>
      <c r="F22" s="38">
        <f ca="1">IF(Sarjataulukko!$A22="","",_xlfn.MAXIFS(Data!$AQ$2:$AQ$313,Data!$I$2:$I$313,Sarjataulukko!$B22))</f>
        <v>0</v>
      </c>
      <c r="G22" s="39">
        <f ca="1">IF(G$5&gt;keilatut,"",IF(SUMIFS(Data!$L$2:$L$313,Data!$I$2:$I$313,Sarjataulukko!$B22,Data!$B$2:$B$313,Sarjataulukko!G$5)=0,"",SUMIFS(Data!$L$2:$L$313,Data!$I$2:$I$313,Sarjataulukko!$B22,Data!$B$2:$B$313,Sarjataulukko!G$5)))</f>
        <v>230</v>
      </c>
      <c r="H22" s="40">
        <f ca="1">IF(H$5&gt;keilatut,"",IF(SUMIFS(Data!$L$2:$L$313,Data!$I$2:$I$313,Sarjataulukko!$B22,Data!$B$2:$B$313,Sarjataulukko!H$5)=0,"",SUMIFS(Data!$L$2:$L$313,Data!$I$2:$I$313,Sarjataulukko!$B22,Data!$B$2:$B$313,Sarjataulukko!H$5)))</f>
        <v>223</v>
      </c>
      <c r="I22" s="40" t="str">
        <f ca="1">IF(I$5&gt;keilatut,"",IF(SUMIFS(Data!$L$2:$L$313,Data!$I$2:$I$313,Sarjataulukko!$B22,Data!$B$2:$B$313,Sarjataulukko!I$5)=0,"",SUMIFS(Data!$L$2:$L$313,Data!$I$2:$I$313,Sarjataulukko!$B22,Data!$B$2:$B$313,Sarjataulukko!I$5)))</f>
        <v/>
      </c>
      <c r="J22" s="40" t="str">
        <f ca="1">IF(J$5&gt;keilatut,"",IF(SUMIFS(Data!$L$2:$L$313,Data!$I$2:$I$313,Sarjataulukko!$B22,Data!$B$2:$B$313,Sarjataulukko!J$5)=0,"",SUMIFS(Data!$L$2:$L$313,Data!$I$2:$I$313,Sarjataulukko!$B22,Data!$B$2:$B$313,Sarjataulukko!J$5)))</f>
        <v/>
      </c>
      <c r="K22" s="40" t="str">
        <f ca="1">IF(K$5&gt;keilatut,"",IF(SUMIFS(Data!$L$2:$L$313,Data!$I$2:$I$313,Sarjataulukko!$B22,Data!$B$2:$B$313,Sarjataulukko!K$5)=0,"",SUMIFS(Data!$L$2:$L$313,Data!$I$2:$I$313,Sarjataulukko!$B22,Data!$B$2:$B$313,Sarjataulukko!K$5)))</f>
        <v/>
      </c>
      <c r="L22" s="40">
        <f ca="1">IF(L$5&gt;keilatut,"",IF(SUMIFS(Data!$L$2:$L$313,Data!$I$2:$I$313,Sarjataulukko!$B22,Data!$B$2:$B$313,Sarjataulukko!L$5)=0,"",SUMIFS(Data!$L$2:$L$313,Data!$I$2:$I$313,Sarjataulukko!$B22,Data!$B$2:$B$313,Sarjataulukko!L$5)))</f>
        <v>173</v>
      </c>
      <c r="M22" s="40" t="str">
        <f ca="1">IF(M$5&gt;keilatut,"",IF(SUMIFS(Data!$L$2:$L$313,Data!$I$2:$I$313,Sarjataulukko!$B22,Data!$B$2:$B$313,Sarjataulukko!M$5)=0,"",SUMIFS(Data!$L$2:$L$313,Data!$I$2:$I$313,Sarjataulukko!$B22,Data!$B$2:$B$313,Sarjataulukko!M$5)))</f>
        <v/>
      </c>
      <c r="N22" s="40" t="str">
        <f ca="1">IF(N$5&gt;keilatut,"",IF(SUMIFS(Data!$L$2:$L$313,Data!$I$2:$I$313,Sarjataulukko!$B22,Data!$B$2:$B$313,Sarjataulukko!N$5)=0,"",SUMIFS(Data!$L$2:$L$313,Data!$I$2:$I$313,Sarjataulukko!$B22,Data!$B$2:$B$313,Sarjataulukko!N$5)))</f>
        <v/>
      </c>
      <c r="O22" s="40" t="str">
        <f ca="1">IF(O$5&gt;keilatut,"",IF(SUMIFS(Data!$L$2:$L$313,Data!$I$2:$I$313,Sarjataulukko!$B22,Data!$B$2:$B$313,Sarjataulukko!O$5)=0,"",SUMIFS(Data!$L$2:$L$313,Data!$I$2:$I$313,Sarjataulukko!$B22,Data!$B$2:$B$313,Sarjataulukko!O$5)))</f>
        <v/>
      </c>
      <c r="P22" s="40" t="str">
        <f ca="1">IF(P$5&gt;keilatut,"",IF(SUMIFS(Data!$L$2:$L$313,Data!$I$2:$I$313,Sarjataulukko!$B22,Data!$B$2:$B$313,Sarjataulukko!P$5)=0,"",SUMIFS(Data!$L$2:$L$313,Data!$I$2:$I$313,Sarjataulukko!$B22,Data!$B$2:$B$313,Sarjataulukko!P$5)))</f>
        <v/>
      </c>
      <c r="Q22" s="40" t="str">
        <f>IF(Q$5&gt;keilatut,"",IF(SUMIFS(Data!$L$2:$L$313,Data!$I$2:$I$313,Sarjataulukko!$B22,Data!$B$2:$B$313,Sarjataulukko!Q$5)=0,"",SUMIFS(Data!$L$2:$L$313,Data!$I$2:$I$313,Sarjataulukko!$B22,Data!$B$2:$B$313,Sarjataulukko!Q$5)))</f>
        <v/>
      </c>
      <c r="R22" s="40" t="str">
        <f>IF(R$5&gt;keilatut,"",IF(SUMIFS(Data!$L$2:$L$313,Data!$I$2:$I$313,Sarjataulukko!$B22,Data!$B$2:$B$313,Sarjataulukko!R$5)=0,"",SUMIFS(Data!$L$2:$L$313,Data!$I$2:$I$313,Sarjataulukko!$B22,Data!$B$2:$B$313,Sarjataulukko!R$5)))</f>
        <v/>
      </c>
      <c r="S22" s="38" t="str">
        <f>IF(S$5&gt;keilatut,"",IF(SUMIFS(Data!$L$2:$L$313,Data!$I$2:$I$313,Sarjataulukko!$B22,Data!$B$2:$B$313,Sarjataulukko!S$5)=0,"",SUMIFS(Data!$L$2:$L$313,Data!$I$2:$I$313,Sarjataulukko!$B22,Data!$B$2:$B$313,Sarjataulukko!S$5)))</f>
        <v/>
      </c>
      <c r="T22" s="39">
        <f t="shared" ca="1" si="14"/>
        <v>626</v>
      </c>
      <c r="U22" s="41">
        <f t="shared" ca="1" si="22"/>
        <v>208.66666666666666</v>
      </c>
      <c r="V22" s="42">
        <f t="shared" ca="1" si="23"/>
        <v>104.33333333333333</v>
      </c>
      <c r="Y22" s="10" t="str">
        <f t="shared" ca="1" si="17"/>
        <v>Tatu Erlin</v>
      </c>
      <c r="Z22" s="10">
        <f ca="1">IF(Z$5&gt;keilatut,"",SUMIFS(Data!$AL$2:$AL$313,Data!$I$2:$I$313,Sarjataulukko!$Y22,Data!$B$2:$B$313,Sarjataulukko!Z$5))</f>
        <v>6</v>
      </c>
      <c r="AA22" s="10">
        <f ca="1">IF(AA$5&gt;keilatut,"",SUMIFS(Data!$AL$2:$AL$313,Data!$I$2:$I$313,Sarjataulukko!$Y22,Data!$B$2:$B$313,Sarjataulukko!AA$5))</f>
        <v>0</v>
      </c>
      <c r="AB22" s="10">
        <f ca="1">IF(AB$5&gt;keilatut,"",SUMIFS(Data!$AL$2:$AL$313,Data!$I$2:$I$313,Sarjataulukko!$Y22,Data!$B$2:$B$313,Sarjataulukko!AB$5))</f>
        <v>0</v>
      </c>
      <c r="AC22" s="10">
        <f ca="1">IF(AC$5&gt;keilatut,"",SUMIFS(Data!$AL$2:$AL$313,Data!$I$2:$I$313,Sarjataulukko!$Y22,Data!$B$2:$B$313,Sarjataulukko!AC$5))</f>
        <v>0</v>
      </c>
      <c r="AD22" s="10">
        <f ca="1">IF(AD$5&gt;keilatut,"",SUMIFS(Data!$AL$2:$AL$313,Data!$I$2:$I$313,Sarjataulukko!$Y22,Data!$B$2:$B$313,Sarjataulukko!AD$5))</f>
        <v>0</v>
      </c>
      <c r="AE22" s="10">
        <f ca="1">IF(AE$5&gt;keilatut,"",SUMIFS(Data!$AL$2:$AL$313,Data!$I$2:$I$313,Sarjataulukko!$Y22,Data!$B$2:$B$313,Sarjataulukko!AE$5))</f>
        <v>-1</v>
      </c>
      <c r="AF22" s="10">
        <f ca="1">IF(AF$5&gt;keilatut,"",SUMIFS(Data!$AL$2:$AL$313,Data!$I$2:$I$313,Sarjataulukko!$Y22,Data!$B$2:$B$313,Sarjataulukko!AF$5))</f>
        <v>0</v>
      </c>
      <c r="AG22" s="10">
        <f ca="1">IF(AG$5&gt;keilatut,"",SUMIFS(Data!$AL$2:$AL$313,Data!$I$2:$I$313,Sarjataulukko!$Y22,Data!$B$2:$B$313,Sarjataulukko!AG$5))</f>
        <v>0</v>
      </c>
      <c r="AH22" s="10">
        <f ca="1">IF(AH$5&gt;keilatut,"",SUMIFS(Data!$AL$2:$AL$313,Data!$I$2:$I$313,Sarjataulukko!$Y22,Data!$B$2:$B$313,Sarjataulukko!AH$5))</f>
        <v>0</v>
      </c>
      <c r="AI22" s="10">
        <f ca="1">IF(AI$5&gt;keilatut,"",SUMIFS(Data!$AL$2:$AL$313,Data!$I$2:$I$313,Sarjataulukko!$Y22,Data!$B$2:$B$313,Sarjataulukko!AI$5))</f>
        <v>0</v>
      </c>
      <c r="AJ22" s="10" t="str">
        <f>IF(AJ$5&gt;keilatut,"",SUMIFS(Data!$AL$2:$AL$313,Data!$I$2:$I$313,Sarjataulukko!$Y22,Data!$B$2:$B$313,Sarjataulukko!AJ$5))</f>
        <v/>
      </c>
      <c r="AK22" s="10" t="str">
        <f>IF(AK$5&gt;keilatut,"",SUMIFS(Data!$AL$2:$AL$313,Data!$I$2:$I$313,Sarjataulukko!$Y22,Data!$B$2:$B$313,Sarjataulukko!AK$5))</f>
        <v/>
      </c>
      <c r="AL22" s="10" t="str">
        <f>IF(AL$5&gt;keilatut,"",SUMIFS(Data!$AL$2:$AL$313,Data!$I$2:$I$313,Sarjataulukko!$Y22,Data!$B$2:$B$313,Sarjataulukko!AL$5))</f>
        <v/>
      </c>
      <c r="AM22" s="10">
        <f t="shared" ca="1" si="18"/>
        <v>0</v>
      </c>
      <c r="AN22" s="10" cm="1">
        <f t="array" aca="1" ref="AN22" ca="1">IF($Y22="","",SUM(LARGE($Z22:$AL22,{1;2;3;4;5;6;7;8;9;10})))</f>
        <v>5</v>
      </c>
      <c r="AO22" s="10">
        <f t="shared" ca="1" si="4"/>
        <v>5</v>
      </c>
      <c r="AP22" s="10">
        <f t="shared" ca="1" si="19"/>
        <v>104.3</v>
      </c>
      <c r="AQ22" s="10">
        <f ca="1">IF(Sarjataulukko!$Y22="","",_xlfn.MAXIFS(Data!$AQ$2:$AQ$313,Data!$I$2:$I$313,Sarjataulukko!$Y22))</f>
        <v>0</v>
      </c>
      <c r="AR22" s="10">
        <f t="shared" ca="1" si="20"/>
        <v>22</v>
      </c>
      <c r="AS22" s="13">
        <f t="shared" ca="1" si="5"/>
        <v>0.17</v>
      </c>
      <c r="AT22" s="14">
        <f t="shared" ca="1" si="6"/>
        <v>1.6999999999999999E-3</v>
      </c>
      <c r="AU22" s="15">
        <f t="shared" ca="1" si="7"/>
        <v>1.8E-5</v>
      </c>
      <c r="AV22" s="16">
        <f t="shared" ca="1" si="8"/>
        <v>8.0000000000000002E-8</v>
      </c>
      <c r="AW22" s="17">
        <f t="shared" ca="1" si="9"/>
        <v>1.6999999999999999E-9</v>
      </c>
      <c r="AX22" s="17">
        <f ca="1">IF($Y22="","",SUM($AS22:$AW22))</f>
        <v>0.17171808170000002</v>
      </c>
      <c r="AY22" s="10">
        <f ca="1">IF($Y22="","",_xlfn.RANK.EQ($AX22,$AX$6:$AX$23,1))</f>
        <v>17</v>
      </c>
      <c r="AZ22" s="10">
        <f t="shared" ca="1" si="10"/>
        <v>18</v>
      </c>
      <c r="BA22" s="10">
        <f t="shared" ca="1" si="24"/>
        <v>17</v>
      </c>
      <c r="BB22" s="10" t="str">
        <f t="shared" ca="1" si="11"/>
        <v>Sakari Leinonen</v>
      </c>
    </row>
    <row r="23" spans="1:54" x14ac:dyDescent="0.25">
      <c r="A23" s="87">
        <f>IF(keilatut=0,"",IF(1+A22&gt;Data!$CP$2,"",1+A22))</f>
        <v>18</v>
      </c>
      <c r="B23" s="88" t="str">
        <f ca="1">IF($A23="","",OFFSET(Data!$I$1,MATCH(Sarjataulukko!$A23,Data!$AX$2:$AX$313,0),0))</f>
        <v>Joonas Ollonqvist</v>
      </c>
      <c r="C23" s="89">
        <f t="shared" ca="1" si="12"/>
        <v>7</v>
      </c>
      <c r="D23" s="90">
        <f ca="1">IF($A23="","",SUMIFS(Data!$AM$2:$AM$313,Data!$I$2:$I$313,Sarjataulukko!$B23,Data!$B$2:$B$313,keilatut))</f>
        <v>1</v>
      </c>
      <c r="E23" s="91">
        <f t="shared" ca="1" si="21"/>
        <v>0.14285714285714285</v>
      </c>
      <c r="F23" s="92">
        <f ca="1">IF(Sarjataulukko!$A23="","",_xlfn.MAXIFS(Data!$AQ$2:$AQ$313,Data!$I$2:$I$313,Sarjataulukko!$B23))</f>
        <v>0</v>
      </c>
      <c r="G23" s="93" t="str">
        <f ca="1">IF(G$5&gt;keilatut,"",IF(SUMIFS(Data!$L$2:$L$313,Data!$I$2:$I$313,Sarjataulukko!$B23,Data!$B$2:$B$313,Sarjataulukko!G$5)=0,"",SUMIFS(Data!$L$2:$L$313,Data!$I$2:$I$313,Sarjataulukko!$B23,Data!$B$2:$B$313,Sarjataulukko!G$5)))</f>
        <v/>
      </c>
      <c r="H23" s="94">
        <f ca="1">IF(H$5&gt;keilatut,"",IF(SUMIFS(Data!$L$2:$L$313,Data!$I$2:$I$313,Sarjataulukko!$B23,Data!$B$2:$B$313,Sarjataulukko!H$5)=0,"",SUMIFS(Data!$L$2:$L$313,Data!$I$2:$I$313,Sarjataulukko!$B23,Data!$B$2:$B$313,Sarjataulukko!H$5)))</f>
        <v>247</v>
      </c>
      <c r="I23" s="94" t="str">
        <f ca="1">IF(I$5&gt;keilatut,"",IF(SUMIFS(Data!$L$2:$L$313,Data!$I$2:$I$313,Sarjataulukko!$B23,Data!$B$2:$B$313,Sarjataulukko!I$5)=0,"",SUMIFS(Data!$L$2:$L$313,Data!$I$2:$I$313,Sarjataulukko!$B23,Data!$B$2:$B$313,Sarjataulukko!I$5)))</f>
        <v/>
      </c>
      <c r="J23" s="94">
        <f ca="1">IF(J$5&gt;keilatut,"",IF(SUMIFS(Data!$L$2:$L$313,Data!$I$2:$I$313,Sarjataulukko!$B23,Data!$B$2:$B$313,Sarjataulukko!J$5)=0,"",SUMIFS(Data!$L$2:$L$313,Data!$I$2:$I$313,Sarjataulukko!$B23,Data!$B$2:$B$313,Sarjataulukko!J$5)))</f>
        <v>203</v>
      </c>
      <c r="K23" s="94">
        <f ca="1">IF(K$5&gt;keilatut,"",IF(SUMIFS(Data!$L$2:$L$313,Data!$I$2:$I$313,Sarjataulukko!$B23,Data!$B$2:$B$313,Sarjataulukko!K$5)=0,"",SUMIFS(Data!$L$2:$L$313,Data!$I$2:$I$313,Sarjataulukko!$B23,Data!$B$2:$B$313,Sarjataulukko!K$5)))</f>
        <v>267</v>
      </c>
      <c r="L23" s="94">
        <f ca="1">IF(L$5&gt;keilatut,"",IF(SUMIFS(Data!$L$2:$L$313,Data!$I$2:$I$313,Sarjataulukko!$B23,Data!$B$2:$B$313,Sarjataulukko!L$5)=0,"",SUMIFS(Data!$L$2:$L$313,Data!$I$2:$I$313,Sarjataulukko!$B23,Data!$B$2:$B$313,Sarjataulukko!L$5)))</f>
        <v>241</v>
      </c>
      <c r="M23" s="94">
        <f ca="1">IF(M$5&gt;keilatut,"",IF(SUMIFS(Data!$L$2:$L$313,Data!$I$2:$I$313,Sarjataulukko!$B23,Data!$B$2:$B$313,Sarjataulukko!M$5)=0,"",SUMIFS(Data!$L$2:$L$313,Data!$I$2:$I$313,Sarjataulukko!$B23,Data!$B$2:$B$313,Sarjataulukko!M$5)))</f>
        <v>233</v>
      </c>
      <c r="N23" s="94">
        <f ca="1">IF(N$5&gt;keilatut,"",IF(SUMIFS(Data!$L$2:$L$313,Data!$I$2:$I$313,Sarjataulukko!$B23,Data!$B$2:$B$313,Sarjataulukko!N$5)=0,"",SUMIFS(Data!$L$2:$L$313,Data!$I$2:$I$313,Sarjataulukko!$B23,Data!$B$2:$B$313,Sarjataulukko!N$5)))</f>
        <v>236</v>
      </c>
      <c r="O23" s="94">
        <f ca="1">IF(O$5&gt;keilatut,"",IF(SUMIFS(Data!$L$2:$L$313,Data!$I$2:$I$313,Sarjataulukko!$B23,Data!$B$2:$B$313,Sarjataulukko!O$5)=0,"",SUMIFS(Data!$L$2:$L$313,Data!$I$2:$I$313,Sarjataulukko!$B23,Data!$B$2:$B$313,Sarjataulukko!O$5)))</f>
        <v>223</v>
      </c>
      <c r="P23" s="94" t="str">
        <f ca="1">IF(P$5&gt;keilatut,"",IF(SUMIFS(Data!$L$2:$L$313,Data!$I$2:$I$313,Sarjataulukko!$B23,Data!$B$2:$B$313,Sarjataulukko!P$5)=0,"",SUMIFS(Data!$L$2:$L$313,Data!$I$2:$I$313,Sarjataulukko!$B23,Data!$B$2:$B$313,Sarjataulukko!P$5)))</f>
        <v/>
      </c>
      <c r="Q23" s="94" t="str">
        <f>IF(Q$5&gt;keilatut,"",IF(SUMIFS(Data!$L$2:$L$313,Data!$I$2:$I$313,Sarjataulukko!$B23,Data!$B$2:$B$313,Sarjataulukko!Q$5)=0,"",SUMIFS(Data!$L$2:$L$313,Data!$I$2:$I$313,Sarjataulukko!$B23,Data!$B$2:$B$313,Sarjataulukko!Q$5)))</f>
        <v/>
      </c>
      <c r="R23" s="94" t="str">
        <f>IF(R$5&gt;keilatut,"",IF(SUMIFS(Data!$L$2:$L$313,Data!$I$2:$I$313,Sarjataulukko!$B23,Data!$B$2:$B$313,Sarjataulukko!R$5)=0,"",SUMIFS(Data!$L$2:$L$313,Data!$I$2:$I$313,Sarjataulukko!$B23,Data!$B$2:$B$313,Sarjataulukko!R$5)))</f>
        <v/>
      </c>
      <c r="S23" s="92" t="str">
        <f>IF(S$5&gt;keilatut,"",IF(SUMIFS(Data!$L$2:$L$313,Data!$I$2:$I$313,Sarjataulukko!$B23,Data!$B$2:$B$313,Sarjataulukko!S$5)=0,"",SUMIFS(Data!$L$2:$L$313,Data!$I$2:$I$313,Sarjataulukko!$B23,Data!$B$2:$B$313,Sarjataulukko!S$5)))</f>
        <v/>
      </c>
      <c r="T23" s="93">
        <f t="shared" ca="1" si="14"/>
        <v>1650</v>
      </c>
      <c r="U23" s="95">
        <f t="shared" ca="1" si="22"/>
        <v>235.71428571428572</v>
      </c>
      <c r="V23" s="96">
        <f t="shared" ca="1" si="23"/>
        <v>117.85714285714286</v>
      </c>
      <c r="Y23" s="10" t="str">
        <f t="shared" ca="1" si="17"/>
        <v>Joonas Ollonqvist</v>
      </c>
      <c r="Z23" s="10">
        <f ca="1">IF(Z$5&gt;keilatut,"",SUMIFS(Data!$AL$2:$AL$313,Data!$I$2:$I$313,Sarjataulukko!$Y23,Data!$B$2:$B$313,Sarjataulukko!Z$5))</f>
        <v>0</v>
      </c>
      <c r="AA23" s="10">
        <f ca="1">IF(AA$5&gt;keilatut,"",SUMIFS(Data!$AL$2:$AL$313,Data!$I$2:$I$313,Sarjataulukko!$Y23,Data!$B$2:$B$313,Sarjataulukko!AA$5))</f>
        <v>0</v>
      </c>
      <c r="AB23" s="10">
        <f ca="1">IF(AB$5&gt;keilatut,"",SUMIFS(Data!$AL$2:$AL$313,Data!$I$2:$I$313,Sarjataulukko!$Y23,Data!$B$2:$B$313,Sarjataulukko!AB$5))</f>
        <v>0</v>
      </c>
      <c r="AC23" s="10">
        <f ca="1">IF(AC$5&gt;keilatut,"",SUMIFS(Data!$AL$2:$AL$313,Data!$I$2:$I$313,Sarjataulukko!$Y23,Data!$B$2:$B$313,Sarjataulukko!AC$5))</f>
        <v>0</v>
      </c>
      <c r="AD23" s="10">
        <f ca="1">IF(AD$5&gt;keilatut,"",SUMIFS(Data!$AL$2:$AL$313,Data!$I$2:$I$313,Sarjataulukko!$Y23,Data!$B$2:$B$313,Sarjataulukko!AD$5))</f>
        <v>0</v>
      </c>
      <c r="AE23" s="10">
        <f ca="1">IF(AE$5&gt;keilatut,"",SUMIFS(Data!$AL$2:$AL$313,Data!$I$2:$I$313,Sarjataulukko!$Y23,Data!$B$2:$B$313,Sarjataulukko!AE$5))</f>
        <v>1</v>
      </c>
      <c r="AF23" s="10">
        <f ca="1">IF(AF$5&gt;keilatut,"",SUMIFS(Data!$AL$2:$AL$313,Data!$I$2:$I$313,Sarjataulukko!$Y23,Data!$B$2:$B$313,Sarjataulukko!AF$5))</f>
        <v>0</v>
      </c>
      <c r="AG23" s="10">
        <f ca="1">IF(AG$5&gt;keilatut,"",SUMIFS(Data!$AL$2:$AL$313,Data!$I$2:$I$313,Sarjataulukko!$Y23,Data!$B$2:$B$313,Sarjataulukko!AG$5))</f>
        <v>0</v>
      </c>
      <c r="AH23" s="10">
        <f ca="1">IF(AH$5&gt;keilatut,"",SUMIFS(Data!$AL$2:$AL$313,Data!$I$2:$I$313,Sarjataulukko!$Y23,Data!$B$2:$B$313,Sarjataulukko!AH$5))</f>
        <v>0</v>
      </c>
      <c r="AI23" s="10">
        <f ca="1">IF(AI$5&gt;keilatut,"",SUMIFS(Data!$AL$2:$AL$313,Data!$I$2:$I$313,Sarjataulukko!$Y23,Data!$B$2:$B$313,Sarjataulukko!AI$5))</f>
        <v>0</v>
      </c>
      <c r="AJ23" s="10" t="str">
        <f>IF(AJ$5&gt;keilatut,"",SUMIFS(Data!$AL$2:$AL$313,Data!$I$2:$I$313,Sarjataulukko!$Y23,Data!$B$2:$B$313,Sarjataulukko!AJ$5))</f>
        <v/>
      </c>
      <c r="AK23" s="10" t="str">
        <f>IF(AK$5&gt;keilatut,"",SUMIFS(Data!$AL$2:$AL$313,Data!$I$2:$I$313,Sarjataulukko!$Y23,Data!$B$2:$B$313,Sarjataulukko!AK$5))</f>
        <v/>
      </c>
      <c r="AL23" s="10" t="str">
        <f>IF(AL$5&gt;keilatut,"",SUMIFS(Data!$AL$2:$AL$313,Data!$I$2:$I$313,Sarjataulukko!$Y23,Data!$B$2:$B$313,Sarjataulukko!AL$5))</f>
        <v/>
      </c>
      <c r="AM23" s="10">
        <f t="shared" ca="1" si="18"/>
        <v>0</v>
      </c>
      <c r="AN23" s="10" cm="1">
        <f t="array" aca="1" ref="AN23" ca="1">IF($Y23="","",SUM(LARGE($Z23:$AL23,{1;2;3;4;5;6;7;8;9;10})))</f>
        <v>1</v>
      </c>
      <c r="AO23" s="10">
        <f t="shared" ca="1" si="4"/>
        <v>1</v>
      </c>
      <c r="AP23" s="10">
        <f t="shared" ca="1" si="19"/>
        <v>117.9</v>
      </c>
      <c r="AQ23" s="10">
        <f ca="1">IF(Sarjataulukko!$Y23="","",_xlfn.MAXIFS(Data!$AQ$2:$AQ$313,Data!$I$2:$I$313,Sarjataulukko!$Y23))</f>
        <v>0</v>
      </c>
      <c r="AR23" s="10">
        <f t="shared" ca="1" si="20"/>
        <v>23</v>
      </c>
      <c r="AS23" s="13">
        <f t="shared" ca="1" si="5"/>
        <v>0.18</v>
      </c>
      <c r="AT23" s="14">
        <f t="shared" ca="1" si="6"/>
        <v>1.8E-3</v>
      </c>
      <c r="AU23" s="15">
        <f t="shared" ca="1" si="7"/>
        <v>1.5999999999999999E-5</v>
      </c>
      <c r="AV23" s="16">
        <f t="shared" ca="1" si="8"/>
        <v>8.0000000000000002E-8</v>
      </c>
      <c r="AW23" s="17">
        <f t="shared" ca="1" si="9"/>
        <v>1.8E-9</v>
      </c>
      <c r="AX23" s="17">
        <f ca="1">IF($Y23="","",SUM($AS23:$AW23))</f>
        <v>0.1818160818</v>
      </c>
      <c r="AY23" s="10">
        <f ca="1">IF($Y23="","",_xlfn.RANK.EQ($AX23,$AX$6:$AX$23,1))</f>
        <v>18</v>
      </c>
      <c r="AZ23" s="10">
        <f t="shared" ca="1" si="10"/>
        <v>6</v>
      </c>
      <c r="BA23" s="10">
        <f t="shared" ca="1" si="24"/>
        <v>18</v>
      </c>
      <c r="BB23" s="10" t="str">
        <f t="shared" ca="1" si="11"/>
        <v>Tatu Erlin</v>
      </c>
    </row>
    <row r="25" spans="1:54" x14ac:dyDescent="0.25">
      <c r="A25" s="9" t="str">
        <f>otsikko</f>
        <v>Kaatokerho, 2024-25</v>
      </c>
    </row>
    <row r="26" spans="1:54" ht="26.25" x14ac:dyDescent="0.4">
      <c r="A26" s="11" t="s">
        <v>28</v>
      </c>
    </row>
    <row r="27" spans="1:54" ht="6" customHeight="1" x14ac:dyDescent="0.25"/>
    <row r="28" spans="1:54" x14ac:dyDescent="0.25">
      <c r="A28" s="188" t="s">
        <v>29</v>
      </c>
      <c r="B28" s="189"/>
      <c r="C28" s="189"/>
      <c r="D28" s="189"/>
      <c r="E28" s="189"/>
      <c r="F28" s="190"/>
      <c r="G28" s="188" t="s">
        <v>30</v>
      </c>
      <c r="H28" s="189"/>
      <c r="I28" s="189"/>
      <c r="J28" s="189"/>
      <c r="K28" s="189"/>
      <c r="L28" s="189"/>
      <c r="M28" s="189"/>
      <c r="N28" s="189"/>
      <c r="O28" s="189"/>
      <c r="P28" s="189"/>
      <c r="Q28" s="189"/>
      <c r="R28" s="189"/>
      <c r="S28" s="190"/>
    </row>
    <row r="29" spans="1:54" ht="24.75" x14ac:dyDescent="0.25">
      <c r="A29" s="21" t="s">
        <v>6</v>
      </c>
      <c r="B29" s="22" t="s">
        <v>7</v>
      </c>
      <c r="C29" s="25" t="s">
        <v>31</v>
      </c>
      <c r="D29" s="25" t="str">
        <f>"Vähennykset ("&amp;$AM$4&amp;" GP"&amp;IF($AM$4=1,"",":tä")&amp;")"</f>
        <v>Vähennykset (0 GP:tä)</v>
      </c>
      <c r="E29" s="25" t="s">
        <v>32</v>
      </c>
      <c r="F29" s="26" t="s">
        <v>33</v>
      </c>
      <c r="G29" s="18">
        <f t="shared" ref="G29:S29" si="26">G5</f>
        <v>1</v>
      </c>
      <c r="H29" s="19">
        <f t="shared" si="26"/>
        <v>2</v>
      </c>
      <c r="I29" s="19">
        <f t="shared" si="26"/>
        <v>3</v>
      </c>
      <c r="J29" s="19">
        <f t="shared" si="26"/>
        <v>4</v>
      </c>
      <c r="K29" s="19">
        <f t="shared" si="26"/>
        <v>5</v>
      </c>
      <c r="L29" s="19">
        <f t="shared" si="26"/>
        <v>6</v>
      </c>
      <c r="M29" s="19">
        <f t="shared" si="26"/>
        <v>7</v>
      </c>
      <c r="N29" s="19">
        <f t="shared" si="26"/>
        <v>8</v>
      </c>
      <c r="O29" s="19">
        <f t="shared" si="26"/>
        <v>9</v>
      </c>
      <c r="P29" s="19">
        <f t="shared" si="26"/>
        <v>10</v>
      </c>
      <c r="Q29" s="19">
        <f t="shared" si="26"/>
        <v>11</v>
      </c>
      <c r="R29" s="19">
        <f t="shared" si="26"/>
        <v>12</v>
      </c>
      <c r="S29" s="20">
        <f t="shared" si="26"/>
        <v>13</v>
      </c>
    </row>
    <row r="30" spans="1:54" x14ac:dyDescent="0.25">
      <c r="A30" s="43">
        <f>IF(keilatut=0,"",1)</f>
        <v>1</v>
      </c>
      <c r="B30" s="44" t="str">
        <f ca="1">IF($A30="","",OFFSET($Y$5,MATCH($A30,$AY$6:$AY$23,0),0))</f>
        <v>Jami Kallio</v>
      </c>
      <c r="C30" s="45">
        <f ca="1">IF($A30="","",OFFSET($Y$5,MATCH($A30,$AY$6:$AY$23,0),16))</f>
        <v>85</v>
      </c>
      <c r="D30" s="45">
        <f ca="1">IF($A30="","",OFFSET($Y$5,MATCH($A30,$AY$6:$AY$23,0),14))</f>
        <v>0</v>
      </c>
      <c r="E30" s="46">
        <f ca="1">IF($A30="","",OFFSET($Y$5,MATCH($A30,$AY$6:$AY$23,0),15))</f>
        <v>85</v>
      </c>
      <c r="F30" s="47">
        <f ca="1">IF($A30="","",OFFSET($Y$5,MATCH($A30,$AY$6:$AY$23,0),17))</f>
        <v>150.1</v>
      </c>
      <c r="G30" s="48">
        <f ca="1">IF($A30="","",OFFSET($Y$5,MATCH($A30,$AY$6:$AY$23,0),G$29))</f>
        <v>2</v>
      </c>
      <c r="H30" s="49">
        <f ca="1">IF($A30="","",OFFSET($Y$5,MATCH($A30,$AY$6:$AY$23,0),H$29))</f>
        <v>7</v>
      </c>
      <c r="I30" s="49">
        <f ca="1">IF($A30="","",OFFSET($Y$5,MATCH($A30,$AY$6:$AY$23,0),I$29))</f>
        <v>7</v>
      </c>
      <c r="J30" s="49">
        <f ca="1">IF($A30="","",OFFSET($Y$5,MATCH($A30,$AY$6:$AY$23,0),J$29))</f>
        <v>12</v>
      </c>
      <c r="K30" s="49">
        <f ca="1">IF($A30="","",OFFSET($Y$5,MATCH($A30,$AY$6:$AY$23,0),K$29))</f>
        <v>7</v>
      </c>
      <c r="L30" s="49">
        <f ca="1">IF($A30="","",OFFSET($Y$5,MATCH($A30,$AY$6:$AY$23,0),L$29))</f>
        <v>11</v>
      </c>
      <c r="M30" s="49">
        <f ca="1">IF($A30="","",OFFSET($Y$5,MATCH($A30,$AY$6:$AY$23,0),M$29))</f>
        <v>11</v>
      </c>
      <c r="N30" s="49">
        <f ca="1">IF($A30="","",OFFSET($Y$5,MATCH($A30,$AY$6:$AY$23,0),N$29))</f>
        <v>7</v>
      </c>
      <c r="O30" s="49">
        <f ca="1">IF($A30="","",OFFSET($Y$5,MATCH($A30,$AY$6:$AY$23,0),O$29))</f>
        <v>12</v>
      </c>
      <c r="P30" s="49">
        <f ca="1">IF($A30="","",OFFSET($Y$5,MATCH($A30,$AY$6:$AY$23,0),P$29))</f>
        <v>9</v>
      </c>
      <c r="Q30" s="49" t="str">
        <f ca="1">IF($A30="","",OFFSET($Y$5,MATCH($A30,$AY$6:$AY$23,0),Q$29))</f>
        <v/>
      </c>
      <c r="R30" s="49" t="str">
        <f ca="1">IF($A30="","",OFFSET($Y$5,MATCH($A30,$AY$6:$AY$23,0),R$29))</f>
        <v/>
      </c>
      <c r="S30" s="50" t="str">
        <f ca="1">IF($A30="","",OFFSET($Y$5,MATCH($A30,$AY$6:$AY$23,0),S$29))</f>
        <v/>
      </c>
    </row>
    <row r="31" spans="1:54" x14ac:dyDescent="0.25">
      <c r="A31" s="33">
        <f>IF(keilatut=0,"",IF(1+A30&gt;Data!$CP$2,"",1+A30))</f>
        <v>2</v>
      </c>
      <c r="B31" s="34" t="str">
        <f ca="1">IF($A31="","",OFFSET($Y$5,MATCH($A31,$AY$6:$AY$23,0),0))</f>
        <v>Miika Nordblad</v>
      </c>
      <c r="C31" s="35">
        <f t="shared" ref="C31:C47" ca="1" si="27">IF($A31="","",OFFSET($Y$5,MATCH($A31,$AY$6:$AY$23,0),16))</f>
        <v>81</v>
      </c>
      <c r="D31" s="35">
        <f t="shared" ref="D31:D47" ca="1" si="28">IF($A31="","",OFFSET($Y$5,MATCH($A31,$AY$6:$AY$23,0),14))</f>
        <v>0</v>
      </c>
      <c r="E31" s="36">
        <f t="shared" ref="E31:E47" ca="1" si="29">IF($A31="","",OFFSET($Y$5,MATCH($A31,$AY$6:$AY$23,0),15))</f>
        <v>81</v>
      </c>
      <c r="F31" s="42">
        <f t="shared" ref="F31:F47" ca="1" si="30">IF($A31="","",OFFSET($Y$5,MATCH($A31,$AY$6:$AY$23,0),17))</f>
        <v>154.69999999999999</v>
      </c>
      <c r="G31" s="39">
        <f ca="1">IF($A31="","",OFFSET($Y$5,MATCH($A31,$AY$6:$AY$23,0),G$29))</f>
        <v>0</v>
      </c>
      <c r="H31" s="40">
        <f ca="1">IF($A31="","",OFFSET($Y$5,MATCH($A31,$AY$6:$AY$23,0),H$29))</f>
        <v>11</v>
      </c>
      <c r="I31" s="40">
        <f ca="1">IF($A31="","",OFFSET($Y$5,MATCH($A31,$AY$6:$AY$23,0),I$29))</f>
        <v>10</v>
      </c>
      <c r="J31" s="40">
        <f ca="1">IF($A31="","",OFFSET($Y$5,MATCH($A31,$AY$6:$AY$23,0),J$29))</f>
        <v>6</v>
      </c>
      <c r="K31" s="40">
        <f ca="1">IF($A31="","",OFFSET($Y$5,MATCH($A31,$AY$6:$AY$23,0),K$29))</f>
        <v>13</v>
      </c>
      <c r="L31" s="40">
        <f ca="1">IF($A31="","",OFFSET($Y$5,MATCH($A31,$AY$6:$AY$23,0),L$29))</f>
        <v>2</v>
      </c>
      <c r="M31" s="40">
        <f ca="1">IF($A31="","",OFFSET($Y$5,MATCH($A31,$AY$6:$AY$23,0),M$29))</f>
        <v>8</v>
      </c>
      <c r="N31" s="40">
        <f ca="1">IF($A31="","",OFFSET($Y$5,MATCH($A31,$AY$6:$AY$23,0),N$29))</f>
        <v>12</v>
      </c>
      <c r="O31" s="40">
        <f ca="1">IF($A31="","",OFFSET($Y$5,MATCH($A31,$AY$6:$AY$23,0),O$29))</f>
        <v>7</v>
      </c>
      <c r="P31" s="40">
        <f ca="1">IF($A31="","",OFFSET($Y$5,MATCH($A31,$AY$6:$AY$23,0),P$29))</f>
        <v>12</v>
      </c>
      <c r="Q31" s="40" t="str">
        <f ca="1">IF($A31="","",OFFSET($Y$5,MATCH($A31,$AY$6:$AY$23,0),Q$29))</f>
        <v/>
      </c>
      <c r="R31" s="40" t="str">
        <f ca="1">IF($A31="","",OFFSET($Y$5,MATCH($A31,$AY$6:$AY$23,0),R$29))</f>
        <v/>
      </c>
      <c r="S31" s="38" t="str">
        <f ca="1">IF($A31="","",OFFSET($Y$5,MATCH($A31,$AY$6:$AY$23,0),S$29))</f>
        <v/>
      </c>
    </row>
    <row r="32" spans="1:54" x14ac:dyDescent="0.25">
      <c r="A32" s="33">
        <f>IF(keilatut=0,"",IF(1+A31&gt;Data!$CP$2,"",1+A31))</f>
        <v>3</v>
      </c>
      <c r="B32" s="34" t="str">
        <f ca="1">IF($A32="","",OFFSET($Y$5,MATCH($A32,$AY$6:$AY$23,0),0))</f>
        <v>Henri Verho</v>
      </c>
      <c r="C32" s="35">
        <f t="shared" ca="1" si="27"/>
        <v>56</v>
      </c>
      <c r="D32" s="35">
        <f t="shared" ca="1" si="28"/>
        <v>0</v>
      </c>
      <c r="E32" s="36">
        <f t="shared" ca="1" si="29"/>
        <v>56</v>
      </c>
      <c r="F32" s="42">
        <f t="shared" ca="1" si="30"/>
        <v>140</v>
      </c>
      <c r="G32" s="39">
        <f ca="1">IF($A32="","",OFFSET($Y$5,MATCH($A32,$AY$6:$AY$23,0),G$29))</f>
        <v>5</v>
      </c>
      <c r="H32" s="40">
        <f ca="1">IF($A32="","",OFFSET($Y$5,MATCH($A32,$AY$6:$AY$23,0),H$29))</f>
        <v>6</v>
      </c>
      <c r="I32" s="40">
        <f ca="1">IF($A32="","",OFFSET($Y$5,MATCH($A32,$AY$6:$AY$23,0),I$29))</f>
        <v>3</v>
      </c>
      <c r="J32" s="40">
        <f ca="1">IF($A32="","",OFFSET($Y$5,MATCH($A32,$AY$6:$AY$23,0),J$29))</f>
        <v>8</v>
      </c>
      <c r="K32" s="40">
        <f ca="1">IF($A32="","",OFFSET($Y$5,MATCH($A32,$AY$6:$AY$23,0),K$29))</f>
        <v>6</v>
      </c>
      <c r="L32" s="40">
        <f ca="1">IF($A32="","",OFFSET($Y$5,MATCH($A32,$AY$6:$AY$23,0),L$29))</f>
        <v>7</v>
      </c>
      <c r="M32" s="40">
        <f ca="1">IF($A32="","",OFFSET($Y$5,MATCH($A32,$AY$6:$AY$23,0),M$29))</f>
        <v>5</v>
      </c>
      <c r="N32" s="40">
        <f ca="1">IF($A32="","",OFFSET($Y$5,MATCH($A32,$AY$6:$AY$23,0),N$29))</f>
        <v>5</v>
      </c>
      <c r="O32" s="40">
        <f ca="1">IF($A32="","",OFFSET($Y$5,MATCH($A32,$AY$6:$AY$23,0),O$29))</f>
        <v>1</v>
      </c>
      <c r="P32" s="40">
        <f ca="1">IF($A32="","",OFFSET($Y$5,MATCH($A32,$AY$6:$AY$23,0),P$29))</f>
        <v>10</v>
      </c>
      <c r="Q32" s="40" t="str">
        <f ca="1">IF($A32="","",OFFSET($Y$5,MATCH($A32,$AY$6:$AY$23,0),Q$29))</f>
        <v/>
      </c>
      <c r="R32" s="40" t="str">
        <f ca="1">IF($A32="","",OFFSET($Y$5,MATCH($A32,$AY$6:$AY$23,0),R$29))</f>
        <v/>
      </c>
      <c r="S32" s="38" t="str">
        <f ca="1">IF($A32="","",OFFSET($Y$5,MATCH($A32,$AY$6:$AY$23,0),S$29))</f>
        <v/>
      </c>
    </row>
    <row r="33" spans="1:19" x14ac:dyDescent="0.25">
      <c r="A33" s="33">
        <f>IF(keilatut=0,"",IF(1+A32&gt;Data!$CP$2,"",1+A32))</f>
        <v>4</v>
      </c>
      <c r="B33" s="34" t="str">
        <f ca="1">IF($A33="","",OFFSET($Y$5,MATCH($A33,$AY$6:$AY$23,0),0))</f>
        <v>Ossi Oksa</v>
      </c>
      <c r="C33" s="35">
        <f t="shared" ca="1" si="27"/>
        <v>51.5</v>
      </c>
      <c r="D33" s="35">
        <f t="shared" ca="1" si="28"/>
        <v>0</v>
      </c>
      <c r="E33" s="36">
        <f t="shared" ca="1" si="29"/>
        <v>51.5</v>
      </c>
      <c r="F33" s="42">
        <f t="shared" ca="1" si="30"/>
        <v>144.9</v>
      </c>
      <c r="G33" s="39">
        <f ca="1">IF($A33="","",OFFSET($Y$5,MATCH($A33,$AY$6:$AY$23,0),G$29))</f>
        <v>7.5</v>
      </c>
      <c r="H33" s="40">
        <f ca="1">IF($A33="","",OFFSET($Y$5,MATCH($A33,$AY$6:$AY$23,0),H$29))</f>
        <v>6</v>
      </c>
      <c r="I33" s="40">
        <f ca="1">IF($A33="","",OFFSET($Y$5,MATCH($A33,$AY$6:$AY$23,0),I$29))</f>
        <v>13</v>
      </c>
      <c r="J33" s="40">
        <f ca="1">IF($A33="","",OFFSET($Y$5,MATCH($A33,$AY$6:$AY$23,0),J$29))</f>
        <v>0</v>
      </c>
      <c r="K33" s="40">
        <f ca="1">IF($A33="","",OFFSET($Y$5,MATCH($A33,$AY$6:$AY$23,0),K$29))</f>
        <v>8</v>
      </c>
      <c r="L33" s="40">
        <f ca="1">IF($A33="","",OFFSET($Y$5,MATCH($A33,$AY$6:$AY$23,0),L$29))</f>
        <v>0</v>
      </c>
      <c r="M33" s="40">
        <f ca="1">IF($A33="","",OFFSET($Y$5,MATCH($A33,$AY$6:$AY$23,0),M$29))</f>
        <v>1</v>
      </c>
      <c r="N33" s="40">
        <f ca="1">IF($A33="","",OFFSET($Y$5,MATCH($A33,$AY$6:$AY$23,0),N$29))</f>
        <v>10</v>
      </c>
      <c r="O33" s="40">
        <f ca="1">IF($A33="","",OFFSET($Y$5,MATCH($A33,$AY$6:$AY$23,0),O$29))</f>
        <v>6</v>
      </c>
      <c r="P33" s="40">
        <f ca="1">IF($A33="","",OFFSET($Y$5,MATCH($A33,$AY$6:$AY$23,0),P$29))</f>
        <v>0</v>
      </c>
      <c r="Q33" s="40" t="str">
        <f ca="1">IF($A33="","",OFFSET($Y$5,MATCH($A33,$AY$6:$AY$23,0),Q$29))</f>
        <v/>
      </c>
      <c r="R33" s="40" t="str">
        <f ca="1">IF($A33="","",OFFSET($Y$5,MATCH($A33,$AY$6:$AY$23,0),R$29))</f>
        <v/>
      </c>
      <c r="S33" s="38" t="str">
        <f ca="1">IF($A33="","",OFFSET($Y$5,MATCH($A33,$AY$6:$AY$23,0),S$29))</f>
        <v/>
      </c>
    </row>
    <row r="34" spans="1:19" x14ac:dyDescent="0.25">
      <c r="A34" s="33">
        <f>IF(keilatut=0,"",IF(1+A33&gt;Data!$CP$2,"",1+A33))</f>
        <v>5</v>
      </c>
      <c r="B34" s="34" t="str">
        <f ca="1">IF($A34="","",OFFSET($Y$5,MATCH($A34,$AY$6:$AY$23,0),0))</f>
        <v>Niko Reunanen</v>
      </c>
      <c r="C34" s="35">
        <f t="shared" ca="1" si="27"/>
        <v>42</v>
      </c>
      <c r="D34" s="35">
        <f t="shared" ca="1" si="28"/>
        <v>0</v>
      </c>
      <c r="E34" s="36">
        <f t="shared" ca="1" si="29"/>
        <v>42</v>
      </c>
      <c r="F34" s="42">
        <f t="shared" ca="1" si="30"/>
        <v>133.19999999999999</v>
      </c>
      <c r="G34" s="39">
        <f ca="1">IF($A34="","",OFFSET($Y$5,MATCH($A34,$AY$6:$AY$23,0),G$29))</f>
        <v>3</v>
      </c>
      <c r="H34" s="40">
        <f ca="1">IF($A34="","",OFFSET($Y$5,MATCH($A34,$AY$6:$AY$23,0),H$29))</f>
        <v>0</v>
      </c>
      <c r="I34" s="40">
        <f ca="1">IF($A34="","",OFFSET($Y$5,MATCH($A34,$AY$6:$AY$23,0),I$29))</f>
        <v>6</v>
      </c>
      <c r="J34" s="40">
        <f ca="1">IF($A34="","",OFFSET($Y$5,MATCH($A34,$AY$6:$AY$23,0),J$29))</f>
        <v>10</v>
      </c>
      <c r="K34" s="40">
        <f ca="1">IF($A34="","",OFFSET($Y$5,MATCH($A34,$AY$6:$AY$23,0),K$29))</f>
        <v>0</v>
      </c>
      <c r="L34" s="40">
        <f ca="1">IF($A34="","",OFFSET($Y$5,MATCH($A34,$AY$6:$AY$23,0),L$29))</f>
        <v>5</v>
      </c>
      <c r="M34" s="40">
        <f ca="1">IF($A34="","",OFFSET($Y$5,MATCH($A34,$AY$6:$AY$23,0),M$29))</f>
        <v>2</v>
      </c>
      <c r="N34" s="40">
        <f ca="1">IF($A34="","",OFFSET($Y$5,MATCH($A34,$AY$6:$AY$23,0),N$29))</f>
        <v>1</v>
      </c>
      <c r="O34" s="40">
        <f ca="1">IF($A34="","",OFFSET($Y$5,MATCH($A34,$AY$6:$AY$23,0),O$29))</f>
        <v>11</v>
      </c>
      <c r="P34" s="40">
        <f ca="1">IF($A34="","",OFFSET($Y$5,MATCH($A34,$AY$6:$AY$23,0),P$29))</f>
        <v>4</v>
      </c>
      <c r="Q34" s="40" t="str">
        <f ca="1">IF($A34="","",OFFSET($Y$5,MATCH($A34,$AY$6:$AY$23,0),Q$29))</f>
        <v/>
      </c>
      <c r="R34" s="40" t="str">
        <f ca="1">IF($A34="","",OFFSET($Y$5,MATCH($A34,$AY$6:$AY$23,0),R$29))</f>
        <v/>
      </c>
      <c r="S34" s="38" t="str">
        <f ca="1">IF($A34="","",OFFSET($Y$5,MATCH($A34,$AY$6:$AY$23,0),S$29))</f>
        <v/>
      </c>
    </row>
    <row r="35" spans="1:19" x14ac:dyDescent="0.25">
      <c r="A35" s="33">
        <f>IF(keilatut=0,"",IF(1+A34&gt;Data!$CP$2,"",1+A34))</f>
        <v>6</v>
      </c>
      <c r="B35" s="34" t="str">
        <f ca="1">IF($A35="","",OFFSET($Y$5,MATCH($A35,$AY$6:$AY$23,0),0))</f>
        <v>Mika Sola</v>
      </c>
      <c r="C35" s="35">
        <f t="shared" ca="1" si="27"/>
        <v>42</v>
      </c>
      <c r="D35" s="35">
        <f t="shared" ca="1" si="28"/>
        <v>0</v>
      </c>
      <c r="E35" s="36">
        <f t="shared" ca="1" si="29"/>
        <v>42</v>
      </c>
      <c r="F35" s="42">
        <f t="shared" ca="1" si="30"/>
        <v>131.1</v>
      </c>
      <c r="G35" s="39">
        <f ca="1">IF($A35="","",OFFSET($Y$5,MATCH($A35,$AY$6:$AY$23,0),G$29))</f>
        <v>10</v>
      </c>
      <c r="H35" s="40">
        <f ca="1">IF($A35="","",OFFSET($Y$5,MATCH($A35,$AY$6:$AY$23,0),H$29))</f>
        <v>0</v>
      </c>
      <c r="I35" s="40">
        <f ca="1">IF($A35="","",OFFSET($Y$5,MATCH($A35,$AY$6:$AY$23,0),I$29))</f>
        <v>8</v>
      </c>
      <c r="J35" s="40">
        <f ca="1">IF($A35="","",OFFSET($Y$5,MATCH($A35,$AY$6:$AY$23,0),J$29))</f>
        <v>1</v>
      </c>
      <c r="K35" s="40">
        <f ca="1">IF($A35="","",OFFSET($Y$5,MATCH($A35,$AY$6:$AY$23,0),K$29))</f>
        <v>1</v>
      </c>
      <c r="L35" s="40">
        <f ca="1">IF($A35="","",OFFSET($Y$5,MATCH($A35,$AY$6:$AY$23,0),L$29))</f>
        <v>2</v>
      </c>
      <c r="M35" s="40">
        <f ca="1">IF($A35="","",OFFSET($Y$5,MATCH($A35,$AY$6:$AY$23,0),M$29))</f>
        <v>7</v>
      </c>
      <c r="N35" s="40">
        <f ca="1">IF($A35="","",OFFSET($Y$5,MATCH($A35,$AY$6:$AY$23,0),N$29))</f>
        <v>8</v>
      </c>
      <c r="O35" s="40">
        <f ca="1">IF($A35="","",OFFSET($Y$5,MATCH($A35,$AY$6:$AY$23,0),O$29))</f>
        <v>0</v>
      </c>
      <c r="P35" s="40">
        <f ca="1">IF($A35="","",OFFSET($Y$5,MATCH($A35,$AY$6:$AY$23,0),P$29))</f>
        <v>5</v>
      </c>
      <c r="Q35" s="40" t="str">
        <f ca="1">IF($A35="","",OFFSET($Y$5,MATCH($A35,$AY$6:$AY$23,0),Q$29))</f>
        <v/>
      </c>
      <c r="R35" s="40" t="str">
        <f ca="1">IF($A35="","",OFFSET($Y$5,MATCH($A35,$AY$6:$AY$23,0),R$29))</f>
        <v/>
      </c>
      <c r="S35" s="38" t="str">
        <f ca="1">IF($A35="","",OFFSET($Y$5,MATCH($A35,$AY$6:$AY$23,0),S$29))</f>
        <v/>
      </c>
    </row>
    <row r="36" spans="1:19" x14ac:dyDescent="0.25">
      <c r="A36" s="33">
        <f>IF(keilatut=0,"",IF(1+A35&gt;Data!$CP$2,"",1+A35))</f>
        <v>7</v>
      </c>
      <c r="B36" s="34" t="str">
        <f ca="1">IF($A36="","",OFFSET($Y$5,MATCH($A36,$AY$6:$AY$23,0),0))</f>
        <v>Frans Hartman</v>
      </c>
      <c r="C36" s="35">
        <f t="shared" ca="1" si="27"/>
        <v>40.5</v>
      </c>
      <c r="D36" s="35">
        <f t="shared" ca="1" si="28"/>
        <v>0</v>
      </c>
      <c r="E36" s="36">
        <f t="shared" ca="1" si="29"/>
        <v>40.5</v>
      </c>
      <c r="F36" s="42">
        <f t="shared" ca="1" si="30"/>
        <v>153.30000000000001</v>
      </c>
      <c r="G36" s="39">
        <f ca="1">IF($A36="","",OFFSET($Y$5,MATCH($A36,$AY$6:$AY$23,0),G$29))</f>
        <v>7.5</v>
      </c>
      <c r="H36" s="40">
        <f ca="1">IF($A36="","",OFFSET($Y$5,MATCH($A36,$AY$6:$AY$23,0),H$29))</f>
        <v>11</v>
      </c>
      <c r="I36" s="40">
        <f ca="1">IF($A36="","",OFFSET($Y$5,MATCH($A36,$AY$6:$AY$23,0),I$29))</f>
        <v>0</v>
      </c>
      <c r="J36" s="40">
        <f ca="1">IF($A36="","",OFFSET($Y$5,MATCH($A36,$AY$6:$AY$23,0),J$29))</f>
        <v>0</v>
      </c>
      <c r="K36" s="40">
        <f ca="1">IF($A36="","",OFFSET($Y$5,MATCH($A36,$AY$6:$AY$23,0),K$29))</f>
        <v>0</v>
      </c>
      <c r="L36" s="40">
        <f ca="1">IF($A36="","",OFFSET($Y$5,MATCH($A36,$AY$6:$AY$23,0),L$29))</f>
        <v>14</v>
      </c>
      <c r="M36" s="40">
        <f ca="1">IF($A36="","",OFFSET($Y$5,MATCH($A36,$AY$6:$AY$23,0),M$29))</f>
        <v>0</v>
      </c>
      <c r="N36" s="40">
        <f ca="1">IF($A36="","",OFFSET($Y$5,MATCH($A36,$AY$6:$AY$23,0),N$29))</f>
        <v>0</v>
      </c>
      <c r="O36" s="40">
        <f ca="1">IF($A36="","",OFFSET($Y$5,MATCH($A36,$AY$6:$AY$23,0),O$29))</f>
        <v>8</v>
      </c>
      <c r="P36" s="40">
        <f ca="1">IF($A36="","",OFFSET($Y$5,MATCH($A36,$AY$6:$AY$23,0),P$29))</f>
        <v>0</v>
      </c>
      <c r="Q36" s="40" t="str">
        <f ca="1">IF($A36="","",OFFSET($Y$5,MATCH($A36,$AY$6:$AY$23,0),Q$29))</f>
        <v/>
      </c>
      <c r="R36" s="40" t="str">
        <f ca="1">IF($A36="","",OFFSET($Y$5,MATCH($A36,$AY$6:$AY$23,0),R$29))</f>
        <v/>
      </c>
      <c r="S36" s="38" t="str">
        <f ca="1">IF($A36="","",OFFSET($Y$5,MATCH($A36,$AY$6:$AY$23,0),S$29))</f>
        <v/>
      </c>
    </row>
    <row r="37" spans="1:19" x14ac:dyDescent="0.25">
      <c r="A37" s="33">
        <f>IF(keilatut=0,"",IF(1+A36&gt;Data!$CP$2,"",1+A36))</f>
        <v>8</v>
      </c>
      <c r="B37" s="34" t="str">
        <f ca="1">IF($A37="","",OFFSET($Y$5,MATCH($A37,$AY$6:$AY$23,0),0))</f>
        <v>Asko Haaksi</v>
      </c>
      <c r="C37" s="35">
        <f t="shared" ca="1" si="27"/>
        <v>29</v>
      </c>
      <c r="D37" s="35">
        <f t="shared" ca="1" si="28"/>
        <v>0</v>
      </c>
      <c r="E37" s="36">
        <f t="shared" ca="1" si="29"/>
        <v>29</v>
      </c>
      <c r="F37" s="42">
        <f t="shared" ca="1" si="30"/>
        <v>140.19999999999999</v>
      </c>
      <c r="G37" s="39">
        <f ca="1">IF($A37="","",OFFSET($Y$5,MATCH($A37,$AY$6:$AY$23,0),G$29))</f>
        <v>0</v>
      </c>
      <c r="H37" s="40">
        <f ca="1">IF($A37="","",OFFSET($Y$5,MATCH($A37,$AY$6:$AY$23,0),H$29))</f>
        <v>4</v>
      </c>
      <c r="I37" s="40">
        <f ca="1">IF($A37="","",OFFSET($Y$5,MATCH($A37,$AY$6:$AY$23,0),I$29))</f>
        <v>0</v>
      </c>
      <c r="J37" s="40">
        <f ca="1">IF($A37="","",OFFSET($Y$5,MATCH($A37,$AY$6:$AY$23,0),J$29))</f>
        <v>7</v>
      </c>
      <c r="K37" s="40">
        <f ca="1">IF($A37="","",OFFSET($Y$5,MATCH($A37,$AY$6:$AY$23,0),K$29))</f>
        <v>3</v>
      </c>
      <c r="L37" s="40">
        <f ca="1">IF($A37="","",OFFSET($Y$5,MATCH($A37,$AY$6:$AY$23,0),L$29))</f>
        <v>-1</v>
      </c>
      <c r="M37" s="40">
        <f ca="1">IF($A37="","",OFFSET($Y$5,MATCH($A37,$AY$6:$AY$23,0),M$29))</f>
        <v>12</v>
      </c>
      <c r="N37" s="40">
        <f ca="1">IF($A37="","",OFFSET($Y$5,MATCH($A37,$AY$6:$AY$23,0),N$29))</f>
        <v>2</v>
      </c>
      <c r="O37" s="40">
        <f ca="1">IF($A37="","",OFFSET($Y$5,MATCH($A37,$AY$6:$AY$23,0),O$29))</f>
        <v>2</v>
      </c>
      <c r="P37" s="40">
        <f ca="1">IF($A37="","",OFFSET($Y$5,MATCH($A37,$AY$6:$AY$23,0),P$29))</f>
        <v>0</v>
      </c>
      <c r="Q37" s="40" t="str">
        <f ca="1">IF($A37="","",OFFSET($Y$5,MATCH($A37,$AY$6:$AY$23,0),Q$29))</f>
        <v/>
      </c>
      <c r="R37" s="40" t="str">
        <f ca="1">IF($A37="","",OFFSET($Y$5,MATCH($A37,$AY$6:$AY$23,0),R$29))</f>
        <v/>
      </c>
      <c r="S37" s="38" t="str">
        <f ca="1">IF($A37="","",OFFSET($Y$5,MATCH($A37,$AY$6:$AY$23,0),S$29))</f>
        <v/>
      </c>
    </row>
    <row r="38" spans="1:19" x14ac:dyDescent="0.25">
      <c r="A38" s="33">
        <f>IF(keilatut=0,"",IF(1+A37&gt;Data!$CP$2,"",1+A37))</f>
        <v>9</v>
      </c>
      <c r="B38" s="34" t="str">
        <f ca="1">IF($A38="","",OFFSET($Y$5,MATCH($A38,$AY$6:$AY$23,0),0))</f>
        <v>Juho Korpi</v>
      </c>
      <c r="C38" s="35">
        <f t="shared" ca="1" si="27"/>
        <v>29</v>
      </c>
      <c r="D38" s="35">
        <f t="shared" ca="1" si="28"/>
        <v>0</v>
      </c>
      <c r="E38" s="36">
        <f t="shared" ca="1" si="29"/>
        <v>29</v>
      </c>
      <c r="F38" s="42">
        <f t="shared" ca="1" si="30"/>
        <v>131.1</v>
      </c>
      <c r="G38" s="39">
        <f ca="1">IF($A38="","",OFFSET($Y$5,MATCH($A38,$AY$6:$AY$23,0),G$29))</f>
        <v>0</v>
      </c>
      <c r="H38" s="40">
        <f ca="1">IF($A38="","",OFFSET($Y$5,MATCH($A38,$AY$6:$AY$23,0),H$29))</f>
        <v>0</v>
      </c>
      <c r="I38" s="40">
        <f ca="1">IF($A38="","",OFFSET($Y$5,MATCH($A38,$AY$6:$AY$23,0),I$29))</f>
        <v>4</v>
      </c>
      <c r="J38" s="40">
        <f ca="1">IF($A38="","",OFFSET($Y$5,MATCH($A38,$AY$6:$AY$23,0),J$29))</f>
        <v>0</v>
      </c>
      <c r="K38" s="40">
        <f ca="1">IF($A38="","",OFFSET($Y$5,MATCH($A38,$AY$6:$AY$23,0),K$29))</f>
        <v>4</v>
      </c>
      <c r="L38" s="40">
        <f ca="1">IF($A38="","",OFFSET($Y$5,MATCH($A38,$AY$6:$AY$23,0),L$29))</f>
        <v>7</v>
      </c>
      <c r="M38" s="40">
        <f ca="1">IF($A38="","",OFFSET($Y$5,MATCH($A38,$AY$6:$AY$23,0),M$29))</f>
        <v>4</v>
      </c>
      <c r="N38" s="40">
        <f ca="1">IF($A38="","",OFFSET($Y$5,MATCH($A38,$AY$6:$AY$23,0),N$29))</f>
        <v>4</v>
      </c>
      <c r="O38" s="40">
        <f ca="1">IF($A38="","",OFFSET($Y$5,MATCH($A38,$AY$6:$AY$23,0),O$29))</f>
        <v>0</v>
      </c>
      <c r="P38" s="40">
        <f ca="1">IF($A38="","",OFFSET($Y$5,MATCH($A38,$AY$6:$AY$23,0),P$29))</f>
        <v>6</v>
      </c>
      <c r="Q38" s="40" t="str">
        <f ca="1">IF($A38="","",OFFSET($Y$5,MATCH($A38,$AY$6:$AY$23,0),Q$29))</f>
        <v/>
      </c>
      <c r="R38" s="40" t="str">
        <f ca="1">IF($A38="","",OFFSET($Y$5,MATCH($A38,$AY$6:$AY$23,0),R$29))</f>
        <v/>
      </c>
      <c r="S38" s="38" t="str">
        <f ca="1">IF($A38="","",OFFSET($Y$5,MATCH($A38,$AY$6:$AY$23,0),S$29))</f>
        <v/>
      </c>
    </row>
    <row r="39" spans="1:19" x14ac:dyDescent="0.25">
      <c r="A39" s="33">
        <f>IF(keilatut=0,"",IF(1+A38&gt;Data!$CP$2,"",1+A38))</f>
        <v>10</v>
      </c>
      <c r="B39" s="34" t="str">
        <f ca="1">IF($A39="","",OFFSET($Y$5,MATCH($A39,$AY$6:$AY$23,0),0))</f>
        <v>Olli Kajava</v>
      </c>
      <c r="C39" s="35">
        <f t="shared" ca="1" si="27"/>
        <v>24</v>
      </c>
      <c r="D39" s="35">
        <f t="shared" ca="1" si="28"/>
        <v>0</v>
      </c>
      <c r="E39" s="36">
        <f t="shared" ca="1" si="29"/>
        <v>24</v>
      </c>
      <c r="F39" s="42">
        <f t="shared" ca="1" si="30"/>
        <v>135.4</v>
      </c>
      <c r="G39" s="39">
        <f ca="1">IF($A39="","",OFFSET($Y$5,MATCH($A39,$AY$6:$AY$23,0),G$29))</f>
        <v>0</v>
      </c>
      <c r="H39" s="40">
        <f ca="1">IF($A39="","",OFFSET($Y$5,MATCH($A39,$AY$6:$AY$23,0),H$29))</f>
        <v>1</v>
      </c>
      <c r="I39" s="40">
        <f ca="1">IF($A39="","",OFFSET($Y$5,MATCH($A39,$AY$6:$AY$23,0),I$29))</f>
        <v>0</v>
      </c>
      <c r="J39" s="40">
        <f ca="1">IF($A39="","",OFFSET($Y$5,MATCH($A39,$AY$6:$AY$23,0),J$29))</f>
        <v>6</v>
      </c>
      <c r="K39" s="40">
        <f ca="1">IF($A39="","",OFFSET($Y$5,MATCH($A39,$AY$6:$AY$23,0),K$29))</f>
        <v>2</v>
      </c>
      <c r="L39" s="40">
        <f ca="1">IF($A39="","",OFFSET($Y$5,MATCH($A39,$AY$6:$AY$23,0),L$29))</f>
        <v>4</v>
      </c>
      <c r="M39" s="40">
        <f ca="1">IF($A39="","",OFFSET($Y$5,MATCH($A39,$AY$6:$AY$23,0),M$29))</f>
        <v>6</v>
      </c>
      <c r="N39" s="40">
        <f ca="1">IF($A39="","",OFFSET($Y$5,MATCH($A39,$AY$6:$AY$23,0),N$29))</f>
        <v>0</v>
      </c>
      <c r="O39" s="40">
        <f ca="1">IF($A39="","",OFFSET($Y$5,MATCH($A39,$AY$6:$AY$23,0),O$29))</f>
        <v>3</v>
      </c>
      <c r="P39" s="40">
        <f ca="1">IF($A39="","",OFFSET($Y$5,MATCH($A39,$AY$6:$AY$23,0),P$29))</f>
        <v>2</v>
      </c>
      <c r="Q39" s="40" t="str">
        <f ca="1">IF($A39="","",OFFSET($Y$5,MATCH($A39,$AY$6:$AY$23,0),Q$29))</f>
        <v/>
      </c>
      <c r="R39" s="40" t="str">
        <f ca="1">IF($A39="","",OFFSET($Y$5,MATCH($A39,$AY$6:$AY$23,0),R$29))</f>
        <v/>
      </c>
      <c r="S39" s="38" t="str">
        <f ca="1">IF($A39="","",OFFSET($Y$5,MATCH($A39,$AY$6:$AY$23,0),S$29))</f>
        <v/>
      </c>
    </row>
    <row r="40" spans="1:19" x14ac:dyDescent="0.25">
      <c r="A40" s="33">
        <f>IF(keilatut=0,"",IF(1+A39&gt;Data!$CP$2,"",1+A39))</f>
        <v>11</v>
      </c>
      <c r="B40" s="34" t="str">
        <f ca="1">IF($A40="","",OFFSET($Y$5,MATCH($A40,$AY$6:$AY$23,0),0))</f>
        <v>Kaleva Latvala</v>
      </c>
      <c r="C40" s="35">
        <f t="shared" ca="1" si="27"/>
        <v>24</v>
      </c>
      <c r="D40" s="35">
        <f t="shared" ca="1" si="28"/>
        <v>0</v>
      </c>
      <c r="E40" s="36">
        <f t="shared" ca="1" si="29"/>
        <v>24</v>
      </c>
      <c r="F40" s="42">
        <f t="shared" ca="1" si="30"/>
        <v>124.1</v>
      </c>
      <c r="G40" s="39">
        <f ca="1">IF($A40="","",OFFSET($Y$5,MATCH($A40,$AY$6:$AY$23,0),G$29))</f>
        <v>13</v>
      </c>
      <c r="H40" s="40">
        <f ca="1">IF($A40="","",OFFSET($Y$5,MATCH($A40,$AY$6:$AY$23,0),H$29))</f>
        <v>2</v>
      </c>
      <c r="I40" s="40">
        <f ca="1">IF($A40="","",OFFSET($Y$5,MATCH($A40,$AY$6:$AY$23,0),I$29))</f>
        <v>2</v>
      </c>
      <c r="J40" s="40">
        <f ca="1">IF($A40="","",OFFSET($Y$5,MATCH($A40,$AY$6:$AY$23,0),J$29))</f>
        <v>4</v>
      </c>
      <c r="K40" s="40">
        <f ca="1">IF($A40="","",OFFSET($Y$5,MATCH($A40,$AY$6:$AY$23,0),K$29))</f>
        <v>0</v>
      </c>
      <c r="L40" s="40">
        <f ca="1">IF($A40="","",OFFSET($Y$5,MATCH($A40,$AY$6:$AY$23,0),L$29))</f>
        <v>-1</v>
      </c>
      <c r="M40" s="40">
        <f ca="1">IF($A40="","",OFFSET($Y$5,MATCH($A40,$AY$6:$AY$23,0),M$29))</f>
        <v>0</v>
      </c>
      <c r="N40" s="40">
        <f ca="1">IF($A40="","",OFFSET($Y$5,MATCH($A40,$AY$6:$AY$23,0),N$29))</f>
        <v>0</v>
      </c>
      <c r="O40" s="40">
        <f ca="1">IF($A40="","",OFFSET($Y$5,MATCH($A40,$AY$6:$AY$23,0),O$29))</f>
        <v>4</v>
      </c>
      <c r="P40" s="40">
        <f ca="1">IF($A40="","",OFFSET($Y$5,MATCH($A40,$AY$6:$AY$23,0),P$29))</f>
        <v>0</v>
      </c>
      <c r="Q40" s="40" t="str">
        <f ca="1">IF($A40="","",OFFSET($Y$5,MATCH($A40,$AY$6:$AY$23,0),Q$29))</f>
        <v/>
      </c>
      <c r="R40" s="40" t="str">
        <f ca="1">IF($A40="","",OFFSET($Y$5,MATCH($A40,$AY$6:$AY$23,0),R$29))</f>
        <v/>
      </c>
      <c r="S40" s="38" t="str">
        <f ca="1">IF($A40="","",OFFSET($Y$5,MATCH($A40,$AY$6:$AY$23,0),S$29))</f>
        <v/>
      </c>
    </row>
    <row r="41" spans="1:19" x14ac:dyDescent="0.25">
      <c r="A41" s="33">
        <f>IF(keilatut=0,"",IF(1+A40&gt;Data!$CP$2,"",1+A40))</f>
        <v>12</v>
      </c>
      <c r="B41" s="34" t="str">
        <f ca="1">IF($A41="","",OFFSET($Y$5,MATCH($A41,$AY$6:$AY$23,0),0))</f>
        <v>Miikka Korventausta</v>
      </c>
      <c r="C41" s="35">
        <f t="shared" ca="1" si="27"/>
        <v>20</v>
      </c>
      <c r="D41" s="35">
        <f t="shared" ca="1" si="28"/>
        <v>0</v>
      </c>
      <c r="E41" s="36">
        <f t="shared" ca="1" si="29"/>
        <v>20</v>
      </c>
      <c r="F41" s="42">
        <f t="shared" ca="1" si="30"/>
        <v>121.9</v>
      </c>
      <c r="G41" s="39">
        <f ca="1">IF($A41="","",OFFSET($Y$5,MATCH($A41,$AY$6:$AY$23,0),G$29))</f>
        <v>0</v>
      </c>
      <c r="H41" s="40">
        <f ca="1">IF($A41="","",OFFSET($Y$5,MATCH($A41,$AY$6:$AY$23,0),H$29))</f>
        <v>0</v>
      </c>
      <c r="I41" s="40">
        <f ca="1">IF($A41="","",OFFSET($Y$5,MATCH($A41,$AY$6:$AY$23,0),I$29))</f>
        <v>5</v>
      </c>
      <c r="J41" s="40">
        <f ca="1">IF($A41="","",OFFSET($Y$5,MATCH($A41,$AY$6:$AY$23,0),J$29))</f>
        <v>2</v>
      </c>
      <c r="K41" s="40">
        <f ca="1">IF($A41="","",OFFSET($Y$5,MATCH($A41,$AY$6:$AY$23,0),K$29))</f>
        <v>10</v>
      </c>
      <c r="L41" s="40">
        <f ca="1">IF($A41="","",OFFSET($Y$5,MATCH($A41,$AY$6:$AY$23,0),L$29))</f>
        <v>0</v>
      </c>
      <c r="M41" s="40">
        <f ca="1">IF($A41="","",OFFSET($Y$5,MATCH($A41,$AY$6:$AY$23,0),M$29))</f>
        <v>3</v>
      </c>
      <c r="N41" s="40">
        <f ca="1">IF($A41="","",OFFSET($Y$5,MATCH($A41,$AY$6:$AY$23,0),N$29))</f>
        <v>0</v>
      </c>
      <c r="O41" s="40">
        <f ca="1">IF($A41="","",OFFSET($Y$5,MATCH($A41,$AY$6:$AY$23,0),O$29))</f>
        <v>0</v>
      </c>
      <c r="P41" s="40">
        <f ca="1">IF($A41="","",OFFSET($Y$5,MATCH($A41,$AY$6:$AY$23,0),P$29))</f>
        <v>0</v>
      </c>
      <c r="Q41" s="40" t="str">
        <f ca="1">IF($A41="","",OFFSET($Y$5,MATCH($A41,$AY$6:$AY$23,0),Q$29))</f>
        <v/>
      </c>
      <c r="R41" s="40" t="str">
        <f ca="1">IF($A41="","",OFFSET($Y$5,MATCH($A41,$AY$6:$AY$23,0),R$29))</f>
        <v/>
      </c>
      <c r="S41" s="38" t="str">
        <f ca="1">IF($A41="","",OFFSET($Y$5,MATCH($A41,$AY$6:$AY$23,0),S$29))</f>
        <v/>
      </c>
    </row>
    <row r="42" spans="1:19" x14ac:dyDescent="0.25">
      <c r="A42" s="33">
        <f>IF(keilatut=0,"",IF(1+A41&gt;Data!$CP$2,"",1+A41))</f>
        <v>13</v>
      </c>
      <c r="B42" s="34" t="str">
        <f ca="1">IF($A42="","",OFFSET($Y$5,MATCH($A42,$AY$6:$AY$23,0),0))</f>
        <v>Sakari Leinonen</v>
      </c>
      <c r="C42" s="35">
        <f t="shared" ca="1" si="27"/>
        <v>18</v>
      </c>
      <c r="D42" s="35">
        <f t="shared" ca="1" si="28"/>
        <v>0</v>
      </c>
      <c r="E42" s="36">
        <f t="shared" ca="1" si="29"/>
        <v>18</v>
      </c>
      <c r="F42" s="42">
        <f t="shared" ca="1" si="30"/>
        <v>126.6</v>
      </c>
      <c r="G42" s="39">
        <f ca="1">IF($A42="","",OFFSET($Y$5,MATCH($A42,$AY$6:$AY$23,0),G$29))</f>
        <v>1</v>
      </c>
      <c r="H42" s="40">
        <f ca="1">IF($A42="","",OFFSET($Y$5,MATCH($A42,$AY$6:$AY$23,0),H$29))</f>
        <v>8</v>
      </c>
      <c r="I42" s="40">
        <f ca="1">IF($A42="","",OFFSET($Y$5,MATCH($A42,$AY$6:$AY$23,0),I$29))</f>
        <v>1</v>
      </c>
      <c r="J42" s="40">
        <f ca="1">IF($A42="","",OFFSET($Y$5,MATCH($A42,$AY$6:$AY$23,0),J$29))</f>
        <v>0</v>
      </c>
      <c r="K42" s="40">
        <f ca="1">IF($A42="","",OFFSET($Y$5,MATCH($A42,$AY$6:$AY$23,0),K$29))</f>
        <v>5</v>
      </c>
      <c r="L42" s="40">
        <f ca="1">IF($A42="","",OFFSET($Y$5,MATCH($A42,$AY$6:$AY$23,0),L$29))</f>
        <v>0</v>
      </c>
      <c r="M42" s="40">
        <f ca="1">IF($A42="","",OFFSET($Y$5,MATCH($A42,$AY$6:$AY$23,0),M$29))</f>
        <v>0</v>
      </c>
      <c r="N42" s="40">
        <f ca="1">IF($A42="","",OFFSET($Y$5,MATCH($A42,$AY$6:$AY$23,0),N$29))</f>
        <v>0</v>
      </c>
      <c r="O42" s="40">
        <f ca="1">IF($A42="","",OFFSET($Y$5,MATCH($A42,$AY$6:$AY$23,0),O$29))</f>
        <v>0</v>
      </c>
      <c r="P42" s="40">
        <f ca="1">IF($A42="","",OFFSET($Y$5,MATCH($A42,$AY$6:$AY$23,0),P$29))</f>
        <v>3</v>
      </c>
      <c r="Q42" s="40" t="str">
        <f ca="1">IF($A42="","",OFFSET($Y$5,MATCH($A42,$AY$6:$AY$23,0),Q$29))</f>
        <v/>
      </c>
      <c r="R42" s="40" t="str">
        <f ca="1">IF($A42="","",OFFSET($Y$5,MATCH($A42,$AY$6:$AY$23,0),R$29))</f>
        <v/>
      </c>
      <c r="S42" s="38" t="str">
        <f ca="1">IF($A42="","",OFFSET($Y$5,MATCH($A42,$AY$6:$AY$23,0),S$29))</f>
        <v/>
      </c>
    </row>
    <row r="43" spans="1:19" x14ac:dyDescent="0.25">
      <c r="A43" s="33">
        <f>IF(keilatut=0,"",IF(1+A42&gt;Data!$CP$2,"",1+A42))</f>
        <v>14</v>
      </c>
      <c r="B43" s="34" t="str">
        <f ca="1">IF($A43="","",OFFSET($Y$5,MATCH($A43,$AY$6:$AY$23,0),0))</f>
        <v>Iiro Riikonen</v>
      </c>
      <c r="C43" s="35">
        <f t="shared" ca="1" si="27"/>
        <v>17</v>
      </c>
      <c r="D43" s="35">
        <f t="shared" ca="1" si="28"/>
        <v>0</v>
      </c>
      <c r="E43" s="36">
        <f t="shared" ca="1" si="29"/>
        <v>17</v>
      </c>
      <c r="F43" s="42">
        <f t="shared" ca="1" si="30"/>
        <v>142.5</v>
      </c>
      <c r="G43" s="39">
        <f ca="1">IF($A43="","",OFFSET($Y$5,MATCH($A43,$AY$6:$AY$23,0),G$29))</f>
        <v>0</v>
      </c>
      <c r="H43" s="40">
        <f ca="1">IF($A43="","",OFFSET($Y$5,MATCH($A43,$AY$6:$AY$23,0),H$29))</f>
        <v>3</v>
      </c>
      <c r="I43" s="40">
        <f ca="1">IF($A43="","",OFFSET($Y$5,MATCH($A43,$AY$6:$AY$23,0),I$29))</f>
        <v>0</v>
      </c>
      <c r="J43" s="40">
        <f ca="1">IF($A43="","",OFFSET($Y$5,MATCH($A43,$AY$6:$AY$23,0),J$29))</f>
        <v>3</v>
      </c>
      <c r="K43" s="40">
        <f ca="1">IF($A43="","",OFFSET($Y$5,MATCH($A43,$AY$6:$AY$23,0),K$29))</f>
        <v>0</v>
      </c>
      <c r="L43" s="40">
        <f ca="1">IF($A43="","",OFFSET($Y$5,MATCH($A43,$AY$6:$AY$23,0),L$29))</f>
        <v>8</v>
      </c>
      <c r="M43" s="40">
        <f ca="1">IF($A43="","",OFFSET($Y$5,MATCH($A43,$AY$6:$AY$23,0),M$29))</f>
        <v>0</v>
      </c>
      <c r="N43" s="40">
        <f ca="1">IF($A43="","",OFFSET($Y$5,MATCH($A43,$AY$6:$AY$23,0),N$29))</f>
        <v>3</v>
      </c>
      <c r="O43" s="40">
        <f ca="1">IF($A43="","",OFFSET($Y$5,MATCH($A43,$AY$6:$AY$23,0),O$29))</f>
        <v>0</v>
      </c>
      <c r="P43" s="40">
        <f ca="1">IF($A43="","",OFFSET($Y$5,MATCH($A43,$AY$6:$AY$23,0),P$29))</f>
        <v>0</v>
      </c>
      <c r="Q43" s="40" t="str">
        <f ca="1">IF($A43="","",OFFSET($Y$5,MATCH($A43,$AY$6:$AY$23,0),Q$29))</f>
        <v/>
      </c>
      <c r="R43" s="40" t="str">
        <f ca="1">IF($A43="","",OFFSET($Y$5,MATCH($A43,$AY$6:$AY$23,0),R$29))</f>
        <v/>
      </c>
      <c r="S43" s="38" t="str">
        <f ca="1">IF($A43="","",OFFSET($Y$5,MATCH($A43,$AY$6:$AY$23,0),S$29))</f>
        <v/>
      </c>
    </row>
    <row r="44" spans="1:19" x14ac:dyDescent="0.25">
      <c r="A44" s="33">
        <f>IF(keilatut=0,"",IF(1+A43&gt;Data!$CP$2,"",1+A43))</f>
        <v>15</v>
      </c>
      <c r="B44" s="34" t="str">
        <f ca="1">IF($A44="","",OFFSET($Y$5,MATCH($A44,$AY$6:$AY$23,0),0))</f>
        <v>Roope Warro</v>
      </c>
      <c r="C44" s="35">
        <f t="shared" ca="1" si="27"/>
        <v>11</v>
      </c>
      <c r="D44" s="35">
        <f t="shared" ca="1" si="28"/>
        <v>0</v>
      </c>
      <c r="E44" s="36">
        <f t="shared" ca="1" si="29"/>
        <v>11</v>
      </c>
      <c r="F44" s="42">
        <f t="shared" ca="1" si="30"/>
        <v>122.5</v>
      </c>
      <c r="G44" s="39">
        <f ca="1">IF($A44="","",OFFSET($Y$5,MATCH($A44,$AY$6:$AY$23,0),G$29))</f>
        <v>4</v>
      </c>
      <c r="H44" s="40">
        <f ca="1">IF($A44="","",OFFSET($Y$5,MATCH($A44,$AY$6:$AY$23,0),H$29))</f>
        <v>0</v>
      </c>
      <c r="I44" s="40">
        <f ca="1">IF($A44="","",OFFSET($Y$5,MATCH($A44,$AY$6:$AY$23,0),I$29))</f>
        <v>0</v>
      </c>
      <c r="J44" s="40">
        <f ca="1">IF($A44="","",OFFSET($Y$5,MATCH($A44,$AY$6:$AY$23,0),J$29))</f>
        <v>0</v>
      </c>
      <c r="K44" s="40">
        <f ca="1">IF($A44="","",OFFSET($Y$5,MATCH($A44,$AY$6:$AY$23,0),K$29))</f>
        <v>0</v>
      </c>
      <c r="L44" s="40">
        <f ca="1">IF($A44="","",OFFSET($Y$5,MATCH($A44,$AY$6:$AY$23,0),L$29))</f>
        <v>0</v>
      </c>
      <c r="M44" s="40">
        <f ca="1">IF($A44="","",OFFSET($Y$5,MATCH($A44,$AY$6:$AY$23,0),M$29))</f>
        <v>0</v>
      </c>
      <c r="N44" s="40">
        <f ca="1">IF($A44="","",OFFSET($Y$5,MATCH($A44,$AY$6:$AY$23,0),N$29))</f>
        <v>7</v>
      </c>
      <c r="O44" s="40">
        <f ca="1">IF($A44="","",OFFSET($Y$5,MATCH($A44,$AY$6:$AY$23,0),O$29))</f>
        <v>0</v>
      </c>
      <c r="P44" s="40">
        <f ca="1">IF($A44="","",OFFSET($Y$5,MATCH($A44,$AY$6:$AY$23,0),P$29))</f>
        <v>0</v>
      </c>
      <c r="Q44" s="40" t="str">
        <f ca="1">IF($A44="","",OFFSET($Y$5,MATCH($A44,$AY$6:$AY$23,0),Q$29))</f>
        <v/>
      </c>
      <c r="R44" s="40" t="str">
        <f ca="1">IF($A44="","",OFFSET($Y$5,MATCH($A44,$AY$6:$AY$23,0),R$29))</f>
        <v/>
      </c>
      <c r="S44" s="38" t="str">
        <f ca="1">IF($A44="","",OFFSET($Y$5,MATCH($A44,$AY$6:$AY$23,0),S$29))</f>
        <v/>
      </c>
    </row>
    <row r="45" spans="1:19" x14ac:dyDescent="0.25">
      <c r="A45" s="33">
        <f>IF(keilatut=0,"",IF(1+A44&gt;Data!$CP$2,"",1+A44))</f>
        <v>16</v>
      </c>
      <c r="B45" s="34" t="str">
        <f ca="1">IF($A45="","",OFFSET($Y$5,MATCH($A45,$AY$6:$AY$23,0),0))</f>
        <v>Mikko Mansikkamäki</v>
      </c>
      <c r="C45" s="35">
        <f t="shared" ca="1" si="27"/>
        <v>11</v>
      </c>
      <c r="D45" s="35">
        <f t="shared" ca="1" si="28"/>
        <v>0</v>
      </c>
      <c r="E45" s="36">
        <f t="shared" ca="1" si="29"/>
        <v>11</v>
      </c>
      <c r="F45" s="42">
        <f t="shared" ca="1" si="30"/>
        <v>108.8</v>
      </c>
      <c r="G45" s="39">
        <f ca="1">IF($A45="","",OFFSET($Y$5,MATCH($A45,$AY$6:$AY$23,0),G$29))</f>
        <v>0</v>
      </c>
      <c r="H45" s="40">
        <f ca="1">IF($A45="","",OFFSET($Y$5,MATCH($A45,$AY$6:$AY$23,0),H$29))</f>
        <v>0</v>
      </c>
      <c r="I45" s="40">
        <f ca="1">IF($A45="","",OFFSET($Y$5,MATCH($A45,$AY$6:$AY$23,0),I$29))</f>
        <v>0</v>
      </c>
      <c r="J45" s="40">
        <f ca="1">IF($A45="","",OFFSET($Y$5,MATCH($A45,$AY$6:$AY$23,0),J$29))</f>
        <v>0</v>
      </c>
      <c r="K45" s="40">
        <f ca="1">IF($A45="","",OFFSET($Y$5,MATCH($A45,$AY$6:$AY$23,0),K$29))</f>
        <v>0</v>
      </c>
      <c r="L45" s="40">
        <f ca="1">IF($A45="","",OFFSET($Y$5,MATCH($A45,$AY$6:$AY$23,0),L$29))</f>
        <v>-1</v>
      </c>
      <c r="M45" s="40">
        <f ca="1">IF($A45="","",OFFSET($Y$5,MATCH($A45,$AY$6:$AY$23,0),M$29))</f>
        <v>0</v>
      </c>
      <c r="N45" s="40">
        <f ca="1">IF($A45="","",OFFSET($Y$5,MATCH($A45,$AY$6:$AY$23,0),N$29))</f>
        <v>0</v>
      </c>
      <c r="O45" s="40">
        <f ca="1">IF($A45="","",OFFSET($Y$5,MATCH($A45,$AY$6:$AY$23,0),O$29))</f>
        <v>5</v>
      </c>
      <c r="P45" s="40">
        <f ca="1">IF($A45="","",OFFSET($Y$5,MATCH($A45,$AY$6:$AY$23,0),P$29))</f>
        <v>7</v>
      </c>
      <c r="Q45" s="40" t="str">
        <f ca="1">IF($A45="","",OFFSET($Y$5,MATCH($A45,$AY$6:$AY$23,0),Q$29))</f>
        <v/>
      </c>
      <c r="R45" s="40" t="str">
        <f ca="1">IF($A45="","",OFFSET($Y$5,MATCH($A45,$AY$6:$AY$23,0),R$29))</f>
        <v/>
      </c>
      <c r="S45" s="38" t="str">
        <f ca="1">IF($A45="","",OFFSET($Y$5,MATCH($A45,$AY$6:$AY$23,0),S$29))</f>
        <v/>
      </c>
    </row>
    <row r="46" spans="1:19" x14ac:dyDescent="0.25">
      <c r="A46" s="33">
        <f>IF(keilatut=0,"",IF(1+A45&gt;Data!$CP$2,"",1+A45))</f>
        <v>17</v>
      </c>
      <c r="B46" s="34" t="str">
        <f ca="1">IF($A46="","",OFFSET($Y$5,MATCH($A46,$AY$6:$AY$23,0),0))</f>
        <v>Tatu Erlin</v>
      </c>
      <c r="C46" s="35">
        <f t="shared" ca="1" si="27"/>
        <v>5</v>
      </c>
      <c r="D46" s="35">
        <f t="shared" ca="1" si="28"/>
        <v>0</v>
      </c>
      <c r="E46" s="36">
        <f t="shared" ca="1" si="29"/>
        <v>5</v>
      </c>
      <c r="F46" s="42">
        <f t="shared" ca="1" si="30"/>
        <v>104.3</v>
      </c>
      <c r="G46" s="39">
        <f ca="1">IF($A46="","",OFFSET($Y$5,MATCH($A46,$AY$6:$AY$23,0),G$29))</f>
        <v>6</v>
      </c>
      <c r="H46" s="40">
        <f ca="1">IF($A46="","",OFFSET($Y$5,MATCH($A46,$AY$6:$AY$23,0),H$29))</f>
        <v>0</v>
      </c>
      <c r="I46" s="40">
        <f ca="1">IF($A46="","",OFFSET($Y$5,MATCH($A46,$AY$6:$AY$23,0),I$29))</f>
        <v>0</v>
      </c>
      <c r="J46" s="40">
        <f ca="1">IF($A46="","",OFFSET($Y$5,MATCH($A46,$AY$6:$AY$23,0),J$29))</f>
        <v>0</v>
      </c>
      <c r="K46" s="40">
        <f ca="1">IF($A46="","",OFFSET($Y$5,MATCH($A46,$AY$6:$AY$23,0),K$29))</f>
        <v>0</v>
      </c>
      <c r="L46" s="40">
        <f ca="1">IF($A46="","",OFFSET($Y$5,MATCH($A46,$AY$6:$AY$23,0),L$29))</f>
        <v>-1</v>
      </c>
      <c r="M46" s="40">
        <f ca="1">IF($A46="","",OFFSET($Y$5,MATCH($A46,$AY$6:$AY$23,0),M$29))</f>
        <v>0</v>
      </c>
      <c r="N46" s="40">
        <f ca="1">IF($A46="","",OFFSET($Y$5,MATCH($A46,$AY$6:$AY$23,0),N$29))</f>
        <v>0</v>
      </c>
      <c r="O46" s="40">
        <f ca="1">IF($A46="","",OFFSET($Y$5,MATCH($A46,$AY$6:$AY$23,0),O$29))</f>
        <v>0</v>
      </c>
      <c r="P46" s="40">
        <f ca="1">IF($A46="","",OFFSET($Y$5,MATCH($A46,$AY$6:$AY$23,0),P$29))</f>
        <v>0</v>
      </c>
      <c r="Q46" s="40" t="str">
        <f ca="1">IF($A46="","",OFFSET($Y$5,MATCH($A46,$AY$6:$AY$23,0),Q$29))</f>
        <v/>
      </c>
      <c r="R46" s="40" t="str">
        <f ca="1">IF($A46="","",OFFSET($Y$5,MATCH($A46,$AY$6:$AY$23,0),R$29))</f>
        <v/>
      </c>
      <c r="S46" s="38" t="str">
        <f ca="1">IF($A46="","",OFFSET($Y$5,MATCH($A46,$AY$6:$AY$23,0),S$29))</f>
        <v/>
      </c>
    </row>
    <row r="47" spans="1:19" x14ac:dyDescent="0.25">
      <c r="A47" s="87">
        <f>IF(keilatut=0,"",IF(1+A46&gt;Data!$CP$2,"",1+A46))</f>
        <v>18</v>
      </c>
      <c r="B47" s="88" t="str">
        <f ca="1">IF($A47="","",OFFSET($Y$5,MATCH($A47,$AY$6:$AY$23,0),0))</f>
        <v>Joonas Ollonqvist</v>
      </c>
      <c r="C47" s="89">
        <f t="shared" ca="1" si="27"/>
        <v>1</v>
      </c>
      <c r="D47" s="89">
        <f t="shared" ca="1" si="28"/>
        <v>0</v>
      </c>
      <c r="E47" s="90">
        <f t="shared" ca="1" si="29"/>
        <v>1</v>
      </c>
      <c r="F47" s="96">
        <f t="shared" ca="1" si="30"/>
        <v>117.9</v>
      </c>
      <c r="G47" s="93">
        <f ca="1">IF($A47="","",OFFSET($Y$5,MATCH($A47,$AY$6:$AY$23,0),G$29))</f>
        <v>0</v>
      </c>
      <c r="H47" s="94">
        <f ca="1">IF($A47="","",OFFSET($Y$5,MATCH($A47,$AY$6:$AY$23,0),H$29))</f>
        <v>0</v>
      </c>
      <c r="I47" s="94">
        <f ca="1">IF($A47="","",OFFSET($Y$5,MATCH($A47,$AY$6:$AY$23,0),I$29))</f>
        <v>0</v>
      </c>
      <c r="J47" s="94">
        <f ca="1">IF($A47="","",OFFSET($Y$5,MATCH($A47,$AY$6:$AY$23,0),J$29))</f>
        <v>0</v>
      </c>
      <c r="K47" s="94">
        <f ca="1">IF($A47="","",OFFSET($Y$5,MATCH($A47,$AY$6:$AY$23,0),K$29))</f>
        <v>0</v>
      </c>
      <c r="L47" s="94">
        <f ca="1">IF($A47="","",OFFSET($Y$5,MATCH($A47,$AY$6:$AY$23,0),L$29))</f>
        <v>1</v>
      </c>
      <c r="M47" s="94">
        <f ca="1">IF($A47="","",OFFSET($Y$5,MATCH($A47,$AY$6:$AY$23,0),M$29))</f>
        <v>0</v>
      </c>
      <c r="N47" s="94">
        <f ca="1">IF($A47="","",OFFSET($Y$5,MATCH($A47,$AY$6:$AY$23,0),N$29))</f>
        <v>0</v>
      </c>
      <c r="O47" s="94">
        <f ca="1">IF($A47="","",OFFSET($Y$5,MATCH($A47,$AY$6:$AY$23,0),O$29))</f>
        <v>0</v>
      </c>
      <c r="P47" s="94">
        <f ca="1">IF($A47="","",OFFSET($Y$5,MATCH($A47,$AY$6:$AY$23,0),P$29))</f>
        <v>0</v>
      </c>
      <c r="Q47" s="94" t="str">
        <f ca="1">IF($A47="","",OFFSET($Y$5,MATCH($A47,$AY$6:$AY$23,0),Q$29))</f>
        <v/>
      </c>
      <c r="R47" s="94" t="str">
        <f ca="1">IF($A47="","",OFFSET($Y$5,MATCH($A47,$AY$6:$AY$23,0),R$29))</f>
        <v/>
      </c>
      <c r="S47" s="92" t="str">
        <f ca="1">IF($A47="","",OFFSET($Y$5,MATCH($A47,$AY$6:$AY$23,0),S$29))</f>
        <v/>
      </c>
    </row>
    <row r="49" spans="1:1" x14ac:dyDescent="0.25">
      <c r="A49" s="51" t="s">
        <v>34</v>
      </c>
    </row>
    <row r="50" spans="1:1" x14ac:dyDescent="0.25">
      <c r="A50" s="52" t="s">
        <v>271</v>
      </c>
    </row>
    <row r="51" spans="1:1" x14ac:dyDescent="0.25">
      <c r="A51" s="52" t="s">
        <v>270</v>
      </c>
    </row>
  </sheetData>
  <mergeCells count="4">
    <mergeCell ref="G4:V4"/>
    <mergeCell ref="A4:F4"/>
    <mergeCell ref="A28:F28"/>
    <mergeCell ref="G28:S28"/>
  </mergeCells>
  <conditionalFormatting sqref="C30:E47">
    <cfRule type="expression" dxfId="45" priority="71">
      <formula>IF(C30=TRUNC(C30),FALSE,TRUE)</formula>
    </cfRule>
  </conditionalFormatting>
  <conditionalFormatting sqref="D6:D23">
    <cfRule type="expression" dxfId="44" priority="72">
      <formula>IF(D6=TRUNC(D6),FALSE,TRUE)</formula>
    </cfRule>
  </conditionalFormatting>
  <conditionalFormatting sqref="G31:S31">
    <cfRule type="cellIs" dxfId="41" priority="35" operator="equal">
      <formula>0</formula>
    </cfRule>
    <cfRule type="top10" dxfId="40" priority="36" bottom="1" rank="3"/>
  </conditionalFormatting>
  <conditionalFormatting sqref="G32:S32">
    <cfRule type="cellIs" dxfId="33" priority="33" operator="equal">
      <formula>0</formula>
    </cfRule>
    <cfRule type="top10" dxfId="32" priority="34" bottom="1" rank="3"/>
  </conditionalFormatting>
  <conditionalFormatting sqref="G33:S33">
    <cfRule type="cellIs" dxfId="31" priority="31" operator="equal">
      <formula>0</formula>
    </cfRule>
    <cfRule type="top10" dxfId="30" priority="32" bottom="1" rank="3"/>
  </conditionalFormatting>
  <conditionalFormatting sqref="G34:S34">
    <cfRule type="cellIs" dxfId="29" priority="29" operator="equal">
      <formula>0</formula>
    </cfRule>
    <cfRule type="top10" dxfId="28" priority="30" bottom="1" rank="3"/>
  </conditionalFormatting>
  <conditionalFormatting sqref="G35:S35">
    <cfRule type="cellIs" dxfId="27" priority="27" operator="equal">
      <formula>0</formula>
    </cfRule>
    <cfRule type="top10" dxfId="26" priority="28" bottom="1" rank="3"/>
  </conditionalFormatting>
  <conditionalFormatting sqref="G36:S36">
    <cfRule type="cellIs" dxfId="25" priority="25" operator="equal">
      <formula>0</formula>
    </cfRule>
    <cfRule type="top10" dxfId="24" priority="26" bottom="1" rank="3"/>
  </conditionalFormatting>
  <conditionalFormatting sqref="G37:S37">
    <cfRule type="cellIs" dxfId="23" priority="23" operator="equal">
      <formula>0</formula>
    </cfRule>
    <cfRule type="top10" dxfId="22" priority="24" bottom="1" rank="3"/>
  </conditionalFormatting>
  <conditionalFormatting sqref="G38:S38">
    <cfRule type="cellIs" dxfId="21" priority="21" operator="equal">
      <formula>0</formula>
    </cfRule>
    <cfRule type="top10" dxfId="20" priority="22" bottom="1" rank="3"/>
  </conditionalFormatting>
  <conditionalFormatting sqref="G39:S39">
    <cfRule type="cellIs" dxfId="19" priority="19" operator="equal">
      <formula>0</formula>
    </cfRule>
    <cfRule type="top10" dxfId="18" priority="20" bottom="1" rank="3"/>
  </conditionalFormatting>
  <conditionalFormatting sqref="G40:S40">
    <cfRule type="cellIs" dxfId="17" priority="17" operator="equal">
      <formula>0</formula>
    </cfRule>
    <cfRule type="top10" dxfId="16" priority="18" bottom="1" rank="3"/>
  </conditionalFormatting>
  <conditionalFormatting sqref="G41:S41">
    <cfRule type="cellIs" dxfId="15" priority="15" operator="equal">
      <formula>0</formula>
    </cfRule>
    <cfRule type="top10" dxfId="14" priority="16" bottom="1" rank="3"/>
  </conditionalFormatting>
  <conditionalFormatting sqref="G42:S42">
    <cfRule type="cellIs" dxfId="13" priority="13" operator="equal">
      <formula>0</formula>
    </cfRule>
    <cfRule type="top10" dxfId="12" priority="14" bottom="1" rank="3"/>
  </conditionalFormatting>
  <conditionalFormatting sqref="G43:S43">
    <cfRule type="cellIs" dxfId="11" priority="11" operator="equal">
      <formula>0</formula>
    </cfRule>
    <cfRule type="top10" dxfId="10" priority="12" bottom="1" rank="3"/>
  </conditionalFormatting>
  <conditionalFormatting sqref="G44:S44">
    <cfRule type="cellIs" dxfId="9" priority="9" operator="equal">
      <formula>0</formula>
    </cfRule>
    <cfRule type="top10" dxfId="8" priority="10" bottom="1" rank="3"/>
  </conditionalFormatting>
  <conditionalFormatting sqref="G45:S45">
    <cfRule type="cellIs" dxfId="7" priority="7" operator="equal">
      <formula>0</formula>
    </cfRule>
    <cfRule type="top10" dxfId="6" priority="8" bottom="1" rank="3"/>
  </conditionalFormatting>
  <conditionalFormatting sqref="G46:S46">
    <cfRule type="cellIs" dxfId="5" priority="5" operator="equal">
      <formula>0</formula>
    </cfRule>
    <cfRule type="top10" dxfId="4" priority="6" bottom="1" rank="3"/>
  </conditionalFormatting>
  <conditionalFormatting sqref="G47:S47">
    <cfRule type="cellIs" dxfId="3" priority="3" operator="equal">
      <formula>0</formula>
    </cfRule>
    <cfRule type="top10" dxfId="2" priority="4" bottom="1" rank="3"/>
  </conditionalFormatting>
  <conditionalFormatting sqref="G30:S30">
    <cfRule type="cellIs" dxfId="1" priority="1" operator="equal">
      <formula>0</formula>
    </cfRule>
    <cfRule type="top10" dxfId="0" priority="2" bottom="1" rank="3"/>
  </conditionalFormatting>
  <pageMargins left="0.7" right="0.7" top="0.75" bottom="0.75" header="0.3" footer="0.3"/>
  <pageSetup paperSize="9" scale="62" orientation="landscape" r:id="rId1"/>
  <rowBreaks count="1" manualBreakCount="1">
    <brk id="24" max="2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0737-A772-4D13-8368-427AFB2E8A51}">
  <dimension ref="A1:F19"/>
  <sheetViews>
    <sheetView zoomScaleNormal="100" workbookViewId="0"/>
  </sheetViews>
  <sheetFormatPr defaultColWidth="8.85546875" defaultRowHeight="15" x14ac:dyDescent="0.25"/>
  <cols>
    <col min="1" max="1" width="3.7109375" style="27" customWidth="1"/>
    <col min="2" max="2" width="10.7109375" style="27" customWidth="1"/>
    <col min="3" max="3" width="7.7109375" style="27" customWidth="1"/>
    <col min="4" max="4" width="20.7109375" style="27" customWidth="1"/>
    <col min="5" max="5" width="18.7109375" style="27" customWidth="1"/>
    <col min="6" max="6" width="9.7109375" style="27" customWidth="1"/>
    <col min="7" max="16384" width="8.85546875" style="27"/>
  </cols>
  <sheetData>
    <row r="1" spans="1:6" x14ac:dyDescent="0.25">
      <c r="A1" s="9" t="str">
        <f>otsikko</f>
        <v>Kaatokerho, 2024-25</v>
      </c>
    </row>
    <row r="2" spans="1:6" ht="26.25" x14ac:dyDescent="0.4">
      <c r="A2" s="11" t="s">
        <v>35</v>
      </c>
    </row>
    <row r="3" spans="1:6" ht="6" customHeight="1" x14ac:dyDescent="0.25"/>
    <row r="4" spans="1:6" x14ac:dyDescent="0.25">
      <c r="A4" s="28" t="s">
        <v>36</v>
      </c>
      <c r="B4" s="29" t="s">
        <v>37</v>
      </c>
      <c r="C4" s="29" t="s">
        <v>38</v>
      </c>
      <c r="D4" s="29" t="s">
        <v>39</v>
      </c>
      <c r="E4" s="29" t="s">
        <v>40</v>
      </c>
      <c r="F4" s="30" t="s">
        <v>41</v>
      </c>
    </row>
    <row r="5" spans="1:6" x14ac:dyDescent="0.25">
      <c r="A5" s="53">
        <f>Data!CR3</f>
        <v>1</v>
      </c>
      <c r="B5" s="54">
        <f>Data!CS3</f>
        <v>45556</v>
      </c>
      <c r="C5" s="138">
        <f>Data!CT3</f>
        <v>0.54166666666666663</v>
      </c>
      <c r="D5" s="55" t="str">
        <f>Data!CU3</f>
        <v>U7 Gdansk, Puola</v>
      </c>
      <c r="E5" s="55" t="str">
        <f ca="1">Data!CV3</f>
        <v>Kaleva Latvala</v>
      </c>
      <c r="F5" s="56">
        <f ca="1">Data!CW3</f>
        <v>259</v>
      </c>
    </row>
    <row r="6" spans="1:6" x14ac:dyDescent="0.25">
      <c r="A6" s="57">
        <f>Data!CR4</f>
        <v>2</v>
      </c>
      <c r="B6" s="58">
        <f>Data!CS4</f>
        <v>45585</v>
      </c>
      <c r="C6" s="139">
        <f>Data!CT4</f>
        <v>0.58333333333333337</v>
      </c>
      <c r="D6" s="59" t="str">
        <f>Data!CU4</f>
        <v>Raision keilahalli</v>
      </c>
      <c r="E6" s="59" t="str">
        <f ca="1">Data!CV4</f>
        <v>Frans Hartman</v>
      </c>
      <c r="F6" s="60">
        <f ca="1">Data!CW4</f>
        <v>333</v>
      </c>
    </row>
    <row r="7" spans="1:6" x14ac:dyDescent="0.25">
      <c r="A7" s="61">
        <f>Data!CR5</f>
        <v>3</v>
      </c>
      <c r="B7" s="62">
        <f>Data!CS5</f>
        <v>45599</v>
      </c>
      <c r="C7" s="140">
        <f>Data!CT5</f>
        <v>0.625</v>
      </c>
      <c r="D7" s="63" t="str">
        <f>Data!CU5</f>
        <v>Kupittaan keilahalli</v>
      </c>
      <c r="E7" s="63" t="str">
        <f ca="1">Data!CV5</f>
        <v>Ossi Oksa</v>
      </c>
      <c r="F7" s="64">
        <f ca="1">Data!CW5</f>
        <v>401</v>
      </c>
    </row>
    <row r="8" spans="1:6" x14ac:dyDescent="0.25">
      <c r="A8" s="57">
        <f>Data!CR6</f>
        <v>4</v>
      </c>
      <c r="B8" s="58">
        <f>Data!CS6</f>
        <v>45620</v>
      </c>
      <c r="C8" s="139">
        <f>Data!CT6</f>
        <v>0.625</v>
      </c>
      <c r="D8" s="59" t="str">
        <f>Data!CU6</f>
        <v>Kupittaan keilahalli</v>
      </c>
      <c r="E8" s="59" t="str">
        <f ca="1">Data!CV6</f>
        <v>Jami Kallio</v>
      </c>
      <c r="F8" s="60">
        <f ca="1">Data!CW6</f>
        <v>386</v>
      </c>
    </row>
    <row r="9" spans="1:6" x14ac:dyDescent="0.25">
      <c r="A9" s="61">
        <f>Data!CR7</f>
        <v>5</v>
      </c>
      <c r="B9" s="62">
        <f>Data!CS7</f>
        <v>45627</v>
      </c>
      <c r="C9" s="140">
        <f>Data!CT7</f>
        <v>0.625</v>
      </c>
      <c r="D9" s="63" t="str">
        <f>Data!CU7</f>
        <v>Kupittaan keilahalli</v>
      </c>
      <c r="E9" s="63" t="str">
        <f ca="1">Data!CV7</f>
        <v>Miika Nordblad</v>
      </c>
      <c r="F9" s="64">
        <f ca="1">Data!CW7</f>
        <v>333</v>
      </c>
    </row>
    <row r="10" spans="1:6" x14ac:dyDescent="0.25">
      <c r="A10" s="57">
        <f>Data!CR8</f>
        <v>6</v>
      </c>
      <c r="B10" s="58">
        <f>Data!CS8</f>
        <v>45640</v>
      </c>
      <c r="C10" s="139">
        <f>Data!CT8</f>
        <v>0.58333333333333337</v>
      </c>
      <c r="D10" s="59" t="str">
        <f>Data!CU8</f>
        <v>Aninkaisten keilahalli *</v>
      </c>
      <c r="E10" s="59" t="str">
        <f ca="1">Data!CV8</f>
        <v>Frans Hartman</v>
      </c>
      <c r="F10" s="60">
        <f ca="1">Data!CW8</f>
        <v>350</v>
      </c>
    </row>
    <row r="11" spans="1:6" x14ac:dyDescent="0.25">
      <c r="A11" s="61">
        <f>Data!CR9</f>
        <v>7</v>
      </c>
      <c r="B11" s="62">
        <f>Data!CS9</f>
        <v>45669</v>
      </c>
      <c r="C11" s="140">
        <f>Data!CT9</f>
        <v>0.625</v>
      </c>
      <c r="D11" s="63" t="str">
        <f>Data!CU9</f>
        <v>Kupittaan keilahalli</v>
      </c>
      <c r="E11" s="63" t="str">
        <f ca="1">Data!CV9</f>
        <v>Asko Haaksi</v>
      </c>
      <c r="F11" s="64">
        <f ca="1">Data!CW9</f>
        <v>332</v>
      </c>
    </row>
    <row r="12" spans="1:6" x14ac:dyDescent="0.25">
      <c r="A12" s="57">
        <f>Data!CR10</f>
        <v>8</v>
      </c>
      <c r="B12" s="58">
        <f>Data!CS10</f>
        <v>45690</v>
      </c>
      <c r="C12" s="139">
        <f>Data!CT10</f>
        <v>0.625</v>
      </c>
      <c r="D12" s="59" t="str">
        <f>Data!CU10</f>
        <v>Aninkaisten keilahalli</v>
      </c>
      <c r="E12" s="59" t="str">
        <f ca="1">Data!CV10</f>
        <v>Miika Nordblad</v>
      </c>
      <c r="F12" s="60">
        <f ca="1">Data!CW10</f>
        <v>343</v>
      </c>
    </row>
    <row r="13" spans="1:6" x14ac:dyDescent="0.25">
      <c r="A13" s="61">
        <f>Data!CR11</f>
        <v>9</v>
      </c>
      <c r="B13" s="62">
        <f>Data!CS11</f>
        <v>45711</v>
      </c>
      <c r="C13" s="140">
        <f>Data!CT11</f>
        <v>0.58333333333333337</v>
      </c>
      <c r="D13" s="63" t="str">
        <f>Data!CU11</f>
        <v>Raision keilahalli</v>
      </c>
      <c r="E13" s="63" t="str">
        <f ca="1">Data!CV11</f>
        <v>Jami Kallio</v>
      </c>
      <c r="F13" s="64">
        <f ca="1">Data!CW11</f>
        <v>307</v>
      </c>
    </row>
    <row r="14" spans="1:6" x14ac:dyDescent="0.25">
      <c r="A14" s="57">
        <f>Data!CR12</f>
        <v>10</v>
      </c>
      <c r="B14" s="58">
        <f>Data!CS12</f>
        <v>45732</v>
      </c>
      <c r="C14" s="139">
        <f>Data!CT12</f>
        <v>0.58333333333333337</v>
      </c>
      <c r="D14" s="59" t="str">
        <f>Data!CU12</f>
        <v>Raision keilahalli</v>
      </c>
      <c r="E14" s="59" t="str">
        <f ca="1">Data!CV12</f>
        <v>Miika Nordblad</v>
      </c>
      <c r="F14" s="60">
        <f ca="1">Data!CW12</f>
        <v>313</v>
      </c>
    </row>
    <row r="15" spans="1:6" x14ac:dyDescent="0.25">
      <c r="A15" s="61">
        <f>Data!CR13</f>
        <v>11</v>
      </c>
      <c r="B15" s="62">
        <f>Data!CS13</f>
        <v>45753</v>
      </c>
      <c r="C15" s="140">
        <f>Data!CT13</f>
        <v>0.625</v>
      </c>
      <c r="D15" s="63" t="str">
        <f>Data!CU13</f>
        <v>Kupittaan keilahalli</v>
      </c>
      <c r="E15" s="63" t="str">
        <f ca="1">Data!CV13</f>
        <v/>
      </c>
      <c r="F15" s="64" t="str">
        <f ca="1">Data!CW13</f>
        <v/>
      </c>
    </row>
    <row r="16" spans="1:6" x14ac:dyDescent="0.25">
      <c r="A16" s="57">
        <f>Data!CR14</f>
        <v>12</v>
      </c>
      <c r="B16" s="58">
        <f>Data!CS14</f>
        <v>45774</v>
      </c>
      <c r="C16" s="139">
        <f>Data!CT14</f>
        <v>0.625</v>
      </c>
      <c r="D16" s="59" t="str">
        <f>Data!CU14</f>
        <v>Kupittaan keilahalli *</v>
      </c>
      <c r="E16" s="59" t="str">
        <f ca="1">Data!CV14</f>
        <v/>
      </c>
      <c r="F16" s="60" t="str">
        <f ca="1">Data!CW14</f>
        <v/>
      </c>
    </row>
    <row r="17" spans="1:6" x14ac:dyDescent="0.25">
      <c r="A17" s="65">
        <f>Data!CR15</f>
        <v>13</v>
      </c>
      <c r="B17" s="66">
        <f>Data!CS15</f>
        <v>45795</v>
      </c>
      <c r="C17" s="141">
        <f>Data!CT15</f>
        <v>0.625</v>
      </c>
      <c r="D17" s="67" t="str">
        <f>Data!CU15</f>
        <v>Kupittaan keilahalli</v>
      </c>
      <c r="E17" s="67" t="str">
        <f ca="1">Data!CV15</f>
        <v/>
      </c>
      <c r="F17" s="68" t="str">
        <f ca="1">Data!CW15</f>
        <v/>
      </c>
    </row>
    <row r="18" spans="1:6" x14ac:dyDescent="0.25">
      <c r="A18" s="10"/>
      <c r="B18" s="10"/>
      <c r="C18" s="10"/>
      <c r="D18" s="10"/>
      <c r="E18" s="32" t="s">
        <v>42</v>
      </c>
      <c r="F18" s="31">
        <f ca="1">IFERROR(AVERAGE(F5:F17),"")</f>
        <v>335.7</v>
      </c>
    </row>
    <row r="19" spans="1:6" x14ac:dyDescent="0.25">
      <c r="A19" s="69" t="s">
        <v>43</v>
      </c>
    </row>
  </sheetData>
  <pageMargins left="1.0899999999999999" right="0.7" top="0.75" bottom="0.75" header="0.3" footer="0.3"/>
  <pageSetup scale="9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88FC9-8E63-4161-81A7-A9BE9A43E4F3}">
  <dimension ref="A1:S629"/>
  <sheetViews>
    <sheetView zoomScaleNormal="100" workbookViewId="0"/>
  </sheetViews>
  <sheetFormatPr defaultColWidth="8.85546875" defaultRowHeight="15" x14ac:dyDescent="0.25"/>
  <cols>
    <col min="1" max="1" width="3.7109375" style="34" customWidth="1"/>
    <col min="2" max="2" width="18.85546875" style="34" customWidth="1"/>
    <col min="3" max="3" width="6.7109375" style="34" customWidth="1"/>
    <col min="4" max="4" width="12.7109375" style="34" customWidth="1"/>
    <col min="5" max="5" width="2.7109375" style="34" customWidth="1"/>
    <col min="6" max="6" width="3.7109375" style="34" customWidth="1"/>
    <col min="7" max="7" width="18.7109375" style="34" customWidth="1"/>
    <col min="8" max="8" width="6.7109375" style="34" customWidth="1"/>
    <col min="9" max="9" width="12.7109375" style="34" customWidth="1"/>
    <col min="10" max="13" width="8.85546875" style="34"/>
    <col min="14" max="14" width="11.28515625" style="34" customWidth="1"/>
    <col min="15" max="18" width="8.85546875" style="34"/>
    <col min="19" max="19" width="12.42578125" style="34" bestFit="1" customWidth="1"/>
    <col min="20" max="16384" width="8.85546875" style="34"/>
  </cols>
  <sheetData>
    <row r="1" spans="1:19" x14ac:dyDescent="0.25">
      <c r="A1" s="9" t="str">
        <f>otsikko</f>
        <v>Kaatokerho, 2024-25</v>
      </c>
      <c r="K1" s="34">
        <v>1</v>
      </c>
      <c r="L1" s="34">
        <v>2</v>
      </c>
      <c r="M1" s="34">
        <v>3</v>
      </c>
      <c r="N1" s="34">
        <v>4</v>
      </c>
    </row>
    <row r="2" spans="1:19" ht="26.25" x14ac:dyDescent="0.4">
      <c r="A2" s="11" t="str">
        <f>"Sarjapisteiden ranking, TOP "&amp;MIN(100,MAX($A$5:$A$628))</f>
        <v>Sarjapisteiden ranking, TOP 100</v>
      </c>
      <c r="K2" s="34" t="s">
        <v>25</v>
      </c>
      <c r="L2" s="34" t="s">
        <v>7</v>
      </c>
      <c r="M2" s="34" t="s">
        <v>9</v>
      </c>
      <c r="N2" s="34" t="s">
        <v>44</v>
      </c>
      <c r="O2" s="34" t="s">
        <v>45</v>
      </c>
      <c r="P2" s="34" t="s">
        <v>36</v>
      </c>
      <c r="Q2" s="34" t="s">
        <v>46</v>
      </c>
      <c r="R2" s="34" t="s">
        <v>19</v>
      </c>
      <c r="S2" s="34" t="s">
        <v>47</v>
      </c>
    </row>
    <row r="3" spans="1:19" ht="6" customHeight="1" x14ac:dyDescent="0.25">
      <c r="K3" s="34">
        <f>IF($L3="","",_xlfn.RANK.EQ($S3,$S$3:$S$626,1))</f>
        <v>226</v>
      </c>
      <c r="L3" s="34" t="str">
        <f>IF(Data!$I2="","",Data!I2)</f>
        <v>Henri Verho</v>
      </c>
      <c r="M3" s="34">
        <f>IF(Data!$I2="","",IF(Data!J2=0,"dns",Data!J2))</f>
        <v>102</v>
      </c>
      <c r="N3" s="34" t="str">
        <f>IF(Data!$I2="","","GP"&amp;Data!$B2&amp;", "&amp;Data!$J$1)</f>
        <v>GP1, Sarja 1</v>
      </c>
      <c r="O3" s="34">
        <f>IF(L3="","",IFERROR(_xlfn.RANK.EQ($M3,$M$3:$M$626,0),COUNTA($L$3:$L$626)+1))</f>
        <v>226</v>
      </c>
      <c r="P3" s="34">
        <f>IF($L3="","",Data!B2)</f>
        <v>1</v>
      </c>
      <c r="Q3" s="34" t="str">
        <f>IF($L3="","",RIGHT(N3,1))</f>
        <v>1</v>
      </c>
      <c r="R3" s="34">
        <f>IF($L3="","",ROW())</f>
        <v>3</v>
      </c>
      <c r="S3" s="70">
        <f>IF($L3="","",O3/1000+P3/100000+Q3/1000000+R3/1000000000)</f>
        <v>0.22601100300000002</v>
      </c>
    </row>
    <row r="4" spans="1:19" x14ac:dyDescent="0.25">
      <c r="A4" s="71" t="s">
        <v>6</v>
      </c>
      <c r="B4" s="71" t="s">
        <v>7</v>
      </c>
      <c r="C4" s="71" t="s">
        <v>9</v>
      </c>
      <c r="D4" s="71" t="s">
        <v>44</v>
      </c>
      <c r="F4" s="72" t="str">
        <f>IF(F5="","",A4)</f>
        <v>Sija</v>
      </c>
      <c r="G4" s="72" t="str">
        <f t="shared" ref="G4:I4" si="0">IF(G5="","",B4)</f>
        <v>Nimi</v>
      </c>
      <c r="H4" s="72" t="str">
        <f t="shared" si="0"/>
        <v>Pisteet</v>
      </c>
      <c r="I4" s="72" t="str">
        <f t="shared" si="0"/>
        <v>Heittoajankohta</v>
      </c>
      <c r="K4" s="34">
        <f t="shared" ref="K4:K67" si="1">IF($L4="","",_xlfn.RANK.EQ($S4,$S$3:$S$626,1))</f>
        <v>195</v>
      </c>
      <c r="L4" s="34" t="str">
        <f>IF(Data!$I3="","",Data!I3)</f>
        <v>Niko Reunanen</v>
      </c>
      <c r="M4" s="34">
        <f>IF(Data!$I3="","",IF(Data!J3=0,"dns",Data!J3))</f>
        <v>114</v>
      </c>
      <c r="N4" s="34" t="str">
        <f>IF(Data!$I3="","","GP"&amp;Data!$B3&amp;", "&amp;Data!$J$1)</f>
        <v>GP1, Sarja 1</v>
      </c>
      <c r="O4" s="34">
        <f t="shared" ref="O4:O67" si="2">IF(L4="","",IFERROR(_xlfn.RANK.EQ($M4,$M$3:$M$626,0),COUNTA($L$3:$L$626)+1))</f>
        <v>195</v>
      </c>
      <c r="P4" s="34">
        <f>IF($L4="","",Data!B3)</f>
        <v>1</v>
      </c>
      <c r="Q4" s="34" t="str">
        <f t="shared" ref="Q4:Q67" si="3">IF($L4="","",RIGHT(N4,1))</f>
        <v>1</v>
      </c>
      <c r="R4" s="34">
        <f t="shared" ref="R4:R67" si="4">IF($L4="","",ROW())</f>
        <v>4</v>
      </c>
      <c r="S4" s="70">
        <f t="shared" ref="S4:S67" si="5">IF($L4="","",O4/1000+P4/100000+Q4/1000000+R4/1000000000)</f>
        <v>0.19501100400000002</v>
      </c>
    </row>
    <row r="5" spans="1:19" x14ac:dyDescent="0.25">
      <c r="A5" s="34">
        <f>IF(keilatut=0,"",1)</f>
        <v>1</v>
      </c>
      <c r="B5" s="34" t="str">
        <f t="shared" ref="B5:B68" si="6">IF($A5="","",VLOOKUP($A5,$K$3:$N$626,L$1,0))</f>
        <v>Ossi Oksa</v>
      </c>
      <c r="C5" s="34">
        <f t="shared" ref="C5:C68" si="7">IF($A5="","",VLOOKUP($A5,$K$3:$N$626,M$1,0))</f>
        <v>209</v>
      </c>
      <c r="D5" s="34" t="str">
        <f t="shared" ref="D5:D68" si="8">IF($A5="","",VLOOKUP($A5,$K$3:$N$626,N$1,0))</f>
        <v>GP3, Sarja 2</v>
      </c>
      <c r="F5" s="34">
        <f>IF(A55="","",A55)</f>
        <v>51</v>
      </c>
      <c r="G5" s="34" t="str">
        <f t="shared" ref="G5:I5" si="9">IF(B55="","",B55)</f>
        <v>Miika Nordblad</v>
      </c>
      <c r="H5" s="34">
        <f t="shared" si="9"/>
        <v>157</v>
      </c>
      <c r="I5" s="34" t="str">
        <f t="shared" si="9"/>
        <v>GP2, Sarja 1</v>
      </c>
      <c r="K5" s="34">
        <f t="shared" si="1"/>
        <v>231</v>
      </c>
      <c r="L5" s="34" t="str">
        <f>IF(Data!$I4="","",Data!I4)</f>
        <v>Tatu Erlin</v>
      </c>
      <c r="M5" s="34">
        <f>IF(Data!$I4="","",IF(Data!J4=0,"dns",Data!J4))</f>
        <v>101</v>
      </c>
      <c r="N5" s="34" t="str">
        <f>IF(Data!$I4="","","GP"&amp;Data!$B4&amp;", "&amp;Data!$J$1)</f>
        <v>GP1, Sarja 1</v>
      </c>
      <c r="O5" s="34">
        <f t="shared" si="2"/>
        <v>231</v>
      </c>
      <c r="P5" s="34">
        <f>IF($L5="","",Data!B4)</f>
        <v>1</v>
      </c>
      <c r="Q5" s="34" t="str">
        <f t="shared" si="3"/>
        <v>1</v>
      </c>
      <c r="R5" s="34">
        <f t="shared" si="4"/>
        <v>5</v>
      </c>
      <c r="S5" s="70">
        <f t="shared" si="5"/>
        <v>0.23101100500000002</v>
      </c>
    </row>
    <row r="6" spans="1:19" x14ac:dyDescent="0.25">
      <c r="A6" s="34">
        <f t="shared" ref="A6:A69" si="10">IFERROR(IF(A5+1&gt;MAX($K$3:$K$626),"",A5+1),"")</f>
        <v>2</v>
      </c>
      <c r="B6" s="34" t="str">
        <f t="shared" si="6"/>
        <v>Frans Hartman</v>
      </c>
      <c r="C6" s="34">
        <f t="shared" si="7"/>
        <v>204</v>
      </c>
      <c r="D6" s="34" t="str">
        <f t="shared" si="8"/>
        <v>GP6, Sarja 2</v>
      </c>
      <c r="F6" s="34">
        <f t="shared" ref="F6:F54" si="11">IF(A56="","",A56)</f>
        <v>52</v>
      </c>
      <c r="G6" s="34" t="str">
        <f t="shared" ref="G6:G54" si="12">IF(B56="","",B56)</f>
        <v>Olli Kajava</v>
      </c>
      <c r="H6" s="34">
        <f t="shared" ref="H6:H54" si="13">IF(C56="","",C56)</f>
        <v>157</v>
      </c>
      <c r="I6" s="34" t="str">
        <f t="shared" ref="I6:I54" si="14">IF(D56="","",D56)</f>
        <v>GP5, Sarja 2</v>
      </c>
      <c r="K6" s="34">
        <f t="shared" si="1"/>
        <v>184</v>
      </c>
      <c r="L6" s="34" t="str">
        <f>IF(Data!$I5="","",Data!I5)</f>
        <v>Kaleva Latvala</v>
      </c>
      <c r="M6" s="34">
        <f>IF(Data!$I5="","",IF(Data!J5=0,"dns",Data!J5))</f>
        <v>118</v>
      </c>
      <c r="N6" s="34" t="str">
        <f>IF(Data!$I5="","","GP"&amp;Data!$B5&amp;", "&amp;Data!$J$1)</f>
        <v>GP1, Sarja 1</v>
      </c>
      <c r="O6" s="34">
        <f t="shared" si="2"/>
        <v>184</v>
      </c>
      <c r="P6" s="34">
        <f>IF($L6="","",Data!B5)</f>
        <v>1</v>
      </c>
      <c r="Q6" s="34" t="str">
        <f t="shared" si="3"/>
        <v>1</v>
      </c>
      <c r="R6" s="34">
        <f t="shared" si="4"/>
        <v>6</v>
      </c>
      <c r="S6" s="70">
        <f t="shared" si="5"/>
        <v>0.184011006</v>
      </c>
    </row>
    <row r="7" spans="1:19" x14ac:dyDescent="0.25">
      <c r="A7" s="34">
        <f t="shared" si="10"/>
        <v>3</v>
      </c>
      <c r="B7" s="34" t="str">
        <f t="shared" si="6"/>
        <v>Mika Sola</v>
      </c>
      <c r="C7" s="34">
        <f t="shared" si="7"/>
        <v>203</v>
      </c>
      <c r="D7" s="34" t="str">
        <f t="shared" si="8"/>
        <v>GP8, Sarja 2</v>
      </c>
      <c r="F7" s="34">
        <f t="shared" si="11"/>
        <v>53</v>
      </c>
      <c r="G7" s="34" t="str">
        <f t="shared" si="12"/>
        <v>Jami Kallio</v>
      </c>
      <c r="H7" s="34">
        <f t="shared" si="13"/>
        <v>157</v>
      </c>
      <c r="I7" s="34" t="str">
        <f t="shared" si="14"/>
        <v>GP7, Sarja 2</v>
      </c>
      <c r="K7" s="34">
        <f t="shared" si="1"/>
        <v>211</v>
      </c>
      <c r="L7" s="34" t="str">
        <f>IF(Data!$I6="","",Data!I6)</f>
        <v>Miikka Korventausta</v>
      </c>
      <c r="M7" s="34">
        <f>IF(Data!$I6="","",IF(Data!J6=0,"dns",Data!J6))</f>
        <v>107</v>
      </c>
      <c r="N7" s="34" t="str">
        <f>IF(Data!$I6="","","GP"&amp;Data!$B6&amp;", "&amp;Data!$J$1)</f>
        <v>GP1, Sarja 1</v>
      </c>
      <c r="O7" s="34">
        <f t="shared" si="2"/>
        <v>211</v>
      </c>
      <c r="P7" s="34">
        <f>IF($L7="","",Data!B6)</f>
        <v>1</v>
      </c>
      <c r="Q7" s="34" t="str">
        <f t="shared" si="3"/>
        <v>1</v>
      </c>
      <c r="R7" s="34">
        <f t="shared" si="4"/>
        <v>7</v>
      </c>
      <c r="S7" s="70">
        <f t="shared" si="5"/>
        <v>0.211011007</v>
      </c>
    </row>
    <row r="8" spans="1:19" x14ac:dyDescent="0.25">
      <c r="A8" s="34">
        <f t="shared" si="10"/>
        <v>4</v>
      </c>
      <c r="B8" s="34" t="str">
        <f t="shared" si="6"/>
        <v>Jami Kallio</v>
      </c>
      <c r="C8" s="34">
        <f t="shared" si="7"/>
        <v>196</v>
      </c>
      <c r="D8" s="34" t="str">
        <f t="shared" si="8"/>
        <v>GP4, Sarja 1</v>
      </c>
      <c r="F8" s="34">
        <f t="shared" si="11"/>
        <v>54</v>
      </c>
      <c r="G8" s="34" t="str">
        <f t="shared" si="12"/>
        <v>Jami Kallio</v>
      </c>
      <c r="H8" s="34">
        <f t="shared" si="13"/>
        <v>156</v>
      </c>
      <c r="I8" s="34" t="str">
        <f t="shared" si="14"/>
        <v>GP2, Sarja 1</v>
      </c>
      <c r="K8" s="34">
        <f t="shared" si="1"/>
        <v>246</v>
      </c>
      <c r="L8" s="34" t="str">
        <f>IF(Data!$I7="","",Data!I7)</f>
        <v>Sakari Leinonen</v>
      </c>
      <c r="M8" s="34">
        <f>IF(Data!$I7="","",IF(Data!J7=0,"dns",Data!J7))</f>
        <v>82</v>
      </c>
      <c r="N8" s="34" t="str">
        <f>IF(Data!$I7="","","GP"&amp;Data!$B7&amp;", "&amp;Data!$J$1)</f>
        <v>GP1, Sarja 1</v>
      </c>
      <c r="O8" s="34">
        <f t="shared" si="2"/>
        <v>246</v>
      </c>
      <c r="P8" s="34">
        <f>IF($L8="","",Data!B7)</f>
        <v>1</v>
      </c>
      <c r="Q8" s="34" t="str">
        <f t="shared" si="3"/>
        <v>1</v>
      </c>
      <c r="R8" s="34">
        <f t="shared" si="4"/>
        <v>8</v>
      </c>
      <c r="S8" s="70">
        <f t="shared" si="5"/>
        <v>0.246011008</v>
      </c>
    </row>
    <row r="9" spans="1:19" x14ac:dyDescent="0.25">
      <c r="A9" s="34">
        <f t="shared" si="10"/>
        <v>5</v>
      </c>
      <c r="B9" s="34" t="str">
        <f t="shared" si="6"/>
        <v>Jami Kallio</v>
      </c>
      <c r="C9" s="34">
        <f t="shared" si="7"/>
        <v>195</v>
      </c>
      <c r="D9" s="34" t="str">
        <f t="shared" si="8"/>
        <v>GP9, Sarja 2</v>
      </c>
      <c r="F9" s="34">
        <f t="shared" si="11"/>
        <v>55</v>
      </c>
      <c r="G9" s="34" t="str">
        <f t="shared" si="12"/>
        <v>Ossi Oksa</v>
      </c>
      <c r="H9" s="34">
        <f t="shared" si="13"/>
        <v>156</v>
      </c>
      <c r="I9" s="34" t="str">
        <f t="shared" si="14"/>
        <v>GP5, Sarja 1</v>
      </c>
      <c r="K9" s="34">
        <f t="shared" si="1"/>
        <v>128</v>
      </c>
      <c r="L9" s="34" t="str">
        <f>IF(Data!$I8="","",Data!I8)</f>
        <v>Frans Hartman</v>
      </c>
      <c r="M9" s="34">
        <f>IF(Data!$I8="","",IF(Data!J8=0,"dns",Data!J8))</f>
        <v>130</v>
      </c>
      <c r="N9" s="34" t="str">
        <f>IF(Data!$I8="","","GP"&amp;Data!$B8&amp;", "&amp;Data!$J$1)</f>
        <v>GP1, Sarja 1</v>
      </c>
      <c r="O9" s="34">
        <f t="shared" si="2"/>
        <v>128</v>
      </c>
      <c r="P9" s="34">
        <f>IF($L9="","",Data!B8)</f>
        <v>1</v>
      </c>
      <c r="Q9" s="34" t="str">
        <f t="shared" si="3"/>
        <v>1</v>
      </c>
      <c r="R9" s="34">
        <f t="shared" si="4"/>
        <v>9</v>
      </c>
      <c r="S9" s="70">
        <f t="shared" si="5"/>
        <v>0.12801100900000001</v>
      </c>
    </row>
    <row r="10" spans="1:19" x14ac:dyDescent="0.25">
      <c r="A10" s="34">
        <f t="shared" si="10"/>
        <v>6</v>
      </c>
      <c r="B10" s="34" t="str">
        <f t="shared" si="6"/>
        <v>Sakari Leinonen</v>
      </c>
      <c r="C10" s="34">
        <f t="shared" si="7"/>
        <v>193</v>
      </c>
      <c r="D10" s="34" t="str">
        <f t="shared" si="8"/>
        <v>GP2, Sarja 2</v>
      </c>
      <c r="F10" s="34">
        <f t="shared" si="11"/>
        <v>56</v>
      </c>
      <c r="G10" s="34" t="str">
        <f t="shared" si="12"/>
        <v>Henri Verho</v>
      </c>
      <c r="H10" s="34">
        <f t="shared" si="13"/>
        <v>156</v>
      </c>
      <c r="I10" s="34" t="str">
        <f t="shared" si="14"/>
        <v>GP7, Sarja 2</v>
      </c>
      <c r="K10" s="34">
        <f t="shared" si="1"/>
        <v>227</v>
      </c>
      <c r="L10" s="34" t="str">
        <f>IF(Data!$I9="","",Data!I9)</f>
        <v>Jami Kallio</v>
      </c>
      <c r="M10" s="34">
        <f>IF(Data!$I9="","",IF(Data!J9=0,"dns",Data!J9))</f>
        <v>102</v>
      </c>
      <c r="N10" s="34" t="str">
        <f>IF(Data!$I9="","","GP"&amp;Data!$B9&amp;", "&amp;Data!$J$1)</f>
        <v>GP1, Sarja 1</v>
      </c>
      <c r="O10" s="34">
        <f t="shared" si="2"/>
        <v>226</v>
      </c>
      <c r="P10" s="34">
        <f>IF($L10="","",Data!B9)</f>
        <v>1</v>
      </c>
      <c r="Q10" s="34" t="str">
        <f t="shared" si="3"/>
        <v>1</v>
      </c>
      <c r="R10" s="34">
        <f t="shared" si="4"/>
        <v>10</v>
      </c>
      <c r="S10" s="70">
        <f t="shared" si="5"/>
        <v>0.22601101000000001</v>
      </c>
    </row>
    <row r="11" spans="1:19" x14ac:dyDescent="0.25">
      <c r="A11" s="34">
        <f t="shared" si="10"/>
        <v>7</v>
      </c>
      <c r="B11" s="34" t="str">
        <f t="shared" si="6"/>
        <v>Ossi Oksa</v>
      </c>
      <c r="C11" s="34">
        <f t="shared" si="7"/>
        <v>192</v>
      </c>
      <c r="D11" s="34" t="str">
        <f t="shared" si="8"/>
        <v>GP3, Sarja 1</v>
      </c>
      <c r="F11" s="34">
        <f t="shared" si="11"/>
        <v>57</v>
      </c>
      <c r="G11" s="34" t="str">
        <f t="shared" si="12"/>
        <v>Roope Warro</v>
      </c>
      <c r="H11" s="34">
        <f t="shared" si="13"/>
        <v>156</v>
      </c>
      <c r="I11" s="34" t="str">
        <f t="shared" si="14"/>
        <v>GP8, Sarja 1</v>
      </c>
      <c r="K11" s="34">
        <f t="shared" si="1"/>
        <v>129</v>
      </c>
      <c r="L11" s="34" t="str">
        <f>IF(Data!$I10="","",Data!I10)</f>
        <v>Ossi Oksa</v>
      </c>
      <c r="M11" s="34">
        <f>IF(Data!$I10="","",IF(Data!J10=0,"dns",Data!J10))</f>
        <v>130</v>
      </c>
      <c r="N11" s="34" t="str">
        <f>IF(Data!$I10="","","GP"&amp;Data!$B10&amp;", "&amp;Data!$J$1)</f>
        <v>GP1, Sarja 1</v>
      </c>
      <c r="O11" s="34">
        <f t="shared" si="2"/>
        <v>128</v>
      </c>
      <c r="P11" s="34">
        <f>IF($L11="","",Data!B10)</f>
        <v>1</v>
      </c>
      <c r="Q11" s="34" t="str">
        <f t="shared" si="3"/>
        <v>1</v>
      </c>
      <c r="R11" s="34">
        <f t="shared" si="4"/>
        <v>11</v>
      </c>
      <c r="S11" s="70">
        <f t="shared" si="5"/>
        <v>0.12801101100000001</v>
      </c>
    </row>
    <row r="12" spans="1:19" x14ac:dyDescent="0.25">
      <c r="A12" s="34">
        <f t="shared" si="10"/>
        <v>8</v>
      </c>
      <c r="B12" s="34" t="str">
        <f t="shared" si="6"/>
        <v>Jami Kallio</v>
      </c>
      <c r="C12" s="34">
        <f t="shared" si="7"/>
        <v>190</v>
      </c>
      <c r="D12" s="34" t="str">
        <f t="shared" si="8"/>
        <v>GP4, Sarja 2</v>
      </c>
      <c r="F12" s="34">
        <f t="shared" si="11"/>
        <v>58</v>
      </c>
      <c r="G12" s="34" t="str">
        <f t="shared" si="12"/>
        <v>Joonas Ollonqvist</v>
      </c>
      <c r="H12" s="34">
        <f t="shared" si="13"/>
        <v>156</v>
      </c>
      <c r="I12" s="34" t="str">
        <f t="shared" si="14"/>
        <v>GP8, Sarja 2</v>
      </c>
      <c r="K12" s="34">
        <f t="shared" si="1"/>
        <v>171</v>
      </c>
      <c r="L12" s="34" t="str">
        <f>IF(Data!$I11="","",Data!I11)</f>
        <v>Mika Sola</v>
      </c>
      <c r="M12" s="34">
        <f>IF(Data!$I11="","",IF(Data!J11=0,"dns",Data!J11))</f>
        <v>121</v>
      </c>
      <c r="N12" s="34" t="str">
        <f>IF(Data!$I11="","","GP"&amp;Data!$B11&amp;", "&amp;Data!$J$1)</f>
        <v>GP1, Sarja 1</v>
      </c>
      <c r="O12" s="34">
        <f t="shared" si="2"/>
        <v>171</v>
      </c>
      <c r="P12" s="34">
        <f>IF($L12="","",Data!B11)</f>
        <v>1</v>
      </c>
      <c r="Q12" s="34" t="str">
        <f t="shared" si="3"/>
        <v>1</v>
      </c>
      <c r="R12" s="34">
        <f t="shared" si="4"/>
        <v>12</v>
      </c>
      <c r="S12" s="70">
        <f t="shared" si="5"/>
        <v>0.17101101200000002</v>
      </c>
    </row>
    <row r="13" spans="1:19" x14ac:dyDescent="0.25">
      <c r="A13" s="34">
        <f t="shared" si="10"/>
        <v>9</v>
      </c>
      <c r="B13" s="34" t="str">
        <f t="shared" si="6"/>
        <v>Frans Hartman</v>
      </c>
      <c r="C13" s="34">
        <f t="shared" si="7"/>
        <v>187</v>
      </c>
      <c r="D13" s="34" t="str">
        <f t="shared" si="8"/>
        <v>GP2, Sarja 1</v>
      </c>
      <c r="F13" s="34">
        <f t="shared" si="11"/>
        <v>59</v>
      </c>
      <c r="G13" s="34" t="str">
        <f t="shared" si="12"/>
        <v>Niko Reunanen</v>
      </c>
      <c r="H13" s="34">
        <f t="shared" si="13"/>
        <v>155</v>
      </c>
      <c r="I13" s="34" t="str">
        <f t="shared" si="14"/>
        <v>GP4, Sarja 2</v>
      </c>
      <c r="K13" s="34">
        <f t="shared" si="1"/>
        <v>249</v>
      </c>
      <c r="L13" s="34" t="str">
        <f>IF(Data!$I12="","",Data!I12)</f>
        <v>Roope Warro</v>
      </c>
      <c r="M13" s="34">
        <f>IF(Data!$I12="","",IF(Data!J12=0,"dns",Data!J12))</f>
        <v>73</v>
      </c>
      <c r="N13" s="34" t="str">
        <f>IF(Data!$I12="","","GP"&amp;Data!$B12&amp;", "&amp;Data!$J$1)</f>
        <v>GP1, Sarja 1</v>
      </c>
      <c r="O13" s="34">
        <f t="shared" si="2"/>
        <v>249</v>
      </c>
      <c r="P13" s="34">
        <f>IF($L13="","",Data!B12)</f>
        <v>1</v>
      </c>
      <c r="Q13" s="34" t="str">
        <f t="shared" si="3"/>
        <v>1</v>
      </c>
      <c r="R13" s="34">
        <f t="shared" si="4"/>
        <v>13</v>
      </c>
      <c r="S13" s="70">
        <f t="shared" si="5"/>
        <v>0.249011013</v>
      </c>
    </row>
    <row r="14" spans="1:19" x14ac:dyDescent="0.25">
      <c r="A14" s="34">
        <f t="shared" si="10"/>
        <v>10</v>
      </c>
      <c r="B14" s="34" t="str">
        <f t="shared" si="6"/>
        <v>Miika Nordblad</v>
      </c>
      <c r="C14" s="34">
        <f t="shared" si="7"/>
        <v>184</v>
      </c>
      <c r="D14" s="34" t="str">
        <f t="shared" si="8"/>
        <v>GP5, Sarja 1</v>
      </c>
      <c r="F14" s="34">
        <f t="shared" si="11"/>
        <v>60</v>
      </c>
      <c r="G14" s="34" t="str">
        <f t="shared" si="12"/>
        <v>Jami Kallio</v>
      </c>
      <c r="H14" s="34">
        <f t="shared" si="13"/>
        <v>155</v>
      </c>
      <c r="I14" s="34" t="str">
        <f t="shared" si="14"/>
        <v>GP7, Sarja 1</v>
      </c>
      <c r="K14" s="34">
        <f t="shared" si="1"/>
        <v>253</v>
      </c>
      <c r="L14" s="34" t="str">
        <f>IF(Data!$I13="","",Data!I13)</f>
        <v>Joonas Ollonqvist</v>
      </c>
      <c r="M14" s="34" t="str">
        <f>IF(Data!$I13="","",IF(Data!J13=0,"dns",Data!J13))</f>
        <v>dns</v>
      </c>
      <c r="N14" s="34" t="str">
        <f>IF(Data!$I13="","","GP"&amp;Data!$B13&amp;", "&amp;Data!$J$1)</f>
        <v>GP1, Sarja 1</v>
      </c>
      <c r="O14" s="34">
        <f t="shared" si="2"/>
        <v>625</v>
      </c>
      <c r="P14" s="34">
        <f>IF($L14="","",Data!B13)</f>
        <v>1</v>
      </c>
      <c r="Q14" s="34" t="str">
        <f t="shared" si="3"/>
        <v>1</v>
      </c>
      <c r="R14" s="34">
        <f t="shared" si="4"/>
        <v>14</v>
      </c>
      <c r="S14" s="70">
        <f t="shared" si="5"/>
        <v>0.62501101400000003</v>
      </c>
    </row>
    <row r="15" spans="1:19" x14ac:dyDescent="0.25">
      <c r="A15" s="34">
        <f t="shared" si="10"/>
        <v>11</v>
      </c>
      <c r="B15" s="34" t="str">
        <f t="shared" si="6"/>
        <v>Juho Korpi</v>
      </c>
      <c r="C15" s="34">
        <f t="shared" si="7"/>
        <v>184</v>
      </c>
      <c r="D15" s="34" t="str">
        <f t="shared" si="8"/>
        <v>GP6, Sarja 2</v>
      </c>
      <c r="F15" s="34">
        <f t="shared" si="11"/>
        <v>61</v>
      </c>
      <c r="G15" s="34" t="str">
        <f t="shared" si="12"/>
        <v>Niko Reunanen</v>
      </c>
      <c r="H15" s="34">
        <f t="shared" si="13"/>
        <v>155</v>
      </c>
      <c r="I15" s="34" t="str">
        <f t="shared" si="14"/>
        <v>GP7, Sarja 1</v>
      </c>
      <c r="K15" s="34">
        <f t="shared" si="1"/>
        <v>254</v>
      </c>
      <c r="L15" s="34" t="str">
        <f>IF(Data!$I14="","",Data!I14)</f>
        <v>Miika Nordblad</v>
      </c>
      <c r="M15" s="34" t="str">
        <f>IF(Data!$I14="","",IF(Data!J14=0,"dns",Data!J14))</f>
        <v>dns</v>
      </c>
      <c r="N15" s="34" t="str">
        <f>IF(Data!$I14="","","GP"&amp;Data!$B14&amp;", "&amp;Data!$J$1)</f>
        <v>GP1, Sarja 1</v>
      </c>
      <c r="O15" s="34">
        <f t="shared" si="2"/>
        <v>625</v>
      </c>
      <c r="P15" s="34">
        <f>IF($L15="","",Data!B14)</f>
        <v>1</v>
      </c>
      <c r="Q15" s="34" t="str">
        <f t="shared" si="3"/>
        <v>1</v>
      </c>
      <c r="R15" s="34">
        <f t="shared" si="4"/>
        <v>15</v>
      </c>
      <c r="S15" s="70">
        <f t="shared" si="5"/>
        <v>0.625011015</v>
      </c>
    </row>
    <row r="16" spans="1:19" x14ac:dyDescent="0.25">
      <c r="A16" s="34">
        <f t="shared" si="10"/>
        <v>12</v>
      </c>
      <c r="B16" s="34" t="str">
        <f t="shared" si="6"/>
        <v>Miikka Korventausta</v>
      </c>
      <c r="C16" s="34">
        <f t="shared" si="7"/>
        <v>183</v>
      </c>
      <c r="D16" s="34" t="str">
        <f t="shared" si="8"/>
        <v>GP5, Sarja 2</v>
      </c>
      <c r="F16" s="34">
        <f t="shared" si="11"/>
        <v>62</v>
      </c>
      <c r="G16" s="34" t="str">
        <f t="shared" si="12"/>
        <v>Asko Haaksi</v>
      </c>
      <c r="H16" s="34">
        <f t="shared" si="13"/>
        <v>155</v>
      </c>
      <c r="I16" s="34" t="str">
        <f t="shared" si="14"/>
        <v>GP7, Sarja 2</v>
      </c>
      <c r="K16" s="34">
        <f t="shared" si="1"/>
        <v>255</v>
      </c>
      <c r="L16" s="34" t="str">
        <f>IF(Data!$I15="","",Data!I15)</f>
        <v>Juho Korpi</v>
      </c>
      <c r="M16" s="34" t="str">
        <f>IF(Data!$I15="","",IF(Data!J15=0,"dns",Data!J15))</f>
        <v>dns</v>
      </c>
      <c r="N16" s="34" t="str">
        <f>IF(Data!$I15="","","GP"&amp;Data!$B15&amp;", "&amp;Data!$J$1)</f>
        <v>GP1, Sarja 1</v>
      </c>
      <c r="O16" s="34">
        <f t="shared" si="2"/>
        <v>625</v>
      </c>
      <c r="P16" s="34">
        <f>IF($L16="","",Data!B15)</f>
        <v>1</v>
      </c>
      <c r="Q16" s="34" t="str">
        <f t="shared" si="3"/>
        <v>1</v>
      </c>
      <c r="R16" s="34">
        <f t="shared" si="4"/>
        <v>16</v>
      </c>
      <c r="S16" s="70">
        <f t="shared" si="5"/>
        <v>0.62501101599999997</v>
      </c>
    </row>
    <row r="17" spans="1:19" x14ac:dyDescent="0.25">
      <c r="A17" s="34">
        <f t="shared" si="10"/>
        <v>13</v>
      </c>
      <c r="B17" s="34" t="str">
        <f t="shared" si="6"/>
        <v>Ossi Oksa</v>
      </c>
      <c r="C17" s="34">
        <f t="shared" si="7"/>
        <v>182</v>
      </c>
      <c r="D17" s="34" t="str">
        <f t="shared" si="8"/>
        <v>GP2, Sarja 2</v>
      </c>
      <c r="F17" s="34">
        <f t="shared" si="11"/>
        <v>63</v>
      </c>
      <c r="G17" s="34" t="str">
        <f t="shared" si="12"/>
        <v>Sakari Leinonen</v>
      </c>
      <c r="H17" s="34">
        <f t="shared" si="13"/>
        <v>153</v>
      </c>
      <c r="I17" s="34" t="str">
        <f t="shared" si="14"/>
        <v>GP5, Sarja 1</v>
      </c>
      <c r="K17" s="34">
        <f t="shared" si="1"/>
        <v>256</v>
      </c>
      <c r="L17" s="34" t="str">
        <f>IF(Data!$I16="","",Data!I16)</f>
        <v>Asko Haaksi</v>
      </c>
      <c r="M17" s="34" t="str">
        <f>IF(Data!$I16="","",IF(Data!J16=0,"dns",Data!J16))</f>
        <v>dns</v>
      </c>
      <c r="N17" s="34" t="str">
        <f>IF(Data!$I16="","","GP"&amp;Data!$B16&amp;", "&amp;Data!$J$1)</f>
        <v>GP1, Sarja 1</v>
      </c>
      <c r="O17" s="34">
        <f t="shared" si="2"/>
        <v>625</v>
      </c>
      <c r="P17" s="34">
        <f>IF($L17="","",Data!B16)</f>
        <v>1</v>
      </c>
      <c r="Q17" s="34" t="str">
        <f t="shared" si="3"/>
        <v>1</v>
      </c>
      <c r="R17" s="34">
        <f t="shared" si="4"/>
        <v>17</v>
      </c>
      <c r="S17" s="70">
        <f t="shared" si="5"/>
        <v>0.62501101699999995</v>
      </c>
    </row>
    <row r="18" spans="1:19" x14ac:dyDescent="0.25">
      <c r="A18" s="34">
        <f t="shared" si="10"/>
        <v>14</v>
      </c>
      <c r="B18" s="34" t="str">
        <f t="shared" si="6"/>
        <v>Miika Nordblad</v>
      </c>
      <c r="C18" s="34">
        <f t="shared" si="7"/>
        <v>182</v>
      </c>
      <c r="D18" s="34" t="str">
        <f t="shared" si="8"/>
        <v>GP8, Sarja 2</v>
      </c>
      <c r="F18" s="34">
        <f t="shared" si="11"/>
        <v>64</v>
      </c>
      <c r="G18" s="34" t="str">
        <f t="shared" si="12"/>
        <v>Miikka Korventausta</v>
      </c>
      <c r="H18" s="34">
        <f t="shared" si="13"/>
        <v>153</v>
      </c>
      <c r="I18" s="34" t="str">
        <f t="shared" si="14"/>
        <v>GP7, Sarja 2</v>
      </c>
      <c r="K18" s="34">
        <f t="shared" si="1"/>
        <v>257</v>
      </c>
      <c r="L18" s="34" t="str">
        <f>IF(Data!$I17="","",Data!I17)</f>
        <v>Iiro Riikonen</v>
      </c>
      <c r="M18" s="34" t="str">
        <f>IF(Data!$I17="","",IF(Data!J17=0,"dns",Data!J17))</f>
        <v>dns</v>
      </c>
      <c r="N18" s="34" t="str">
        <f>IF(Data!$I17="","","GP"&amp;Data!$B17&amp;", "&amp;Data!$J$1)</f>
        <v>GP1, Sarja 1</v>
      </c>
      <c r="O18" s="34">
        <f t="shared" si="2"/>
        <v>625</v>
      </c>
      <c r="P18" s="34">
        <f>IF($L18="","",Data!B17)</f>
        <v>1</v>
      </c>
      <c r="Q18" s="34" t="str">
        <f t="shared" si="3"/>
        <v>1</v>
      </c>
      <c r="R18" s="34">
        <f t="shared" si="4"/>
        <v>18</v>
      </c>
      <c r="S18" s="70">
        <f t="shared" si="5"/>
        <v>0.62501101800000003</v>
      </c>
    </row>
    <row r="19" spans="1:19" x14ac:dyDescent="0.25">
      <c r="A19" s="34">
        <f t="shared" si="10"/>
        <v>15</v>
      </c>
      <c r="B19" s="34" t="str">
        <f t="shared" si="6"/>
        <v>Mika Sola</v>
      </c>
      <c r="C19" s="34">
        <f t="shared" si="7"/>
        <v>178</v>
      </c>
      <c r="D19" s="34" t="str">
        <f t="shared" si="8"/>
        <v>GP3, Sarja 2</v>
      </c>
      <c r="F19" s="34">
        <f t="shared" si="11"/>
        <v>65</v>
      </c>
      <c r="G19" s="34" t="str">
        <f t="shared" si="12"/>
        <v>Henri Verho</v>
      </c>
      <c r="H19" s="34">
        <f t="shared" si="13"/>
        <v>151</v>
      </c>
      <c r="I19" s="34" t="str">
        <f t="shared" si="14"/>
        <v>GP4, Sarja 2</v>
      </c>
      <c r="K19" s="34">
        <f t="shared" si="1"/>
        <v>258</v>
      </c>
      <c r="L19" s="34" t="str">
        <f>IF(Data!$I18="","",Data!I18)</f>
        <v>Olli Kajava</v>
      </c>
      <c r="M19" s="34" t="str">
        <f>IF(Data!$I18="","",IF(Data!J18=0,"dns",Data!J18))</f>
        <v>dns</v>
      </c>
      <c r="N19" s="34" t="str">
        <f>IF(Data!$I18="","","GP"&amp;Data!$B18&amp;", "&amp;Data!$J$1)</f>
        <v>GP1, Sarja 1</v>
      </c>
      <c r="O19" s="34">
        <f t="shared" si="2"/>
        <v>625</v>
      </c>
      <c r="P19" s="34">
        <f>IF($L19="","",Data!B18)</f>
        <v>1</v>
      </c>
      <c r="Q19" s="34" t="str">
        <f t="shared" si="3"/>
        <v>1</v>
      </c>
      <c r="R19" s="34">
        <f t="shared" si="4"/>
        <v>19</v>
      </c>
      <c r="S19" s="70">
        <f t="shared" si="5"/>
        <v>0.625011019</v>
      </c>
    </row>
    <row r="20" spans="1:19" x14ac:dyDescent="0.25">
      <c r="A20" s="34">
        <f t="shared" si="10"/>
        <v>16</v>
      </c>
      <c r="B20" s="34" t="str">
        <f t="shared" si="6"/>
        <v>Niko Reunanen</v>
      </c>
      <c r="C20" s="34">
        <f t="shared" si="7"/>
        <v>178</v>
      </c>
      <c r="D20" s="34" t="str">
        <f t="shared" si="8"/>
        <v>GP4, Sarja 1</v>
      </c>
      <c r="F20" s="34">
        <f t="shared" si="11"/>
        <v>66</v>
      </c>
      <c r="G20" s="34" t="str">
        <f t="shared" si="12"/>
        <v>Henri Verho</v>
      </c>
      <c r="H20" s="34">
        <f t="shared" si="13"/>
        <v>151</v>
      </c>
      <c r="I20" s="34" t="str">
        <f t="shared" si="14"/>
        <v>GP6, Sarja 1</v>
      </c>
      <c r="K20" s="34">
        <f t="shared" si="1"/>
        <v>259</v>
      </c>
      <c r="L20" s="34" t="str">
        <f>IF(Data!$I19="","",Data!I19)</f>
        <v>Mikko Mansikkamäki</v>
      </c>
      <c r="M20" s="34" t="str">
        <f>IF(Data!$I19="","",IF(Data!J19=0,"dns",Data!J19))</f>
        <v>dns</v>
      </c>
      <c r="N20" s="34" t="str">
        <f>IF(Data!$I19="","","GP"&amp;Data!$B19&amp;", "&amp;Data!$J$1)</f>
        <v>GP1, Sarja 1</v>
      </c>
      <c r="O20" s="34">
        <f t="shared" si="2"/>
        <v>625</v>
      </c>
      <c r="P20" s="34">
        <f>IF($L20="","",Data!B19)</f>
        <v>1</v>
      </c>
      <c r="Q20" s="34" t="str">
        <f t="shared" si="3"/>
        <v>1</v>
      </c>
      <c r="R20" s="34">
        <f t="shared" si="4"/>
        <v>20</v>
      </c>
      <c r="S20" s="70">
        <f t="shared" si="5"/>
        <v>0.62501101999999997</v>
      </c>
    </row>
    <row r="21" spans="1:19" x14ac:dyDescent="0.25">
      <c r="A21" s="34">
        <f t="shared" si="10"/>
        <v>17</v>
      </c>
      <c r="B21" s="34" t="str">
        <f t="shared" si="6"/>
        <v>Mikko Mansikkamäki</v>
      </c>
      <c r="C21" s="34">
        <f t="shared" si="7"/>
        <v>178</v>
      </c>
      <c r="D21" s="34" t="str">
        <f t="shared" si="8"/>
        <v>GP9, Sarja 1</v>
      </c>
      <c r="F21" s="34">
        <f t="shared" si="11"/>
        <v>67</v>
      </c>
      <c r="G21" s="34" t="str">
        <f t="shared" si="12"/>
        <v>Roope Warro</v>
      </c>
      <c r="H21" s="34">
        <f t="shared" si="13"/>
        <v>151</v>
      </c>
      <c r="I21" s="34" t="str">
        <f t="shared" si="14"/>
        <v>GP8, Sarja 2</v>
      </c>
      <c r="K21" s="34">
        <f t="shared" si="1"/>
        <v>149</v>
      </c>
      <c r="L21" s="34" t="str">
        <f>IF(Data!$I20="","",Data!I20)</f>
        <v>Joonas Ollonqvist</v>
      </c>
      <c r="M21" s="34">
        <f>IF(Data!$I20="","",IF(Data!J20=0,"dns",Data!J20))</f>
        <v>126</v>
      </c>
      <c r="N21" s="34" t="str">
        <f>IF(Data!$I20="","","GP"&amp;Data!$B20&amp;", "&amp;Data!$J$1)</f>
        <v>GP2, Sarja 1</v>
      </c>
      <c r="O21" s="34">
        <f t="shared" si="2"/>
        <v>149</v>
      </c>
      <c r="P21" s="34">
        <f>IF($L21="","",Data!B20)</f>
        <v>2</v>
      </c>
      <c r="Q21" s="34" t="str">
        <f t="shared" si="3"/>
        <v>1</v>
      </c>
      <c r="R21" s="34">
        <f t="shared" si="4"/>
        <v>21</v>
      </c>
      <c r="S21" s="70">
        <f t="shared" si="5"/>
        <v>0.14902102099999998</v>
      </c>
    </row>
    <row r="22" spans="1:19" x14ac:dyDescent="0.25">
      <c r="A22" s="34">
        <f t="shared" si="10"/>
        <v>18</v>
      </c>
      <c r="B22" s="34" t="str">
        <f t="shared" si="6"/>
        <v>Asko Haaksi</v>
      </c>
      <c r="C22" s="34">
        <f t="shared" si="7"/>
        <v>177</v>
      </c>
      <c r="D22" s="34" t="str">
        <f t="shared" si="8"/>
        <v>GP7, Sarja 1</v>
      </c>
      <c r="F22" s="34">
        <f t="shared" si="11"/>
        <v>68</v>
      </c>
      <c r="G22" s="34" t="str">
        <f t="shared" si="12"/>
        <v>Miika Nordblad</v>
      </c>
      <c r="H22" s="34">
        <f t="shared" si="13"/>
        <v>150</v>
      </c>
      <c r="I22" s="34" t="str">
        <f t="shared" si="14"/>
        <v>GP9, Sarja 1</v>
      </c>
      <c r="K22" s="34">
        <f t="shared" si="1"/>
        <v>220</v>
      </c>
      <c r="L22" s="34" t="str">
        <f>IF(Data!$I21="","",Data!I21)</f>
        <v>Tatu Erlin</v>
      </c>
      <c r="M22" s="34">
        <f>IF(Data!$I21="","",IF(Data!J21=0,"dns",Data!J21))</f>
        <v>104</v>
      </c>
      <c r="N22" s="34" t="str">
        <f>IF(Data!$I21="","","GP"&amp;Data!$B21&amp;", "&amp;Data!$J$1)</f>
        <v>GP2, Sarja 1</v>
      </c>
      <c r="O22" s="34">
        <f t="shared" si="2"/>
        <v>220</v>
      </c>
      <c r="P22" s="34">
        <f>IF($L22="","",Data!B21)</f>
        <v>2</v>
      </c>
      <c r="Q22" s="34" t="str">
        <f t="shared" si="3"/>
        <v>1</v>
      </c>
      <c r="R22" s="34">
        <f t="shared" si="4"/>
        <v>22</v>
      </c>
      <c r="S22" s="70">
        <f t="shared" si="5"/>
        <v>0.22002102199999998</v>
      </c>
    </row>
    <row r="23" spans="1:19" x14ac:dyDescent="0.25">
      <c r="A23" s="34">
        <f t="shared" si="10"/>
        <v>19</v>
      </c>
      <c r="B23" s="34" t="str">
        <f t="shared" si="6"/>
        <v>Asko Haaksi</v>
      </c>
      <c r="C23" s="34">
        <f t="shared" si="7"/>
        <v>176</v>
      </c>
      <c r="D23" s="34" t="str">
        <f t="shared" si="8"/>
        <v>GP2, Sarja 2</v>
      </c>
      <c r="F23" s="34">
        <f t="shared" si="11"/>
        <v>69</v>
      </c>
      <c r="G23" s="34" t="str">
        <f t="shared" si="12"/>
        <v>Miika Nordblad</v>
      </c>
      <c r="H23" s="34">
        <f t="shared" si="13"/>
        <v>149</v>
      </c>
      <c r="I23" s="34" t="str">
        <f t="shared" si="14"/>
        <v>GP5, Sarja 2</v>
      </c>
      <c r="K23" s="34">
        <f t="shared" si="1"/>
        <v>228</v>
      </c>
      <c r="L23" s="34" t="str">
        <f>IF(Data!$I22="","",Data!I22)</f>
        <v>Juho Korpi</v>
      </c>
      <c r="M23" s="34">
        <f>IF(Data!$I22="","",IF(Data!J22=0,"dns",Data!J22))</f>
        <v>102</v>
      </c>
      <c r="N23" s="34" t="str">
        <f>IF(Data!$I22="","","GP"&amp;Data!$B22&amp;", "&amp;Data!$J$1)</f>
        <v>GP2, Sarja 1</v>
      </c>
      <c r="O23" s="34">
        <f t="shared" si="2"/>
        <v>226</v>
      </c>
      <c r="P23" s="34">
        <f>IF($L23="","",Data!B22)</f>
        <v>2</v>
      </c>
      <c r="Q23" s="34" t="str">
        <f t="shared" si="3"/>
        <v>1</v>
      </c>
      <c r="R23" s="34">
        <f t="shared" si="4"/>
        <v>23</v>
      </c>
      <c r="S23" s="70">
        <f t="shared" si="5"/>
        <v>0.22602102299999999</v>
      </c>
    </row>
    <row r="24" spans="1:19" x14ac:dyDescent="0.25">
      <c r="A24" s="34">
        <f t="shared" si="10"/>
        <v>20</v>
      </c>
      <c r="B24" s="34" t="str">
        <f t="shared" si="6"/>
        <v>Miika Nordblad</v>
      </c>
      <c r="C24" s="34">
        <f t="shared" si="7"/>
        <v>176</v>
      </c>
      <c r="D24" s="34" t="str">
        <f t="shared" si="8"/>
        <v>GP2, Sarja 2</v>
      </c>
      <c r="F24" s="34">
        <f t="shared" si="11"/>
        <v>70</v>
      </c>
      <c r="G24" s="34" t="str">
        <f t="shared" si="12"/>
        <v>Jami Kallio</v>
      </c>
      <c r="H24" s="34">
        <f t="shared" si="13"/>
        <v>149</v>
      </c>
      <c r="I24" s="34" t="str">
        <f t="shared" si="14"/>
        <v>GP6, Sarja 2</v>
      </c>
      <c r="K24" s="34">
        <f t="shared" si="1"/>
        <v>150</v>
      </c>
      <c r="L24" s="34" t="str">
        <f>IF(Data!$I23="","",Data!I23)</f>
        <v>Ossi Oksa</v>
      </c>
      <c r="M24" s="34">
        <f>IF(Data!$I23="","",IF(Data!J23=0,"dns",Data!J23))</f>
        <v>126</v>
      </c>
      <c r="N24" s="34" t="str">
        <f>IF(Data!$I23="","","GP"&amp;Data!$B23&amp;", "&amp;Data!$J$1)</f>
        <v>GP2, Sarja 1</v>
      </c>
      <c r="O24" s="34">
        <f t="shared" si="2"/>
        <v>149</v>
      </c>
      <c r="P24" s="34">
        <f>IF($L24="","",Data!B23)</f>
        <v>2</v>
      </c>
      <c r="Q24" s="34" t="str">
        <f t="shared" si="3"/>
        <v>1</v>
      </c>
      <c r="R24" s="34">
        <f t="shared" si="4"/>
        <v>24</v>
      </c>
      <c r="S24" s="70">
        <f t="shared" si="5"/>
        <v>0.14902102399999997</v>
      </c>
    </row>
    <row r="25" spans="1:19" x14ac:dyDescent="0.25">
      <c r="A25" s="34">
        <f t="shared" si="10"/>
        <v>21</v>
      </c>
      <c r="B25" s="34" t="str">
        <f t="shared" si="6"/>
        <v>Olli Kajava</v>
      </c>
      <c r="C25" s="34">
        <f t="shared" si="7"/>
        <v>175</v>
      </c>
      <c r="D25" s="34" t="str">
        <f t="shared" si="8"/>
        <v>GP6, Sarja 2</v>
      </c>
      <c r="F25" s="34">
        <f t="shared" si="11"/>
        <v>71</v>
      </c>
      <c r="G25" s="34" t="str">
        <f t="shared" si="12"/>
        <v>Niko Reunanen</v>
      </c>
      <c r="H25" s="34">
        <f t="shared" si="13"/>
        <v>148</v>
      </c>
      <c r="I25" s="34" t="str">
        <f t="shared" si="14"/>
        <v>GP3, Sarja 1</v>
      </c>
      <c r="K25" s="34">
        <f t="shared" si="1"/>
        <v>107</v>
      </c>
      <c r="L25" s="34" t="str">
        <f>IF(Data!$I24="","",Data!I24)</f>
        <v>Kaleva Latvala</v>
      </c>
      <c r="M25" s="34">
        <f>IF(Data!$I24="","",IF(Data!J24=0,"dns",Data!J24))</f>
        <v>136</v>
      </c>
      <c r="N25" s="34" t="str">
        <f>IF(Data!$I24="","","GP"&amp;Data!$B24&amp;", "&amp;Data!$J$1)</f>
        <v>GP2, Sarja 1</v>
      </c>
      <c r="O25" s="34">
        <f t="shared" si="2"/>
        <v>107</v>
      </c>
      <c r="P25" s="34">
        <f>IF($L25="","",Data!B24)</f>
        <v>2</v>
      </c>
      <c r="Q25" s="34" t="str">
        <f t="shared" si="3"/>
        <v>1</v>
      </c>
      <c r="R25" s="34">
        <f t="shared" si="4"/>
        <v>25</v>
      </c>
      <c r="S25" s="70">
        <f t="shared" si="5"/>
        <v>0.10702102500000001</v>
      </c>
    </row>
    <row r="26" spans="1:19" x14ac:dyDescent="0.25">
      <c r="A26" s="34">
        <f t="shared" si="10"/>
        <v>22</v>
      </c>
      <c r="B26" s="34" t="str">
        <f t="shared" si="6"/>
        <v>Jami Kallio</v>
      </c>
      <c r="C26" s="34">
        <f t="shared" si="7"/>
        <v>174</v>
      </c>
      <c r="D26" s="34" t="str">
        <f t="shared" si="8"/>
        <v>GP5, Sarja 2</v>
      </c>
      <c r="F26" s="34">
        <f t="shared" si="11"/>
        <v>72</v>
      </c>
      <c r="G26" s="34" t="str">
        <f t="shared" si="12"/>
        <v>Jami Kallio</v>
      </c>
      <c r="H26" s="34">
        <f t="shared" si="13"/>
        <v>148</v>
      </c>
      <c r="I26" s="34" t="str">
        <f t="shared" si="14"/>
        <v>GP3, Sarja 2</v>
      </c>
      <c r="K26" s="34">
        <f t="shared" si="1"/>
        <v>77</v>
      </c>
      <c r="L26" s="34" t="str">
        <f>IF(Data!$I25="","",Data!I25)</f>
        <v>Henri Verho</v>
      </c>
      <c r="M26" s="34">
        <f>IF(Data!$I25="","",IF(Data!J25=0,"dns",Data!J25))</f>
        <v>147</v>
      </c>
      <c r="N26" s="34" t="str">
        <f>IF(Data!$I25="","","GP"&amp;Data!$B25&amp;", "&amp;Data!$J$1)</f>
        <v>GP2, Sarja 1</v>
      </c>
      <c r="O26" s="34">
        <f t="shared" si="2"/>
        <v>77</v>
      </c>
      <c r="P26" s="34">
        <f>IF($L26="","",Data!B25)</f>
        <v>2</v>
      </c>
      <c r="Q26" s="34" t="str">
        <f t="shared" si="3"/>
        <v>1</v>
      </c>
      <c r="R26" s="34">
        <f t="shared" si="4"/>
        <v>26</v>
      </c>
      <c r="S26" s="70">
        <f t="shared" si="5"/>
        <v>7.7021026000000006E-2</v>
      </c>
    </row>
    <row r="27" spans="1:19" x14ac:dyDescent="0.25">
      <c r="A27" s="34">
        <f t="shared" si="10"/>
        <v>23</v>
      </c>
      <c r="B27" s="34" t="str">
        <f t="shared" si="6"/>
        <v>Niko Reunanen</v>
      </c>
      <c r="C27" s="34">
        <f t="shared" si="7"/>
        <v>172</v>
      </c>
      <c r="D27" s="34" t="str">
        <f t="shared" si="8"/>
        <v>GP9, Sarja 2</v>
      </c>
      <c r="F27" s="34">
        <f t="shared" si="11"/>
        <v>73</v>
      </c>
      <c r="G27" s="34" t="str">
        <f t="shared" si="12"/>
        <v>Iiro Riikonen</v>
      </c>
      <c r="H27" s="34">
        <f t="shared" si="13"/>
        <v>148</v>
      </c>
      <c r="I27" s="34" t="str">
        <f t="shared" si="14"/>
        <v>GP4, Sarja 1</v>
      </c>
      <c r="K27" s="34">
        <f t="shared" si="1"/>
        <v>151</v>
      </c>
      <c r="L27" s="34" t="str">
        <f>IF(Data!$I26="","",Data!I26)</f>
        <v>Olli Kajava</v>
      </c>
      <c r="M27" s="34">
        <f>IF(Data!$I26="","",IF(Data!J26=0,"dns",Data!J26))</f>
        <v>126</v>
      </c>
      <c r="N27" s="34" t="str">
        <f>IF(Data!$I26="","","GP"&amp;Data!$B26&amp;", "&amp;Data!$J$1)</f>
        <v>GP2, Sarja 1</v>
      </c>
      <c r="O27" s="34">
        <f t="shared" si="2"/>
        <v>149</v>
      </c>
      <c r="P27" s="34">
        <f>IF($L27="","",Data!B26)</f>
        <v>2</v>
      </c>
      <c r="Q27" s="34" t="str">
        <f t="shared" si="3"/>
        <v>1</v>
      </c>
      <c r="R27" s="34">
        <f t="shared" si="4"/>
        <v>27</v>
      </c>
      <c r="S27" s="70">
        <f t="shared" si="5"/>
        <v>0.149021027</v>
      </c>
    </row>
    <row r="28" spans="1:19" x14ac:dyDescent="0.25">
      <c r="A28" s="34">
        <f t="shared" si="10"/>
        <v>24</v>
      </c>
      <c r="B28" s="34" t="str">
        <f t="shared" si="6"/>
        <v>Ossi Oksa</v>
      </c>
      <c r="C28" s="34">
        <f t="shared" si="7"/>
        <v>171</v>
      </c>
      <c r="D28" s="34" t="str">
        <f t="shared" si="8"/>
        <v>GP8, Sarja 1</v>
      </c>
      <c r="F28" s="34">
        <f t="shared" si="11"/>
        <v>74</v>
      </c>
      <c r="G28" s="34" t="str">
        <f t="shared" si="12"/>
        <v>Miika Nordblad</v>
      </c>
      <c r="H28" s="34">
        <f t="shared" si="13"/>
        <v>148</v>
      </c>
      <c r="I28" s="34" t="str">
        <f t="shared" si="14"/>
        <v>GP7, Sarja 1</v>
      </c>
      <c r="K28" s="34">
        <f t="shared" si="1"/>
        <v>54</v>
      </c>
      <c r="L28" s="34" t="str">
        <f>IF(Data!$I27="","",Data!I27)</f>
        <v>Jami Kallio</v>
      </c>
      <c r="M28" s="34">
        <f>IF(Data!$I27="","",IF(Data!J27=0,"dns",Data!J27))</f>
        <v>156</v>
      </c>
      <c r="N28" s="34" t="str">
        <f>IF(Data!$I27="","","GP"&amp;Data!$B27&amp;", "&amp;Data!$J$1)</f>
        <v>GP2, Sarja 1</v>
      </c>
      <c r="O28" s="34">
        <f t="shared" si="2"/>
        <v>54</v>
      </c>
      <c r="P28" s="34">
        <f>IF($L28="","",Data!B27)</f>
        <v>2</v>
      </c>
      <c r="Q28" s="34" t="str">
        <f t="shared" si="3"/>
        <v>1</v>
      </c>
      <c r="R28" s="34">
        <f t="shared" si="4"/>
        <v>28</v>
      </c>
      <c r="S28" s="70">
        <f t="shared" si="5"/>
        <v>5.4021027999999999E-2</v>
      </c>
    </row>
    <row r="29" spans="1:19" x14ac:dyDescent="0.25">
      <c r="A29" s="34">
        <f t="shared" si="10"/>
        <v>25</v>
      </c>
      <c r="B29" s="34" t="str">
        <f t="shared" si="6"/>
        <v>Jami Kallio</v>
      </c>
      <c r="C29" s="34">
        <f t="shared" si="7"/>
        <v>171</v>
      </c>
      <c r="D29" s="34" t="str">
        <f t="shared" si="8"/>
        <v>GP8, Sarja 2</v>
      </c>
      <c r="F29" s="34">
        <f t="shared" si="11"/>
        <v>75</v>
      </c>
      <c r="G29" s="34" t="str">
        <f t="shared" si="12"/>
        <v>Ossi Oksa</v>
      </c>
      <c r="H29" s="34">
        <f t="shared" si="13"/>
        <v>148</v>
      </c>
      <c r="I29" s="34" t="str">
        <f t="shared" si="14"/>
        <v>GP8, Sarja 2</v>
      </c>
      <c r="K29" s="34">
        <f t="shared" si="1"/>
        <v>118</v>
      </c>
      <c r="L29" s="34" t="str">
        <f>IF(Data!$I28="","",Data!I28)</f>
        <v>Iiro Riikonen</v>
      </c>
      <c r="M29" s="34">
        <f>IF(Data!$I28="","",IF(Data!J28=0,"dns",Data!J28))</f>
        <v>132</v>
      </c>
      <c r="N29" s="34" t="str">
        <f>IF(Data!$I28="","","GP"&amp;Data!$B28&amp;", "&amp;Data!$J$1)</f>
        <v>GP2, Sarja 1</v>
      </c>
      <c r="O29" s="34">
        <f t="shared" si="2"/>
        <v>118</v>
      </c>
      <c r="P29" s="34">
        <f>IF($L29="","",Data!B28)</f>
        <v>2</v>
      </c>
      <c r="Q29" s="34" t="str">
        <f t="shared" si="3"/>
        <v>1</v>
      </c>
      <c r="R29" s="34">
        <f t="shared" si="4"/>
        <v>29</v>
      </c>
      <c r="S29" s="70">
        <f t="shared" si="5"/>
        <v>0.118021029</v>
      </c>
    </row>
    <row r="30" spans="1:19" x14ac:dyDescent="0.25">
      <c r="A30" s="34">
        <f t="shared" si="10"/>
        <v>26</v>
      </c>
      <c r="B30" s="34" t="str">
        <f t="shared" si="6"/>
        <v>Henri Verho</v>
      </c>
      <c r="C30" s="34">
        <f t="shared" si="7"/>
        <v>170</v>
      </c>
      <c r="D30" s="34" t="str">
        <f t="shared" si="8"/>
        <v>GP2, Sarja 2</v>
      </c>
      <c r="F30" s="34">
        <f t="shared" si="11"/>
        <v>76</v>
      </c>
      <c r="G30" s="34" t="str">
        <f t="shared" si="12"/>
        <v>Kaleva Latvala</v>
      </c>
      <c r="H30" s="34">
        <f t="shared" si="13"/>
        <v>148</v>
      </c>
      <c r="I30" s="34" t="str">
        <f t="shared" si="14"/>
        <v>GP9, Sarja 1</v>
      </c>
      <c r="K30" s="34">
        <f t="shared" si="1"/>
        <v>207</v>
      </c>
      <c r="L30" s="34" t="str">
        <f>IF(Data!$I29="","",Data!I29)</f>
        <v>Miikka Korventausta</v>
      </c>
      <c r="M30" s="34">
        <f>IF(Data!$I29="","",IF(Data!J29=0,"dns",Data!J29))</f>
        <v>110</v>
      </c>
      <c r="N30" s="34" t="str">
        <f>IF(Data!$I29="","","GP"&amp;Data!$B29&amp;", "&amp;Data!$J$1)</f>
        <v>GP2, Sarja 1</v>
      </c>
      <c r="O30" s="34">
        <f t="shared" si="2"/>
        <v>206</v>
      </c>
      <c r="P30" s="34">
        <f>IF($L30="","",Data!B29)</f>
        <v>2</v>
      </c>
      <c r="Q30" s="34" t="str">
        <f t="shared" si="3"/>
        <v>1</v>
      </c>
      <c r="R30" s="34">
        <f t="shared" si="4"/>
        <v>30</v>
      </c>
      <c r="S30" s="70">
        <f t="shared" si="5"/>
        <v>0.20602102999999999</v>
      </c>
    </row>
    <row r="31" spans="1:19" x14ac:dyDescent="0.25">
      <c r="A31" s="34">
        <f t="shared" si="10"/>
        <v>27</v>
      </c>
      <c r="B31" s="34" t="str">
        <f t="shared" si="6"/>
        <v>Jami Kallio</v>
      </c>
      <c r="C31" s="34">
        <f t="shared" si="7"/>
        <v>170</v>
      </c>
      <c r="D31" s="34" t="str">
        <f t="shared" si="8"/>
        <v>GP2, Sarja 2</v>
      </c>
      <c r="F31" s="34">
        <f t="shared" si="11"/>
        <v>77</v>
      </c>
      <c r="G31" s="34" t="str">
        <f t="shared" si="12"/>
        <v>Henri Verho</v>
      </c>
      <c r="H31" s="34">
        <f t="shared" si="13"/>
        <v>147</v>
      </c>
      <c r="I31" s="34" t="str">
        <f t="shared" si="14"/>
        <v>GP2, Sarja 1</v>
      </c>
      <c r="K31" s="34">
        <f t="shared" si="1"/>
        <v>99</v>
      </c>
      <c r="L31" s="34" t="str">
        <f>IF(Data!$I30="","",Data!I30)</f>
        <v>Sakari Leinonen</v>
      </c>
      <c r="M31" s="34">
        <f>IF(Data!$I30="","",IF(Data!J30=0,"dns",Data!J30))</f>
        <v>139</v>
      </c>
      <c r="N31" s="34" t="str">
        <f>IF(Data!$I30="","","GP"&amp;Data!$B30&amp;", "&amp;Data!$J$1)</f>
        <v>GP2, Sarja 1</v>
      </c>
      <c r="O31" s="34">
        <f t="shared" si="2"/>
        <v>99</v>
      </c>
      <c r="P31" s="34">
        <f>IF($L31="","",Data!B30)</f>
        <v>2</v>
      </c>
      <c r="Q31" s="34" t="str">
        <f t="shared" si="3"/>
        <v>1</v>
      </c>
      <c r="R31" s="34">
        <f t="shared" si="4"/>
        <v>31</v>
      </c>
      <c r="S31" s="70">
        <f t="shared" si="5"/>
        <v>9.9021031000000009E-2</v>
      </c>
    </row>
    <row r="32" spans="1:19" x14ac:dyDescent="0.25">
      <c r="A32" s="34">
        <f t="shared" si="10"/>
        <v>28</v>
      </c>
      <c r="B32" s="34" t="str">
        <f t="shared" si="6"/>
        <v>Henri Verho</v>
      </c>
      <c r="C32" s="34">
        <f t="shared" si="7"/>
        <v>169</v>
      </c>
      <c r="D32" s="34" t="str">
        <f t="shared" si="8"/>
        <v>GP4, Sarja 1</v>
      </c>
      <c r="F32" s="34">
        <f t="shared" si="11"/>
        <v>78</v>
      </c>
      <c r="G32" s="34" t="str">
        <f t="shared" si="12"/>
        <v>Henri Verho</v>
      </c>
      <c r="H32" s="34">
        <f t="shared" si="13"/>
        <v>147</v>
      </c>
      <c r="I32" s="34" t="str">
        <f t="shared" si="14"/>
        <v>GP6, Sarja 2</v>
      </c>
      <c r="K32" s="34">
        <f t="shared" si="1"/>
        <v>9</v>
      </c>
      <c r="L32" s="34" t="str">
        <f>IF(Data!$I31="","",Data!I31)</f>
        <v>Frans Hartman</v>
      </c>
      <c r="M32" s="34">
        <f>IF(Data!$I31="","",IF(Data!J31=0,"dns",Data!J31))</f>
        <v>187</v>
      </c>
      <c r="N32" s="34" t="str">
        <f>IF(Data!$I31="","","GP"&amp;Data!$B31&amp;", "&amp;Data!$J$1)</f>
        <v>GP2, Sarja 1</v>
      </c>
      <c r="O32" s="34">
        <f t="shared" si="2"/>
        <v>9</v>
      </c>
      <c r="P32" s="34">
        <f>IF($L32="","",Data!B31)</f>
        <v>2</v>
      </c>
      <c r="Q32" s="34" t="str">
        <f t="shared" si="3"/>
        <v>1</v>
      </c>
      <c r="R32" s="34">
        <f t="shared" si="4"/>
        <v>32</v>
      </c>
      <c r="S32" s="70">
        <f t="shared" si="5"/>
        <v>9.0210319999999983E-3</v>
      </c>
    </row>
    <row r="33" spans="1:19" x14ac:dyDescent="0.25">
      <c r="A33" s="34">
        <f t="shared" si="10"/>
        <v>29</v>
      </c>
      <c r="B33" s="34" t="str">
        <f t="shared" si="6"/>
        <v>Frans Hartman</v>
      </c>
      <c r="C33" s="34">
        <f t="shared" si="7"/>
        <v>169</v>
      </c>
      <c r="D33" s="34" t="str">
        <f t="shared" si="8"/>
        <v>GP9, Sarja 2</v>
      </c>
      <c r="F33" s="34">
        <f t="shared" si="11"/>
        <v>79</v>
      </c>
      <c r="G33" s="34" t="str">
        <f t="shared" si="12"/>
        <v>Miika Nordblad</v>
      </c>
      <c r="H33" s="34">
        <f t="shared" si="13"/>
        <v>147</v>
      </c>
      <c r="I33" s="34" t="str">
        <f t="shared" si="14"/>
        <v>GP10, Sarja 2</v>
      </c>
      <c r="K33" s="34">
        <f t="shared" si="1"/>
        <v>122</v>
      </c>
      <c r="L33" s="34" t="str">
        <f>IF(Data!$I32="","",Data!I32)</f>
        <v>Asko Haaksi</v>
      </c>
      <c r="M33" s="34">
        <f>IF(Data!$I32="","",IF(Data!J32=0,"dns",Data!J32))</f>
        <v>131</v>
      </c>
      <c r="N33" s="34" t="str">
        <f>IF(Data!$I32="","","GP"&amp;Data!$B32&amp;", "&amp;Data!$J$1)</f>
        <v>GP2, Sarja 1</v>
      </c>
      <c r="O33" s="34">
        <f t="shared" si="2"/>
        <v>121</v>
      </c>
      <c r="P33" s="34">
        <f>IF($L33="","",Data!B32)</f>
        <v>2</v>
      </c>
      <c r="Q33" s="34" t="str">
        <f t="shared" si="3"/>
        <v>1</v>
      </c>
      <c r="R33" s="34">
        <f t="shared" si="4"/>
        <v>33</v>
      </c>
      <c r="S33" s="70">
        <f t="shared" si="5"/>
        <v>0.121021033</v>
      </c>
    </row>
    <row r="34" spans="1:19" x14ac:dyDescent="0.25">
      <c r="A34" s="34">
        <f t="shared" si="10"/>
        <v>30</v>
      </c>
      <c r="B34" s="34" t="str">
        <f t="shared" si="6"/>
        <v>Miika Nordblad</v>
      </c>
      <c r="C34" s="34">
        <f t="shared" si="7"/>
        <v>168</v>
      </c>
      <c r="D34" s="34" t="str">
        <f t="shared" si="8"/>
        <v>GP3, Sarja 1</v>
      </c>
      <c r="F34" s="34">
        <f t="shared" si="11"/>
        <v>80</v>
      </c>
      <c r="G34" s="34" t="str">
        <f t="shared" si="12"/>
        <v>Henri Verho</v>
      </c>
      <c r="H34" s="34">
        <f t="shared" si="13"/>
        <v>147</v>
      </c>
      <c r="I34" s="34" t="str">
        <f t="shared" si="14"/>
        <v>GP10, Sarja 2</v>
      </c>
      <c r="K34" s="34">
        <f t="shared" si="1"/>
        <v>51</v>
      </c>
      <c r="L34" s="34" t="str">
        <f>IF(Data!$I33="","",Data!I33)</f>
        <v>Miika Nordblad</v>
      </c>
      <c r="M34" s="34">
        <f>IF(Data!$I33="","",IF(Data!J33=0,"dns",Data!J33))</f>
        <v>157</v>
      </c>
      <c r="N34" s="34" t="str">
        <f>IF(Data!$I33="","","GP"&amp;Data!$B33&amp;", "&amp;Data!$J$1)</f>
        <v>GP2, Sarja 1</v>
      </c>
      <c r="O34" s="34">
        <f t="shared" si="2"/>
        <v>51</v>
      </c>
      <c r="P34" s="34">
        <f>IF($L34="","",Data!B33)</f>
        <v>2</v>
      </c>
      <c r="Q34" s="34" t="str">
        <f t="shared" si="3"/>
        <v>1</v>
      </c>
      <c r="R34" s="34">
        <f t="shared" si="4"/>
        <v>34</v>
      </c>
      <c r="S34" s="70">
        <f t="shared" si="5"/>
        <v>5.1021034E-2</v>
      </c>
    </row>
    <row r="35" spans="1:19" x14ac:dyDescent="0.25">
      <c r="A35" s="34">
        <f t="shared" si="10"/>
        <v>31</v>
      </c>
      <c r="B35" s="34" t="str">
        <f t="shared" si="6"/>
        <v>Asko Haaksi</v>
      </c>
      <c r="C35" s="34">
        <f t="shared" si="7"/>
        <v>168</v>
      </c>
      <c r="D35" s="34" t="str">
        <f t="shared" si="8"/>
        <v>GP5, Sarja 2</v>
      </c>
      <c r="F35" s="34">
        <f t="shared" si="11"/>
        <v>81</v>
      </c>
      <c r="G35" s="34" t="str">
        <f t="shared" si="12"/>
        <v>Frans Hartman</v>
      </c>
      <c r="H35" s="34">
        <f t="shared" si="13"/>
        <v>146</v>
      </c>
      <c r="I35" s="34" t="str">
        <f t="shared" si="14"/>
        <v>GP2, Sarja 2</v>
      </c>
      <c r="K35" s="34">
        <f t="shared" si="1"/>
        <v>239</v>
      </c>
      <c r="L35" s="34" t="str">
        <f>IF(Data!$I34="","",Data!I34)</f>
        <v>Mika Sola</v>
      </c>
      <c r="M35" s="34">
        <f>IF(Data!$I34="","",IF(Data!J34=0,"dns",Data!J34))</f>
        <v>91</v>
      </c>
      <c r="N35" s="34" t="str">
        <f>IF(Data!$I34="","","GP"&amp;Data!$B34&amp;", "&amp;Data!$J$1)</f>
        <v>GP2, Sarja 1</v>
      </c>
      <c r="O35" s="34">
        <f t="shared" si="2"/>
        <v>239</v>
      </c>
      <c r="P35" s="34">
        <f>IF($L35="","",Data!B34)</f>
        <v>2</v>
      </c>
      <c r="Q35" s="34" t="str">
        <f t="shared" si="3"/>
        <v>1</v>
      </c>
      <c r="R35" s="34">
        <f t="shared" si="4"/>
        <v>35</v>
      </c>
      <c r="S35" s="70">
        <f t="shared" si="5"/>
        <v>0.23902103499999999</v>
      </c>
    </row>
    <row r="36" spans="1:19" x14ac:dyDescent="0.25">
      <c r="A36" s="34">
        <f t="shared" si="10"/>
        <v>32</v>
      </c>
      <c r="B36" s="34" t="str">
        <f t="shared" si="6"/>
        <v>Juho Korpi</v>
      </c>
      <c r="C36" s="34">
        <f t="shared" si="7"/>
        <v>168</v>
      </c>
      <c r="D36" s="34" t="str">
        <f t="shared" si="8"/>
        <v>GP8, Sarja 1</v>
      </c>
      <c r="F36" s="34">
        <f t="shared" si="11"/>
        <v>82</v>
      </c>
      <c r="G36" s="34" t="str">
        <f t="shared" si="12"/>
        <v>Frans Hartman</v>
      </c>
      <c r="H36" s="34">
        <f t="shared" si="13"/>
        <v>146</v>
      </c>
      <c r="I36" s="34" t="str">
        <f t="shared" si="14"/>
        <v>GP6, Sarja 1</v>
      </c>
      <c r="K36" s="34">
        <f t="shared" si="1"/>
        <v>267</v>
      </c>
      <c r="L36" s="34" t="str">
        <f>IF(Data!$I35="","",Data!I35)</f>
        <v>Niko Reunanen</v>
      </c>
      <c r="M36" s="34" t="str">
        <f>IF(Data!$I35="","",IF(Data!J35=0,"dns",Data!J35))</f>
        <v>dns</v>
      </c>
      <c r="N36" s="34" t="str">
        <f>IF(Data!$I35="","","GP"&amp;Data!$B35&amp;", "&amp;Data!$J$1)</f>
        <v>GP2, Sarja 1</v>
      </c>
      <c r="O36" s="34">
        <f t="shared" si="2"/>
        <v>625</v>
      </c>
      <c r="P36" s="34">
        <f>IF($L36="","",Data!B35)</f>
        <v>2</v>
      </c>
      <c r="Q36" s="34" t="str">
        <f t="shared" si="3"/>
        <v>1</v>
      </c>
      <c r="R36" s="34">
        <f t="shared" si="4"/>
        <v>36</v>
      </c>
      <c r="S36" s="70">
        <f t="shared" si="5"/>
        <v>0.62502103600000003</v>
      </c>
    </row>
    <row r="37" spans="1:19" x14ac:dyDescent="0.25">
      <c r="A37" s="34">
        <f t="shared" si="10"/>
        <v>33</v>
      </c>
      <c r="B37" s="34" t="str">
        <f t="shared" si="6"/>
        <v>Miika Nordblad</v>
      </c>
      <c r="C37" s="34">
        <f t="shared" si="7"/>
        <v>166</v>
      </c>
      <c r="D37" s="34" t="str">
        <f t="shared" si="8"/>
        <v>GP10, Sarja 1</v>
      </c>
      <c r="F37" s="34">
        <f t="shared" si="11"/>
        <v>83</v>
      </c>
      <c r="G37" s="34" t="str">
        <f t="shared" si="12"/>
        <v>Asko Haaksi</v>
      </c>
      <c r="H37" s="34">
        <f t="shared" si="13"/>
        <v>145</v>
      </c>
      <c r="I37" s="34" t="str">
        <f t="shared" si="14"/>
        <v>GP4, Sarja 2</v>
      </c>
      <c r="K37" s="34">
        <f t="shared" si="1"/>
        <v>268</v>
      </c>
      <c r="L37" s="34" t="str">
        <f>IF(Data!$I36="","",Data!I36)</f>
        <v>Mikko Mansikkamäki</v>
      </c>
      <c r="M37" s="34" t="str">
        <f>IF(Data!$I36="","",IF(Data!J36=0,"dns",Data!J36))</f>
        <v>dns</v>
      </c>
      <c r="N37" s="34" t="str">
        <f>IF(Data!$I36="","","GP"&amp;Data!$B36&amp;", "&amp;Data!$J$1)</f>
        <v>GP2, Sarja 1</v>
      </c>
      <c r="O37" s="34">
        <f t="shared" si="2"/>
        <v>625</v>
      </c>
      <c r="P37" s="34">
        <f>IF($L37="","",Data!B36)</f>
        <v>2</v>
      </c>
      <c r="Q37" s="34" t="str">
        <f t="shared" si="3"/>
        <v>1</v>
      </c>
      <c r="R37" s="34">
        <f t="shared" si="4"/>
        <v>37</v>
      </c>
      <c r="S37" s="70">
        <f t="shared" si="5"/>
        <v>0.625021037</v>
      </c>
    </row>
    <row r="38" spans="1:19" x14ac:dyDescent="0.25">
      <c r="A38" s="34">
        <f t="shared" si="10"/>
        <v>34</v>
      </c>
      <c r="B38" s="34" t="str">
        <f t="shared" si="6"/>
        <v>Iiro Riikonen</v>
      </c>
      <c r="C38" s="34">
        <f t="shared" si="7"/>
        <v>165</v>
      </c>
      <c r="D38" s="34" t="str">
        <f t="shared" si="8"/>
        <v>GP2, Sarja 2</v>
      </c>
      <c r="F38" s="34">
        <f t="shared" si="11"/>
        <v>84</v>
      </c>
      <c r="G38" s="34" t="str">
        <f t="shared" si="12"/>
        <v>Iiro Riikonen</v>
      </c>
      <c r="H38" s="34">
        <f t="shared" si="13"/>
        <v>145</v>
      </c>
      <c r="I38" s="34" t="str">
        <f t="shared" si="14"/>
        <v>GP6, Sarja 1</v>
      </c>
      <c r="K38" s="34">
        <f t="shared" si="1"/>
        <v>269</v>
      </c>
      <c r="L38" s="34" t="str">
        <f>IF(Data!$I37="","",Data!I37)</f>
        <v>Roope Warro</v>
      </c>
      <c r="M38" s="34" t="str">
        <f>IF(Data!$I37="","",IF(Data!J37=0,"dns",Data!J37))</f>
        <v>dns</v>
      </c>
      <c r="N38" s="34" t="str">
        <f>IF(Data!$I37="","","GP"&amp;Data!$B37&amp;", "&amp;Data!$J$1)</f>
        <v>GP2, Sarja 1</v>
      </c>
      <c r="O38" s="34">
        <f t="shared" si="2"/>
        <v>625</v>
      </c>
      <c r="P38" s="34">
        <f>IF($L38="","",Data!B37)</f>
        <v>2</v>
      </c>
      <c r="Q38" s="34" t="str">
        <f t="shared" si="3"/>
        <v>1</v>
      </c>
      <c r="R38" s="34">
        <f t="shared" si="4"/>
        <v>38</v>
      </c>
      <c r="S38" s="70">
        <f t="shared" si="5"/>
        <v>0.62502103800000008</v>
      </c>
    </row>
    <row r="39" spans="1:19" x14ac:dyDescent="0.25">
      <c r="A39" s="34">
        <f t="shared" si="10"/>
        <v>35</v>
      </c>
      <c r="B39" s="34" t="str">
        <f t="shared" si="6"/>
        <v>Niko Reunanen</v>
      </c>
      <c r="C39" s="34">
        <f t="shared" si="7"/>
        <v>165</v>
      </c>
      <c r="D39" s="34" t="str">
        <f t="shared" si="8"/>
        <v>GP6, Sarja 1</v>
      </c>
      <c r="F39" s="34">
        <f t="shared" si="11"/>
        <v>85</v>
      </c>
      <c r="G39" s="34" t="str">
        <f t="shared" si="12"/>
        <v>Asko Haaksi</v>
      </c>
      <c r="H39" s="34">
        <f t="shared" si="13"/>
        <v>145</v>
      </c>
      <c r="I39" s="34" t="str">
        <f t="shared" si="14"/>
        <v>GP9, Sarja 1</v>
      </c>
      <c r="K39" s="34">
        <f t="shared" si="1"/>
        <v>189</v>
      </c>
      <c r="L39" s="34" t="str">
        <f>IF(Data!$I38="","",Data!I38)</f>
        <v>Mikko Mansikkamäki</v>
      </c>
      <c r="M39" s="34">
        <f>IF(Data!$I38="","",IF(Data!J38=0,"dns",Data!J38))</f>
        <v>117</v>
      </c>
      <c r="N39" s="34" t="str">
        <f>IF(Data!$I38="","","GP"&amp;Data!$B38&amp;", "&amp;Data!$J$1)</f>
        <v>GP3, Sarja 1</v>
      </c>
      <c r="O39" s="34">
        <f t="shared" si="2"/>
        <v>189</v>
      </c>
      <c r="P39" s="34">
        <f>IF($L39="","",Data!B38)</f>
        <v>3</v>
      </c>
      <c r="Q39" s="34" t="str">
        <f t="shared" si="3"/>
        <v>1</v>
      </c>
      <c r="R39" s="34">
        <f t="shared" si="4"/>
        <v>39</v>
      </c>
      <c r="S39" s="70">
        <f t="shared" si="5"/>
        <v>0.18903103900000001</v>
      </c>
    </row>
    <row r="40" spans="1:19" x14ac:dyDescent="0.25">
      <c r="A40" s="34">
        <f t="shared" si="10"/>
        <v>36</v>
      </c>
      <c r="B40" s="34" t="str">
        <f t="shared" si="6"/>
        <v>Kaleva Latvala</v>
      </c>
      <c r="C40" s="34">
        <f t="shared" si="7"/>
        <v>164</v>
      </c>
      <c r="D40" s="34" t="str">
        <f t="shared" si="8"/>
        <v>GP4, Sarja 1</v>
      </c>
      <c r="F40" s="34">
        <f t="shared" si="11"/>
        <v>86</v>
      </c>
      <c r="G40" s="34" t="str">
        <f t="shared" si="12"/>
        <v>Jami Kallio</v>
      </c>
      <c r="H40" s="34">
        <f t="shared" si="13"/>
        <v>145</v>
      </c>
      <c r="I40" s="34" t="str">
        <f t="shared" si="14"/>
        <v>GP10, Sarja 1</v>
      </c>
      <c r="K40" s="34">
        <f t="shared" si="1"/>
        <v>71</v>
      </c>
      <c r="L40" s="34" t="str">
        <f>IF(Data!$I39="","",Data!I39)</f>
        <v>Niko Reunanen</v>
      </c>
      <c r="M40" s="34">
        <f>IF(Data!$I39="","",IF(Data!J39=0,"dns",Data!J39))</f>
        <v>148</v>
      </c>
      <c r="N40" s="34" t="str">
        <f>IF(Data!$I39="","","GP"&amp;Data!$B39&amp;", "&amp;Data!$J$1)</f>
        <v>GP3, Sarja 1</v>
      </c>
      <c r="O40" s="34">
        <f t="shared" si="2"/>
        <v>71</v>
      </c>
      <c r="P40" s="34">
        <f>IF($L40="","",Data!B39)</f>
        <v>3</v>
      </c>
      <c r="Q40" s="34" t="str">
        <f t="shared" si="3"/>
        <v>1</v>
      </c>
      <c r="R40" s="34">
        <f t="shared" si="4"/>
        <v>40</v>
      </c>
      <c r="S40" s="70">
        <f t="shared" si="5"/>
        <v>7.1031040000000004E-2</v>
      </c>
    </row>
    <row r="41" spans="1:19" x14ac:dyDescent="0.25">
      <c r="A41" s="34">
        <f t="shared" si="10"/>
        <v>37</v>
      </c>
      <c r="B41" s="34" t="str">
        <f t="shared" si="6"/>
        <v>Ossi Oksa</v>
      </c>
      <c r="C41" s="34">
        <f t="shared" si="7"/>
        <v>164</v>
      </c>
      <c r="D41" s="34" t="str">
        <f t="shared" si="8"/>
        <v>GP5, Sarja 2</v>
      </c>
      <c r="F41" s="34">
        <f t="shared" si="11"/>
        <v>87</v>
      </c>
      <c r="G41" s="34" t="str">
        <f t="shared" si="12"/>
        <v>Miikka Korventausta</v>
      </c>
      <c r="H41" s="34">
        <f t="shared" si="13"/>
        <v>144</v>
      </c>
      <c r="I41" s="34" t="str">
        <f t="shared" si="14"/>
        <v>GP4, Sarja 1</v>
      </c>
      <c r="K41" s="34">
        <f t="shared" si="1"/>
        <v>30</v>
      </c>
      <c r="L41" s="34" t="str">
        <f>IF(Data!$I40="","",Data!I40)</f>
        <v>Miika Nordblad</v>
      </c>
      <c r="M41" s="34">
        <f>IF(Data!$I40="","",IF(Data!J40=0,"dns",Data!J40))</f>
        <v>168</v>
      </c>
      <c r="N41" s="34" t="str">
        <f>IF(Data!$I40="","","GP"&amp;Data!$B40&amp;", "&amp;Data!$J$1)</f>
        <v>GP3, Sarja 1</v>
      </c>
      <c r="O41" s="34">
        <f t="shared" si="2"/>
        <v>30</v>
      </c>
      <c r="P41" s="34">
        <f>IF($L41="","",Data!B40)</f>
        <v>3</v>
      </c>
      <c r="Q41" s="34" t="str">
        <f t="shared" si="3"/>
        <v>1</v>
      </c>
      <c r="R41" s="34">
        <f t="shared" si="4"/>
        <v>41</v>
      </c>
      <c r="S41" s="70">
        <f t="shared" si="5"/>
        <v>3.0031040999999998E-2</v>
      </c>
    </row>
    <row r="42" spans="1:19" x14ac:dyDescent="0.25">
      <c r="A42" s="34">
        <f t="shared" si="10"/>
        <v>38</v>
      </c>
      <c r="B42" s="34" t="str">
        <f t="shared" si="6"/>
        <v>Jami Kallio</v>
      </c>
      <c r="C42" s="34">
        <f t="shared" si="7"/>
        <v>164</v>
      </c>
      <c r="D42" s="34" t="str">
        <f t="shared" si="8"/>
        <v>GP6, Sarja 1</v>
      </c>
      <c r="F42" s="34">
        <f t="shared" si="11"/>
        <v>88</v>
      </c>
      <c r="G42" s="34" t="str">
        <f t="shared" si="12"/>
        <v>Asko Haaksi</v>
      </c>
      <c r="H42" s="34">
        <f t="shared" si="13"/>
        <v>144</v>
      </c>
      <c r="I42" s="34" t="str">
        <f t="shared" si="14"/>
        <v>GP4, Sarja 1</v>
      </c>
      <c r="K42" s="34">
        <f t="shared" si="1"/>
        <v>7</v>
      </c>
      <c r="L42" s="34" t="str">
        <f>IF(Data!$I41="","",Data!I41)</f>
        <v>Ossi Oksa</v>
      </c>
      <c r="M42" s="34">
        <f>IF(Data!$I41="","",IF(Data!J41=0,"dns",Data!J41))</f>
        <v>192</v>
      </c>
      <c r="N42" s="34" t="str">
        <f>IF(Data!$I41="","","GP"&amp;Data!$B41&amp;", "&amp;Data!$J$1)</f>
        <v>GP3, Sarja 1</v>
      </c>
      <c r="O42" s="34">
        <f t="shared" si="2"/>
        <v>7</v>
      </c>
      <c r="P42" s="34">
        <f>IF($L42="","",Data!B41)</f>
        <v>3</v>
      </c>
      <c r="Q42" s="34" t="str">
        <f t="shared" si="3"/>
        <v>1</v>
      </c>
      <c r="R42" s="34">
        <f t="shared" si="4"/>
        <v>42</v>
      </c>
      <c r="S42" s="70">
        <f t="shared" si="5"/>
        <v>7.0310419999999995E-3</v>
      </c>
    </row>
    <row r="43" spans="1:19" x14ac:dyDescent="0.25">
      <c r="A43" s="34">
        <f t="shared" si="10"/>
        <v>39</v>
      </c>
      <c r="B43" s="34" t="str">
        <f t="shared" si="6"/>
        <v>Henri Verho</v>
      </c>
      <c r="C43" s="34">
        <f t="shared" si="7"/>
        <v>163</v>
      </c>
      <c r="D43" s="34" t="str">
        <f t="shared" si="8"/>
        <v>GP5, Sarja 2</v>
      </c>
      <c r="F43" s="34">
        <f t="shared" si="11"/>
        <v>89</v>
      </c>
      <c r="G43" s="34" t="str">
        <f t="shared" si="12"/>
        <v>Miikka Korventausta</v>
      </c>
      <c r="H43" s="34">
        <f t="shared" si="13"/>
        <v>144</v>
      </c>
      <c r="I43" s="34" t="str">
        <f t="shared" si="14"/>
        <v>GP5, Sarja 1</v>
      </c>
      <c r="K43" s="34">
        <f t="shared" si="1"/>
        <v>96</v>
      </c>
      <c r="L43" s="34" t="str">
        <f>IF(Data!$I42="","",Data!I42)</f>
        <v>Henri Verho</v>
      </c>
      <c r="M43" s="34">
        <f>IF(Data!$I42="","",IF(Data!J42=0,"dns",Data!J42))</f>
        <v>140</v>
      </c>
      <c r="N43" s="34" t="str">
        <f>IF(Data!$I42="","","GP"&amp;Data!$B42&amp;", "&amp;Data!$J$1)</f>
        <v>GP3, Sarja 1</v>
      </c>
      <c r="O43" s="34">
        <f t="shared" si="2"/>
        <v>96</v>
      </c>
      <c r="P43" s="34">
        <f>IF($L43="","",Data!B42)</f>
        <v>3</v>
      </c>
      <c r="Q43" s="34" t="str">
        <f t="shared" si="3"/>
        <v>1</v>
      </c>
      <c r="R43" s="34">
        <f t="shared" si="4"/>
        <v>43</v>
      </c>
      <c r="S43" s="70">
        <f t="shared" si="5"/>
        <v>9.603104300000001E-2</v>
      </c>
    </row>
    <row r="44" spans="1:19" x14ac:dyDescent="0.25">
      <c r="A44" s="34">
        <f t="shared" si="10"/>
        <v>40</v>
      </c>
      <c r="B44" s="34" t="str">
        <f t="shared" si="6"/>
        <v>Olli Kajava</v>
      </c>
      <c r="C44" s="34">
        <f t="shared" si="7"/>
        <v>163</v>
      </c>
      <c r="D44" s="34" t="str">
        <f t="shared" si="8"/>
        <v>GP7, Sarja 1</v>
      </c>
      <c r="F44" s="34">
        <f t="shared" si="11"/>
        <v>90</v>
      </c>
      <c r="G44" s="34" t="str">
        <f t="shared" si="12"/>
        <v>Henri Verho</v>
      </c>
      <c r="H44" s="34">
        <f t="shared" si="13"/>
        <v>144</v>
      </c>
      <c r="I44" s="34" t="str">
        <f t="shared" si="14"/>
        <v>GP10, Sarja 1</v>
      </c>
      <c r="K44" s="34">
        <f t="shared" si="1"/>
        <v>197</v>
      </c>
      <c r="L44" s="34" t="str">
        <f>IF(Data!$I43="","",Data!I43)</f>
        <v>Mika Sola</v>
      </c>
      <c r="M44" s="34">
        <f>IF(Data!$I43="","",IF(Data!J43=0,"dns",Data!J43))</f>
        <v>113</v>
      </c>
      <c r="N44" s="34" t="str">
        <f>IF(Data!$I43="","","GP"&amp;Data!$B43&amp;", "&amp;Data!$J$1)</f>
        <v>GP3, Sarja 1</v>
      </c>
      <c r="O44" s="34">
        <f t="shared" si="2"/>
        <v>197</v>
      </c>
      <c r="P44" s="34">
        <f>IF($L44="","",Data!B43)</f>
        <v>3</v>
      </c>
      <c r="Q44" s="34" t="str">
        <f t="shared" si="3"/>
        <v>1</v>
      </c>
      <c r="R44" s="34">
        <f t="shared" si="4"/>
        <v>44</v>
      </c>
      <c r="S44" s="70">
        <f t="shared" si="5"/>
        <v>0.19703104400000002</v>
      </c>
    </row>
    <row r="45" spans="1:19" x14ac:dyDescent="0.25">
      <c r="A45" s="34">
        <f t="shared" si="10"/>
        <v>41</v>
      </c>
      <c r="B45" s="34" t="str">
        <f t="shared" si="6"/>
        <v>Mika Sola</v>
      </c>
      <c r="C45" s="34">
        <f t="shared" si="7"/>
        <v>162</v>
      </c>
      <c r="D45" s="34" t="str">
        <f t="shared" si="8"/>
        <v>GP7, Sarja 2</v>
      </c>
      <c r="F45" s="34">
        <f t="shared" si="11"/>
        <v>91</v>
      </c>
      <c r="G45" s="34" t="str">
        <f t="shared" si="12"/>
        <v>Joonas Ollonqvist</v>
      </c>
      <c r="H45" s="34">
        <f t="shared" si="13"/>
        <v>142</v>
      </c>
      <c r="I45" s="34" t="str">
        <f t="shared" si="14"/>
        <v>GP5, Sarja 1</v>
      </c>
      <c r="K45" s="34">
        <f t="shared" si="1"/>
        <v>217</v>
      </c>
      <c r="L45" s="34" t="str">
        <f>IF(Data!$I44="","",Data!I44)</f>
        <v>Sakari Leinonen</v>
      </c>
      <c r="M45" s="34">
        <f>IF(Data!$I44="","",IF(Data!J44=0,"dns",Data!J44))</f>
        <v>105</v>
      </c>
      <c r="N45" s="34" t="str">
        <f>IF(Data!$I44="","","GP"&amp;Data!$B44&amp;", "&amp;Data!$J$1)</f>
        <v>GP3, Sarja 1</v>
      </c>
      <c r="O45" s="34">
        <f t="shared" si="2"/>
        <v>217</v>
      </c>
      <c r="P45" s="34">
        <f>IF($L45="","",Data!B44)</f>
        <v>3</v>
      </c>
      <c r="Q45" s="34" t="str">
        <f t="shared" si="3"/>
        <v>1</v>
      </c>
      <c r="R45" s="34">
        <f t="shared" si="4"/>
        <v>45</v>
      </c>
      <c r="S45" s="70">
        <f t="shared" si="5"/>
        <v>0.21703104500000001</v>
      </c>
    </row>
    <row r="46" spans="1:19" x14ac:dyDescent="0.25">
      <c r="A46" s="34">
        <f t="shared" si="10"/>
        <v>42</v>
      </c>
      <c r="B46" s="34" t="str">
        <f t="shared" si="6"/>
        <v>Juho Korpi</v>
      </c>
      <c r="C46" s="34">
        <f t="shared" si="7"/>
        <v>161</v>
      </c>
      <c r="D46" s="34" t="str">
        <f t="shared" si="8"/>
        <v>GP5, Sarja 1</v>
      </c>
      <c r="F46" s="34">
        <f t="shared" si="11"/>
        <v>92</v>
      </c>
      <c r="G46" s="34" t="str">
        <f t="shared" si="12"/>
        <v>Juho Korpi</v>
      </c>
      <c r="H46" s="34">
        <f t="shared" si="13"/>
        <v>142</v>
      </c>
      <c r="I46" s="34" t="str">
        <f t="shared" si="14"/>
        <v>GP7, Sarja 2</v>
      </c>
      <c r="K46" s="34">
        <f t="shared" si="1"/>
        <v>111</v>
      </c>
      <c r="L46" s="34" t="str">
        <f>IF(Data!$I45="","",Data!I45)</f>
        <v>Jami Kallio</v>
      </c>
      <c r="M46" s="34">
        <f>IF(Data!$I45="","",IF(Data!J45=0,"dns",Data!J45))</f>
        <v>134</v>
      </c>
      <c r="N46" s="34" t="str">
        <f>IF(Data!$I45="","","GP"&amp;Data!$B45&amp;", "&amp;Data!$J$1)</f>
        <v>GP3, Sarja 1</v>
      </c>
      <c r="O46" s="34">
        <f t="shared" si="2"/>
        <v>111</v>
      </c>
      <c r="P46" s="34">
        <f>IF($L46="","",Data!B45)</f>
        <v>3</v>
      </c>
      <c r="Q46" s="34" t="str">
        <f t="shared" si="3"/>
        <v>1</v>
      </c>
      <c r="R46" s="34">
        <f t="shared" si="4"/>
        <v>46</v>
      </c>
      <c r="S46" s="70">
        <f t="shared" si="5"/>
        <v>0.11103104600000001</v>
      </c>
    </row>
    <row r="47" spans="1:19" x14ac:dyDescent="0.25">
      <c r="A47" s="34">
        <f t="shared" si="10"/>
        <v>43</v>
      </c>
      <c r="B47" s="34" t="str">
        <f t="shared" si="6"/>
        <v>Miika Nordblad</v>
      </c>
      <c r="C47" s="34">
        <f t="shared" si="7"/>
        <v>161</v>
      </c>
      <c r="D47" s="34" t="str">
        <f t="shared" si="8"/>
        <v>GP7, Sarja 2</v>
      </c>
      <c r="F47" s="34">
        <f t="shared" si="11"/>
        <v>93</v>
      </c>
      <c r="G47" s="34" t="str">
        <f t="shared" si="12"/>
        <v>Henri Verho</v>
      </c>
      <c r="H47" s="34">
        <f t="shared" si="13"/>
        <v>142</v>
      </c>
      <c r="I47" s="34" t="str">
        <f t="shared" si="14"/>
        <v>GP8, Sarja 2</v>
      </c>
      <c r="K47" s="34">
        <f t="shared" si="1"/>
        <v>130</v>
      </c>
      <c r="L47" s="34" t="str">
        <f>IF(Data!$I46="","",Data!I46)</f>
        <v>Juho Korpi</v>
      </c>
      <c r="M47" s="34">
        <f>IF(Data!$I46="","",IF(Data!J46=0,"dns",Data!J46))</f>
        <v>130</v>
      </c>
      <c r="N47" s="34" t="str">
        <f>IF(Data!$I46="","","GP"&amp;Data!$B46&amp;", "&amp;Data!$J$1)</f>
        <v>GP3, Sarja 1</v>
      </c>
      <c r="O47" s="34">
        <f t="shared" si="2"/>
        <v>128</v>
      </c>
      <c r="P47" s="34">
        <f>IF($L47="","",Data!B46)</f>
        <v>3</v>
      </c>
      <c r="Q47" s="34" t="str">
        <f t="shared" si="3"/>
        <v>1</v>
      </c>
      <c r="R47" s="34">
        <f t="shared" si="4"/>
        <v>47</v>
      </c>
      <c r="S47" s="70">
        <f t="shared" si="5"/>
        <v>0.12803104700000001</v>
      </c>
    </row>
    <row r="48" spans="1:19" x14ac:dyDescent="0.25">
      <c r="A48" s="34">
        <f t="shared" si="10"/>
        <v>44</v>
      </c>
      <c r="B48" s="34" t="str">
        <f t="shared" si="6"/>
        <v>Miika Nordblad</v>
      </c>
      <c r="C48" s="34">
        <f t="shared" si="7"/>
        <v>161</v>
      </c>
      <c r="D48" s="34" t="str">
        <f t="shared" si="8"/>
        <v>GP8, Sarja 1</v>
      </c>
      <c r="F48" s="34">
        <f t="shared" si="11"/>
        <v>94</v>
      </c>
      <c r="G48" s="34" t="str">
        <f t="shared" si="12"/>
        <v>Kaleva Latvala</v>
      </c>
      <c r="H48" s="34">
        <f t="shared" si="13"/>
        <v>141</v>
      </c>
      <c r="I48" s="34" t="str">
        <f t="shared" si="14"/>
        <v>GP1, Sarja 2</v>
      </c>
      <c r="K48" s="34">
        <f t="shared" si="1"/>
        <v>196</v>
      </c>
      <c r="L48" s="34" t="str">
        <f>IF(Data!$I47="","",Data!I47)</f>
        <v>Kaleva Latvala</v>
      </c>
      <c r="M48" s="34">
        <f>IF(Data!$I47="","",IF(Data!J47=0,"dns",Data!J47))</f>
        <v>114</v>
      </c>
      <c r="N48" s="34" t="str">
        <f>IF(Data!$I47="","","GP"&amp;Data!$B47&amp;", "&amp;Data!$J$1)</f>
        <v>GP3, Sarja 1</v>
      </c>
      <c r="O48" s="34">
        <f t="shared" si="2"/>
        <v>195</v>
      </c>
      <c r="P48" s="34">
        <f>IF($L48="","",Data!B47)</f>
        <v>3</v>
      </c>
      <c r="Q48" s="34" t="str">
        <f t="shared" si="3"/>
        <v>1</v>
      </c>
      <c r="R48" s="34">
        <f t="shared" si="4"/>
        <v>48</v>
      </c>
      <c r="S48" s="70">
        <f t="shared" si="5"/>
        <v>0.19503104800000001</v>
      </c>
    </row>
    <row r="49" spans="1:19" x14ac:dyDescent="0.25">
      <c r="A49" s="34">
        <f t="shared" si="10"/>
        <v>45</v>
      </c>
      <c r="B49" s="34" t="str">
        <f t="shared" si="6"/>
        <v>Ossi Oksa</v>
      </c>
      <c r="C49" s="34">
        <f t="shared" si="7"/>
        <v>161</v>
      </c>
      <c r="D49" s="34" t="str">
        <f t="shared" si="8"/>
        <v>GP9, Sarja 1</v>
      </c>
      <c r="F49" s="34">
        <f t="shared" si="11"/>
        <v>95</v>
      </c>
      <c r="G49" s="34" t="str">
        <f t="shared" si="12"/>
        <v>Mika Sola</v>
      </c>
      <c r="H49" s="34">
        <f t="shared" si="13"/>
        <v>141</v>
      </c>
      <c r="I49" s="34" t="str">
        <f t="shared" si="14"/>
        <v>GP5, Sarja 1</v>
      </c>
      <c r="K49" s="34">
        <f t="shared" si="1"/>
        <v>108</v>
      </c>
      <c r="L49" s="34" t="str">
        <f>IF(Data!$I48="","",Data!I48)</f>
        <v>Miikka Korventausta</v>
      </c>
      <c r="M49" s="34">
        <f>IF(Data!$I48="","",IF(Data!J48=0,"dns",Data!J48))</f>
        <v>136</v>
      </c>
      <c r="N49" s="34" t="str">
        <f>IF(Data!$I48="","","GP"&amp;Data!$B48&amp;", "&amp;Data!$J$1)</f>
        <v>GP3, Sarja 1</v>
      </c>
      <c r="O49" s="34">
        <f t="shared" si="2"/>
        <v>107</v>
      </c>
      <c r="P49" s="34">
        <f>IF($L49="","",Data!B48)</f>
        <v>3</v>
      </c>
      <c r="Q49" s="34" t="str">
        <f t="shared" si="3"/>
        <v>1</v>
      </c>
      <c r="R49" s="34">
        <f t="shared" si="4"/>
        <v>49</v>
      </c>
      <c r="S49" s="70">
        <f t="shared" si="5"/>
        <v>0.107031049</v>
      </c>
    </row>
    <row r="50" spans="1:19" x14ac:dyDescent="0.25">
      <c r="A50" s="34">
        <f t="shared" si="10"/>
        <v>46</v>
      </c>
      <c r="B50" s="34" t="str">
        <f t="shared" si="6"/>
        <v>Olli Kajava</v>
      </c>
      <c r="C50" s="34">
        <f t="shared" si="7"/>
        <v>160</v>
      </c>
      <c r="D50" s="34" t="str">
        <f t="shared" si="8"/>
        <v>GP4, Sarja 1</v>
      </c>
      <c r="F50" s="34">
        <f t="shared" si="11"/>
        <v>96</v>
      </c>
      <c r="G50" s="34" t="str">
        <f t="shared" si="12"/>
        <v>Henri Verho</v>
      </c>
      <c r="H50" s="34">
        <f t="shared" si="13"/>
        <v>140</v>
      </c>
      <c r="I50" s="34" t="str">
        <f t="shared" si="14"/>
        <v>GP3, Sarja 1</v>
      </c>
      <c r="K50" s="34">
        <f t="shared" si="1"/>
        <v>273</v>
      </c>
      <c r="L50" s="34" t="str">
        <f>IF(Data!$I49="","",Data!I49)</f>
        <v>Joonas Ollonqvist</v>
      </c>
      <c r="M50" s="34" t="str">
        <f>IF(Data!$I49="","",IF(Data!J49=0,"dns",Data!J49))</f>
        <v>dns</v>
      </c>
      <c r="N50" s="34" t="str">
        <f>IF(Data!$I49="","","GP"&amp;Data!$B49&amp;", "&amp;Data!$J$1)</f>
        <v>GP3, Sarja 1</v>
      </c>
      <c r="O50" s="34">
        <f t="shared" si="2"/>
        <v>625</v>
      </c>
      <c r="P50" s="34">
        <f>IF($L50="","",Data!B49)</f>
        <v>3</v>
      </c>
      <c r="Q50" s="34" t="str">
        <f t="shared" si="3"/>
        <v>1</v>
      </c>
      <c r="R50" s="34">
        <f t="shared" si="4"/>
        <v>50</v>
      </c>
      <c r="S50" s="70">
        <f t="shared" si="5"/>
        <v>0.62503105000000003</v>
      </c>
    </row>
    <row r="51" spans="1:19" x14ac:dyDescent="0.25">
      <c r="A51" s="34">
        <f t="shared" si="10"/>
        <v>47</v>
      </c>
      <c r="B51" s="34" t="str">
        <f t="shared" si="6"/>
        <v>Ossi Oksa</v>
      </c>
      <c r="C51" s="34">
        <f t="shared" si="7"/>
        <v>160</v>
      </c>
      <c r="D51" s="34" t="str">
        <f t="shared" si="8"/>
        <v>GP7, Sarja 2</v>
      </c>
      <c r="F51" s="34">
        <f t="shared" si="11"/>
        <v>97</v>
      </c>
      <c r="G51" s="34" t="str">
        <f t="shared" si="12"/>
        <v>Olli Kajava</v>
      </c>
      <c r="H51" s="34">
        <f t="shared" si="13"/>
        <v>140</v>
      </c>
      <c r="I51" s="34" t="str">
        <f t="shared" si="14"/>
        <v>GP9, Sarja 1</v>
      </c>
      <c r="K51" s="34">
        <f t="shared" si="1"/>
        <v>274</v>
      </c>
      <c r="L51" s="34" t="str">
        <f>IF(Data!$I50="","",Data!I50)</f>
        <v>Tatu Erlin</v>
      </c>
      <c r="M51" s="34" t="str">
        <f>IF(Data!$I50="","",IF(Data!J50=0,"dns",Data!J50))</f>
        <v>dns</v>
      </c>
      <c r="N51" s="34" t="str">
        <f>IF(Data!$I50="","","GP"&amp;Data!$B50&amp;", "&amp;Data!$J$1)</f>
        <v>GP3, Sarja 1</v>
      </c>
      <c r="O51" s="34">
        <f t="shared" si="2"/>
        <v>625</v>
      </c>
      <c r="P51" s="34">
        <f>IF($L51="","",Data!B50)</f>
        <v>3</v>
      </c>
      <c r="Q51" s="34" t="str">
        <f t="shared" si="3"/>
        <v>1</v>
      </c>
      <c r="R51" s="34">
        <f t="shared" si="4"/>
        <v>51</v>
      </c>
      <c r="S51" s="70">
        <f t="shared" si="5"/>
        <v>0.625031051</v>
      </c>
    </row>
    <row r="52" spans="1:19" x14ac:dyDescent="0.25">
      <c r="A52" s="34">
        <f t="shared" si="10"/>
        <v>48</v>
      </c>
      <c r="B52" s="34" t="str">
        <f t="shared" si="6"/>
        <v>Miika Nordblad</v>
      </c>
      <c r="C52" s="34">
        <f t="shared" si="7"/>
        <v>159</v>
      </c>
      <c r="D52" s="34" t="str">
        <f t="shared" si="8"/>
        <v>GP3, Sarja 2</v>
      </c>
      <c r="F52" s="34">
        <f t="shared" si="11"/>
        <v>98</v>
      </c>
      <c r="G52" s="34" t="str">
        <f t="shared" si="12"/>
        <v>Miika Nordblad</v>
      </c>
      <c r="H52" s="34">
        <f t="shared" si="13"/>
        <v>140</v>
      </c>
      <c r="I52" s="34" t="str">
        <f t="shared" si="14"/>
        <v>GP9, Sarja 2</v>
      </c>
      <c r="K52" s="34">
        <f t="shared" si="1"/>
        <v>275</v>
      </c>
      <c r="L52" s="34" t="str">
        <f>IF(Data!$I51="","",Data!I51)</f>
        <v>Olli Kajava</v>
      </c>
      <c r="M52" s="34" t="str">
        <f>IF(Data!$I51="","",IF(Data!J51=0,"dns",Data!J51))</f>
        <v>dns</v>
      </c>
      <c r="N52" s="34" t="str">
        <f>IF(Data!$I51="","","GP"&amp;Data!$B51&amp;", "&amp;Data!$J$1)</f>
        <v>GP3, Sarja 1</v>
      </c>
      <c r="O52" s="34">
        <f t="shared" si="2"/>
        <v>625</v>
      </c>
      <c r="P52" s="34">
        <f>IF($L52="","",Data!B51)</f>
        <v>3</v>
      </c>
      <c r="Q52" s="34" t="str">
        <f t="shared" si="3"/>
        <v>1</v>
      </c>
      <c r="R52" s="34">
        <f t="shared" si="4"/>
        <v>52</v>
      </c>
      <c r="S52" s="70">
        <f t="shared" si="5"/>
        <v>0.62503105199999998</v>
      </c>
    </row>
    <row r="53" spans="1:19" x14ac:dyDescent="0.25">
      <c r="A53" s="34">
        <f t="shared" si="10"/>
        <v>49</v>
      </c>
      <c r="B53" s="34" t="str">
        <f t="shared" si="6"/>
        <v>Iiro Riikonen</v>
      </c>
      <c r="C53" s="34">
        <f t="shared" si="7"/>
        <v>159</v>
      </c>
      <c r="D53" s="34" t="str">
        <f t="shared" si="8"/>
        <v>GP6, Sarja 2</v>
      </c>
      <c r="F53" s="34">
        <f t="shared" si="11"/>
        <v>99</v>
      </c>
      <c r="G53" s="34" t="str">
        <f t="shared" si="12"/>
        <v>Sakari Leinonen</v>
      </c>
      <c r="H53" s="34">
        <f t="shared" si="13"/>
        <v>139</v>
      </c>
      <c r="I53" s="34" t="str">
        <f t="shared" si="14"/>
        <v>GP2, Sarja 1</v>
      </c>
      <c r="K53" s="34">
        <f t="shared" si="1"/>
        <v>276</v>
      </c>
      <c r="L53" s="34" t="str">
        <f>IF(Data!$I52="","",Data!I52)</f>
        <v>Iiro Riikonen</v>
      </c>
      <c r="M53" s="34" t="str">
        <f>IF(Data!$I52="","",IF(Data!J52=0,"dns",Data!J52))</f>
        <v>dns</v>
      </c>
      <c r="N53" s="34" t="str">
        <f>IF(Data!$I52="","","GP"&amp;Data!$B52&amp;", "&amp;Data!$J$1)</f>
        <v>GP3, Sarja 1</v>
      </c>
      <c r="O53" s="34">
        <f t="shared" si="2"/>
        <v>625</v>
      </c>
      <c r="P53" s="34">
        <f>IF($L53="","",Data!B52)</f>
        <v>3</v>
      </c>
      <c r="Q53" s="34" t="str">
        <f t="shared" si="3"/>
        <v>1</v>
      </c>
      <c r="R53" s="34">
        <f t="shared" si="4"/>
        <v>53</v>
      </c>
      <c r="S53" s="70">
        <f t="shared" si="5"/>
        <v>0.62503105300000006</v>
      </c>
    </row>
    <row r="54" spans="1:19" x14ac:dyDescent="0.25">
      <c r="A54" s="34">
        <f t="shared" si="10"/>
        <v>50</v>
      </c>
      <c r="B54" s="34" t="str">
        <f t="shared" si="6"/>
        <v>Miika Nordblad</v>
      </c>
      <c r="C54" s="34">
        <f t="shared" si="7"/>
        <v>158</v>
      </c>
      <c r="D54" s="34" t="str">
        <f t="shared" si="8"/>
        <v>GP4, Sarja 1</v>
      </c>
      <c r="F54" s="34">
        <f t="shared" si="11"/>
        <v>100</v>
      </c>
      <c r="G54" s="34" t="str">
        <f t="shared" si="12"/>
        <v>Juho Korpi</v>
      </c>
      <c r="H54" s="34">
        <f t="shared" si="13"/>
        <v>139</v>
      </c>
      <c r="I54" s="34" t="str">
        <f t="shared" si="14"/>
        <v>GP2, Sarja 2</v>
      </c>
      <c r="K54" s="34">
        <f t="shared" si="1"/>
        <v>277</v>
      </c>
      <c r="L54" s="34" t="str">
        <f>IF(Data!$I53="","",Data!I53)</f>
        <v>Frans Hartman</v>
      </c>
      <c r="M54" s="34" t="str">
        <f>IF(Data!$I53="","",IF(Data!J53=0,"dns",Data!J53))</f>
        <v>dns</v>
      </c>
      <c r="N54" s="34" t="str">
        <f>IF(Data!$I53="","","GP"&amp;Data!$B53&amp;", "&amp;Data!$J$1)</f>
        <v>GP3, Sarja 1</v>
      </c>
      <c r="O54" s="34">
        <f t="shared" si="2"/>
        <v>625</v>
      </c>
      <c r="P54" s="34">
        <f>IF($L54="","",Data!B53)</f>
        <v>3</v>
      </c>
      <c r="Q54" s="34" t="str">
        <f t="shared" si="3"/>
        <v>1</v>
      </c>
      <c r="R54" s="34">
        <f t="shared" si="4"/>
        <v>54</v>
      </c>
      <c r="S54" s="70">
        <f t="shared" si="5"/>
        <v>0.62503105400000003</v>
      </c>
    </row>
    <row r="55" spans="1:19" x14ac:dyDescent="0.25">
      <c r="A55" s="34">
        <f t="shared" si="10"/>
        <v>51</v>
      </c>
      <c r="B55" s="34" t="str">
        <f t="shared" si="6"/>
        <v>Miika Nordblad</v>
      </c>
      <c r="C55" s="34">
        <f t="shared" si="7"/>
        <v>157</v>
      </c>
      <c r="D55" s="34" t="str">
        <f t="shared" si="8"/>
        <v>GP2, Sarja 1</v>
      </c>
      <c r="K55" s="34">
        <f t="shared" si="1"/>
        <v>278</v>
      </c>
      <c r="L55" s="34" t="str">
        <f>IF(Data!$I54="","",Data!I54)</f>
        <v>Asko Haaksi</v>
      </c>
      <c r="M55" s="34" t="str">
        <f>IF(Data!$I54="","",IF(Data!J54=0,"dns",Data!J54))</f>
        <v>dns</v>
      </c>
      <c r="N55" s="34" t="str">
        <f>IF(Data!$I54="","","GP"&amp;Data!$B54&amp;", "&amp;Data!$J$1)</f>
        <v>GP3, Sarja 1</v>
      </c>
      <c r="O55" s="34">
        <f t="shared" si="2"/>
        <v>625</v>
      </c>
      <c r="P55" s="34">
        <f>IF($L55="","",Data!B54)</f>
        <v>3</v>
      </c>
      <c r="Q55" s="34" t="str">
        <f t="shared" si="3"/>
        <v>1</v>
      </c>
      <c r="R55" s="34">
        <f t="shared" si="4"/>
        <v>55</v>
      </c>
      <c r="S55" s="70">
        <f t="shared" si="5"/>
        <v>0.625031055</v>
      </c>
    </row>
    <row r="56" spans="1:19" x14ac:dyDescent="0.25">
      <c r="A56" s="34">
        <f t="shared" si="10"/>
        <v>52</v>
      </c>
      <c r="B56" s="34" t="str">
        <f t="shared" si="6"/>
        <v>Olli Kajava</v>
      </c>
      <c r="C56" s="34">
        <f t="shared" si="7"/>
        <v>157</v>
      </c>
      <c r="D56" s="34" t="str">
        <f t="shared" si="8"/>
        <v>GP5, Sarja 2</v>
      </c>
      <c r="K56" s="34">
        <f t="shared" si="1"/>
        <v>279</v>
      </c>
      <c r="L56" s="34" t="str">
        <f>IF(Data!$I55="","",Data!I55)</f>
        <v>Roope Warro</v>
      </c>
      <c r="M56" s="34" t="str">
        <f>IF(Data!$I55="","",IF(Data!J55=0,"dns",Data!J55))</f>
        <v>dns</v>
      </c>
      <c r="N56" s="34" t="str">
        <f>IF(Data!$I55="","","GP"&amp;Data!$B55&amp;", "&amp;Data!$J$1)</f>
        <v>GP3, Sarja 1</v>
      </c>
      <c r="O56" s="34">
        <f t="shared" si="2"/>
        <v>625</v>
      </c>
      <c r="P56" s="34">
        <f>IF($L56="","",Data!B55)</f>
        <v>3</v>
      </c>
      <c r="Q56" s="34" t="str">
        <f t="shared" si="3"/>
        <v>1</v>
      </c>
      <c r="R56" s="34">
        <f t="shared" si="4"/>
        <v>56</v>
      </c>
      <c r="S56" s="70">
        <f t="shared" si="5"/>
        <v>0.62503105599999997</v>
      </c>
    </row>
    <row r="57" spans="1:19" x14ac:dyDescent="0.25">
      <c r="A57" s="34">
        <f t="shared" si="10"/>
        <v>53</v>
      </c>
      <c r="B57" s="34" t="str">
        <f t="shared" si="6"/>
        <v>Jami Kallio</v>
      </c>
      <c r="C57" s="34">
        <f t="shared" si="7"/>
        <v>157</v>
      </c>
      <c r="D57" s="34" t="str">
        <f t="shared" si="8"/>
        <v>GP7, Sarja 2</v>
      </c>
      <c r="K57" s="34">
        <f t="shared" si="1"/>
        <v>16</v>
      </c>
      <c r="L57" s="34" t="str">
        <f>IF(Data!$I56="","",Data!I56)</f>
        <v>Niko Reunanen</v>
      </c>
      <c r="M57" s="34">
        <f>IF(Data!$I56="","",IF(Data!J56=0,"dns",Data!J56))</f>
        <v>178</v>
      </c>
      <c r="N57" s="34" t="str">
        <f>IF(Data!$I56="","","GP"&amp;Data!$B56&amp;", "&amp;Data!$J$1)</f>
        <v>GP4, Sarja 1</v>
      </c>
      <c r="O57" s="34">
        <f t="shared" si="2"/>
        <v>15</v>
      </c>
      <c r="P57" s="34">
        <f>IF($L57="","",Data!B56)</f>
        <v>4</v>
      </c>
      <c r="Q57" s="34" t="str">
        <f t="shared" si="3"/>
        <v>1</v>
      </c>
      <c r="R57" s="34">
        <f t="shared" si="4"/>
        <v>57</v>
      </c>
      <c r="S57" s="70">
        <f t="shared" si="5"/>
        <v>1.5041056999999998E-2</v>
      </c>
    </row>
    <row r="58" spans="1:19" x14ac:dyDescent="0.25">
      <c r="A58" s="34">
        <f t="shared" si="10"/>
        <v>54</v>
      </c>
      <c r="B58" s="34" t="str">
        <f t="shared" si="6"/>
        <v>Jami Kallio</v>
      </c>
      <c r="C58" s="34">
        <f t="shared" si="7"/>
        <v>156</v>
      </c>
      <c r="D58" s="34" t="str">
        <f t="shared" si="8"/>
        <v>GP2, Sarja 1</v>
      </c>
      <c r="K58" s="34">
        <f t="shared" si="1"/>
        <v>229</v>
      </c>
      <c r="L58" s="34" t="str">
        <f>IF(Data!$I57="","",Data!I57)</f>
        <v>Roope Warro</v>
      </c>
      <c r="M58" s="34">
        <f>IF(Data!$I57="","",IF(Data!J57=0,"dns",Data!J57))</f>
        <v>102</v>
      </c>
      <c r="N58" s="34" t="str">
        <f>IF(Data!$I57="","","GP"&amp;Data!$B57&amp;", "&amp;Data!$J$1)</f>
        <v>GP4, Sarja 1</v>
      </c>
      <c r="O58" s="34">
        <f t="shared" si="2"/>
        <v>226</v>
      </c>
      <c r="P58" s="34">
        <f>IF($L58="","",Data!B57)</f>
        <v>4</v>
      </c>
      <c r="Q58" s="34" t="str">
        <f t="shared" si="3"/>
        <v>1</v>
      </c>
      <c r="R58" s="34">
        <f t="shared" si="4"/>
        <v>58</v>
      </c>
      <c r="S58" s="70">
        <f t="shared" si="5"/>
        <v>0.22604105800000002</v>
      </c>
    </row>
    <row r="59" spans="1:19" x14ac:dyDescent="0.25">
      <c r="A59" s="34">
        <f t="shared" si="10"/>
        <v>55</v>
      </c>
      <c r="B59" s="34" t="str">
        <f t="shared" si="6"/>
        <v>Ossi Oksa</v>
      </c>
      <c r="C59" s="34">
        <f t="shared" si="7"/>
        <v>156</v>
      </c>
      <c r="D59" s="34" t="str">
        <f t="shared" si="8"/>
        <v>GP5, Sarja 1</v>
      </c>
      <c r="K59" s="34">
        <f t="shared" si="1"/>
        <v>87</v>
      </c>
      <c r="L59" s="34" t="str">
        <f>IF(Data!$I58="","",Data!I58)</f>
        <v>Miikka Korventausta</v>
      </c>
      <c r="M59" s="34">
        <f>IF(Data!$I58="","",IF(Data!J58=0,"dns",Data!J58))</f>
        <v>144</v>
      </c>
      <c r="N59" s="34" t="str">
        <f>IF(Data!$I58="","","GP"&amp;Data!$B58&amp;", "&amp;Data!$J$1)</f>
        <v>GP4, Sarja 1</v>
      </c>
      <c r="O59" s="34">
        <f t="shared" si="2"/>
        <v>87</v>
      </c>
      <c r="P59" s="34">
        <f>IF($L59="","",Data!B58)</f>
        <v>4</v>
      </c>
      <c r="Q59" s="34" t="str">
        <f t="shared" si="3"/>
        <v>1</v>
      </c>
      <c r="R59" s="34">
        <f t="shared" si="4"/>
        <v>59</v>
      </c>
      <c r="S59" s="70">
        <f t="shared" si="5"/>
        <v>8.704105899999999E-2</v>
      </c>
    </row>
    <row r="60" spans="1:19" x14ac:dyDescent="0.25">
      <c r="A60" s="34">
        <f t="shared" si="10"/>
        <v>56</v>
      </c>
      <c r="B60" s="34" t="str">
        <f t="shared" si="6"/>
        <v>Henri Verho</v>
      </c>
      <c r="C60" s="34">
        <f t="shared" si="7"/>
        <v>156</v>
      </c>
      <c r="D60" s="34" t="str">
        <f t="shared" si="8"/>
        <v>GP7, Sarja 2</v>
      </c>
      <c r="K60" s="34">
        <f t="shared" si="1"/>
        <v>236</v>
      </c>
      <c r="L60" s="34" t="str">
        <f>IF(Data!$I59="","",Data!I59)</f>
        <v>Joonas Ollonqvist</v>
      </c>
      <c r="M60" s="34">
        <f>IF(Data!$I59="","",IF(Data!J59=0,"dns",Data!J59))</f>
        <v>95</v>
      </c>
      <c r="N60" s="34" t="str">
        <f>IF(Data!$I59="","","GP"&amp;Data!$B59&amp;", "&amp;Data!$J$1)</f>
        <v>GP4, Sarja 1</v>
      </c>
      <c r="O60" s="34">
        <f t="shared" si="2"/>
        <v>236</v>
      </c>
      <c r="P60" s="34">
        <f>IF($L60="","",Data!B59)</f>
        <v>4</v>
      </c>
      <c r="Q60" s="34" t="str">
        <f t="shared" si="3"/>
        <v>1</v>
      </c>
      <c r="R60" s="34">
        <f t="shared" si="4"/>
        <v>60</v>
      </c>
      <c r="S60" s="70">
        <f t="shared" si="5"/>
        <v>0.23604106</v>
      </c>
    </row>
    <row r="61" spans="1:19" x14ac:dyDescent="0.25">
      <c r="A61" s="34">
        <f t="shared" si="10"/>
        <v>57</v>
      </c>
      <c r="B61" s="34" t="str">
        <f t="shared" si="6"/>
        <v>Roope Warro</v>
      </c>
      <c r="C61" s="34">
        <f t="shared" si="7"/>
        <v>156</v>
      </c>
      <c r="D61" s="34" t="str">
        <f t="shared" si="8"/>
        <v>GP8, Sarja 1</v>
      </c>
      <c r="K61" s="34">
        <f t="shared" si="1"/>
        <v>73</v>
      </c>
      <c r="L61" s="34" t="str">
        <f>IF(Data!$I60="","",Data!I60)</f>
        <v>Iiro Riikonen</v>
      </c>
      <c r="M61" s="34">
        <f>IF(Data!$I60="","",IF(Data!J60=0,"dns",Data!J60))</f>
        <v>148</v>
      </c>
      <c r="N61" s="34" t="str">
        <f>IF(Data!$I60="","","GP"&amp;Data!$B60&amp;", "&amp;Data!$J$1)</f>
        <v>GP4, Sarja 1</v>
      </c>
      <c r="O61" s="34">
        <f t="shared" si="2"/>
        <v>71</v>
      </c>
      <c r="P61" s="34">
        <f>IF($L61="","",Data!B60)</f>
        <v>4</v>
      </c>
      <c r="Q61" s="34" t="str">
        <f t="shared" si="3"/>
        <v>1</v>
      </c>
      <c r="R61" s="34">
        <f t="shared" si="4"/>
        <v>61</v>
      </c>
      <c r="S61" s="70">
        <f t="shared" si="5"/>
        <v>7.1041060999999989E-2</v>
      </c>
    </row>
    <row r="62" spans="1:19" x14ac:dyDescent="0.25">
      <c r="A62" s="34">
        <f t="shared" si="10"/>
        <v>58</v>
      </c>
      <c r="B62" s="34" t="str">
        <f t="shared" si="6"/>
        <v>Joonas Ollonqvist</v>
      </c>
      <c r="C62" s="34">
        <f t="shared" si="7"/>
        <v>156</v>
      </c>
      <c r="D62" s="34" t="str">
        <f t="shared" si="8"/>
        <v>GP8, Sarja 2</v>
      </c>
      <c r="K62" s="34">
        <f t="shared" si="1"/>
        <v>208</v>
      </c>
      <c r="L62" s="34" t="str">
        <f>IF(Data!$I61="","",Data!I61)</f>
        <v>Juho Korpi</v>
      </c>
      <c r="M62" s="34">
        <f>IF(Data!$I61="","",IF(Data!J61=0,"dns",Data!J61))</f>
        <v>109</v>
      </c>
      <c r="N62" s="34" t="str">
        <f>IF(Data!$I61="","","GP"&amp;Data!$B61&amp;", "&amp;Data!$J$1)</f>
        <v>GP4, Sarja 1</v>
      </c>
      <c r="O62" s="34">
        <f t="shared" si="2"/>
        <v>208</v>
      </c>
      <c r="P62" s="34">
        <f>IF($L62="","",Data!B61)</f>
        <v>4</v>
      </c>
      <c r="Q62" s="34" t="str">
        <f t="shared" si="3"/>
        <v>1</v>
      </c>
      <c r="R62" s="34">
        <f t="shared" si="4"/>
        <v>62</v>
      </c>
      <c r="S62" s="70">
        <f t="shared" si="5"/>
        <v>0.208041062</v>
      </c>
    </row>
    <row r="63" spans="1:19" x14ac:dyDescent="0.25">
      <c r="A63" s="34">
        <f t="shared" si="10"/>
        <v>59</v>
      </c>
      <c r="B63" s="34" t="str">
        <f t="shared" si="6"/>
        <v>Niko Reunanen</v>
      </c>
      <c r="C63" s="34">
        <f t="shared" si="7"/>
        <v>155</v>
      </c>
      <c r="D63" s="34" t="str">
        <f t="shared" si="8"/>
        <v>GP4, Sarja 2</v>
      </c>
      <c r="K63" s="34">
        <f t="shared" si="1"/>
        <v>88</v>
      </c>
      <c r="L63" s="34" t="str">
        <f>IF(Data!$I62="","",Data!I62)</f>
        <v>Asko Haaksi</v>
      </c>
      <c r="M63" s="34">
        <f>IF(Data!$I62="","",IF(Data!J62=0,"dns",Data!J62))</f>
        <v>144</v>
      </c>
      <c r="N63" s="34" t="str">
        <f>IF(Data!$I62="","","GP"&amp;Data!$B62&amp;", "&amp;Data!$J$1)</f>
        <v>GP4, Sarja 1</v>
      </c>
      <c r="O63" s="34">
        <f t="shared" si="2"/>
        <v>87</v>
      </c>
      <c r="P63" s="34">
        <f>IF($L63="","",Data!B62)</f>
        <v>4</v>
      </c>
      <c r="Q63" s="34" t="str">
        <f t="shared" si="3"/>
        <v>1</v>
      </c>
      <c r="R63" s="34">
        <f t="shared" si="4"/>
        <v>63</v>
      </c>
      <c r="S63" s="70">
        <f t="shared" si="5"/>
        <v>8.7041062999999988E-2</v>
      </c>
    </row>
    <row r="64" spans="1:19" x14ac:dyDescent="0.25">
      <c r="A64" s="34">
        <f t="shared" si="10"/>
        <v>60</v>
      </c>
      <c r="B64" s="34" t="str">
        <f t="shared" si="6"/>
        <v>Jami Kallio</v>
      </c>
      <c r="C64" s="34">
        <f t="shared" si="7"/>
        <v>155</v>
      </c>
      <c r="D64" s="34" t="str">
        <f t="shared" si="8"/>
        <v>GP7, Sarja 1</v>
      </c>
      <c r="K64" s="34">
        <f t="shared" si="1"/>
        <v>28</v>
      </c>
      <c r="L64" s="34" t="str">
        <f>IF(Data!$I63="","",Data!I63)</f>
        <v>Henri Verho</v>
      </c>
      <c r="M64" s="34">
        <f>IF(Data!$I63="","",IF(Data!J63=0,"dns",Data!J63))</f>
        <v>169</v>
      </c>
      <c r="N64" s="34" t="str">
        <f>IF(Data!$I63="","","GP"&amp;Data!$B63&amp;", "&amp;Data!$J$1)</f>
        <v>GP4, Sarja 1</v>
      </c>
      <c r="O64" s="34">
        <f t="shared" si="2"/>
        <v>28</v>
      </c>
      <c r="P64" s="34">
        <f>IF($L64="","",Data!B63)</f>
        <v>4</v>
      </c>
      <c r="Q64" s="34" t="str">
        <f t="shared" si="3"/>
        <v>1</v>
      </c>
      <c r="R64" s="34">
        <f t="shared" si="4"/>
        <v>64</v>
      </c>
      <c r="S64" s="70">
        <f t="shared" si="5"/>
        <v>2.8041064000000001E-2</v>
      </c>
    </row>
    <row r="65" spans="1:19" x14ac:dyDescent="0.25">
      <c r="A65" s="34">
        <f t="shared" si="10"/>
        <v>61</v>
      </c>
      <c r="B65" s="34" t="str">
        <f t="shared" si="6"/>
        <v>Niko Reunanen</v>
      </c>
      <c r="C65" s="34">
        <f t="shared" si="7"/>
        <v>155</v>
      </c>
      <c r="D65" s="34" t="str">
        <f t="shared" si="8"/>
        <v>GP7, Sarja 1</v>
      </c>
      <c r="K65" s="34">
        <f t="shared" si="1"/>
        <v>36</v>
      </c>
      <c r="L65" s="34" t="str">
        <f>IF(Data!$I64="","",Data!I64)</f>
        <v>Kaleva Latvala</v>
      </c>
      <c r="M65" s="34">
        <f>IF(Data!$I64="","",IF(Data!J64=0,"dns",Data!J64))</f>
        <v>164</v>
      </c>
      <c r="N65" s="34" t="str">
        <f>IF(Data!$I64="","","GP"&amp;Data!$B64&amp;", "&amp;Data!$J$1)</f>
        <v>GP4, Sarja 1</v>
      </c>
      <c r="O65" s="34">
        <f t="shared" si="2"/>
        <v>36</v>
      </c>
      <c r="P65" s="34">
        <f>IF($L65="","",Data!B64)</f>
        <v>4</v>
      </c>
      <c r="Q65" s="34" t="str">
        <f t="shared" si="3"/>
        <v>1</v>
      </c>
      <c r="R65" s="34">
        <f t="shared" si="4"/>
        <v>65</v>
      </c>
      <c r="S65" s="70">
        <f t="shared" si="5"/>
        <v>3.6041064999999997E-2</v>
      </c>
    </row>
    <row r="66" spans="1:19" x14ac:dyDescent="0.25">
      <c r="A66" s="34">
        <f t="shared" si="10"/>
        <v>62</v>
      </c>
      <c r="B66" s="34" t="str">
        <f t="shared" si="6"/>
        <v>Asko Haaksi</v>
      </c>
      <c r="C66" s="34">
        <f t="shared" si="7"/>
        <v>155</v>
      </c>
      <c r="D66" s="34" t="str">
        <f t="shared" si="8"/>
        <v>GP7, Sarja 2</v>
      </c>
      <c r="K66" s="34">
        <f t="shared" si="1"/>
        <v>4</v>
      </c>
      <c r="L66" s="34" t="str">
        <f>IF(Data!$I65="","",Data!I65)</f>
        <v>Jami Kallio</v>
      </c>
      <c r="M66" s="34">
        <f>IF(Data!$I65="","",IF(Data!J65=0,"dns",Data!J65))</f>
        <v>196</v>
      </c>
      <c r="N66" s="34" t="str">
        <f>IF(Data!$I65="","","GP"&amp;Data!$B65&amp;", "&amp;Data!$J$1)</f>
        <v>GP4, Sarja 1</v>
      </c>
      <c r="O66" s="34">
        <f t="shared" si="2"/>
        <v>4</v>
      </c>
      <c r="P66" s="34">
        <f>IF($L66="","",Data!B65)</f>
        <v>4</v>
      </c>
      <c r="Q66" s="34" t="str">
        <f t="shared" si="3"/>
        <v>1</v>
      </c>
      <c r="R66" s="34">
        <f t="shared" si="4"/>
        <v>66</v>
      </c>
      <c r="S66" s="70">
        <f t="shared" si="5"/>
        <v>4.0410660000000003E-3</v>
      </c>
    </row>
    <row r="67" spans="1:19" x14ac:dyDescent="0.25">
      <c r="A67" s="34">
        <f t="shared" si="10"/>
        <v>63</v>
      </c>
      <c r="B67" s="34" t="str">
        <f t="shared" si="6"/>
        <v>Sakari Leinonen</v>
      </c>
      <c r="C67" s="34">
        <f t="shared" si="7"/>
        <v>153</v>
      </c>
      <c r="D67" s="34" t="str">
        <f t="shared" si="8"/>
        <v>GP5, Sarja 1</v>
      </c>
      <c r="K67" s="34">
        <f t="shared" si="1"/>
        <v>50</v>
      </c>
      <c r="L67" s="34" t="str">
        <f>IF(Data!$I66="","",Data!I66)</f>
        <v>Miika Nordblad</v>
      </c>
      <c r="M67" s="34">
        <f>IF(Data!$I66="","",IF(Data!J66=0,"dns",Data!J66))</f>
        <v>158</v>
      </c>
      <c r="N67" s="34" t="str">
        <f>IF(Data!$I66="","","GP"&amp;Data!$B66&amp;", "&amp;Data!$J$1)</f>
        <v>GP4, Sarja 1</v>
      </c>
      <c r="O67" s="34">
        <f t="shared" si="2"/>
        <v>50</v>
      </c>
      <c r="P67" s="34">
        <f>IF($L67="","",Data!B66)</f>
        <v>4</v>
      </c>
      <c r="Q67" s="34" t="str">
        <f t="shared" si="3"/>
        <v>1</v>
      </c>
      <c r="R67" s="34">
        <f t="shared" si="4"/>
        <v>67</v>
      </c>
      <c r="S67" s="70">
        <f t="shared" si="5"/>
        <v>5.0041067000000002E-2</v>
      </c>
    </row>
    <row r="68" spans="1:19" x14ac:dyDescent="0.25">
      <c r="A68" s="34">
        <f t="shared" si="10"/>
        <v>64</v>
      </c>
      <c r="B68" s="34" t="str">
        <f t="shared" si="6"/>
        <v>Miikka Korventausta</v>
      </c>
      <c r="C68" s="34">
        <f t="shared" si="7"/>
        <v>153</v>
      </c>
      <c r="D68" s="34" t="str">
        <f t="shared" si="8"/>
        <v>GP7, Sarja 2</v>
      </c>
      <c r="K68" s="34">
        <f t="shared" ref="K68:K131" si="15">IF($L68="","",_xlfn.RANK.EQ($S68,$S$3:$S$626,1))</f>
        <v>248</v>
      </c>
      <c r="L68" s="34" t="str">
        <f>IF(Data!$I67="","",Data!I67)</f>
        <v>Mikko Mansikkamäki</v>
      </c>
      <c r="M68" s="34">
        <f>IF(Data!$I67="","",IF(Data!J67=0,"dns",Data!J67))</f>
        <v>76</v>
      </c>
      <c r="N68" s="34" t="str">
        <f>IF(Data!$I67="","","GP"&amp;Data!$B67&amp;", "&amp;Data!$J$1)</f>
        <v>GP4, Sarja 1</v>
      </c>
      <c r="O68" s="34">
        <f t="shared" ref="O68:O131" si="16">IF(L68="","",IFERROR(_xlfn.RANK.EQ($M68,$M$3:$M$626,0),COUNTA($L$3:$L$626)+1))</f>
        <v>248</v>
      </c>
      <c r="P68" s="34">
        <f>IF($L68="","",Data!B67)</f>
        <v>4</v>
      </c>
      <c r="Q68" s="34" t="str">
        <f t="shared" ref="Q68:Q131" si="17">IF($L68="","",RIGHT(N68,1))</f>
        <v>1</v>
      </c>
      <c r="R68" s="34">
        <f t="shared" ref="R68:R131" si="18">IF($L68="","",ROW())</f>
        <v>68</v>
      </c>
      <c r="S68" s="70">
        <f t="shared" ref="S68:S131" si="19">IF($L68="","",O68/1000+P68/100000+Q68/1000000+R68/1000000000)</f>
        <v>0.248041068</v>
      </c>
    </row>
    <row r="69" spans="1:19" x14ac:dyDescent="0.25">
      <c r="A69" s="34">
        <f t="shared" si="10"/>
        <v>65</v>
      </c>
      <c r="B69" s="34" t="str">
        <f t="shared" ref="B69:B132" si="20">IF($A69="","",VLOOKUP($A69,$K$3:$N$626,L$1,0))</f>
        <v>Henri Verho</v>
      </c>
      <c r="C69" s="34">
        <f t="shared" ref="C69:C132" si="21">IF($A69="","",VLOOKUP($A69,$K$3:$N$626,M$1,0))</f>
        <v>151</v>
      </c>
      <c r="D69" s="34" t="str">
        <f t="shared" ref="D69:D132" si="22">IF($A69="","",VLOOKUP($A69,$K$3:$N$626,N$1,0))</f>
        <v>GP4, Sarja 2</v>
      </c>
      <c r="K69" s="34">
        <f t="shared" si="15"/>
        <v>46</v>
      </c>
      <c r="L69" s="34" t="str">
        <f>IF(Data!$I68="","",Data!I68)</f>
        <v>Olli Kajava</v>
      </c>
      <c r="M69" s="34">
        <f>IF(Data!$I68="","",IF(Data!J68=0,"dns",Data!J68))</f>
        <v>160</v>
      </c>
      <c r="N69" s="34" t="str">
        <f>IF(Data!$I68="","","GP"&amp;Data!$B68&amp;", "&amp;Data!$J$1)</f>
        <v>GP4, Sarja 1</v>
      </c>
      <c r="O69" s="34">
        <f t="shared" si="16"/>
        <v>46</v>
      </c>
      <c r="P69" s="34">
        <f>IF($L69="","",Data!B68)</f>
        <v>4</v>
      </c>
      <c r="Q69" s="34" t="str">
        <f t="shared" si="17"/>
        <v>1</v>
      </c>
      <c r="R69" s="34">
        <f t="shared" si="18"/>
        <v>69</v>
      </c>
      <c r="S69" s="70">
        <f t="shared" si="19"/>
        <v>4.6041068999999997E-2</v>
      </c>
    </row>
    <row r="70" spans="1:19" x14ac:dyDescent="0.25">
      <c r="A70" s="34">
        <f t="shared" ref="A70:A133" si="23">IFERROR(IF(A69+1&gt;MAX($K$3:$K$626),"",A69+1),"")</f>
        <v>66</v>
      </c>
      <c r="B70" s="34" t="str">
        <f t="shared" si="20"/>
        <v>Henri Verho</v>
      </c>
      <c r="C70" s="34">
        <f t="shared" si="21"/>
        <v>151</v>
      </c>
      <c r="D70" s="34" t="str">
        <f t="shared" si="22"/>
        <v>GP6, Sarja 1</v>
      </c>
      <c r="K70" s="34">
        <f t="shared" si="15"/>
        <v>186</v>
      </c>
      <c r="L70" s="34" t="str">
        <f>IF(Data!$I69="","",Data!I69)</f>
        <v>Mika Sola</v>
      </c>
      <c r="M70" s="34">
        <f>IF(Data!$I69="","",IF(Data!J69=0,"dns",Data!J69))</f>
        <v>118</v>
      </c>
      <c r="N70" s="34" t="str">
        <f>IF(Data!$I69="","","GP"&amp;Data!$B69&amp;", "&amp;Data!$J$1)</f>
        <v>GP4, Sarja 1</v>
      </c>
      <c r="O70" s="34">
        <f t="shared" si="16"/>
        <v>184</v>
      </c>
      <c r="P70" s="34">
        <f>IF($L70="","",Data!B69)</f>
        <v>4</v>
      </c>
      <c r="Q70" s="34" t="str">
        <f t="shared" si="17"/>
        <v>1</v>
      </c>
      <c r="R70" s="34">
        <f t="shared" si="18"/>
        <v>70</v>
      </c>
      <c r="S70" s="70">
        <f t="shared" si="19"/>
        <v>0.18404107</v>
      </c>
    </row>
    <row r="71" spans="1:19" x14ac:dyDescent="0.25">
      <c r="A71" s="34">
        <f t="shared" si="23"/>
        <v>67</v>
      </c>
      <c r="B71" s="34" t="str">
        <f t="shared" si="20"/>
        <v>Roope Warro</v>
      </c>
      <c r="C71" s="34">
        <f t="shared" si="21"/>
        <v>151</v>
      </c>
      <c r="D71" s="34" t="str">
        <f t="shared" si="22"/>
        <v>GP8, Sarja 2</v>
      </c>
      <c r="K71" s="34">
        <f t="shared" si="15"/>
        <v>287</v>
      </c>
      <c r="L71" s="34" t="str">
        <f>IF(Data!$I70="","",Data!I70)</f>
        <v>Ossi Oksa</v>
      </c>
      <c r="M71" s="34" t="str">
        <f>IF(Data!$I70="","",IF(Data!J70=0,"dns",Data!J70))</f>
        <v>dns</v>
      </c>
      <c r="N71" s="34" t="str">
        <f>IF(Data!$I70="","","GP"&amp;Data!$B70&amp;", "&amp;Data!$J$1)</f>
        <v>GP4, Sarja 1</v>
      </c>
      <c r="O71" s="34">
        <f t="shared" si="16"/>
        <v>625</v>
      </c>
      <c r="P71" s="34">
        <f>IF($L71="","",Data!B70)</f>
        <v>4</v>
      </c>
      <c r="Q71" s="34" t="str">
        <f t="shared" si="17"/>
        <v>1</v>
      </c>
      <c r="R71" s="34">
        <f t="shared" si="18"/>
        <v>71</v>
      </c>
      <c r="S71" s="70">
        <f t="shared" si="19"/>
        <v>0.62504107100000006</v>
      </c>
    </row>
    <row r="72" spans="1:19" x14ac:dyDescent="0.25">
      <c r="A72" s="34">
        <f t="shared" si="23"/>
        <v>68</v>
      </c>
      <c r="B72" s="34" t="str">
        <f t="shared" si="20"/>
        <v>Miika Nordblad</v>
      </c>
      <c r="C72" s="34">
        <f t="shared" si="21"/>
        <v>150</v>
      </c>
      <c r="D72" s="34" t="str">
        <f t="shared" si="22"/>
        <v>GP9, Sarja 1</v>
      </c>
      <c r="K72" s="34">
        <f t="shared" si="15"/>
        <v>288</v>
      </c>
      <c r="L72" s="34" t="str">
        <f>IF(Data!$I71="","",Data!I71)</f>
        <v>Sakari Leinonen</v>
      </c>
      <c r="M72" s="34" t="str">
        <f>IF(Data!$I71="","",IF(Data!J71=0,"dns",Data!J71))</f>
        <v>dns</v>
      </c>
      <c r="N72" s="34" t="str">
        <f>IF(Data!$I71="","","GP"&amp;Data!$B71&amp;", "&amp;Data!$J$1)</f>
        <v>GP4, Sarja 1</v>
      </c>
      <c r="O72" s="34">
        <f t="shared" si="16"/>
        <v>625</v>
      </c>
      <c r="P72" s="34">
        <f>IF($L72="","",Data!B71)</f>
        <v>4</v>
      </c>
      <c r="Q72" s="34" t="str">
        <f t="shared" si="17"/>
        <v>1</v>
      </c>
      <c r="R72" s="34">
        <f t="shared" si="18"/>
        <v>72</v>
      </c>
      <c r="S72" s="70">
        <f t="shared" si="19"/>
        <v>0.62504107200000003</v>
      </c>
    </row>
    <row r="73" spans="1:19" x14ac:dyDescent="0.25">
      <c r="A73" s="34">
        <f t="shared" si="23"/>
        <v>69</v>
      </c>
      <c r="B73" s="34" t="str">
        <f t="shared" si="20"/>
        <v>Miika Nordblad</v>
      </c>
      <c r="C73" s="34">
        <f t="shared" si="21"/>
        <v>149</v>
      </c>
      <c r="D73" s="34" t="str">
        <f t="shared" si="22"/>
        <v>GP5, Sarja 2</v>
      </c>
      <c r="K73" s="34">
        <f t="shared" si="15"/>
        <v>289</v>
      </c>
      <c r="L73" s="34" t="str">
        <f>IF(Data!$I72="","",Data!I72)</f>
        <v>Tatu Erlin</v>
      </c>
      <c r="M73" s="34" t="str">
        <f>IF(Data!$I72="","",IF(Data!J72=0,"dns",Data!J72))</f>
        <v>dns</v>
      </c>
      <c r="N73" s="34" t="str">
        <f>IF(Data!$I72="","","GP"&amp;Data!$B72&amp;", "&amp;Data!$J$1)</f>
        <v>GP4, Sarja 1</v>
      </c>
      <c r="O73" s="34">
        <f t="shared" si="16"/>
        <v>625</v>
      </c>
      <c r="P73" s="34">
        <f>IF($L73="","",Data!B72)</f>
        <v>4</v>
      </c>
      <c r="Q73" s="34" t="str">
        <f t="shared" si="17"/>
        <v>1</v>
      </c>
      <c r="R73" s="34">
        <f t="shared" si="18"/>
        <v>73</v>
      </c>
      <c r="S73" s="70">
        <f t="shared" si="19"/>
        <v>0.62504107300000011</v>
      </c>
    </row>
    <row r="74" spans="1:19" x14ac:dyDescent="0.25">
      <c r="A74" s="34">
        <f t="shared" si="23"/>
        <v>70</v>
      </c>
      <c r="B74" s="34" t="str">
        <f t="shared" si="20"/>
        <v>Jami Kallio</v>
      </c>
      <c r="C74" s="34">
        <f t="shared" si="21"/>
        <v>149</v>
      </c>
      <c r="D74" s="34" t="str">
        <f t="shared" si="22"/>
        <v>GP6, Sarja 2</v>
      </c>
      <c r="K74" s="34">
        <f t="shared" si="15"/>
        <v>290</v>
      </c>
      <c r="L74" s="34" t="str">
        <f>IF(Data!$I73="","",Data!I73)</f>
        <v>Frans Hartman</v>
      </c>
      <c r="M74" s="34" t="str">
        <f>IF(Data!$I73="","",IF(Data!J73=0,"dns",Data!J73))</f>
        <v>dns</v>
      </c>
      <c r="N74" s="34" t="str">
        <f>IF(Data!$I73="","","GP"&amp;Data!$B73&amp;", "&amp;Data!$J$1)</f>
        <v>GP4, Sarja 1</v>
      </c>
      <c r="O74" s="34">
        <f t="shared" si="16"/>
        <v>625</v>
      </c>
      <c r="P74" s="34">
        <f>IF($L74="","",Data!B73)</f>
        <v>4</v>
      </c>
      <c r="Q74" s="34" t="str">
        <f t="shared" si="17"/>
        <v>1</v>
      </c>
      <c r="R74" s="34">
        <f t="shared" si="18"/>
        <v>74</v>
      </c>
      <c r="S74" s="70">
        <f t="shared" si="19"/>
        <v>0.62504107400000009</v>
      </c>
    </row>
    <row r="75" spans="1:19" x14ac:dyDescent="0.25">
      <c r="A75" s="34">
        <f t="shared" si="23"/>
        <v>71</v>
      </c>
      <c r="B75" s="34" t="str">
        <f t="shared" si="20"/>
        <v>Niko Reunanen</v>
      </c>
      <c r="C75" s="34">
        <f t="shared" si="21"/>
        <v>148</v>
      </c>
      <c r="D75" s="34" t="str">
        <f t="shared" si="22"/>
        <v>GP3, Sarja 1</v>
      </c>
      <c r="K75" s="34">
        <f t="shared" si="15"/>
        <v>176</v>
      </c>
      <c r="L75" s="34" t="str">
        <f>IF(Data!$I74="","",Data!I74)</f>
        <v>Asko Haaksi</v>
      </c>
      <c r="M75" s="34">
        <f>IF(Data!$I74="","",IF(Data!J74=0,"dns",Data!J74))</f>
        <v>120</v>
      </c>
      <c r="N75" s="34" t="str">
        <f>IF(Data!$I74="","","GP"&amp;Data!$B74&amp;", "&amp;Data!$J$1)</f>
        <v>GP5, Sarja 1</v>
      </c>
      <c r="O75" s="34">
        <f t="shared" si="16"/>
        <v>174</v>
      </c>
      <c r="P75" s="34">
        <f>IF($L75="","",Data!B74)</f>
        <v>5</v>
      </c>
      <c r="Q75" s="34" t="str">
        <f t="shared" si="17"/>
        <v>1</v>
      </c>
      <c r="R75" s="34">
        <f t="shared" si="18"/>
        <v>75</v>
      </c>
      <c r="S75" s="70">
        <f t="shared" si="19"/>
        <v>0.17405107499999997</v>
      </c>
    </row>
    <row r="76" spans="1:19" x14ac:dyDescent="0.25">
      <c r="A76" s="34">
        <f t="shared" si="23"/>
        <v>72</v>
      </c>
      <c r="B76" s="34" t="str">
        <f t="shared" si="20"/>
        <v>Jami Kallio</v>
      </c>
      <c r="C76" s="34">
        <f t="shared" si="21"/>
        <v>148</v>
      </c>
      <c r="D76" s="34" t="str">
        <f t="shared" si="22"/>
        <v>GP3, Sarja 2</v>
      </c>
      <c r="K76" s="34">
        <f t="shared" si="15"/>
        <v>42</v>
      </c>
      <c r="L76" s="34" t="str">
        <f>IF(Data!$I75="","",Data!I75)</f>
        <v>Juho Korpi</v>
      </c>
      <c r="M76" s="34">
        <f>IF(Data!$I75="","",IF(Data!J75=0,"dns",Data!J75))</f>
        <v>161</v>
      </c>
      <c r="N76" s="34" t="str">
        <f>IF(Data!$I75="","","GP"&amp;Data!$B75&amp;", "&amp;Data!$J$1)</f>
        <v>GP5, Sarja 1</v>
      </c>
      <c r="O76" s="34">
        <f t="shared" si="16"/>
        <v>42</v>
      </c>
      <c r="P76" s="34">
        <f>IF($L76="","",Data!B75)</f>
        <v>5</v>
      </c>
      <c r="Q76" s="34" t="str">
        <f t="shared" si="17"/>
        <v>1</v>
      </c>
      <c r="R76" s="34">
        <f t="shared" si="18"/>
        <v>76</v>
      </c>
      <c r="S76" s="70">
        <f t="shared" si="19"/>
        <v>4.2051076000000007E-2</v>
      </c>
    </row>
    <row r="77" spans="1:19" x14ac:dyDescent="0.25">
      <c r="A77" s="34">
        <f t="shared" si="23"/>
        <v>73</v>
      </c>
      <c r="B77" s="34" t="str">
        <f t="shared" si="20"/>
        <v>Iiro Riikonen</v>
      </c>
      <c r="C77" s="34">
        <f t="shared" si="21"/>
        <v>148</v>
      </c>
      <c r="D77" s="34" t="str">
        <f t="shared" si="22"/>
        <v>GP4, Sarja 1</v>
      </c>
      <c r="K77" s="34">
        <f t="shared" si="15"/>
        <v>55</v>
      </c>
      <c r="L77" s="34" t="str">
        <f>IF(Data!$I76="","",Data!I76)</f>
        <v>Ossi Oksa</v>
      </c>
      <c r="M77" s="34">
        <f>IF(Data!$I76="","",IF(Data!J76=0,"dns",Data!J76))</f>
        <v>156</v>
      </c>
      <c r="N77" s="34" t="str">
        <f>IF(Data!$I76="","","GP"&amp;Data!$B76&amp;", "&amp;Data!$J$1)</f>
        <v>GP5, Sarja 1</v>
      </c>
      <c r="O77" s="34">
        <f t="shared" si="16"/>
        <v>54</v>
      </c>
      <c r="P77" s="34">
        <f>IF($L77="","",Data!B76)</f>
        <v>5</v>
      </c>
      <c r="Q77" s="34" t="str">
        <f t="shared" si="17"/>
        <v>1</v>
      </c>
      <c r="R77" s="34">
        <f t="shared" si="18"/>
        <v>77</v>
      </c>
      <c r="S77" s="70">
        <f t="shared" si="19"/>
        <v>5.4051077000000003E-2</v>
      </c>
    </row>
    <row r="78" spans="1:19" x14ac:dyDescent="0.25">
      <c r="A78" s="34">
        <f t="shared" si="23"/>
        <v>74</v>
      </c>
      <c r="B78" s="34" t="str">
        <f t="shared" si="20"/>
        <v>Miika Nordblad</v>
      </c>
      <c r="C78" s="34">
        <f t="shared" si="21"/>
        <v>148</v>
      </c>
      <c r="D78" s="34" t="str">
        <f t="shared" si="22"/>
        <v>GP7, Sarja 1</v>
      </c>
      <c r="K78" s="34">
        <f t="shared" si="15"/>
        <v>123</v>
      </c>
      <c r="L78" s="34" t="str">
        <f>IF(Data!$I77="","",Data!I77)</f>
        <v>Jami Kallio</v>
      </c>
      <c r="M78" s="34">
        <f>IF(Data!$I77="","",IF(Data!J77=0,"dns",Data!J77))</f>
        <v>131</v>
      </c>
      <c r="N78" s="34" t="str">
        <f>IF(Data!$I77="","","GP"&amp;Data!$B77&amp;", "&amp;Data!$J$1)</f>
        <v>GP5, Sarja 1</v>
      </c>
      <c r="O78" s="34">
        <f t="shared" si="16"/>
        <v>121</v>
      </c>
      <c r="P78" s="34">
        <f>IF($L78="","",Data!B77)</f>
        <v>5</v>
      </c>
      <c r="Q78" s="34" t="str">
        <f t="shared" si="17"/>
        <v>1</v>
      </c>
      <c r="R78" s="34">
        <f t="shared" si="18"/>
        <v>78</v>
      </c>
      <c r="S78" s="70">
        <f t="shared" si="19"/>
        <v>0.12105107799999999</v>
      </c>
    </row>
    <row r="79" spans="1:19" x14ac:dyDescent="0.25">
      <c r="A79" s="34">
        <f t="shared" si="23"/>
        <v>75</v>
      </c>
      <c r="B79" s="34" t="str">
        <f t="shared" si="20"/>
        <v>Ossi Oksa</v>
      </c>
      <c r="C79" s="34">
        <f t="shared" si="21"/>
        <v>148</v>
      </c>
      <c r="D79" s="34" t="str">
        <f t="shared" si="22"/>
        <v>GP8, Sarja 2</v>
      </c>
      <c r="K79" s="34">
        <f t="shared" si="15"/>
        <v>10</v>
      </c>
      <c r="L79" s="34" t="str">
        <f>IF(Data!$I78="","",Data!I78)</f>
        <v>Miika Nordblad</v>
      </c>
      <c r="M79" s="34">
        <f>IF(Data!$I78="","",IF(Data!J78=0,"dns",Data!J78))</f>
        <v>184</v>
      </c>
      <c r="N79" s="34" t="str">
        <f>IF(Data!$I78="","","GP"&amp;Data!$B78&amp;", "&amp;Data!$J$1)</f>
        <v>GP5, Sarja 1</v>
      </c>
      <c r="O79" s="34">
        <f t="shared" si="16"/>
        <v>10</v>
      </c>
      <c r="P79" s="34">
        <f>IF($L79="","",Data!B78)</f>
        <v>5</v>
      </c>
      <c r="Q79" s="34" t="str">
        <f t="shared" si="17"/>
        <v>1</v>
      </c>
      <c r="R79" s="34">
        <f t="shared" si="18"/>
        <v>79</v>
      </c>
      <c r="S79" s="70">
        <f t="shared" si="19"/>
        <v>1.0051078999999999E-2</v>
      </c>
    </row>
    <row r="80" spans="1:19" x14ac:dyDescent="0.25">
      <c r="A80" s="34">
        <f t="shared" si="23"/>
        <v>76</v>
      </c>
      <c r="B80" s="34" t="str">
        <f t="shared" si="20"/>
        <v>Kaleva Latvala</v>
      </c>
      <c r="C80" s="34">
        <f t="shared" si="21"/>
        <v>148</v>
      </c>
      <c r="D80" s="34" t="str">
        <f t="shared" si="22"/>
        <v>GP9, Sarja 1</v>
      </c>
      <c r="K80" s="34">
        <f t="shared" si="15"/>
        <v>131</v>
      </c>
      <c r="L80" s="34" t="str">
        <f>IF(Data!$I79="","",Data!I79)</f>
        <v>Henri Verho</v>
      </c>
      <c r="M80" s="34">
        <f>IF(Data!$I79="","",IF(Data!J79=0,"dns",Data!J79))</f>
        <v>130</v>
      </c>
      <c r="N80" s="34" t="str">
        <f>IF(Data!$I79="","","GP"&amp;Data!$B79&amp;", "&amp;Data!$J$1)</f>
        <v>GP5, Sarja 1</v>
      </c>
      <c r="O80" s="34">
        <f t="shared" si="16"/>
        <v>128</v>
      </c>
      <c r="P80" s="34">
        <f>IF($L80="","",Data!B79)</f>
        <v>5</v>
      </c>
      <c r="Q80" s="34" t="str">
        <f t="shared" si="17"/>
        <v>1</v>
      </c>
      <c r="R80" s="34">
        <f t="shared" si="18"/>
        <v>80</v>
      </c>
      <c r="S80" s="70">
        <f t="shared" si="19"/>
        <v>0.12805108000000001</v>
      </c>
    </row>
    <row r="81" spans="1:19" x14ac:dyDescent="0.25">
      <c r="A81" s="34">
        <f t="shared" si="23"/>
        <v>77</v>
      </c>
      <c r="B81" s="34" t="str">
        <f t="shared" si="20"/>
        <v>Henri Verho</v>
      </c>
      <c r="C81" s="34">
        <f t="shared" si="21"/>
        <v>147</v>
      </c>
      <c r="D81" s="34" t="str">
        <f t="shared" si="22"/>
        <v>GP2, Sarja 1</v>
      </c>
      <c r="K81" s="34">
        <f t="shared" si="15"/>
        <v>91</v>
      </c>
      <c r="L81" s="34" t="str">
        <f>IF(Data!$I80="","",Data!I80)</f>
        <v>Joonas Ollonqvist</v>
      </c>
      <c r="M81" s="34">
        <f>IF(Data!$I80="","",IF(Data!J80=0,"dns",Data!J80))</f>
        <v>142</v>
      </c>
      <c r="N81" s="34" t="str">
        <f>IF(Data!$I80="","","GP"&amp;Data!$B80&amp;", "&amp;Data!$J$1)</f>
        <v>GP5, Sarja 1</v>
      </c>
      <c r="O81" s="34">
        <f t="shared" si="16"/>
        <v>91</v>
      </c>
      <c r="P81" s="34">
        <f>IF($L81="","",Data!B80)</f>
        <v>5</v>
      </c>
      <c r="Q81" s="34" t="str">
        <f t="shared" si="17"/>
        <v>1</v>
      </c>
      <c r="R81" s="34">
        <f t="shared" si="18"/>
        <v>81</v>
      </c>
      <c r="S81" s="70">
        <f t="shared" si="19"/>
        <v>9.1051080999999992E-2</v>
      </c>
    </row>
    <row r="82" spans="1:19" x14ac:dyDescent="0.25">
      <c r="A82" s="34">
        <f t="shared" si="23"/>
        <v>78</v>
      </c>
      <c r="B82" s="34" t="str">
        <f t="shared" si="20"/>
        <v>Henri Verho</v>
      </c>
      <c r="C82" s="34">
        <f t="shared" si="21"/>
        <v>147</v>
      </c>
      <c r="D82" s="34" t="str">
        <f t="shared" si="22"/>
        <v>GP6, Sarja 2</v>
      </c>
      <c r="K82" s="34">
        <f t="shared" si="15"/>
        <v>163</v>
      </c>
      <c r="L82" s="34" t="str">
        <f>IF(Data!$I81="","",Data!I81)</f>
        <v>Niko Reunanen</v>
      </c>
      <c r="M82" s="34">
        <f>IF(Data!$I81="","",IF(Data!J81=0,"dns",Data!J81))</f>
        <v>123</v>
      </c>
      <c r="N82" s="34" t="str">
        <f>IF(Data!$I81="","","GP"&amp;Data!$B81&amp;", "&amp;Data!$J$1)</f>
        <v>GP5, Sarja 1</v>
      </c>
      <c r="O82" s="34">
        <f t="shared" si="16"/>
        <v>162</v>
      </c>
      <c r="P82" s="34">
        <f>IF($L82="","",Data!B81)</f>
        <v>5</v>
      </c>
      <c r="Q82" s="34" t="str">
        <f t="shared" si="17"/>
        <v>1</v>
      </c>
      <c r="R82" s="34">
        <f t="shared" si="18"/>
        <v>82</v>
      </c>
      <c r="S82" s="70">
        <f t="shared" si="19"/>
        <v>0.16205108200000001</v>
      </c>
    </row>
    <row r="83" spans="1:19" x14ac:dyDescent="0.25">
      <c r="A83" s="34">
        <f t="shared" si="23"/>
        <v>79</v>
      </c>
      <c r="B83" s="34" t="str">
        <f t="shared" si="20"/>
        <v>Miika Nordblad</v>
      </c>
      <c r="C83" s="34">
        <f t="shared" si="21"/>
        <v>147</v>
      </c>
      <c r="D83" s="34" t="str">
        <f t="shared" si="22"/>
        <v>GP10, Sarja 2</v>
      </c>
      <c r="K83" s="34">
        <f t="shared" si="15"/>
        <v>146</v>
      </c>
      <c r="L83" s="34" t="str">
        <f>IF(Data!$I82="","",Data!I82)</f>
        <v>Olli Kajava</v>
      </c>
      <c r="M83" s="34">
        <f>IF(Data!$I82="","",IF(Data!J82=0,"dns",Data!J82))</f>
        <v>127</v>
      </c>
      <c r="N83" s="34" t="str">
        <f>IF(Data!$I82="","","GP"&amp;Data!$B82&amp;", "&amp;Data!$J$1)</f>
        <v>GP5, Sarja 1</v>
      </c>
      <c r="O83" s="34">
        <f t="shared" si="16"/>
        <v>141</v>
      </c>
      <c r="P83" s="34">
        <f>IF($L83="","",Data!B82)</f>
        <v>5</v>
      </c>
      <c r="Q83" s="34" t="str">
        <f t="shared" si="17"/>
        <v>1</v>
      </c>
      <c r="R83" s="34">
        <f t="shared" si="18"/>
        <v>83</v>
      </c>
      <c r="S83" s="70">
        <f t="shared" si="19"/>
        <v>0.14105108299999999</v>
      </c>
    </row>
    <row r="84" spans="1:19" x14ac:dyDescent="0.25">
      <c r="A84" s="34">
        <f t="shared" si="23"/>
        <v>80</v>
      </c>
      <c r="B84" s="34" t="str">
        <f t="shared" si="20"/>
        <v>Henri Verho</v>
      </c>
      <c r="C84" s="34">
        <f t="shared" si="21"/>
        <v>147</v>
      </c>
      <c r="D84" s="34" t="str">
        <f t="shared" si="22"/>
        <v>GP10, Sarja 2</v>
      </c>
      <c r="K84" s="34">
        <f t="shared" si="15"/>
        <v>95</v>
      </c>
      <c r="L84" s="34" t="str">
        <f>IF(Data!$I83="","",Data!I83)</f>
        <v>Mika Sola</v>
      </c>
      <c r="M84" s="34">
        <f>IF(Data!$I83="","",IF(Data!J83=0,"dns",Data!J83))</f>
        <v>141</v>
      </c>
      <c r="N84" s="34" t="str">
        <f>IF(Data!$I83="","","GP"&amp;Data!$B83&amp;", "&amp;Data!$J$1)</f>
        <v>GP5, Sarja 1</v>
      </c>
      <c r="O84" s="34">
        <f t="shared" si="16"/>
        <v>94</v>
      </c>
      <c r="P84" s="34">
        <f>IF($L84="","",Data!B83)</f>
        <v>5</v>
      </c>
      <c r="Q84" s="34" t="str">
        <f t="shared" si="17"/>
        <v>1</v>
      </c>
      <c r="R84" s="34">
        <f t="shared" si="18"/>
        <v>84</v>
      </c>
      <c r="S84" s="70">
        <f t="shared" si="19"/>
        <v>9.4051083999999993E-2</v>
      </c>
    </row>
    <row r="85" spans="1:19" x14ac:dyDescent="0.25">
      <c r="A85" s="34">
        <f t="shared" si="23"/>
        <v>81</v>
      </c>
      <c r="B85" s="34" t="str">
        <f t="shared" si="20"/>
        <v>Frans Hartman</v>
      </c>
      <c r="C85" s="34">
        <f t="shared" si="21"/>
        <v>146</v>
      </c>
      <c r="D85" s="34" t="str">
        <f t="shared" si="22"/>
        <v>GP2, Sarja 2</v>
      </c>
      <c r="K85" s="34">
        <f t="shared" si="15"/>
        <v>63</v>
      </c>
      <c r="L85" s="34" t="str">
        <f>IF(Data!$I84="","",Data!I84)</f>
        <v>Sakari Leinonen</v>
      </c>
      <c r="M85" s="34">
        <f>IF(Data!$I84="","",IF(Data!J84=0,"dns",Data!J84))</f>
        <v>153</v>
      </c>
      <c r="N85" s="34" t="str">
        <f>IF(Data!$I84="","","GP"&amp;Data!$B84&amp;", "&amp;Data!$J$1)</f>
        <v>GP5, Sarja 1</v>
      </c>
      <c r="O85" s="34">
        <f t="shared" si="16"/>
        <v>63</v>
      </c>
      <c r="P85" s="34">
        <f>IF($L85="","",Data!B84)</f>
        <v>5</v>
      </c>
      <c r="Q85" s="34" t="str">
        <f t="shared" si="17"/>
        <v>1</v>
      </c>
      <c r="R85" s="34">
        <f t="shared" si="18"/>
        <v>85</v>
      </c>
      <c r="S85" s="70">
        <f t="shared" si="19"/>
        <v>6.3051084999999993E-2</v>
      </c>
    </row>
    <row r="86" spans="1:19" x14ac:dyDescent="0.25">
      <c r="A86" s="34">
        <f t="shared" si="23"/>
        <v>82</v>
      </c>
      <c r="B86" s="34" t="str">
        <f t="shared" si="20"/>
        <v>Frans Hartman</v>
      </c>
      <c r="C86" s="34">
        <f t="shared" si="21"/>
        <v>146</v>
      </c>
      <c r="D86" s="34" t="str">
        <f t="shared" si="22"/>
        <v>GP6, Sarja 1</v>
      </c>
      <c r="K86" s="34">
        <f t="shared" si="15"/>
        <v>89</v>
      </c>
      <c r="L86" s="34" t="str">
        <f>IF(Data!$I85="","",Data!I85)</f>
        <v>Miikka Korventausta</v>
      </c>
      <c r="M86" s="34">
        <f>IF(Data!$I85="","",IF(Data!J85=0,"dns",Data!J85))</f>
        <v>144</v>
      </c>
      <c r="N86" s="34" t="str">
        <f>IF(Data!$I85="","","GP"&amp;Data!$B85&amp;", "&amp;Data!$J$1)</f>
        <v>GP5, Sarja 1</v>
      </c>
      <c r="O86" s="34">
        <f t="shared" si="16"/>
        <v>87</v>
      </c>
      <c r="P86" s="34">
        <f>IF($L86="","",Data!B85)</f>
        <v>5</v>
      </c>
      <c r="Q86" s="34" t="str">
        <f t="shared" si="17"/>
        <v>1</v>
      </c>
      <c r="R86" s="34">
        <f t="shared" si="18"/>
        <v>86</v>
      </c>
      <c r="S86" s="70">
        <f t="shared" si="19"/>
        <v>8.7051085999999986E-2</v>
      </c>
    </row>
    <row r="87" spans="1:19" x14ac:dyDescent="0.25">
      <c r="A87" s="34">
        <f t="shared" si="23"/>
        <v>83</v>
      </c>
      <c r="B87" s="34" t="str">
        <f t="shared" si="20"/>
        <v>Asko Haaksi</v>
      </c>
      <c r="C87" s="34">
        <f t="shared" si="21"/>
        <v>145</v>
      </c>
      <c r="D87" s="34" t="str">
        <f t="shared" si="22"/>
        <v>GP4, Sarja 2</v>
      </c>
      <c r="K87" s="34">
        <f t="shared" si="15"/>
        <v>295</v>
      </c>
      <c r="L87" s="34" t="str">
        <f>IF(Data!$I86="","",Data!I86)</f>
        <v>Roope Warro</v>
      </c>
      <c r="M87" s="34" t="str">
        <f>IF(Data!$I86="","",IF(Data!J86=0,"dns",Data!J86))</f>
        <v>dns</v>
      </c>
      <c r="N87" s="34" t="str">
        <f>IF(Data!$I86="","","GP"&amp;Data!$B86&amp;", "&amp;Data!$J$1)</f>
        <v>GP5, Sarja 1</v>
      </c>
      <c r="O87" s="34">
        <f t="shared" si="16"/>
        <v>625</v>
      </c>
      <c r="P87" s="34">
        <f>IF($L87="","",Data!B86)</f>
        <v>5</v>
      </c>
      <c r="Q87" s="34" t="str">
        <f t="shared" si="17"/>
        <v>1</v>
      </c>
      <c r="R87" s="34">
        <f t="shared" si="18"/>
        <v>87</v>
      </c>
      <c r="S87" s="70">
        <f t="shared" si="19"/>
        <v>0.62505108700000001</v>
      </c>
    </row>
    <row r="88" spans="1:19" x14ac:dyDescent="0.25">
      <c r="A88" s="34">
        <f t="shared" si="23"/>
        <v>84</v>
      </c>
      <c r="B88" s="34" t="str">
        <f t="shared" si="20"/>
        <v>Iiro Riikonen</v>
      </c>
      <c r="C88" s="34">
        <f t="shared" si="21"/>
        <v>145</v>
      </c>
      <c r="D88" s="34" t="str">
        <f t="shared" si="22"/>
        <v>GP6, Sarja 1</v>
      </c>
      <c r="K88" s="34">
        <f t="shared" si="15"/>
        <v>296</v>
      </c>
      <c r="L88" s="34" t="str">
        <f>IF(Data!$I87="","",Data!I87)</f>
        <v>Iiro Riikonen</v>
      </c>
      <c r="M88" s="34" t="str">
        <f>IF(Data!$I87="","",IF(Data!J87=0,"dns",Data!J87))</f>
        <v>dns</v>
      </c>
      <c r="N88" s="34" t="str">
        <f>IF(Data!$I87="","","GP"&amp;Data!$B87&amp;", "&amp;Data!$J$1)</f>
        <v>GP5, Sarja 1</v>
      </c>
      <c r="O88" s="34">
        <f t="shared" si="16"/>
        <v>625</v>
      </c>
      <c r="P88" s="34">
        <f>IF($L88="","",Data!B87)</f>
        <v>5</v>
      </c>
      <c r="Q88" s="34" t="str">
        <f t="shared" si="17"/>
        <v>1</v>
      </c>
      <c r="R88" s="34">
        <f t="shared" si="18"/>
        <v>88</v>
      </c>
      <c r="S88" s="70">
        <f t="shared" si="19"/>
        <v>0.62505108799999998</v>
      </c>
    </row>
    <row r="89" spans="1:19" x14ac:dyDescent="0.25">
      <c r="A89" s="34">
        <f t="shared" si="23"/>
        <v>85</v>
      </c>
      <c r="B89" s="34" t="str">
        <f t="shared" si="20"/>
        <v>Asko Haaksi</v>
      </c>
      <c r="C89" s="34">
        <f t="shared" si="21"/>
        <v>145</v>
      </c>
      <c r="D89" s="34" t="str">
        <f t="shared" si="22"/>
        <v>GP9, Sarja 1</v>
      </c>
      <c r="K89" s="34">
        <f t="shared" si="15"/>
        <v>297</v>
      </c>
      <c r="L89" s="34" t="str">
        <f>IF(Data!$I88="","",Data!I88)</f>
        <v>Kaleva Latvala</v>
      </c>
      <c r="M89" s="34" t="str">
        <f>IF(Data!$I88="","",IF(Data!J88=0,"dns",Data!J88))</f>
        <v>dns</v>
      </c>
      <c r="N89" s="34" t="str">
        <f>IF(Data!$I88="","","GP"&amp;Data!$B88&amp;", "&amp;Data!$J$1)</f>
        <v>GP5, Sarja 1</v>
      </c>
      <c r="O89" s="34">
        <f t="shared" si="16"/>
        <v>625</v>
      </c>
      <c r="P89" s="34">
        <f>IF($L89="","",Data!B88)</f>
        <v>5</v>
      </c>
      <c r="Q89" s="34" t="str">
        <f t="shared" si="17"/>
        <v>1</v>
      </c>
      <c r="R89" s="34">
        <f t="shared" si="18"/>
        <v>89</v>
      </c>
      <c r="S89" s="70">
        <f t="shared" si="19"/>
        <v>0.62505108900000006</v>
      </c>
    </row>
    <row r="90" spans="1:19" x14ac:dyDescent="0.25">
      <c r="A90" s="34">
        <f t="shared" si="23"/>
        <v>86</v>
      </c>
      <c r="B90" s="34" t="str">
        <f t="shared" si="20"/>
        <v>Jami Kallio</v>
      </c>
      <c r="C90" s="34">
        <f t="shared" si="21"/>
        <v>145</v>
      </c>
      <c r="D90" s="34" t="str">
        <f t="shared" si="22"/>
        <v>GP10, Sarja 1</v>
      </c>
      <c r="K90" s="34">
        <f t="shared" si="15"/>
        <v>298</v>
      </c>
      <c r="L90" s="34" t="str">
        <f>IF(Data!$I89="","",Data!I89)</f>
        <v>Mikko Mansikkamäki</v>
      </c>
      <c r="M90" s="34" t="str">
        <f>IF(Data!$I89="","",IF(Data!J89=0,"dns",Data!J89))</f>
        <v>dns</v>
      </c>
      <c r="N90" s="34" t="str">
        <f>IF(Data!$I89="","","GP"&amp;Data!$B89&amp;", "&amp;Data!$J$1)</f>
        <v>GP5, Sarja 1</v>
      </c>
      <c r="O90" s="34">
        <f t="shared" si="16"/>
        <v>625</v>
      </c>
      <c r="P90" s="34">
        <f>IF($L90="","",Data!B89)</f>
        <v>5</v>
      </c>
      <c r="Q90" s="34" t="str">
        <f t="shared" si="17"/>
        <v>1</v>
      </c>
      <c r="R90" s="34">
        <f t="shared" si="18"/>
        <v>90</v>
      </c>
      <c r="S90" s="70">
        <f t="shared" si="19"/>
        <v>0.62505109000000003</v>
      </c>
    </row>
    <row r="91" spans="1:19" x14ac:dyDescent="0.25">
      <c r="A91" s="34">
        <f t="shared" si="23"/>
        <v>87</v>
      </c>
      <c r="B91" s="34" t="str">
        <f t="shared" si="20"/>
        <v>Miikka Korventausta</v>
      </c>
      <c r="C91" s="34">
        <f t="shared" si="21"/>
        <v>144</v>
      </c>
      <c r="D91" s="34" t="str">
        <f t="shared" si="22"/>
        <v>GP4, Sarja 1</v>
      </c>
      <c r="K91" s="34">
        <f t="shared" si="15"/>
        <v>299</v>
      </c>
      <c r="L91" s="34" t="str">
        <f>IF(Data!$I90="","",Data!I90)</f>
        <v>Tatu Erlin</v>
      </c>
      <c r="M91" s="34" t="str">
        <f>IF(Data!$I90="","",IF(Data!J90=0,"dns",Data!J90))</f>
        <v>dns</v>
      </c>
      <c r="N91" s="34" t="str">
        <f>IF(Data!$I90="","","GP"&amp;Data!$B90&amp;", "&amp;Data!$J$1)</f>
        <v>GP5, Sarja 1</v>
      </c>
      <c r="O91" s="34">
        <f t="shared" si="16"/>
        <v>625</v>
      </c>
      <c r="P91" s="34">
        <f>IF($L91="","",Data!B90)</f>
        <v>5</v>
      </c>
      <c r="Q91" s="34" t="str">
        <f t="shared" si="17"/>
        <v>1</v>
      </c>
      <c r="R91" s="34">
        <f t="shared" si="18"/>
        <v>91</v>
      </c>
      <c r="S91" s="70">
        <f t="shared" si="19"/>
        <v>0.625051091</v>
      </c>
    </row>
    <row r="92" spans="1:19" x14ac:dyDescent="0.25">
      <c r="A92" s="34">
        <f t="shared" si="23"/>
        <v>88</v>
      </c>
      <c r="B92" s="34" t="str">
        <f t="shared" si="20"/>
        <v>Asko Haaksi</v>
      </c>
      <c r="C92" s="34">
        <f t="shared" si="21"/>
        <v>144</v>
      </c>
      <c r="D92" s="34" t="str">
        <f t="shared" si="22"/>
        <v>GP4, Sarja 1</v>
      </c>
      <c r="K92" s="34">
        <f t="shared" si="15"/>
        <v>300</v>
      </c>
      <c r="L92" s="34" t="str">
        <f>IF(Data!$I91="","",Data!I91)</f>
        <v>Frans Hartman</v>
      </c>
      <c r="M92" s="34" t="str">
        <f>IF(Data!$I91="","",IF(Data!J91=0,"dns",Data!J91))</f>
        <v>dns</v>
      </c>
      <c r="N92" s="34" t="str">
        <f>IF(Data!$I91="","","GP"&amp;Data!$B91&amp;", "&amp;Data!$J$1)</f>
        <v>GP5, Sarja 1</v>
      </c>
      <c r="O92" s="34">
        <f t="shared" si="16"/>
        <v>625</v>
      </c>
      <c r="P92" s="34">
        <f>IF($L92="","",Data!B91)</f>
        <v>5</v>
      </c>
      <c r="Q92" s="34" t="str">
        <f t="shared" si="17"/>
        <v>1</v>
      </c>
      <c r="R92" s="34">
        <f t="shared" si="18"/>
        <v>92</v>
      </c>
      <c r="S92" s="70">
        <f t="shared" si="19"/>
        <v>0.62505109199999997</v>
      </c>
    </row>
    <row r="93" spans="1:19" x14ac:dyDescent="0.25">
      <c r="A93" s="34">
        <f t="shared" si="23"/>
        <v>89</v>
      </c>
      <c r="B93" s="34" t="str">
        <f t="shared" si="20"/>
        <v>Miikka Korventausta</v>
      </c>
      <c r="C93" s="34">
        <f t="shared" si="21"/>
        <v>144</v>
      </c>
      <c r="D93" s="34" t="str">
        <f t="shared" si="22"/>
        <v>GP5, Sarja 1</v>
      </c>
      <c r="K93" s="34">
        <f t="shared" si="15"/>
        <v>190</v>
      </c>
      <c r="L93" s="34" t="str">
        <f>IF(Data!$I92="","",Data!I92)</f>
        <v>Joonas Ollonqvist</v>
      </c>
      <c r="M93" s="34">
        <f>IF(Data!$I92="","",IF(Data!J92=0,"dns",Data!J92))</f>
        <v>117</v>
      </c>
      <c r="N93" s="34" t="str">
        <f>IF(Data!$I92="","","GP"&amp;Data!$B92&amp;", "&amp;Data!$J$1)</f>
        <v>GP6, Sarja 1</v>
      </c>
      <c r="O93" s="34">
        <f t="shared" si="16"/>
        <v>189</v>
      </c>
      <c r="P93" s="34">
        <f>IF($L93="","",Data!B92)</f>
        <v>6</v>
      </c>
      <c r="Q93" s="34" t="str">
        <f t="shared" si="17"/>
        <v>1</v>
      </c>
      <c r="R93" s="34">
        <f t="shared" si="18"/>
        <v>93</v>
      </c>
      <c r="S93" s="70">
        <f t="shared" si="19"/>
        <v>0.18906109300000001</v>
      </c>
    </row>
    <row r="94" spans="1:19" x14ac:dyDescent="0.25">
      <c r="A94" s="34">
        <f t="shared" si="23"/>
        <v>90</v>
      </c>
      <c r="B94" s="34" t="str">
        <f t="shared" si="20"/>
        <v>Henri Verho</v>
      </c>
      <c r="C94" s="34">
        <f t="shared" si="21"/>
        <v>144</v>
      </c>
      <c r="D94" s="34" t="str">
        <f t="shared" si="22"/>
        <v>GP10, Sarja 1</v>
      </c>
      <c r="K94" s="34">
        <f t="shared" si="15"/>
        <v>35</v>
      </c>
      <c r="L94" s="34" t="str">
        <f>IF(Data!$I93="","",Data!I93)</f>
        <v>Niko Reunanen</v>
      </c>
      <c r="M94" s="34">
        <f>IF(Data!$I93="","",IF(Data!J93=0,"dns",Data!J93))</f>
        <v>165</v>
      </c>
      <c r="N94" s="34" t="str">
        <f>IF(Data!$I93="","","GP"&amp;Data!$B93&amp;", "&amp;Data!$J$1)</f>
        <v>GP6, Sarja 1</v>
      </c>
      <c r="O94" s="34">
        <f t="shared" si="16"/>
        <v>34</v>
      </c>
      <c r="P94" s="34">
        <f>IF($L94="","",Data!B93)</f>
        <v>6</v>
      </c>
      <c r="Q94" s="34" t="str">
        <f t="shared" si="17"/>
        <v>1</v>
      </c>
      <c r="R94" s="34">
        <f t="shared" si="18"/>
        <v>94</v>
      </c>
      <c r="S94" s="70">
        <f t="shared" si="19"/>
        <v>3.4061094E-2</v>
      </c>
    </row>
    <row r="95" spans="1:19" x14ac:dyDescent="0.25">
      <c r="A95" s="34">
        <f t="shared" si="23"/>
        <v>91</v>
      </c>
      <c r="B95" s="34" t="str">
        <f t="shared" si="20"/>
        <v>Joonas Ollonqvist</v>
      </c>
      <c r="C95" s="34">
        <f t="shared" si="21"/>
        <v>142</v>
      </c>
      <c r="D95" s="34" t="str">
        <f t="shared" si="22"/>
        <v>GP5, Sarja 1</v>
      </c>
      <c r="K95" s="34">
        <f t="shared" si="15"/>
        <v>66</v>
      </c>
      <c r="L95" s="34" t="str">
        <f>IF(Data!$I94="","",Data!I94)</f>
        <v>Henri Verho</v>
      </c>
      <c r="M95" s="34">
        <f>IF(Data!$I94="","",IF(Data!J94=0,"dns",Data!J94))</f>
        <v>151</v>
      </c>
      <c r="N95" s="34" t="str">
        <f>IF(Data!$I94="","","GP"&amp;Data!$B94&amp;", "&amp;Data!$J$1)</f>
        <v>GP6, Sarja 1</v>
      </c>
      <c r="O95" s="34">
        <f t="shared" si="16"/>
        <v>65</v>
      </c>
      <c r="P95" s="34">
        <f>IF($L95="","",Data!B94)</f>
        <v>6</v>
      </c>
      <c r="Q95" s="34" t="str">
        <f t="shared" si="17"/>
        <v>1</v>
      </c>
      <c r="R95" s="34">
        <f t="shared" si="18"/>
        <v>95</v>
      </c>
      <c r="S95" s="70">
        <f t="shared" si="19"/>
        <v>6.5061095000000013E-2</v>
      </c>
    </row>
    <row r="96" spans="1:19" x14ac:dyDescent="0.25">
      <c r="A96" s="34">
        <f t="shared" si="23"/>
        <v>92</v>
      </c>
      <c r="B96" s="34" t="str">
        <f t="shared" si="20"/>
        <v>Juho Korpi</v>
      </c>
      <c r="C96" s="34">
        <f t="shared" si="21"/>
        <v>142</v>
      </c>
      <c r="D96" s="34" t="str">
        <f t="shared" si="22"/>
        <v>GP7, Sarja 2</v>
      </c>
      <c r="K96" s="34">
        <f t="shared" si="15"/>
        <v>215</v>
      </c>
      <c r="L96" s="34" t="str">
        <f>IF(Data!$I95="","",Data!I95)</f>
        <v>Juho Korpi</v>
      </c>
      <c r="M96" s="34">
        <f>IF(Data!$I95="","",IF(Data!J95=0,"dns",Data!J95))</f>
        <v>106</v>
      </c>
      <c r="N96" s="34" t="str">
        <f>IF(Data!$I95="","","GP"&amp;Data!$B95&amp;", "&amp;Data!$J$1)</f>
        <v>GP6, Sarja 1</v>
      </c>
      <c r="O96" s="34">
        <f t="shared" si="16"/>
        <v>215</v>
      </c>
      <c r="P96" s="34">
        <f>IF($L96="","",Data!B95)</f>
        <v>6</v>
      </c>
      <c r="Q96" s="34" t="str">
        <f t="shared" si="17"/>
        <v>1</v>
      </c>
      <c r="R96" s="34">
        <f t="shared" si="18"/>
        <v>96</v>
      </c>
      <c r="S96" s="70">
        <f t="shared" si="19"/>
        <v>0.21506109600000001</v>
      </c>
    </row>
    <row r="97" spans="1:19" x14ac:dyDescent="0.25">
      <c r="A97" s="34">
        <f t="shared" si="23"/>
        <v>93</v>
      </c>
      <c r="B97" s="34" t="str">
        <f t="shared" si="20"/>
        <v>Henri Verho</v>
      </c>
      <c r="C97" s="34">
        <f t="shared" si="21"/>
        <v>142</v>
      </c>
      <c r="D97" s="34" t="str">
        <f t="shared" si="22"/>
        <v>GP8, Sarja 2</v>
      </c>
      <c r="K97" s="34">
        <f t="shared" si="15"/>
        <v>38</v>
      </c>
      <c r="L97" s="34" t="str">
        <f>IF(Data!$I96="","",Data!I96)</f>
        <v>Jami Kallio</v>
      </c>
      <c r="M97" s="34">
        <f>IF(Data!$I96="","",IF(Data!J96=0,"dns",Data!J96))</f>
        <v>164</v>
      </c>
      <c r="N97" s="34" t="str">
        <f>IF(Data!$I96="","","GP"&amp;Data!$B96&amp;", "&amp;Data!$J$1)</f>
        <v>GP6, Sarja 1</v>
      </c>
      <c r="O97" s="34">
        <f t="shared" si="16"/>
        <v>36</v>
      </c>
      <c r="P97" s="34">
        <f>IF($L97="","",Data!B96)</f>
        <v>6</v>
      </c>
      <c r="Q97" s="34" t="str">
        <f t="shared" si="17"/>
        <v>1</v>
      </c>
      <c r="R97" s="34">
        <f t="shared" si="18"/>
        <v>97</v>
      </c>
      <c r="S97" s="70">
        <f t="shared" si="19"/>
        <v>3.6061096999999993E-2</v>
      </c>
    </row>
    <row r="98" spans="1:19" x14ac:dyDescent="0.25">
      <c r="A98" s="34">
        <f t="shared" si="23"/>
        <v>94</v>
      </c>
      <c r="B98" s="34" t="str">
        <f t="shared" si="20"/>
        <v>Kaleva Latvala</v>
      </c>
      <c r="C98" s="34">
        <f t="shared" si="21"/>
        <v>141</v>
      </c>
      <c r="D98" s="34" t="str">
        <f t="shared" si="22"/>
        <v>GP1, Sarja 2</v>
      </c>
      <c r="K98" s="34">
        <f t="shared" si="15"/>
        <v>245</v>
      </c>
      <c r="L98" s="34" t="str">
        <f>IF(Data!$I97="","",Data!I97)</f>
        <v>Tatu Erlin</v>
      </c>
      <c r="M98" s="34">
        <f>IF(Data!$I97="","",IF(Data!J97=0,"dns",Data!J97))</f>
        <v>84</v>
      </c>
      <c r="N98" s="34" t="str">
        <f>IF(Data!$I97="","","GP"&amp;Data!$B97&amp;", "&amp;Data!$J$1)</f>
        <v>GP6, Sarja 1</v>
      </c>
      <c r="O98" s="34">
        <f t="shared" si="16"/>
        <v>245</v>
      </c>
      <c r="P98" s="34">
        <f>IF($L98="","",Data!B97)</f>
        <v>6</v>
      </c>
      <c r="Q98" s="34" t="str">
        <f t="shared" si="17"/>
        <v>1</v>
      </c>
      <c r="R98" s="34">
        <f t="shared" si="18"/>
        <v>98</v>
      </c>
      <c r="S98" s="70">
        <f t="shared" si="19"/>
        <v>0.245061098</v>
      </c>
    </row>
    <row r="99" spans="1:19" x14ac:dyDescent="0.25">
      <c r="A99" s="34">
        <f t="shared" si="23"/>
        <v>95</v>
      </c>
      <c r="B99" s="34" t="str">
        <f t="shared" si="20"/>
        <v>Mika Sola</v>
      </c>
      <c r="C99" s="34">
        <f t="shared" si="21"/>
        <v>141</v>
      </c>
      <c r="D99" s="34" t="str">
        <f t="shared" si="22"/>
        <v>GP5, Sarja 1</v>
      </c>
      <c r="K99" s="34">
        <f t="shared" si="15"/>
        <v>191</v>
      </c>
      <c r="L99" s="34" t="str">
        <f>IF(Data!$I98="","",Data!I98)</f>
        <v>Mika Sola</v>
      </c>
      <c r="M99" s="34">
        <f>IF(Data!$I98="","",IF(Data!J98=0,"dns",Data!J98))</f>
        <v>117</v>
      </c>
      <c r="N99" s="34" t="str">
        <f>IF(Data!$I98="","","GP"&amp;Data!$B98&amp;", "&amp;Data!$J$1)</f>
        <v>GP6, Sarja 1</v>
      </c>
      <c r="O99" s="34">
        <f t="shared" si="16"/>
        <v>189</v>
      </c>
      <c r="P99" s="34">
        <f>IF($L99="","",Data!B98)</f>
        <v>6</v>
      </c>
      <c r="Q99" s="34" t="str">
        <f t="shared" si="17"/>
        <v>1</v>
      </c>
      <c r="R99" s="34">
        <f t="shared" si="18"/>
        <v>99</v>
      </c>
      <c r="S99" s="70">
        <f t="shared" si="19"/>
        <v>0.18906109900000001</v>
      </c>
    </row>
    <row r="100" spans="1:19" x14ac:dyDescent="0.25">
      <c r="A100" s="34">
        <f t="shared" si="23"/>
        <v>96</v>
      </c>
      <c r="B100" s="34" t="str">
        <f t="shared" si="20"/>
        <v>Henri Verho</v>
      </c>
      <c r="C100" s="34">
        <f t="shared" si="21"/>
        <v>140</v>
      </c>
      <c r="D100" s="34" t="str">
        <f t="shared" si="22"/>
        <v>GP3, Sarja 1</v>
      </c>
      <c r="K100" s="34">
        <f t="shared" si="15"/>
        <v>204</v>
      </c>
      <c r="L100" s="34" t="str">
        <f>IF(Data!$I99="","",Data!I99)</f>
        <v>Olli Kajava</v>
      </c>
      <c r="M100" s="34">
        <f>IF(Data!$I99="","",IF(Data!J99=0,"dns",Data!J99))</f>
        <v>111</v>
      </c>
      <c r="N100" s="34" t="str">
        <f>IF(Data!$I99="","","GP"&amp;Data!$B99&amp;", "&amp;Data!$J$1)</f>
        <v>GP6, Sarja 1</v>
      </c>
      <c r="O100" s="34">
        <f t="shared" si="16"/>
        <v>201</v>
      </c>
      <c r="P100" s="34">
        <f>IF($L100="","",Data!B99)</f>
        <v>6</v>
      </c>
      <c r="Q100" s="34" t="str">
        <f t="shared" si="17"/>
        <v>1</v>
      </c>
      <c r="R100" s="34">
        <f t="shared" si="18"/>
        <v>100</v>
      </c>
      <c r="S100" s="70">
        <f t="shared" si="19"/>
        <v>0.20106110000000002</v>
      </c>
    </row>
    <row r="101" spans="1:19" x14ac:dyDescent="0.25">
      <c r="A101" s="34">
        <f t="shared" si="23"/>
        <v>97</v>
      </c>
      <c r="B101" s="34" t="str">
        <f t="shared" si="20"/>
        <v>Olli Kajava</v>
      </c>
      <c r="C101" s="34">
        <f t="shared" si="21"/>
        <v>140</v>
      </c>
      <c r="D101" s="34" t="str">
        <f t="shared" si="22"/>
        <v>GP9, Sarja 1</v>
      </c>
      <c r="K101" s="34">
        <f t="shared" si="15"/>
        <v>84</v>
      </c>
      <c r="L101" s="34" t="str">
        <f>IF(Data!$I100="","",Data!I100)</f>
        <v>Iiro Riikonen</v>
      </c>
      <c r="M101" s="34">
        <f>IF(Data!$I100="","",IF(Data!J100=0,"dns",Data!J100))</f>
        <v>145</v>
      </c>
      <c r="N101" s="34" t="str">
        <f>IF(Data!$I100="","","GP"&amp;Data!$B100&amp;", "&amp;Data!$J$1)</f>
        <v>GP6, Sarja 1</v>
      </c>
      <c r="O101" s="34">
        <f t="shared" si="16"/>
        <v>83</v>
      </c>
      <c r="P101" s="34">
        <f>IF($L101="","",Data!B100)</f>
        <v>6</v>
      </c>
      <c r="Q101" s="34" t="str">
        <f t="shared" si="17"/>
        <v>1</v>
      </c>
      <c r="R101" s="34">
        <f t="shared" si="18"/>
        <v>101</v>
      </c>
      <c r="S101" s="70">
        <f t="shared" si="19"/>
        <v>8.3061101000000012E-2</v>
      </c>
    </row>
    <row r="102" spans="1:19" x14ac:dyDescent="0.25">
      <c r="A102" s="34">
        <f t="shared" si="23"/>
        <v>98</v>
      </c>
      <c r="B102" s="34" t="str">
        <f t="shared" si="20"/>
        <v>Miika Nordblad</v>
      </c>
      <c r="C102" s="34">
        <f t="shared" si="21"/>
        <v>140</v>
      </c>
      <c r="D102" s="34" t="str">
        <f t="shared" si="22"/>
        <v>GP9, Sarja 2</v>
      </c>
      <c r="K102" s="34">
        <f t="shared" si="15"/>
        <v>82</v>
      </c>
      <c r="L102" s="34" t="str">
        <f>IF(Data!$I101="","",Data!I101)</f>
        <v>Frans Hartman</v>
      </c>
      <c r="M102" s="34">
        <f>IF(Data!$I101="","",IF(Data!J101=0,"dns",Data!J101))</f>
        <v>146</v>
      </c>
      <c r="N102" s="34" t="str">
        <f>IF(Data!$I101="","","GP"&amp;Data!$B101&amp;", "&amp;Data!$J$1)</f>
        <v>GP6, Sarja 1</v>
      </c>
      <c r="O102" s="34">
        <f t="shared" si="16"/>
        <v>81</v>
      </c>
      <c r="P102" s="34">
        <f>IF($L102="","",Data!B101)</f>
        <v>6</v>
      </c>
      <c r="Q102" s="34" t="str">
        <f t="shared" si="17"/>
        <v>1</v>
      </c>
      <c r="R102" s="34">
        <f t="shared" si="18"/>
        <v>102</v>
      </c>
      <c r="S102" s="70">
        <f t="shared" si="19"/>
        <v>8.106110200000001E-2</v>
      </c>
    </row>
    <row r="103" spans="1:19" x14ac:dyDescent="0.25">
      <c r="A103" s="34">
        <f t="shared" si="23"/>
        <v>99</v>
      </c>
      <c r="B103" s="34" t="str">
        <f t="shared" si="20"/>
        <v>Sakari Leinonen</v>
      </c>
      <c r="C103" s="34">
        <f t="shared" si="21"/>
        <v>139</v>
      </c>
      <c r="D103" s="34" t="str">
        <f t="shared" si="22"/>
        <v>GP2, Sarja 1</v>
      </c>
      <c r="K103" s="34">
        <f t="shared" si="15"/>
        <v>238</v>
      </c>
      <c r="L103" s="34" t="str">
        <f>IF(Data!$I102="","",Data!I102)</f>
        <v>Kaleva Latvala</v>
      </c>
      <c r="M103" s="34">
        <f>IF(Data!$I102="","",IF(Data!J102=0,"dns",Data!J102))</f>
        <v>92</v>
      </c>
      <c r="N103" s="34" t="str">
        <f>IF(Data!$I102="","","GP"&amp;Data!$B102&amp;", "&amp;Data!$J$1)</f>
        <v>GP6, Sarja 1</v>
      </c>
      <c r="O103" s="34">
        <f t="shared" si="16"/>
        <v>237</v>
      </c>
      <c r="P103" s="34">
        <f>IF($L103="","",Data!B102)</f>
        <v>6</v>
      </c>
      <c r="Q103" s="34" t="str">
        <f t="shared" si="17"/>
        <v>1</v>
      </c>
      <c r="R103" s="34">
        <f t="shared" si="18"/>
        <v>103</v>
      </c>
      <c r="S103" s="70">
        <f t="shared" si="19"/>
        <v>0.237061103</v>
      </c>
    </row>
    <row r="104" spans="1:19" x14ac:dyDescent="0.25">
      <c r="A104" s="34">
        <f t="shared" si="23"/>
        <v>100</v>
      </c>
      <c r="B104" s="34" t="str">
        <f t="shared" si="20"/>
        <v>Juho Korpi</v>
      </c>
      <c r="C104" s="34">
        <f t="shared" si="21"/>
        <v>139</v>
      </c>
      <c r="D104" s="34" t="str">
        <f t="shared" si="22"/>
        <v>GP2, Sarja 2</v>
      </c>
      <c r="K104" s="34">
        <f t="shared" si="15"/>
        <v>252</v>
      </c>
      <c r="L104" s="34" t="str">
        <f>IF(Data!$I103="","",Data!I103)</f>
        <v>Mikko Mansikkamäki</v>
      </c>
      <c r="M104" s="34">
        <f>IF(Data!$I103="","",IF(Data!J103=0,"dns",Data!J103))</f>
        <v>59</v>
      </c>
      <c r="N104" s="34" t="str">
        <f>IF(Data!$I103="","","GP"&amp;Data!$B103&amp;", "&amp;Data!$J$1)</f>
        <v>GP6, Sarja 1</v>
      </c>
      <c r="O104" s="34">
        <f t="shared" si="16"/>
        <v>252</v>
      </c>
      <c r="P104" s="34">
        <f>IF($L104="","",Data!B103)</f>
        <v>6</v>
      </c>
      <c r="Q104" s="34" t="str">
        <f t="shared" si="17"/>
        <v>1</v>
      </c>
      <c r="R104" s="34">
        <f t="shared" si="18"/>
        <v>104</v>
      </c>
      <c r="S104" s="70">
        <f t="shared" si="19"/>
        <v>0.25206110399999998</v>
      </c>
    </row>
    <row r="105" spans="1:19" x14ac:dyDescent="0.25">
      <c r="A105" s="34">
        <f t="shared" si="23"/>
        <v>101</v>
      </c>
      <c r="B105" s="34" t="str">
        <f t="shared" si="20"/>
        <v>Mika Sola</v>
      </c>
      <c r="C105" s="34">
        <f t="shared" si="21"/>
        <v>139</v>
      </c>
      <c r="D105" s="34" t="str">
        <f t="shared" si="22"/>
        <v>GP2, Sarja 2</v>
      </c>
      <c r="K105" s="34">
        <f t="shared" si="15"/>
        <v>234</v>
      </c>
      <c r="L105" s="34" t="str">
        <f>IF(Data!$I104="","",Data!I104)</f>
        <v>Asko Haaksi</v>
      </c>
      <c r="M105" s="34">
        <f>IF(Data!$I104="","",IF(Data!J104=0,"dns",Data!J104))</f>
        <v>97</v>
      </c>
      <c r="N105" s="34" t="str">
        <f>IF(Data!$I104="","","GP"&amp;Data!$B104&amp;", "&amp;Data!$J$1)</f>
        <v>GP6, Sarja 1</v>
      </c>
      <c r="O105" s="34">
        <f t="shared" si="16"/>
        <v>233</v>
      </c>
      <c r="P105" s="34">
        <f>IF($L105="","",Data!B104)</f>
        <v>6</v>
      </c>
      <c r="Q105" s="34" t="str">
        <f t="shared" si="17"/>
        <v>1</v>
      </c>
      <c r="R105" s="34">
        <f t="shared" si="18"/>
        <v>105</v>
      </c>
      <c r="S105" s="70">
        <f t="shared" si="19"/>
        <v>0.23306110500000002</v>
      </c>
    </row>
    <row r="106" spans="1:19" x14ac:dyDescent="0.25">
      <c r="A106" s="34">
        <f t="shared" si="23"/>
        <v>102</v>
      </c>
      <c r="B106" s="34" t="str">
        <f t="shared" si="20"/>
        <v>Sakari Leinonen</v>
      </c>
      <c r="C106" s="34">
        <f t="shared" si="21"/>
        <v>139</v>
      </c>
      <c r="D106" s="34" t="str">
        <f t="shared" si="22"/>
        <v>GP5, Sarja 2</v>
      </c>
      <c r="K106" s="34">
        <f t="shared" si="15"/>
        <v>113</v>
      </c>
      <c r="L106" s="34" t="str">
        <f>IF(Data!$I105="","",Data!I105)</f>
        <v>Miika Nordblad</v>
      </c>
      <c r="M106" s="34">
        <f>IF(Data!$I105="","",IF(Data!J105=0,"dns",Data!J105))</f>
        <v>133</v>
      </c>
      <c r="N106" s="34" t="str">
        <f>IF(Data!$I105="","","GP"&amp;Data!$B105&amp;", "&amp;Data!$J$1)</f>
        <v>GP6, Sarja 1</v>
      </c>
      <c r="O106" s="34">
        <f t="shared" si="16"/>
        <v>113</v>
      </c>
      <c r="P106" s="34">
        <f>IF($L106="","",Data!B105)</f>
        <v>6</v>
      </c>
      <c r="Q106" s="34" t="str">
        <f t="shared" si="17"/>
        <v>1</v>
      </c>
      <c r="R106" s="34">
        <f t="shared" si="18"/>
        <v>106</v>
      </c>
      <c r="S106" s="70">
        <f t="shared" si="19"/>
        <v>0.11306110600000001</v>
      </c>
    </row>
    <row r="107" spans="1:19" x14ac:dyDescent="0.25">
      <c r="A107" s="34">
        <f t="shared" si="23"/>
        <v>103</v>
      </c>
      <c r="B107" s="34" t="str">
        <f t="shared" si="20"/>
        <v>Henri Verho</v>
      </c>
      <c r="C107" s="34">
        <f t="shared" si="21"/>
        <v>138</v>
      </c>
      <c r="D107" s="34" t="str">
        <f t="shared" si="22"/>
        <v>GP8, Sarja 1</v>
      </c>
      <c r="K107" s="34">
        <f t="shared" si="15"/>
        <v>225</v>
      </c>
      <c r="L107" s="34" t="str">
        <f>IF(Data!$I106="","",Data!I106)</f>
        <v>Sakari Leinonen</v>
      </c>
      <c r="M107" s="34">
        <f>IF(Data!$I106="","",IF(Data!J106=0,"dns",Data!J106))</f>
        <v>103</v>
      </c>
      <c r="N107" s="34" t="str">
        <f>IF(Data!$I106="","","GP"&amp;Data!$B106&amp;", "&amp;Data!$J$1)</f>
        <v>GP6, Sarja 1</v>
      </c>
      <c r="O107" s="34">
        <f t="shared" si="16"/>
        <v>225</v>
      </c>
      <c r="P107" s="34">
        <f>IF($L107="","",Data!B106)</f>
        <v>6</v>
      </c>
      <c r="Q107" s="34" t="str">
        <f t="shared" si="17"/>
        <v>1</v>
      </c>
      <c r="R107" s="34">
        <f t="shared" si="18"/>
        <v>107</v>
      </c>
      <c r="S107" s="70">
        <f t="shared" si="19"/>
        <v>0.22506110700000001</v>
      </c>
    </row>
    <row r="108" spans="1:19" x14ac:dyDescent="0.25">
      <c r="A108" s="34">
        <f t="shared" si="23"/>
        <v>104</v>
      </c>
      <c r="B108" s="34" t="str">
        <f t="shared" si="20"/>
        <v>Mika Sola</v>
      </c>
      <c r="C108" s="34">
        <f t="shared" si="21"/>
        <v>137</v>
      </c>
      <c r="D108" s="34" t="str">
        <f t="shared" si="22"/>
        <v>GP5, Sarja 2</v>
      </c>
      <c r="K108" s="34">
        <f t="shared" si="15"/>
        <v>307</v>
      </c>
      <c r="L108" s="34" t="str">
        <f>IF(Data!$I107="","",Data!I107)</f>
        <v>Ossi Oksa</v>
      </c>
      <c r="M108" s="34" t="str">
        <f>IF(Data!$I107="","",IF(Data!J107=0,"dns",Data!J107))</f>
        <v>dns</v>
      </c>
      <c r="N108" s="34" t="str">
        <f>IF(Data!$I107="","","GP"&amp;Data!$B107&amp;", "&amp;Data!$J$1)</f>
        <v>GP6, Sarja 1</v>
      </c>
      <c r="O108" s="34">
        <f t="shared" si="16"/>
        <v>625</v>
      </c>
      <c r="P108" s="34">
        <f>IF($L108="","",Data!B107)</f>
        <v>6</v>
      </c>
      <c r="Q108" s="34" t="str">
        <f t="shared" si="17"/>
        <v>1</v>
      </c>
      <c r="R108" s="34">
        <f t="shared" si="18"/>
        <v>108</v>
      </c>
      <c r="S108" s="70">
        <f t="shared" si="19"/>
        <v>0.62506110800000003</v>
      </c>
    </row>
    <row r="109" spans="1:19" x14ac:dyDescent="0.25">
      <c r="A109" s="34">
        <f t="shared" si="23"/>
        <v>105</v>
      </c>
      <c r="B109" s="34" t="str">
        <f t="shared" si="20"/>
        <v>Mika Sola</v>
      </c>
      <c r="C109" s="34">
        <f t="shared" si="21"/>
        <v>137</v>
      </c>
      <c r="D109" s="34" t="str">
        <f t="shared" si="22"/>
        <v>GP6, Sarja 2</v>
      </c>
      <c r="K109" s="34">
        <f t="shared" si="15"/>
        <v>308</v>
      </c>
      <c r="L109" s="34" t="str">
        <f>IF(Data!$I108="","",Data!I108)</f>
        <v>Roope Warro</v>
      </c>
      <c r="M109" s="34" t="str">
        <f>IF(Data!$I108="","",IF(Data!J108=0,"dns",Data!J108))</f>
        <v>dns</v>
      </c>
      <c r="N109" s="34" t="str">
        <f>IF(Data!$I108="","","GP"&amp;Data!$B108&amp;", "&amp;Data!$J$1)</f>
        <v>GP6, Sarja 1</v>
      </c>
      <c r="O109" s="34">
        <f t="shared" si="16"/>
        <v>625</v>
      </c>
      <c r="P109" s="34">
        <f>IF($L109="","",Data!B108)</f>
        <v>6</v>
      </c>
      <c r="Q109" s="34" t="str">
        <f t="shared" si="17"/>
        <v>1</v>
      </c>
      <c r="R109" s="34">
        <f t="shared" si="18"/>
        <v>109</v>
      </c>
      <c r="S109" s="70">
        <f t="shared" si="19"/>
        <v>0.625061109</v>
      </c>
    </row>
    <row r="110" spans="1:19" x14ac:dyDescent="0.25">
      <c r="A110" s="34">
        <f t="shared" si="23"/>
        <v>106</v>
      </c>
      <c r="B110" s="34" t="str">
        <f t="shared" si="20"/>
        <v>Mikko Mansikkamäki</v>
      </c>
      <c r="C110" s="34">
        <f t="shared" si="21"/>
        <v>137</v>
      </c>
      <c r="D110" s="34" t="str">
        <f t="shared" si="22"/>
        <v>GP10, Sarja 2</v>
      </c>
      <c r="K110" s="34">
        <f t="shared" si="15"/>
        <v>309</v>
      </c>
      <c r="L110" s="34" t="str">
        <f>IF(Data!$I109="","",Data!I109)</f>
        <v>Miikka Korventausta</v>
      </c>
      <c r="M110" s="34" t="str">
        <f>IF(Data!$I109="","",IF(Data!J109=0,"dns",Data!J109))</f>
        <v>dns</v>
      </c>
      <c r="N110" s="34" t="str">
        <f>IF(Data!$I109="","","GP"&amp;Data!$B109&amp;", "&amp;Data!$J$1)</f>
        <v>GP6, Sarja 1</v>
      </c>
      <c r="O110" s="34">
        <f t="shared" si="16"/>
        <v>625</v>
      </c>
      <c r="P110" s="34">
        <f>IF($L110="","",Data!B109)</f>
        <v>6</v>
      </c>
      <c r="Q110" s="34" t="str">
        <f t="shared" si="17"/>
        <v>1</v>
      </c>
      <c r="R110" s="34">
        <f t="shared" si="18"/>
        <v>110</v>
      </c>
      <c r="S110" s="70">
        <f t="shared" si="19"/>
        <v>0.62506110999999998</v>
      </c>
    </row>
    <row r="111" spans="1:19" x14ac:dyDescent="0.25">
      <c r="A111" s="34">
        <f t="shared" si="23"/>
        <v>107</v>
      </c>
      <c r="B111" s="34" t="str">
        <f t="shared" si="20"/>
        <v>Kaleva Latvala</v>
      </c>
      <c r="C111" s="34">
        <f t="shared" si="21"/>
        <v>136</v>
      </c>
      <c r="D111" s="34" t="str">
        <f t="shared" si="22"/>
        <v>GP2, Sarja 1</v>
      </c>
      <c r="K111" s="34">
        <f t="shared" si="15"/>
        <v>198</v>
      </c>
      <c r="L111" s="34" t="str">
        <f>IF(Data!$I110="","",Data!I110)</f>
        <v>Miikka Korventausta</v>
      </c>
      <c r="M111" s="34">
        <f>IF(Data!$I110="","",IF(Data!J110=0,"dns",Data!J110))</f>
        <v>112</v>
      </c>
      <c r="N111" s="34" t="str">
        <f>IF(Data!$I110="","","GP"&amp;Data!$B110&amp;", "&amp;Data!$J$1)</f>
        <v>GP7, Sarja 1</v>
      </c>
      <c r="O111" s="34">
        <f t="shared" si="16"/>
        <v>198</v>
      </c>
      <c r="P111" s="34">
        <f>IF($L111="","",Data!B110)</f>
        <v>7</v>
      </c>
      <c r="Q111" s="34" t="str">
        <f t="shared" si="17"/>
        <v>1</v>
      </c>
      <c r="R111" s="34">
        <f t="shared" si="18"/>
        <v>111</v>
      </c>
      <c r="S111" s="70">
        <f t="shared" si="19"/>
        <v>0.19807111099999999</v>
      </c>
    </row>
    <row r="112" spans="1:19" x14ac:dyDescent="0.25">
      <c r="A112" s="34">
        <f t="shared" si="23"/>
        <v>108</v>
      </c>
      <c r="B112" s="34" t="str">
        <f t="shared" si="20"/>
        <v>Miikka Korventausta</v>
      </c>
      <c r="C112" s="34">
        <f t="shared" si="21"/>
        <v>136</v>
      </c>
      <c r="D112" s="34" t="str">
        <f t="shared" si="22"/>
        <v>GP3, Sarja 1</v>
      </c>
      <c r="K112" s="34">
        <f t="shared" si="15"/>
        <v>218</v>
      </c>
      <c r="L112" s="34" t="str">
        <f>IF(Data!$I111="","",Data!I111)</f>
        <v>Joonas Ollonqvist</v>
      </c>
      <c r="M112" s="34">
        <f>IF(Data!$I111="","",IF(Data!J111=0,"dns",Data!J111))</f>
        <v>105</v>
      </c>
      <c r="N112" s="34" t="str">
        <f>IF(Data!$I111="","","GP"&amp;Data!$B111&amp;", "&amp;Data!$J$1)</f>
        <v>GP7, Sarja 1</v>
      </c>
      <c r="O112" s="34">
        <f t="shared" si="16"/>
        <v>217</v>
      </c>
      <c r="P112" s="34">
        <f>IF($L112="","",Data!B111)</f>
        <v>7</v>
      </c>
      <c r="Q112" s="34" t="str">
        <f t="shared" si="17"/>
        <v>1</v>
      </c>
      <c r="R112" s="34">
        <f t="shared" si="18"/>
        <v>112</v>
      </c>
      <c r="S112" s="70">
        <f t="shared" si="19"/>
        <v>0.21707111199999998</v>
      </c>
    </row>
    <row r="113" spans="1:19" x14ac:dyDescent="0.25">
      <c r="A113" s="34">
        <f t="shared" si="23"/>
        <v>109</v>
      </c>
      <c r="B113" s="34" t="str">
        <f t="shared" si="20"/>
        <v>Iiro Riikonen</v>
      </c>
      <c r="C113" s="34">
        <f t="shared" si="21"/>
        <v>136</v>
      </c>
      <c r="D113" s="34" t="str">
        <f t="shared" si="22"/>
        <v>GP8, Sarja 1</v>
      </c>
      <c r="K113" s="34">
        <f t="shared" si="15"/>
        <v>18</v>
      </c>
      <c r="L113" s="34" t="str">
        <f>IF(Data!$I112="","",Data!I112)</f>
        <v>Asko Haaksi</v>
      </c>
      <c r="M113" s="34">
        <f>IF(Data!$I112="","",IF(Data!J112=0,"dns",Data!J112))</f>
        <v>177</v>
      </c>
      <c r="N113" s="34" t="str">
        <f>IF(Data!$I112="","","GP"&amp;Data!$B112&amp;", "&amp;Data!$J$1)</f>
        <v>GP7, Sarja 1</v>
      </c>
      <c r="O113" s="34">
        <f t="shared" si="16"/>
        <v>18</v>
      </c>
      <c r="P113" s="34">
        <f>IF($L113="","",Data!B112)</f>
        <v>7</v>
      </c>
      <c r="Q113" s="34" t="str">
        <f t="shared" si="17"/>
        <v>1</v>
      </c>
      <c r="R113" s="34">
        <f t="shared" si="18"/>
        <v>113</v>
      </c>
      <c r="S113" s="70">
        <f t="shared" si="19"/>
        <v>1.8071113E-2</v>
      </c>
    </row>
    <row r="114" spans="1:19" x14ac:dyDescent="0.25">
      <c r="A114" s="34">
        <f t="shared" si="23"/>
        <v>110</v>
      </c>
      <c r="B114" s="34" t="str">
        <f t="shared" si="20"/>
        <v>Niko Reunanen</v>
      </c>
      <c r="C114" s="34">
        <f t="shared" si="21"/>
        <v>135</v>
      </c>
      <c r="D114" s="34" t="str">
        <f t="shared" si="22"/>
        <v>GP9, Sarja 1</v>
      </c>
      <c r="K114" s="34">
        <f t="shared" si="15"/>
        <v>119</v>
      </c>
      <c r="L114" s="34" t="str">
        <f>IF(Data!$I113="","",Data!I113)</f>
        <v>Henri Verho</v>
      </c>
      <c r="M114" s="34">
        <f>IF(Data!$I113="","",IF(Data!J113=0,"dns",Data!J113))</f>
        <v>132</v>
      </c>
      <c r="N114" s="34" t="str">
        <f>IF(Data!$I113="","","GP"&amp;Data!$B113&amp;", "&amp;Data!$J$1)</f>
        <v>GP7, Sarja 1</v>
      </c>
      <c r="O114" s="34">
        <f t="shared" si="16"/>
        <v>118</v>
      </c>
      <c r="P114" s="34">
        <f>IF($L114="","",Data!B113)</f>
        <v>7</v>
      </c>
      <c r="Q114" s="34" t="str">
        <f t="shared" si="17"/>
        <v>1</v>
      </c>
      <c r="R114" s="34">
        <f t="shared" si="18"/>
        <v>114</v>
      </c>
      <c r="S114" s="70">
        <f t="shared" si="19"/>
        <v>0.11807111399999999</v>
      </c>
    </row>
    <row r="115" spans="1:19" x14ac:dyDescent="0.25">
      <c r="A115" s="34">
        <f t="shared" si="23"/>
        <v>111</v>
      </c>
      <c r="B115" s="34" t="str">
        <f t="shared" si="20"/>
        <v>Jami Kallio</v>
      </c>
      <c r="C115" s="34">
        <f t="shared" si="21"/>
        <v>134</v>
      </c>
      <c r="D115" s="34" t="str">
        <f t="shared" si="22"/>
        <v>GP3, Sarja 1</v>
      </c>
      <c r="K115" s="34">
        <f t="shared" si="15"/>
        <v>138</v>
      </c>
      <c r="L115" s="34" t="str">
        <f>IF(Data!$I114="","",Data!I114)</f>
        <v>Juho Korpi</v>
      </c>
      <c r="M115" s="34">
        <f>IF(Data!$I114="","",IF(Data!J114=0,"dns",Data!J114))</f>
        <v>128</v>
      </c>
      <c r="N115" s="34" t="str">
        <f>IF(Data!$I114="","","GP"&amp;Data!$B114&amp;", "&amp;Data!$J$1)</f>
        <v>GP7, Sarja 1</v>
      </c>
      <c r="O115" s="34">
        <f t="shared" si="16"/>
        <v>137</v>
      </c>
      <c r="P115" s="34">
        <f>IF($L115="","",Data!B114)</f>
        <v>7</v>
      </c>
      <c r="Q115" s="34" t="str">
        <f t="shared" si="17"/>
        <v>1</v>
      </c>
      <c r="R115" s="34">
        <f t="shared" si="18"/>
        <v>115</v>
      </c>
      <c r="S115" s="70">
        <f t="shared" si="19"/>
        <v>0.13707111499999999</v>
      </c>
    </row>
    <row r="116" spans="1:19" x14ac:dyDescent="0.25">
      <c r="A116" s="34">
        <f t="shared" si="23"/>
        <v>112</v>
      </c>
      <c r="B116" s="34" t="str">
        <f t="shared" si="20"/>
        <v>Sakari Leinonen</v>
      </c>
      <c r="C116" s="34">
        <f t="shared" si="21"/>
        <v>134</v>
      </c>
      <c r="D116" s="34" t="str">
        <f t="shared" si="22"/>
        <v>GP6, Sarja 2</v>
      </c>
      <c r="K116" s="34">
        <f t="shared" si="15"/>
        <v>60</v>
      </c>
      <c r="L116" s="34" t="str">
        <f>IF(Data!$I115="","",Data!I115)</f>
        <v>Jami Kallio</v>
      </c>
      <c r="M116" s="34">
        <f>IF(Data!$I115="","",IF(Data!J115=0,"dns",Data!J115))</f>
        <v>155</v>
      </c>
      <c r="N116" s="34" t="str">
        <f>IF(Data!$I115="","","GP"&amp;Data!$B115&amp;", "&amp;Data!$J$1)</f>
        <v>GP7, Sarja 1</v>
      </c>
      <c r="O116" s="34">
        <f t="shared" si="16"/>
        <v>59</v>
      </c>
      <c r="P116" s="34">
        <f>IF($L116="","",Data!B115)</f>
        <v>7</v>
      </c>
      <c r="Q116" s="34" t="str">
        <f t="shared" si="17"/>
        <v>1</v>
      </c>
      <c r="R116" s="34">
        <f t="shared" si="18"/>
        <v>116</v>
      </c>
      <c r="S116" s="70">
        <f t="shared" si="19"/>
        <v>5.9071116E-2</v>
      </c>
    </row>
    <row r="117" spans="1:19" x14ac:dyDescent="0.25">
      <c r="A117" s="34">
        <f t="shared" si="23"/>
        <v>113</v>
      </c>
      <c r="B117" s="34" t="str">
        <f t="shared" si="20"/>
        <v>Miika Nordblad</v>
      </c>
      <c r="C117" s="34">
        <f t="shared" si="21"/>
        <v>133</v>
      </c>
      <c r="D117" s="34" t="str">
        <f t="shared" si="22"/>
        <v>GP6, Sarja 1</v>
      </c>
      <c r="K117" s="34">
        <f t="shared" si="15"/>
        <v>40</v>
      </c>
      <c r="L117" s="34" t="str">
        <f>IF(Data!$I116="","",Data!I116)</f>
        <v>Olli Kajava</v>
      </c>
      <c r="M117" s="34">
        <f>IF(Data!$I116="","",IF(Data!J116=0,"dns",Data!J116))</f>
        <v>163</v>
      </c>
      <c r="N117" s="34" t="str">
        <f>IF(Data!$I116="","","GP"&amp;Data!$B116&amp;", "&amp;Data!$J$1)</f>
        <v>GP7, Sarja 1</v>
      </c>
      <c r="O117" s="34">
        <f t="shared" si="16"/>
        <v>39</v>
      </c>
      <c r="P117" s="34">
        <f>IF($L117="","",Data!B116)</f>
        <v>7</v>
      </c>
      <c r="Q117" s="34" t="str">
        <f t="shared" si="17"/>
        <v>1</v>
      </c>
      <c r="R117" s="34">
        <f t="shared" si="18"/>
        <v>117</v>
      </c>
      <c r="S117" s="70">
        <f t="shared" si="19"/>
        <v>3.9071117000000002E-2</v>
      </c>
    </row>
    <row r="118" spans="1:19" x14ac:dyDescent="0.25">
      <c r="A118" s="34">
        <f t="shared" si="23"/>
        <v>114</v>
      </c>
      <c r="B118" s="34" t="str">
        <f t="shared" si="20"/>
        <v>Mika Sola</v>
      </c>
      <c r="C118" s="34">
        <f t="shared" si="21"/>
        <v>133</v>
      </c>
      <c r="D118" s="34" t="str">
        <f t="shared" si="22"/>
        <v>GP7, Sarja 1</v>
      </c>
      <c r="K118" s="34">
        <f t="shared" si="15"/>
        <v>114</v>
      </c>
      <c r="L118" s="34" t="str">
        <f>IF(Data!$I117="","",Data!I117)</f>
        <v>Mika Sola</v>
      </c>
      <c r="M118" s="34">
        <f>IF(Data!$I117="","",IF(Data!J117=0,"dns",Data!J117))</f>
        <v>133</v>
      </c>
      <c r="N118" s="34" t="str">
        <f>IF(Data!$I117="","","GP"&amp;Data!$B117&amp;", "&amp;Data!$J$1)</f>
        <v>GP7, Sarja 1</v>
      </c>
      <c r="O118" s="34">
        <f t="shared" si="16"/>
        <v>113</v>
      </c>
      <c r="P118" s="34">
        <f>IF($L118="","",Data!B117)</f>
        <v>7</v>
      </c>
      <c r="Q118" s="34" t="str">
        <f t="shared" si="17"/>
        <v>1</v>
      </c>
      <c r="R118" s="34">
        <f t="shared" si="18"/>
        <v>118</v>
      </c>
      <c r="S118" s="70">
        <f t="shared" si="19"/>
        <v>0.113071118</v>
      </c>
    </row>
    <row r="119" spans="1:19" x14ac:dyDescent="0.25">
      <c r="A119" s="34">
        <f t="shared" si="23"/>
        <v>115</v>
      </c>
      <c r="B119" s="34" t="str">
        <f t="shared" si="20"/>
        <v>Frans Hartman</v>
      </c>
      <c r="C119" s="34">
        <f t="shared" si="21"/>
        <v>133</v>
      </c>
      <c r="D119" s="34" t="str">
        <f t="shared" si="22"/>
        <v>GP9, Sarja 1</v>
      </c>
      <c r="K119" s="34">
        <f t="shared" si="15"/>
        <v>61</v>
      </c>
      <c r="L119" s="34" t="str">
        <f>IF(Data!$I118="","",Data!I118)</f>
        <v>Niko Reunanen</v>
      </c>
      <c r="M119" s="34">
        <f>IF(Data!$I118="","",IF(Data!J118=0,"dns",Data!J118))</f>
        <v>155</v>
      </c>
      <c r="N119" s="34" t="str">
        <f>IF(Data!$I118="","","GP"&amp;Data!$B118&amp;", "&amp;Data!$J$1)</f>
        <v>GP7, Sarja 1</v>
      </c>
      <c r="O119" s="34">
        <f t="shared" si="16"/>
        <v>59</v>
      </c>
      <c r="P119" s="34">
        <f>IF($L119="","",Data!B118)</f>
        <v>7</v>
      </c>
      <c r="Q119" s="34" t="str">
        <f t="shared" si="17"/>
        <v>1</v>
      </c>
      <c r="R119" s="34">
        <f t="shared" si="18"/>
        <v>119</v>
      </c>
      <c r="S119" s="70">
        <f t="shared" si="19"/>
        <v>5.9071118999999998E-2</v>
      </c>
    </row>
    <row r="120" spans="1:19" x14ac:dyDescent="0.25">
      <c r="A120" s="34">
        <f t="shared" si="23"/>
        <v>116</v>
      </c>
      <c r="B120" s="34" t="str">
        <f t="shared" si="20"/>
        <v>Henri Verho</v>
      </c>
      <c r="C120" s="34">
        <f t="shared" si="21"/>
        <v>133</v>
      </c>
      <c r="D120" s="34" t="str">
        <f t="shared" si="22"/>
        <v>GP9, Sarja 1</v>
      </c>
      <c r="K120" s="34">
        <f t="shared" si="15"/>
        <v>74</v>
      </c>
      <c r="L120" s="34" t="str">
        <f>IF(Data!$I119="","",Data!I119)</f>
        <v>Miika Nordblad</v>
      </c>
      <c r="M120" s="34">
        <f>IF(Data!$I119="","",IF(Data!J119=0,"dns",Data!J119))</f>
        <v>148</v>
      </c>
      <c r="N120" s="34" t="str">
        <f>IF(Data!$I119="","","GP"&amp;Data!$B119&amp;", "&amp;Data!$J$1)</f>
        <v>GP7, Sarja 1</v>
      </c>
      <c r="O120" s="34">
        <f t="shared" si="16"/>
        <v>71</v>
      </c>
      <c r="P120" s="34">
        <f>IF($L120="","",Data!B119)</f>
        <v>7</v>
      </c>
      <c r="Q120" s="34" t="str">
        <f t="shared" si="17"/>
        <v>1</v>
      </c>
      <c r="R120" s="34">
        <f t="shared" si="18"/>
        <v>120</v>
      </c>
      <c r="S120" s="70">
        <f t="shared" si="19"/>
        <v>7.1071120000000002E-2</v>
      </c>
    </row>
    <row r="121" spans="1:19" x14ac:dyDescent="0.25">
      <c r="A121" s="34">
        <f t="shared" si="23"/>
        <v>117</v>
      </c>
      <c r="B121" s="34" t="str">
        <f t="shared" si="20"/>
        <v>Juho Korpi</v>
      </c>
      <c r="C121" s="34">
        <f t="shared" si="21"/>
        <v>133</v>
      </c>
      <c r="D121" s="34" t="str">
        <f t="shared" si="22"/>
        <v>GP10, Sarja 1</v>
      </c>
      <c r="K121" s="34">
        <f t="shared" si="15"/>
        <v>244</v>
      </c>
      <c r="L121" s="34" t="str">
        <f>IF(Data!$I120="","",Data!I120)</f>
        <v>Ossi Oksa</v>
      </c>
      <c r="M121" s="34">
        <f>IF(Data!$I120="","",IF(Data!J120=0,"dns",Data!J120))</f>
        <v>87</v>
      </c>
      <c r="N121" s="34" t="str">
        <f>IF(Data!$I120="","","GP"&amp;Data!$B120&amp;", "&amp;Data!$J$1)</f>
        <v>GP7, Sarja 1</v>
      </c>
      <c r="O121" s="34">
        <f t="shared" si="16"/>
        <v>243</v>
      </c>
      <c r="P121" s="34">
        <f>IF($L121="","",Data!B120)</f>
        <v>7</v>
      </c>
      <c r="Q121" s="34" t="str">
        <f t="shared" si="17"/>
        <v>1</v>
      </c>
      <c r="R121" s="34">
        <f t="shared" si="18"/>
        <v>121</v>
      </c>
      <c r="S121" s="70">
        <f t="shared" si="19"/>
        <v>0.24307112099999997</v>
      </c>
    </row>
    <row r="122" spans="1:19" x14ac:dyDescent="0.25">
      <c r="A122" s="34">
        <f t="shared" si="23"/>
        <v>118</v>
      </c>
      <c r="B122" s="34" t="str">
        <f t="shared" si="20"/>
        <v>Iiro Riikonen</v>
      </c>
      <c r="C122" s="34">
        <f t="shared" si="21"/>
        <v>132</v>
      </c>
      <c r="D122" s="34" t="str">
        <f t="shared" si="22"/>
        <v>GP2, Sarja 1</v>
      </c>
      <c r="K122" s="34">
        <f t="shared" si="15"/>
        <v>313</v>
      </c>
      <c r="L122" s="34" t="str">
        <f>IF(Data!$I121="","",Data!I121)</f>
        <v>Iiro Riikonen</v>
      </c>
      <c r="M122" s="34" t="str">
        <f>IF(Data!$I121="","",IF(Data!J121=0,"dns",Data!J121))</f>
        <v>dns</v>
      </c>
      <c r="N122" s="34" t="str">
        <f>IF(Data!$I121="","","GP"&amp;Data!$B121&amp;", "&amp;Data!$J$1)</f>
        <v>GP7, Sarja 1</v>
      </c>
      <c r="O122" s="34">
        <f t="shared" si="16"/>
        <v>625</v>
      </c>
      <c r="P122" s="34">
        <f>IF($L122="","",Data!B121)</f>
        <v>7</v>
      </c>
      <c r="Q122" s="34" t="str">
        <f t="shared" si="17"/>
        <v>1</v>
      </c>
      <c r="R122" s="34">
        <f t="shared" si="18"/>
        <v>122</v>
      </c>
      <c r="S122" s="70">
        <f t="shared" si="19"/>
        <v>0.62507112200000003</v>
      </c>
    </row>
    <row r="123" spans="1:19" x14ac:dyDescent="0.25">
      <c r="A123" s="34">
        <f t="shared" si="23"/>
        <v>119</v>
      </c>
      <c r="B123" s="34" t="str">
        <f t="shared" si="20"/>
        <v>Henri Verho</v>
      </c>
      <c r="C123" s="34">
        <f t="shared" si="21"/>
        <v>132</v>
      </c>
      <c r="D123" s="34" t="str">
        <f t="shared" si="22"/>
        <v>GP7, Sarja 1</v>
      </c>
      <c r="K123" s="34">
        <f t="shared" si="15"/>
        <v>314</v>
      </c>
      <c r="L123" s="34" t="str">
        <f>IF(Data!$I122="","",Data!I122)</f>
        <v>Frans Hartman</v>
      </c>
      <c r="M123" s="34" t="str">
        <f>IF(Data!$I122="","",IF(Data!J122=0,"dns",Data!J122))</f>
        <v>dns</v>
      </c>
      <c r="N123" s="34" t="str">
        <f>IF(Data!$I122="","","GP"&amp;Data!$B122&amp;", "&amp;Data!$J$1)</f>
        <v>GP7, Sarja 1</v>
      </c>
      <c r="O123" s="34">
        <f t="shared" si="16"/>
        <v>625</v>
      </c>
      <c r="P123" s="34">
        <f>IF($L123="","",Data!B122)</f>
        <v>7</v>
      </c>
      <c r="Q123" s="34" t="str">
        <f t="shared" si="17"/>
        <v>1</v>
      </c>
      <c r="R123" s="34">
        <f t="shared" si="18"/>
        <v>123</v>
      </c>
      <c r="S123" s="70">
        <f t="shared" si="19"/>
        <v>0.62507112300000001</v>
      </c>
    </row>
    <row r="124" spans="1:19" x14ac:dyDescent="0.25">
      <c r="A124" s="34">
        <f t="shared" si="23"/>
        <v>120</v>
      </c>
      <c r="B124" s="34" t="str">
        <f t="shared" si="20"/>
        <v>Jami Kallio</v>
      </c>
      <c r="C124" s="34">
        <f t="shared" si="21"/>
        <v>132</v>
      </c>
      <c r="D124" s="34" t="str">
        <f t="shared" si="22"/>
        <v>GP10, Sarja 2</v>
      </c>
      <c r="K124" s="34">
        <f t="shared" si="15"/>
        <v>315</v>
      </c>
      <c r="L124" s="34" t="str">
        <f>IF(Data!$I123="","",Data!I123)</f>
        <v>Kaleva Latvala</v>
      </c>
      <c r="M124" s="34" t="str">
        <f>IF(Data!$I123="","",IF(Data!J123=0,"dns",Data!J123))</f>
        <v>dns</v>
      </c>
      <c r="N124" s="34" t="str">
        <f>IF(Data!$I123="","","GP"&amp;Data!$B123&amp;", "&amp;Data!$J$1)</f>
        <v>GP7, Sarja 1</v>
      </c>
      <c r="O124" s="34">
        <f t="shared" si="16"/>
        <v>625</v>
      </c>
      <c r="P124" s="34">
        <f>IF($L124="","",Data!B123)</f>
        <v>7</v>
      </c>
      <c r="Q124" s="34" t="str">
        <f t="shared" si="17"/>
        <v>1</v>
      </c>
      <c r="R124" s="34">
        <f t="shared" si="18"/>
        <v>124</v>
      </c>
      <c r="S124" s="70">
        <f t="shared" si="19"/>
        <v>0.62507112400000009</v>
      </c>
    </row>
    <row r="125" spans="1:19" x14ac:dyDescent="0.25">
      <c r="A125" s="34">
        <f t="shared" si="23"/>
        <v>121</v>
      </c>
      <c r="B125" s="34" t="str">
        <f t="shared" si="20"/>
        <v>Roope Warro</v>
      </c>
      <c r="C125" s="34">
        <f t="shared" si="21"/>
        <v>131</v>
      </c>
      <c r="D125" s="34" t="str">
        <f t="shared" si="22"/>
        <v>GP1, Sarja 2</v>
      </c>
      <c r="K125" s="34">
        <f t="shared" si="15"/>
        <v>316</v>
      </c>
      <c r="L125" s="34" t="str">
        <f>IF(Data!$I124="","",Data!I124)</f>
        <v>Mikko Mansikkamäki</v>
      </c>
      <c r="M125" s="34" t="str">
        <f>IF(Data!$I124="","",IF(Data!J124=0,"dns",Data!J124))</f>
        <v>dns</v>
      </c>
      <c r="N125" s="34" t="str">
        <f>IF(Data!$I124="","","GP"&amp;Data!$B124&amp;", "&amp;Data!$J$1)</f>
        <v>GP7, Sarja 1</v>
      </c>
      <c r="O125" s="34">
        <f t="shared" si="16"/>
        <v>625</v>
      </c>
      <c r="P125" s="34">
        <f>IF($L125="","",Data!B124)</f>
        <v>7</v>
      </c>
      <c r="Q125" s="34" t="str">
        <f t="shared" si="17"/>
        <v>1</v>
      </c>
      <c r="R125" s="34">
        <f t="shared" si="18"/>
        <v>125</v>
      </c>
      <c r="S125" s="70">
        <f t="shared" si="19"/>
        <v>0.62507112500000006</v>
      </c>
    </row>
    <row r="126" spans="1:19" x14ac:dyDescent="0.25">
      <c r="A126" s="34">
        <f t="shared" si="23"/>
        <v>122</v>
      </c>
      <c r="B126" s="34" t="str">
        <f t="shared" si="20"/>
        <v>Asko Haaksi</v>
      </c>
      <c r="C126" s="34">
        <f t="shared" si="21"/>
        <v>131</v>
      </c>
      <c r="D126" s="34" t="str">
        <f t="shared" si="22"/>
        <v>GP2, Sarja 1</v>
      </c>
      <c r="K126" s="34">
        <f t="shared" si="15"/>
        <v>317</v>
      </c>
      <c r="L126" s="34" t="str">
        <f>IF(Data!$I125="","",Data!I125)</f>
        <v>Sakari Leinonen</v>
      </c>
      <c r="M126" s="34" t="str">
        <f>IF(Data!$I125="","",IF(Data!J125=0,"dns",Data!J125))</f>
        <v>dns</v>
      </c>
      <c r="N126" s="34" t="str">
        <f>IF(Data!$I125="","","GP"&amp;Data!$B125&amp;", "&amp;Data!$J$1)</f>
        <v>GP7, Sarja 1</v>
      </c>
      <c r="O126" s="34">
        <f t="shared" si="16"/>
        <v>625</v>
      </c>
      <c r="P126" s="34">
        <f>IF($L126="","",Data!B125)</f>
        <v>7</v>
      </c>
      <c r="Q126" s="34" t="str">
        <f t="shared" si="17"/>
        <v>1</v>
      </c>
      <c r="R126" s="34">
        <f t="shared" si="18"/>
        <v>126</v>
      </c>
      <c r="S126" s="70">
        <f t="shared" si="19"/>
        <v>0.62507112600000003</v>
      </c>
    </row>
    <row r="127" spans="1:19" x14ac:dyDescent="0.25">
      <c r="A127" s="34">
        <f t="shared" si="23"/>
        <v>123</v>
      </c>
      <c r="B127" s="34" t="str">
        <f t="shared" si="20"/>
        <v>Jami Kallio</v>
      </c>
      <c r="C127" s="34">
        <f t="shared" si="21"/>
        <v>131</v>
      </c>
      <c r="D127" s="34" t="str">
        <f t="shared" si="22"/>
        <v>GP5, Sarja 1</v>
      </c>
      <c r="K127" s="34">
        <f t="shared" si="15"/>
        <v>318</v>
      </c>
      <c r="L127" s="34" t="str">
        <f>IF(Data!$I126="","",Data!I126)</f>
        <v>Roope Warro</v>
      </c>
      <c r="M127" s="34" t="str">
        <f>IF(Data!$I126="","",IF(Data!J126=0,"dns",Data!J126))</f>
        <v>dns</v>
      </c>
      <c r="N127" s="34" t="str">
        <f>IF(Data!$I126="","","GP"&amp;Data!$B126&amp;", "&amp;Data!$J$1)</f>
        <v>GP7, Sarja 1</v>
      </c>
      <c r="O127" s="34">
        <f t="shared" si="16"/>
        <v>625</v>
      </c>
      <c r="P127" s="34">
        <f>IF($L127="","",Data!B126)</f>
        <v>7</v>
      </c>
      <c r="Q127" s="34" t="str">
        <f t="shared" si="17"/>
        <v>1</v>
      </c>
      <c r="R127" s="34">
        <f t="shared" si="18"/>
        <v>127</v>
      </c>
      <c r="S127" s="70">
        <f t="shared" si="19"/>
        <v>0.625071127</v>
      </c>
    </row>
    <row r="128" spans="1:19" x14ac:dyDescent="0.25">
      <c r="A128" s="34">
        <f t="shared" si="23"/>
        <v>124</v>
      </c>
      <c r="B128" s="34" t="str">
        <f t="shared" si="20"/>
        <v>Asko Haaksi</v>
      </c>
      <c r="C128" s="34">
        <f t="shared" si="21"/>
        <v>131</v>
      </c>
      <c r="D128" s="34" t="str">
        <f t="shared" si="22"/>
        <v>GP8, Sarja 1</v>
      </c>
      <c r="K128" s="34">
        <f t="shared" si="15"/>
        <v>319</v>
      </c>
      <c r="L128" s="34" t="str">
        <f>IF(Data!$I127="","",Data!I127)</f>
        <v>Tatu Erlin</v>
      </c>
      <c r="M128" s="34" t="str">
        <f>IF(Data!$I127="","",IF(Data!J127=0,"dns",Data!J127))</f>
        <v>dns</v>
      </c>
      <c r="N128" s="34" t="str">
        <f>IF(Data!$I127="","","GP"&amp;Data!$B127&amp;", "&amp;Data!$J$1)</f>
        <v>GP7, Sarja 1</v>
      </c>
      <c r="O128" s="34">
        <f t="shared" si="16"/>
        <v>625</v>
      </c>
      <c r="P128" s="34">
        <f>IF($L128="","",Data!B127)</f>
        <v>7</v>
      </c>
      <c r="Q128" s="34" t="str">
        <f t="shared" si="17"/>
        <v>1</v>
      </c>
      <c r="R128" s="34">
        <f t="shared" si="18"/>
        <v>128</v>
      </c>
      <c r="S128" s="70">
        <f t="shared" si="19"/>
        <v>0.62507112800000009</v>
      </c>
    </row>
    <row r="129" spans="1:19" x14ac:dyDescent="0.25">
      <c r="A129" s="34">
        <f t="shared" si="23"/>
        <v>125</v>
      </c>
      <c r="B129" s="34" t="str">
        <f t="shared" si="20"/>
        <v>Olli Kajava</v>
      </c>
      <c r="C129" s="34">
        <f t="shared" si="21"/>
        <v>131</v>
      </c>
      <c r="D129" s="34" t="str">
        <f t="shared" si="22"/>
        <v>GP9, Sarja 2</v>
      </c>
      <c r="K129" s="34">
        <f t="shared" si="15"/>
        <v>32</v>
      </c>
      <c r="L129" s="34" t="str">
        <f>IF(Data!$I128="","",Data!I128)</f>
        <v>Juho Korpi</v>
      </c>
      <c r="M129" s="34">
        <f>IF(Data!$I128="","",IF(Data!J128=0,"dns",Data!J128))</f>
        <v>168</v>
      </c>
      <c r="N129" s="34" t="str">
        <f>IF(Data!$I128="","","GP"&amp;Data!$B128&amp;", "&amp;Data!$J$1)</f>
        <v>GP8, Sarja 1</v>
      </c>
      <c r="O129" s="34">
        <f t="shared" si="16"/>
        <v>30</v>
      </c>
      <c r="P129" s="34">
        <f>IF($L129="","",Data!B128)</f>
        <v>8</v>
      </c>
      <c r="Q129" s="34" t="str">
        <f t="shared" si="17"/>
        <v>1</v>
      </c>
      <c r="R129" s="34">
        <f t="shared" si="18"/>
        <v>129</v>
      </c>
      <c r="S129" s="70">
        <f t="shared" si="19"/>
        <v>3.0081129000000002E-2</v>
      </c>
    </row>
    <row r="130" spans="1:19" x14ac:dyDescent="0.25">
      <c r="A130" s="34">
        <f t="shared" si="23"/>
        <v>126</v>
      </c>
      <c r="B130" s="34" t="str">
        <f t="shared" si="20"/>
        <v>Mika Sola</v>
      </c>
      <c r="C130" s="34">
        <f t="shared" si="21"/>
        <v>131</v>
      </c>
      <c r="D130" s="34" t="str">
        <f t="shared" si="22"/>
        <v>GP10, Sarja 2</v>
      </c>
      <c r="K130" s="34">
        <f t="shared" si="15"/>
        <v>134</v>
      </c>
      <c r="L130" s="34" t="str">
        <f>IF(Data!$I129="","",Data!I129)</f>
        <v>Miikka Korventausta</v>
      </c>
      <c r="M130" s="34">
        <f>IF(Data!$I129="","",IF(Data!J129=0,"dns",Data!J129))</f>
        <v>129</v>
      </c>
      <c r="N130" s="34" t="str">
        <f>IF(Data!$I129="","","GP"&amp;Data!$B129&amp;", "&amp;Data!$J$1)</f>
        <v>GP8, Sarja 1</v>
      </c>
      <c r="O130" s="34">
        <f t="shared" si="16"/>
        <v>132</v>
      </c>
      <c r="P130" s="34">
        <f>IF($L130="","",Data!B129)</f>
        <v>8</v>
      </c>
      <c r="Q130" s="34" t="str">
        <f t="shared" si="17"/>
        <v>1</v>
      </c>
      <c r="R130" s="34">
        <f t="shared" si="18"/>
        <v>130</v>
      </c>
      <c r="S130" s="70">
        <f t="shared" si="19"/>
        <v>0.13208112999999999</v>
      </c>
    </row>
    <row r="131" spans="1:19" x14ac:dyDescent="0.25">
      <c r="A131" s="34">
        <f t="shared" si="23"/>
        <v>127</v>
      </c>
      <c r="B131" s="34" t="str">
        <f t="shared" si="20"/>
        <v>Sakari Leinonen</v>
      </c>
      <c r="C131" s="34">
        <f t="shared" si="21"/>
        <v>131</v>
      </c>
      <c r="D131" s="34" t="str">
        <f t="shared" si="22"/>
        <v>GP10, Sarja 2</v>
      </c>
      <c r="K131" s="34">
        <f t="shared" si="15"/>
        <v>57</v>
      </c>
      <c r="L131" s="34" t="str">
        <f>IF(Data!$I130="","",Data!I130)</f>
        <v>Roope Warro</v>
      </c>
      <c r="M131" s="34">
        <f>IF(Data!$I130="","",IF(Data!J130=0,"dns",Data!J130))</f>
        <v>156</v>
      </c>
      <c r="N131" s="34" t="str">
        <f>IF(Data!$I130="","","GP"&amp;Data!$B130&amp;", "&amp;Data!$J$1)</f>
        <v>GP8, Sarja 1</v>
      </c>
      <c r="O131" s="34">
        <f t="shared" si="16"/>
        <v>54</v>
      </c>
      <c r="P131" s="34">
        <f>IF($L131="","",Data!B130)</f>
        <v>8</v>
      </c>
      <c r="Q131" s="34" t="str">
        <f t="shared" si="17"/>
        <v>1</v>
      </c>
      <c r="R131" s="34">
        <f t="shared" si="18"/>
        <v>131</v>
      </c>
      <c r="S131" s="70">
        <f t="shared" si="19"/>
        <v>5.4081130999999998E-2</v>
      </c>
    </row>
    <row r="132" spans="1:19" x14ac:dyDescent="0.25">
      <c r="A132" s="34">
        <f t="shared" si="23"/>
        <v>128</v>
      </c>
      <c r="B132" s="34" t="str">
        <f t="shared" si="20"/>
        <v>Frans Hartman</v>
      </c>
      <c r="C132" s="34">
        <f t="shared" si="21"/>
        <v>130</v>
      </c>
      <c r="D132" s="34" t="str">
        <f t="shared" si="22"/>
        <v>GP1, Sarja 1</v>
      </c>
      <c r="K132" s="34">
        <f t="shared" ref="K132:K195" si="24">IF($L132="","",_xlfn.RANK.EQ($S132,$S$3:$S$626,1))</f>
        <v>219</v>
      </c>
      <c r="L132" s="34" t="str">
        <f>IF(Data!$I131="","",Data!I131)</f>
        <v>Kaleva Latvala</v>
      </c>
      <c r="M132" s="34">
        <f>IF(Data!$I131="","",IF(Data!J131=0,"dns",Data!J131))</f>
        <v>105</v>
      </c>
      <c r="N132" s="34" t="str">
        <f>IF(Data!$I131="","","GP"&amp;Data!$B131&amp;", "&amp;Data!$J$1)</f>
        <v>GP8, Sarja 1</v>
      </c>
      <c r="O132" s="34">
        <f t="shared" ref="O132:O195" si="25">IF(L132="","",IFERROR(_xlfn.RANK.EQ($M132,$M$3:$M$626,0),COUNTA($L$3:$L$626)+1))</f>
        <v>217</v>
      </c>
      <c r="P132" s="34">
        <f>IF($L132="","",Data!B131)</f>
        <v>8</v>
      </c>
      <c r="Q132" s="34" t="str">
        <f t="shared" ref="Q132:Q195" si="26">IF($L132="","",RIGHT(N132,1))</f>
        <v>1</v>
      </c>
      <c r="R132" s="34">
        <f t="shared" ref="R132:R195" si="27">IF($L132="","",ROW())</f>
        <v>132</v>
      </c>
      <c r="S132" s="70">
        <f t="shared" ref="S132:S195" si="28">IF($L132="","",O132/1000+P132/100000+Q132/1000000+R132/1000000000)</f>
        <v>0.21708113200000001</v>
      </c>
    </row>
    <row r="133" spans="1:19" x14ac:dyDescent="0.25">
      <c r="A133" s="34">
        <f t="shared" si="23"/>
        <v>129</v>
      </c>
      <c r="B133" s="34" t="str">
        <f t="shared" ref="B133:B196" si="29">IF($A133="","",VLOOKUP($A133,$K$3:$N$626,L$1,0))</f>
        <v>Ossi Oksa</v>
      </c>
      <c r="C133" s="34">
        <f t="shared" ref="C133:C196" si="30">IF($A133="","",VLOOKUP($A133,$K$3:$N$626,M$1,0))</f>
        <v>130</v>
      </c>
      <c r="D133" s="34" t="str">
        <f t="shared" ref="D133:D196" si="31">IF($A133="","",VLOOKUP($A133,$K$3:$N$626,N$1,0))</f>
        <v>GP1, Sarja 1</v>
      </c>
      <c r="K133" s="34">
        <f t="shared" si="24"/>
        <v>165</v>
      </c>
      <c r="L133" s="34" t="str">
        <f>IF(Data!$I132="","",Data!I132)</f>
        <v>Jami Kallio</v>
      </c>
      <c r="M133" s="34">
        <f>IF(Data!$I132="","",IF(Data!J132=0,"dns",Data!J132))</f>
        <v>123</v>
      </c>
      <c r="N133" s="34" t="str">
        <f>IF(Data!$I132="","","GP"&amp;Data!$B132&amp;", "&amp;Data!$J$1)</f>
        <v>GP8, Sarja 1</v>
      </c>
      <c r="O133" s="34">
        <f t="shared" si="25"/>
        <v>162</v>
      </c>
      <c r="P133" s="34">
        <f>IF($L133="","",Data!B132)</f>
        <v>8</v>
      </c>
      <c r="Q133" s="34" t="str">
        <f t="shared" si="26"/>
        <v>1</v>
      </c>
      <c r="R133" s="34">
        <f t="shared" si="27"/>
        <v>133</v>
      </c>
      <c r="S133" s="70">
        <f t="shared" si="28"/>
        <v>0.16208113300000002</v>
      </c>
    </row>
    <row r="134" spans="1:19" x14ac:dyDescent="0.25">
      <c r="A134" s="34">
        <f t="shared" ref="A134:A197" si="32">IFERROR(IF(A133+1&gt;MAX($K$3:$K$626),"",A133+1),"")</f>
        <v>130</v>
      </c>
      <c r="B134" s="34" t="str">
        <f t="shared" si="29"/>
        <v>Juho Korpi</v>
      </c>
      <c r="C134" s="34">
        <f t="shared" si="30"/>
        <v>130</v>
      </c>
      <c r="D134" s="34" t="str">
        <f t="shared" si="31"/>
        <v>GP3, Sarja 1</v>
      </c>
      <c r="K134" s="34">
        <f t="shared" si="24"/>
        <v>124</v>
      </c>
      <c r="L134" s="34" t="str">
        <f>IF(Data!$I133="","",Data!I133)</f>
        <v>Asko Haaksi</v>
      </c>
      <c r="M134" s="34">
        <f>IF(Data!$I133="","",IF(Data!J133=0,"dns",Data!J133))</f>
        <v>131</v>
      </c>
      <c r="N134" s="34" t="str">
        <f>IF(Data!$I133="","","GP"&amp;Data!$B133&amp;", "&amp;Data!$J$1)</f>
        <v>GP8, Sarja 1</v>
      </c>
      <c r="O134" s="34">
        <f t="shared" si="25"/>
        <v>121</v>
      </c>
      <c r="P134" s="34">
        <f>IF($L134="","",Data!B133)</f>
        <v>8</v>
      </c>
      <c r="Q134" s="34" t="str">
        <f t="shared" si="26"/>
        <v>1</v>
      </c>
      <c r="R134" s="34">
        <f t="shared" si="27"/>
        <v>134</v>
      </c>
      <c r="S134" s="70">
        <f t="shared" si="28"/>
        <v>0.12108113399999999</v>
      </c>
    </row>
    <row r="135" spans="1:19" x14ac:dyDescent="0.25">
      <c r="A135" s="34">
        <f t="shared" si="32"/>
        <v>131</v>
      </c>
      <c r="B135" s="34" t="str">
        <f t="shared" si="29"/>
        <v>Henri Verho</v>
      </c>
      <c r="C135" s="34">
        <f t="shared" si="30"/>
        <v>130</v>
      </c>
      <c r="D135" s="34" t="str">
        <f t="shared" si="31"/>
        <v>GP5, Sarja 1</v>
      </c>
      <c r="K135" s="34">
        <f t="shared" si="24"/>
        <v>247</v>
      </c>
      <c r="L135" s="34" t="str">
        <f>IF(Data!$I134="","",Data!I134)</f>
        <v>Joonas Ollonqvist</v>
      </c>
      <c r="M135" s="34">
        <f>IF(Data!$I134="","",IF(Data!J134=0,"dns",Data!J134))</f>
        <v>80</v>
      </c>
      <c r="N135" s="34" t="str">
        <f>IF(Data!$I134="","","GP"&amp;Data!$B134&amp;", "&amp;Data!$J$1)</f>
        <v>GP8, Sarja 1</v>
      </c>
      <c r="O135" s="34">
        <f t="shared" si="25"/>
        <v>247</v>
      </c>
      <c r="P135" s="34">
        <f>IF($L135="","",Data!B134)</f>
        <v>8</v>
      </c>
      <c r="Q135" s="34" t="str">
        <f t="shared" si="26"/>
        <v>1</v>
      </c>
      <c r="R135" s="34">
        <f t="shared" si="27"/>
        <v>135</v>
      </c>
      <c r="S135" s="70">
        <f t="shared" si="28"/>
        <v>0.24708113500000001</v>
      </c>
    </row>
    <row r="136" spans="1:19" x14ac:dyDescent="0.25">
      <c r="A136" s="34">
        <f t="shared" si="32"/>
        <v>132</v>
      </c>
      <c r="B136" s="34" t="str">
        <f t="shared" si="29"/>
        <v>Tatu Erlin</v>
      </c>
      <c r="C136" s="34">
        <f t="shared" si="30"/>
        <v>129</v>
      </c>
      <c r="D136" s="34" t="str">
        <f t="shared" si="31"/>
        <v>GP1, Sarja 2</v>
      </c>
      <c r="K136" s="34">
        <f t="shared" si="24"/>
        <v>187</v>
      </c>
      <c r="L136" s="34" t="str">
        <f>IF(Data!$I135="","",Data!I135)</f>
        <v>Niko Reunanen</v>
      </c>
      <c r="M136" s="34">
        <f>IF(Data!$I135="","",IF(Data!J135=0,"dns",Data!J135))</f>
        <v>118</v>
      </c>
      <c r="N136" s="34" t="str">
        <f>IF(Data!$I135="","","GP"&amp;Data!$B135&amp;", "&amp;Data!$J$1)</f>
        <v>GP8, Sarja 1</v>
      </c>
      <c r="O136" s="34">
        <f t="shared" si="25"/>
        <v>184</v>
      </c>
      <c r="P136" s="34">
        <f>IF($L136="","",Data!B135)</f>
        <v>8</v>
      </c>
      <c r="Q136" s="34" t="str">
        <f t="shared" si="26"/>
        <v>1</v>
      </c>
      <c r="R136" s="34">
        <f t="shared" si="27"/>
        <v>136</v>
      </c>
      <c r="S136" s="70">
        <f t="shared" si="28"/>
        <v>0.18408113600000001</v>
      </c>
    </row>
    <row r="137" spans="1:19" x14ac:dyDescent="0.25">
      <c r="A137" s="34">
        <f t="shared" si="32"/>
        <v>133</v>
      </c>
      <c r="B137" s="34" t="str">
        <f t="shared" si="29"/>
        <v>Olli Kajava</v>
      </c>
      <c r="C137" s="34">
        <f t="shared" si="30"/>
        <v>129</v>
      </c>
      <c r="D137" s="34" t="str">
        <f t="shared" si="31"/>
        <v>GP7, Sarja 2</v>
      </c>
      <c r="K137" s="34">
        <f t="shared" si="24"/>
        <v>24</v>
      </c>
      <c r="L137" s="34" t="str">
        <f>IF(Data!$I136="","",Data!I136)</f>
        <v>Ossi Oksa</v>
      </c>
      <c r="M137" s="34">
        <f>IF(Data!$I136="","",IF(Data!J136=0,"dns",Data!J136))</f>
        <v>171</v>
      </c>
      <c r="N137" s="34" t="str">
        <f>IF(Data!$I136="","","GP"&amp;Data!$B136&amp;", "&amp;Data!$J$1)</f>
        <v>GP8, Sarja 1</v>
      </c>
      <c r="O137" s="34">
        <f t="shared" si="25"/>
        <v>24</v>
      </c>
      <c r="P137" s="34">
        <f>IF($L137="","",Data!B136)</f>
        <v>8</v>
      </c>
      <c r="Q137" s="34" t="str">
        <f t="shared" si="26"/>
        <v>1</v>
      </c>
      <c r="R137" s="34">
        <f t="shared" si="27"/>
        <v>137</v>
      </c>
      <c r="S137" s="70">
        <f t="shared" si="28"/>
        <v>2.4081137000000002E-2</v>
      </c>
    </row>
    <row r="138" spans="1:19" x14ac:dyDescent="0.25">
      <c r="A138" s="34">
        <f t="shared" si="32"/>
        <v>134</v>
      </c>
      <c r="B138" s="34" t="str">
        <f t="shared" si="29"/>
        <v>Miikka Korventausta</v>
      </c>
      <c r="C138" s="34">
        <f t="shared" si="30"/>
        <v>129</v>
      </c>
      <c r="D138" s="34" t="str">
        <f t="shared" si="31"/>
        <v>GP8, Sarja 1</v>
      </c>
      <c r="K138" s="34">
        <f t="shared" si="24"/>
        <v>109</v>
      </c>
      <c r="L138" s="34" t="str">
        <f>IF(Data!$I137="","",Data!I137)</f>
        <v>Iiro Riikonen</v>
      </c>
      <c r="M138" s="34">
        <f>IF(Data!$I137="","",IF(Data!J137=0,"dns",Data!J137))</f>
        <v>136</v>
      </c>
      <c r="N138" s="34" t="str">
        <f>IF(Data!$I137="","","GP"&amp;Data!$B137&amp;", "&amp;Data!$J$1)</f>
        <v>GP8, Sarja 1</v>
      </c>
      <c r="O138" s="34">
        <f t="shared" si="25"/>
        <v>107</v>
      </c>
      <c r="P138" s="34">
        <f>IF($L138="","",Data!B137)</f>
        <v>8</v>
      </c>
      <c r="Q138" s="34" t="str">
        <f t="shared" si="26"/>
        <v>1</v>
      </c>
      <c r="R138" s="34">
        <f t="shared" si="27"/>
        <v>138</v>
      </c>
      <c r="S138" s="70">
        <f t="shared" si="28"/>
        <v>0.10708113799999999</v>
      </c>
    </row>
    <row r="139" spans="1:19" x14ac:dyDescent="0.25">
      <c r="A139" s="34">
        <f t="shared" si="32"/>
        <v>135</v>
      </c>
      <c r="B139" s="34" t="str">
        <f t="shared" si="29"/>
        <v>Asko Haaksi</v>
      </c>
      <c r="C139" s="34">
        <f t="shared" si="30"/>
        <v>129</v>
      </c>
      <c r="D139" s="34" t="str">
        <f t="shared" si="31"/>
        <v>GP8, Sarja 2</v>
      </c>
      <c r="K139" s="34">
        <f t="shared" si="24"/>
        <v>222</v>
      </c>
      <c r="L139" s="34" t="str">
        <f>IF(Data!$I138="","",Data!I138)</f>
        <v>Mikko Mansikkamäki</v>
      </c>
      <c r="M139" s="34">
        <f>IF(Data!$I138="","",IF(Data!J138=0,"dns",Data!J138))</f>
        <v>104</v>
      </c>
      <c r="N139" s="34" t="str">
        <f>IF(Data!$I138="","","GP"&amp;Data!$B138&amp;", "&amp;Data!$J$1)</f>
        <v>GP8, Sarja 1</v>
      </c>
      <c r="O139" s="34">
        <f t="shared" si="25"/>
        <v>220</v>
      </c>
      <c r="P139" s="34">
        <f>IF($L139="","",Data!B138)</f>
        <v>8</v>
      </c>
      <c r="Q139" s="34" t="str">
        <f t="shared" si="26"/>
        <v>1</v>
      </c>
      <c r="R139" s="34">
        <f t="shared" si="27"/>
        <v>139</v>
      </c>
      <c r="S139" s="70">
        <f t="shared" si="28"/>
        <v>0.22008113900000001</v>
      </c>
    </row>
    <row r="140" spans="1:19" x14ac:dyDescent="0.25">
      <c r="A140" s="34">
        <f t="shared" si="32"/>
        <v>136</v>
      </c>
      <c r="B140" s="34" t="str">
        <f t="shared" si="29"/>
        <v>Niko Reunanen</v>
      </c>
      <c r="C140" s="34">
        <f t="shared" si="30"/>
        <v>129</v>
      </c>
      <c r="D140" s="34" t="str">
        <f t="shared" si="31"/>
        <v>GP10, Sarja 1</v>
      </c>
      <c r="K140" s="34">
        <f t="shared" si="24"/>
        <v>44</v>
      </c>
      <c r="L140" s="34" t="str">
        <f>IF(Data!$I139="","",Data!I139)</f>
        <v>Miika Nordblad</v>
      </c>
      <c r="M140" s="34">
        <f>IF(Data!$I139="","",IF(Data!J139=0,"dns",Data!J139))</f>
        <v>161</v>
      </c>
      <c r="N140" s="34" t="str">
        <f>IF(Data!$I139="","","GP"&amp;Data!$B139&amp;", "&amp;Data!$J$1)</f>
        <v>GP8, Sarja 1</v>
      </c>
      <c r="O140" s="34">
        <f t="shared" si="25"/>
        <v>42</v>
      </c>
      <c r="P140" s="34">
        <f>IF($L140="","",Data!B139)</f>
        <v>8</v>
      </c>
      <c r="Q140" s="34" t="str">
        <f t="shared" si="26"/>
        <v>1</v>
      </c>
      <c r="R140" s="34">
        <f t="shared" si="27"/>
        <v>140</v>
      </c>
      <c r="S140" s="70">
        <f t="shared" si="28"/>
        <v>4.2081140000000003E-2</v>
      </c>
    </row>
    <row r="141" spans="1:19" x14ac:dyDescent="0.25">
      <c r="A141" s="34">
        <f t="shared" si="32"/>
        <v>137</v>
      </c>
      <c r="B141" s="34" t="str">
        <f t="shared" si="29"/>
        <v>Juho Korpi</v>
      </c>
      <c r="C141" s="34">
        <f t="shared" si="30"/>
        <v>128</v>
      </c>
      <c r="D141" s="34" t="str">
        <f t="shared" si="31"/>
        <v>GP5, Sarja 2</v>
      </c>
      <c r="K141" s="34">
        <f t="shared" si="24"/>
        <v>194</v>
      </c>
      <c r="L141" s="34" t="str">
        <f>IF(Data!$I140="","",Data!I140)</f>
        <v>Mika Sola</v>
      </c>
      <c r="M141" s="34">
        <f>IF(Data!$I140="","",IF(Data!J140=0,"dns",Data!J140))</f>
        <v>115</v>
      </c>
      <c r="N141" s="34" t="str">
        <f>IF(Data!$I140="","","GP"&amp;Data!$B140&amp;", "&amp;Data!$J$1)</f>
        <v>GP8, Sarja 1</v>
      </c>
      <c r="O141" s="34">
        <f t="shared" si="25"/>
        <v>193</v>
      </c>
      <c r="P141" s="34">
        <f>IF($L141="","",Data!B140)</f>
        <v>8</v>
      </c>
      <c r="Q141" s="34" t="str">
        <f t="shared" si="26"/>
        <v>1</v>
      </c>
      <c r="R141" s="34">
        <f t="shared" si="27"/>
        <v>141</v>
      </c>
      <c r="S141" s="70">
        <f t="shared" si="28"/>
        <v>0.19308114100000001</v>
      </c>
    </row>
    <row r="142" spans="1:19" x14ac:dyDescent="0.25">
      <c r="A142" s="34">
        <f t="shared" si="32"/>
        <v>138</v>
      </c>
      <c r="B142" s="34" t="str">
        <f t="shared" si="29"/>
        <v>Juho Korpi</v>
      </c>
      <c r="C142" s="34">
        <f t="shared" si="30"/>
        <v>128</v>
      </c>
      <c r="D142" s="34" t="str">
        <f t="shared" si="31"/>
        <v>GP7, Sarja 1</v>
      </c>
      <c r="K142" s="34">
        <f t="shared" si="24"/>
        <v>103</v>
      </c>
      <c r="L142" s="34" t="str">
        <f>IF(Data!$I141="","",Data!I141)</f>
        <v>Henri Verho</v>
      </c>
      <c r="M142" s="34">
        <f>IF(Data!$I141="","",IF(Data!J141=0,"dns",Data!J141))</f>
        <v>138</v>
      </c>
      <c r="N142" s="34" t="str">
        <f>IF(Data!$I141="","","GP"&amp;Data!$B141&amp;", "&amp;Data!$J$1)</f>
        <v>GP8, Sarja 1</v>
      </c>
      <c r="O142" s="34">
        <f t="shared" si="25"/>
        <v>103</v>
      </c>
      <c r="P142" s="34">
        <f>IF($L142="","",Data!B141)</f>
        <v>8</v>
      </c>
      <c r="Q142" s="34" t="str">
        <f t="shared" si="26"/>
        <v>1</v>
      </c>
      <c r="R142" s="34">
        <f t="shared" si="27"/>
        <v>142</v>
      </c>
      <c r="S142" s="70">
        <f t="shared" si="28"/>
        <v>0.10308114199999999</v>
      </c>
    </row>
    <row r="143" spans="1:19" x14ac:dyDescent="0.25">
      <c r="A143" s="34">
        <f t="shared" si="32"/>
        <v>139</v>
      </c>
      <c r="B143" s="34" t="str">
        <f t="shared" si="29"/>
        <v>Joonas Ollonqvist</v>
      </c>
      <c r="C143" s="34">
        <f t="shared" si="30"/>
        <v>128</v>
      </c>
      <c r="D143" s="34" t="str">
        <f t="shared" si="31"/>
        <v>GP7, Sarja 2</v>
      </c>
      <c r="K143" s="34">
        <f t="shared" si="24"/>
        <v>327</v>
      </c>
      <c r="L143" s="34" t="str">
        <f>IF(Data!$I142="","",Data!I142)</f>
        <v>Olli Kajava</v>
      </c>
      <c r="M143" s="34" t="str">
        <f>IF(Data!$I142="","",IF(Data!J142=0,"dns",Data!J142))</f>
        <v>dns</v>
      </c>
      <c r="N143" s="34" t="str">
        <f>IF(Data!$I142="","","GP"&amp;Data!$B142&amp;", "&amp;Data!$J$1)</f>
        <v>GP8, Sarja 1</v>
      </c>
      <c r="O143" s="34">
        <f t="shared" si="25"/>
        <v>625</v>
      </c>
      <c r="P143" s="34">
        <f>IF($L143="","",Data!B142)</f>
        <v>8</v>
      </c>
      <c r="Q143" s="34" t="str">
        <f t="shared" si="26"/>
        <v>1</v>
      </c>
      <c r="R143" s="34">
        <f t="shared" si="27"/>
        <v>143</v>
      </c>
      <c r="S143" s="70">
        <f t="shared" si="28"/>
        <v>0.62508114299999995</v>
      </c>
    </row>
    <row r="144" spans="1:19" x14ac:dyDescent="0.25">
      <c r="A144" s="34">
        <f t="shared" si="32"/>
        <v>140</v>
      </c>
      <c r="B144" s="34" t="str">
        <f t="shared" si="29"/>
        <v>Iiro Riikonen</v>
      </c>
      <c r="C144" s="34">
        <f t="shared" si="30"/>
        <v>128</v>
      </c>
      <c r="D144" s="34" t="str">
        <f t="shared" si="31"/>
        <v>GP8, Sarja 2</v>
      </c>
      <c r="K144" s="34">
        <f t="shared" si="24"/>
        <v>328</v>
      </c>
      <c r="L144" s="34" t="str">
        <f>IF(Data!$I143="","",Data!I143)</f>
        <v>Frans Hartman</v>
      </c>
      <c r="M144" s="34" t="str">
        <f>IF(Data!$I143="","",IF(Data!J143=0,"dns",Data!J143))</f>
        <v>dns</v>
      </c>
      <c r="N144" s="34" t="str">
        <f>IF(Data!$I143="","","GP"&amp;Data!$B143&amp;", "&amp;Data!$J$1)</f>
        <v>GP8, Sarja 1</v>
      </c>
      <c r="O144" s="34">
        <f t="shared" si="25"/>
        <v>625</v>
      </c>
      <c r="P144" s="34">
        <f>IF($L144="","",Data!B143)</f>
        <v>8</v>
      </c>
      <c r="Q144" s="34" t="str">
        <f t="shared" si="26"/>
        <v>1</v>
      </c>
      <c r="R144" s="34">
        <f t="shared" si="27"/>
        <v>144</v>
      </c>
      <c r="S144" s="70">
        <f t="shared" si="28"/>
        <v>0.62508114400000003</v>
      </c>
    </row>
    <row r="145" spans="1:19" x14ac:dyDescent="0.25">
      <c r="A145" s="34">
        <f t="shared" si="32"/>
        <v>141</v>
      </c>
      <c r="B145" s="34" t="str">
        <f t="shared" si="29"/>
        <v>Mika Sola</v>
      </c>
      <c r="C145" s="34">
        <f t="shared" si="30"/>
        <v>127</v>
      </c>
      <c r="D145" s="34" t="str">
        <f t="shared" si="31"/>
        <v>GP1, Sarja 2</v>
      </c>
      <c r="K145" s="34">
        <f t="shared" si="24"/>
        <v>329</v>
      </c>
      <c r="L145" s="34" t="str">
        <f>IF(Data!$I144="","",Data!I144)</f>
        <v>Sakari Leinonen</v>
      </c>
      <c r="M145" s="34" t="str">
        <f>IF(Data!$I144="","",IF(Data!J144=0,"dns",Data!J144))</f>
        <v>dns</v>
      </c>
      <c r="N145" s="34" t="str">
        <f>IF(Data!$I144="","","GP"&amp;Data!$B144&amp;", "&amp;Data!$J$1)</f>
        <v>GP8, Sarja 1</v>
      </c>
      <c r="O145" s="34">
        <f t="shared" si="25"/>
        <v>625</v>
      </c>
      <c r="P145" s="34">
        <f>IF($L145="","",Data!B144)</f>
        <v>8</v>
      </c>
      <c r="Q145" s="34" t="str">
        <f t="shared" si="26"/>
        <v>1</v>
      </c>
      <c r="R145" s="34">
        <f t="shared" si="27"/>
        <v>145</v>
      </c>
      <c r="S145" s="70">
        <f t="shared" si="28"/>
        <v>0.625081145</v>
      </c>
    </row>
    <row r="146" spans="1:19" x14ac:dyDescent="0.25">
      <c r="A146" s="34">
        <f t="shared" si="32"/>
        <v>142</v>
      </c>
      <c r="B146" s="34" t="str">
        <f t="shared" si="29"/>
        <v>Olli Kajava</v>
      </c>
      <c r="C146" s="34">
        <f t="shared" si="30"/>
        <v>127</v>
      </c>
      <c r="D146" s="34" t="str">
        <f t="shared" si="31"/>
        <v>GP2, Sarja 2</v>
      </c>
      <c r="K146" s="34">
        <f t="shared" si="24"/>
        <v>330</v>
      </c>
      <c r="L146" s="34" t="str">
        <f>IF(Data!$I145="","",Data!I145)</f>
        <v>Tatu Erlin</v>
      </c>
      <c r="M146" s="34" t="str">
        <f>IF(Data!$I145="","",IF(Data!J145=0,"dns",Data!J145))</f>
        <v>dns</v>
      </c>
      <c r="N146" s="34" t="str">
        <f>IF(Data!$I145="","","GP"&amp;Data!$B145&amp;", "&amp;Data!$J$1)</f>
        <v>GP8, Sarja 1</v>
      </c>
      <c r="O146" s="34">
        <f t="shared" si="25"/>
        <v>625</v>
      </c>
      <c r="P146" s="34">
        <f>IF($L146="","",Data!B145)</f>
        <v>8</v>
      </c>
      <c r="Q146" s="34" t="str">
        <f t="shared" si="26"/>
        <v>1</v>
      </c>
      <c r="R146" s="34">
        <f t="shared" si="27"/>
        <v>146</v>
      </c>
      <c r="S146" s="70">
        <f t="shared" si="28"/>
        <v>0.62508114599999998</v>
      </c>
    </row>
    <row r="147" spans="1:19" x14ac:dyDescent="0.25">
      <c r="A147" s="34">
        <f t="shared" si="32"/>
        <v>143</v>
      </c>
      <c r="B147" s="34" t="str">
        <f t="shared" si="29"/>
        <v>Niko Reunanen</v>
      </c>
      <c r="C147" s="34">
        <f t="shared" si="30"/>
        <v>127</v>
      </c>
      <c r="D147" s="34" t="str">
        <f t="shared" si="31"/>
        <v>GP3, Sarja 2</v>
      </c>
      <c r="K147" s="34">
        <f t="shared" si="24"/>
        <v>199</v>
      </c>
      <c r="L147" s="34" t="str">
        <f>IF(Data!$I146="","",Data!I146)</f>
        <v>Jami Kallio</v>
      </c>
      <c r="M147" s="34">
        <f>IF(Data!$I146="","",IF(Data!J146=0,"dns",Data!J146))</f>
        <v>112</v>
      </c>
      <c r="N147" s="34" t="str">
        <f>IF(Data!$I146="","","GP"&amp;Data!$B146&amp;", "&amp;Data!$J$1)</f>
        <v>GP9, Sarja 1</v>
      </c>
      <c r="O147" s="34">
        <f t="shared" si="25"/>
        <v>198</v>
      </c>
      <c r="P147" s="34">
        <f>IF($L147="","",Data!B146)</f>
        <v>9</v>
      </c>
      <c r="Q147" s="34" t="str">
        <f t="shared" si="26"/>
        <v>1</v>
      </c>
      <c r="R147" s="34">
        <f t="shared" si="27"/>
        <v>147</v>
      </c>
      <c r="S147" s="70">
        <f t="shared" si="28"/>
        <v>0.19809114700000002</v>
      </c>
    </row>
    <row r="148" spans="1:19" x14ac:dyDescent="0.25">
      <c r="A148" s="34">
        <f t="shared" si="32"/>
        <v>144</v>
      </c>
      <c r="B148" s="34" t="str">
        <f t="shared" si="29"/>
        <v>Iiro Riikonen</v>
      </c>
      <c r="C148" s="34">
        <f t="shared" si="30"/>
        <v>127</v>
      </c>
      <c r="D148" s="34" t="str">
        <f t="shared" si="31"/>
        <v>GP4, Sarja 2</v>
      </c>
      <c r="K148" s="34">
        <f t="shared" si="24"/>
        <v>110</v>
      </c>
      <c r="L148" s="34" t="str">
        <f>IF(Data!$I147="","",Data!I147)</f>
        <v>Niko Reunanen</v>
      </c>
      <c r="M148" s="34">
        <f>IF(Data!$I147="","",IF(Data!J147=0,"dns",Data!J147))</f>
        <v>135</v>
      </c>
      <c r="N148" s="34" t="str">
        <f>IF(Data!$I147="","","GP"&amp;Data!$B147&amp;", "&amp;Data!$J$1)</f>
        <v>GP9, Sarja 1</v>
      </c>
      <c r="O148" s="34">
        <f t="shared" si="25"/>
        <v>110</v>
      </c>
      <c r="P148" s="34">
        <f>IF($L148="","",Data!B147)</f>
        <v>9</v>
      </c>
      <c r="Q148" s="34" t="str">
        <f t="shared" si="26"/>
        <v>1</v>
      </c>
      <c r="R148" s="34">
        <f t="shared" si="27"/>
        <v>148</v>
      </c>
      <c r="S148" s="70">
        <f t="shared" si="28"/>
        <v>0.11009114800000001</v>
      </c>
    </row>
    <row r="149" spans="1:19" x14ac:dyDescent="0.25">
      <c r="A149" s="34">
        <f t="shared" si="32"/>
        <v>145</v>
      </c>
      <c r="B149" s="34" t="str">
        <f t="shared" si="29"/>
        <v>Mika Sola</v>
      </c>
      <c r="C149" s="34">
        <f t="shared" si="30"/>
        <v>127</v>
      </c>
      <c r="D149" s="34" t="str">
        <f t="shared" si="31"/>
        <v>GP4, Sarja 2</v>
      </c>
      <c r="K149" s="34">
        <f t="shared" si="24"/>
        <v>115</v>
      </c>
      <c r="L149" s="34" t="str">
        <f>IF(Data!$I148="","",Data!I148)</f>
        <v>Frans Hartman</v>
      </c>
      <c r="M149" s="34">
        <f>IF(Data!$I148="","",IF(Data!J148=0,"dns",Data!J148))</f>
        <v>133</v>
      </c>
      <c r="N149" s="34" t="str">
        <f>IF(Data!$I148="","","GP"&amp;Data!$B148&amp;", "&amp;Data!$J$1)</f>
        <v>GP9, Sarja 1</v>
      </c>
      <c r="O149" s="34">
        <f t="shared" si="25"/>
        <v>113</v>
      </c>
      <c r="P149" s="34">
        <f>IF($L149="","",Data!B148)</f>
        <v>9</v>
      </c>
      <c r="Q149" s="34" t="str">
        <f t="shared" si="26"/>
        <v>1</v>
      </c>
      <c r="R149" s="34">
        <f t="shared" si="27"/>
        <v>149</v>
      </c>
      <c r="S149" s="70">
        <f t="shared" si="28"/>
        <v>0.11309114900000002</v>
      </c>
    </row>
    <row r="150" spans="1:19" x14ac:dyDescent="0.25">
      <c r="A150" s="34">
        <f t="shared" si="32"/>
        <v>146</v>
      </c>
      <c r="B150" s="34" t="str">
        <f t="shared" si="29"/>
        <v>Olli Kajava</v>
      </c>
      <c r="C150" s="34">
        <f t="shared" si="30"/>
        <v>127</v>
      </c>
      <c r="D150" s="34" t="str">
        <f t="shared" si="31"/>
        <v>GP5, Sarja 1</v>
      </c>
      <c r="K150" s="34">
        <f t="shared" si="24"/>
        <v>68</v>
      </c>
      <c r="L150" s="34" t="str">
        <f>IF(Data!$I149="","",Data!I149)</f>
        <v>Miika Nordblad</v>
      </c>
      <c r="M150" s="34">
        <f>IF(Data!$I149="","",IF(Data!J149=0,"dns",Data!J149))</f>
        <v>150</v>
      </c>
      <c r="N150" s="34" t="str">
        <f>IF(Data!$I149="","","GP"&amp;Data!$B149&amp;", "&amp;Data!$J$1)</f>
        <v>GP9, Sarja 1</v>
      </c>
      <c r="O150" s="34">
        <f t="shared" si="25"/>
        <v>68</v>
      </c>
      <c r="P150" s="34">
        <f>IF($L150="","",Data!B149)</f>
        <v>9</v>
      </c>
      <c r="Q150" s="34" t="str">
        <f t="shared" si="26"/>
        <v>1</v>
      </c>
      <c r="R150" s="34">
        <f t="shared" si="27"/>
        <v>150</v>
      </c>
      <c r="S150" s="70">
        <f t="shared" si="28"/>
        <v>6.8091150000000017E-2</v>
      </c>
    </row>
    <row r="151" spans="1:19" x14ac:dyDescent="0.25">
      <c r="A151" s="34">
        <f t="shared" si="32"/>
        <v>147</v>
      </c>
      <c r="B151" s="34" t="str">
        <f t="shared" si="29"/>
        <v>Asko Haaksi</v>
      </c>
      <c r="C151" s="34">
        <f t="shared" si="30"/>
        <v>127</v>
      </c>
      <c r="D151" s="34" t="str">
        <f t="shared" si="31"/>
        <v>GP6, Sarja 2</v>
      </c>
      <c r="K151" s="34">
        <f t="shared" si="24"/>
        <v>45</v>
      </c>
      <c r="L151" s="34" t="str">
        <f>IF(Data!$I150="","",Data!I150)</f>
        <v>Ossi Oksa</v>
      </c>
      <c r="M151" s="34">
        <f>IF(Data!$I150="","",IF(Data!J150=0,"dns",Data!J150))</f>
        <v>161</v>
      </c>
      <c r="N151" s="34" t="str">
        <f>IF(Data!$I150="","","GP"&amp;Data!$B150&amp;", "&amp;Data!$J$1)</f>
        <v>GP9, Sarja 1</v>
      </c>
      <c r="O151" s="34">
        <f t="shared" si="25"/>
        <v>42</v>
      </c>
      <c r="P151" s="34">
        <f>IF($L151="","",Data!B150)</f>
        <v>9</v>
      </c>
      <c r="Q151" s="34" t="str">
        <f t="shared" si="26"/>
        <v>1</v>
      </c>
      <c r="R151" s="34">
        <f t="shared" si="27"/>
        <v>151</v>
      </c>
      <c r="S151" s="70">
        <f t="shared" si="28"/>
        <v>4.2091151E-2</v>
      </c>
    </row>
    <row r="152" spans="1:19" x14ac:dyDescent="0.25">
      <c r="A152" s="34">
        <f t="shared" si="32"/>
        <v>148</v>
      </c>
      <c r="B152" s="34" t="str">
        <f t="shared" si="29"/>
        <v>Mikko Mansikkamäki</v>
      </c>
      <c r="C152" s="34">
        <f t="shared" si="30"/>
        <v>127</v>
      </c>
      <c r="D152" s="34" t="str">
        <f t="shared" si="31"/>
        <v>GP10, Sarja 1</v>
      </c>
      <c r="K152" s="34">
        <f t="shared" si="24"/>
        <v>17</v>
      </c>
      <c r="L152" s="34" t="str">
        <f>IF(Data!$I151="","",Data!I151)</f>
        <v>Mikko Mansikkamäki</v>
      </c>
      <c r="M152" s="34">
        <f>IF(Data!$I151="","",IF(Data!J151=0,"dns",Data!J151))</f>
        <v>178</v>
      </c>
      <c r="N152" s="34" t="str">
        <f>IF(Data!$I151="","","GP"&amp;Data!$B151&amp;", "&amp;Data!$J$1)</f>
        <v>GP9, Sarja 1</v>
      </c>
      <c r="O152" s="34">
        <f t="shared" si="25"/>
        <v>15</v>
      </c>
      <c r="P152" s="34">
        <f>IF($L152="","",Data!B151)</f>
        <v>9</v>
      </c>
      <c r="Q152" s="34" t="str">
        <f t="shared" si="26"/>
        <v>1</v>
      </c>
      <c r="R152" s="34">
        <f t="shared" si="27"/>
        <v>152</v>
      </c>
      <c r="S152" s="70">
        <f t="shared" si="28"/>
        <v>1.5091151999999998E-2</v>
      </c>
    </row>
    <row r="153" spans="1:19" x14ac:dyDescent="0.25">
      <c r="A153" s="34">
        <f t="shared" si="32"/>
        <v>149</v>
      </c>
      <c r="B153" s="34" t="str">
        <f t="shared" si="29"/>
        <v>Joonas Ollonqvist</v>
      </c>
      <c r="C153" s="34">
        <f t="shared" si="30"/>
        <v>126</v>
      </c>
      <c r="D153" s="34" t="str">
        <f t="shared" si="31"/>
        <v>GP2, Sarja 1</v>
      </c>
      <c r="K153" s="34">
        <f t="shared" si="24"/>
        <v>76</v>
      </c>
      <c r="L153" s="34" t="str">
        <f>IF(Data!$I152="","",Data!I152)</f>
        <v>Kaleva Latvala</v>
      </c>
      <c r="M153" s="34">
        <f>IF(Data!$I152="","",IF(Data!J152=0,"dns",Data!J152))</f>
        <v>148</v>
      </c>
      <c r="N153" s="34" t="str">
        <f>IF(Data!$I152="","","GP"&amp;Data!$B152&amp;", "&amp;Data!$J$1)</f>
        <v>GP9, Sarja 1</v>
      </c>
      <c r="O153" s="34">
        <f t="shared" si="25"/>
        <v>71</v>
      </c>
      <c r="P153" s="34">
        <f>IF($L153="","",Data!B152)</f>
        <v>9</v>
      </c>
      <c r="Q153" s="34" t="str">
        <f t="shared" si="26"/>
        <v>1</v>
      </c>
      <c r="R153" s="34">
        <f t="shared" si="27"/>
        <v>153</v>
      </c>
      <c r="S153" s="70">
        <f t="shared" si="28"/>
        <v>7.1091153000000004E-2</v>
      </c>
    </row>
    <row r="154" spans="1:19" x14ac:dyDescent="0.25">
      <c r="A154" s="34">
        <f t="shared" si="32"/>
        <v>150</v>
      </c>
      <c r="B154" s="34" t="str">
        <f t="shared" si="29"/>
        <v>Ossi Oksa</v>
      </c>
      <c r="C154" s="34">
        <f t="shared" si="30"/>
        <v>126</v>
      </c>
      <c r="D154" s="34" t="str">
        <f t="shared" si="31"/>
        <v>GP2, Sarja 1</v>
      </c>
      <c r="K154" s="34">
        <f t="shared" si="24"/>
        <v>97</v>
      </c>
      <c r="L154" s="34" t="str">
        <f>IF(Data!$I153="","",Data!I153)</f>
        <v>Olli Kajava</v>
      </c>
      <c r="M154" s="34">
        <f>IF(Data!$I153="","",IF(Data!J153=0,"dns",Data!J153))</f>
        <v>140</v>
      </c>
      <c r="N154" s="34" t="str">
        <f>IF(Data!$I153="","","GP"&amp;Data!$B153&amp;", "&amp;Data!$J$1)</f>
        <v>GP9, Sarja 1</v>
      </c>
      <c r="O154" s="34">
        <f t="shared" si="25"/>
        <v>96</v>
      </c>
      <c r="P154" s="34">
        <f>IF($L154="","",Data!B153)</f>
        <v>9</v>
      </c>
      <c r="Q154" s="34" t="str">
        <f t="shared" si="26"/>
        <v>1</v>
      </c>
      <c r="R154" s="34">
        <f t="shared" si="27"/>
        <v>154</v>
      </c>
      <c r="S154" s="70">
        <f t="shared" si="28"/>
        <v>9.6091154000000012E-2</v>
      </c>
    </row>
    <row r="155" spans="1:19" x14ac:dyDescent="0.25">
      <c r="A155" s="34">
        <f t="shared" si="32"/>
        <v>151</v>
      </c>
      <c r="B155" s="34" t="str">
        <f t="shared" si="29"/>
        <v>Olli Kajava</v>
      </c>
      <c r="C155" s="34">
        <f t="shared" si="30"/>
        <v>126</v>
      </c>
      <c r="D155" s="34" t="str">
        <f t="shared" si="31"/>
        <v>GP2, Sarja 1</v>
      </c>
      <c r="K155" s="34">
        <f t="shared" si="24"/>
        <v>85</v>
      </c>
      <c r="L155" s="34" t="str">
        <f>IF(Data!$I154="","",Data!I154)</f>
        <v>Asko Haaksi</v>
      </c>
      <c r="M155" s="34">
        <f>IF(Data!$I154="","",IF(Data!J154=0,"dns",Data!J154))</f>
        <v>145</v>
      </c>
      <c r="N155" s="34" t="str">
        <f>IF(Data!$I154="","","GP"&amp;Data!$B154&amp;", "&amp;Data!$J$1)</f>
        <v>GP9, Sarja 1</v>
      </c>
      <c r="O155" s="34">
        <f t="shared" si="25"/>
        <v>83</v>
      </c>
      <c r="P155" s="34">
        <f>IF($L155="","",Data!B154)</f>
        <v>9</v>
      </c>
      <c r="Q155" s="34" t="str">
        <f t="shared" si="26"/>
        <v>1</v>
      </c>
      <c r="R155" s="34">
        <f t="shared" si="27"/>
        <v>155</v>
      </c>
      <c r="S155" s="70">
        <f t="shared" si="28"/>
        <v>8.3091155000000014E-2</v>
      </c>
    </row>
    <row r="156" spans="1:19" x14ac:dyDescent="0.25">
      <c r="A156" s="34">
        <f t="shared" si="32"/>
        <v>152</v>
      </c>
      <c r="B156" s="34" t="str">
        <f t="shared" si="29"/>
        <v>Kaleva Latvala</v>
      </c>
      <c r="C156" s="34">
        <f t="shared" si="30"/>
        <v>126</v>
      </c>
      <c r="D156" s="34" t="str">
        <f t="shared" si="31"/>
        <v>GP6, Sarja 2</v>
      </c>
      <c r="K156" s="34">
        <f t="shared" si="24"/>
        <v>116</v>
      </c>
      <c r="L156" s="34" t="str">
        <f>IF(Data!$I155="","",Data!I155)</f>
        <v>Henri Verho</v>
      </c>
      <c r="M156" s="34">
        <f>IF(Data!$I155="","",IF(Data!J155=0,"dns",Data!J155))</f>
        <v>133</v>
      </c>
      <c r="N156" s="34" t="str">
        <f>IF(Data!$I155="","","GP"&amp;Data!$B155&amp;", "&amp;Data!$J$1)</f>
        <v>GP9, Sarja 1</v>
      </c>
      <c r="O156" s="34">
        <f t="shared" si="25"/>
        <v>113</v>
      </c>
      <c r="P156" s="34">
        <f>IF($L156="","",Data!B155)</f>
        <v>9</v>
      </c>
      <c r="Q156" s="34" t="str">
        <f t="shared" si="26"/>
        <v>1</v>
      </c>
      <c r="R156" s="34">
        <f t="shared" si="27"/>
        <v>156</v>
      </c>
      <c r="S156" s="70">
        <f t="shared" si="28"/>
        <v>0.11309115600000001</v>
      </c>
    </row>
    <row r="157" spans="1:19" x14ac:dyDescent="0.25">
      <c r="A157" s="34">
        <f t="shared" si="32"/>
        <v>153</v>
      </c>
      <c r="B157" s="34" t="str">
        <f t="shared" si="29"/>
        <v>Kaleva Latvala</v>
      </c>
      <c r="C157" s="34">
        <f t="shared" si="30"/>
        <v>125</v>
      </c>
      <c r="D157" s="34" t="str">
        <f t="shared" si="31"/>
        <v>GP2, Sarja 2</v>
      </c>
      <c r="K157" s="34">
        <f t="shared" si="24"/>
        <v>181</v>
      </c>
      <c r="L157" s="34" t="str">
        <f>IF(Data!$I156="","",Data!I156)</f>
        <v>Joonas Ollonqvist</v>
      </c>
      <c r="M157" s="34">
        <f>IF(Data!$I156="","",IF(Data!J156=0,"dns",Data!J156))</f>
        <v>119</v>
      </c>
      <c r="N157" s="34" t="str">
        <f>IF(Data!$I156="","","GP"&amp;Data!$B156&amp;", "&amp;Data!$J$1)</f>
        <v>GP9, Sarja 1</v>
      </c>
      <c r="O157" s="34">
        <f t="shared" si="25"/>
        <v>179</v>
      </c>
      <c r="P157" s="34">
        <f>IF($L157="","",Data!B156)</f>
        <v>9</v>
      </c>
      <c r="Q157" s="34" t="str">
        <f t="shared" si="26"/>
        <v>1</v>
      </c>
      <c r="R157" s="34">
        <f t="shared" si="27"/>
        <v>157</v>
      </c>
      <c r="S157" s="70">
        <f t="shared" si="28"/>
        <v>0.179091157</v>
      </c>
    </row>
    <row r="158" spans="1:19" x14ac:dyDescent="0.25">
      <c r="A158" s="34">
        <f t="shared" si="32"/>
        <v>154</v>
      </c>
      <c r="B158" s="34" t="str">
        <f t="shared" si="29"/>
        <v>Joonas Ollonqvist</v>
      </c>
      <c r="C158" s="34">
        <f t="shared" si="30"/>
        <v>125</v>
      </c>
      <c r="D158" s="34" t="str">
        <f t="shared" si="31"/>
        <v>GP5, Sarja 2</v>
      </c>
      <c r="K158" s="34">
        <f t="shared" si="24"/>
        <v>166</v>
      </c>
      <c r="L158" s="34" t="str">
        <f>IF(Data!$I157="","",Data!I157)</f>
        <v>Mika Sola</v>
      </c>
      <c r="M158" s="34">
        <f>IF(Data!$I157="","",IF(Data!J157=0,"dns",Data!J157))</f>
        <v>123</v>
      </c>
      <c r="N158" s="34" t="str">
        <f>IF(Data!$I157="","","GP"&amp;Data!$B157&amp;", "&amp;Data!$J$1)</f>
        <v>GP9, Sarja 1</v>
      </c>
      <c r="O158" s="34">
        <f t="shared" si="25"/>
        <v>162</v>
      </c>
      <c r="P158" s="34">
        <f>IF($L158="","",Data!B157)</f>
        <v>9</v>
      </c>
      <c r="Q158" s="34" t="str">
        <f t="shared" si="26"/>
        <v>1</v>
      </c>
      <c r="R158" s="34">
        <f t="shared" si="27"/>
        <v>158</v>
      </c>
      <c r="S158" s="70">
        <f t="shared" si="28"/>
        <v>0.16209115800000001</v>
      </c>
    </row>
    <row r="159" spans="1:19" x14ac:dyDescent="0.25">
      <c r="A159" s="34">
        <f t="shared" si="32"/>
        <v>155</v>
      </c>
      <c r="B159" s="34" t="str">
        <f t="shared" si="29"/>
        <v>Olli Kajava</v>
      </c>
      <c r="C159" s="34">
        <f t="shared" si="30"/>
        <v>124</v>
      </c>
      <c r="D159" s="34" t="str">
        <f t="shared" si="31"/>
        <v>GP4, Sarja 2</v>
      </c>
      <c r="K159" s="34">
        <f t="shared" si="24"/>
        <v>235</v>
      </c>
      <c r="L159" s="34" t="str">
        <f>IF(Data!$I158="","",Data!I158)</f>
        <v>Miikka Korventausta</v>
      </c>
      <c r="M159" s="34">
        <f>IF(Data!$I158="","",IF(Data!J158=0,"dns",Data!J158))</f>
        <v>97</v>
      </c>
      <c r="N159" s="34" t="str">
        <f>IF(Data!$I158="","","GP"&amp;Data!$B158&amp;", "&amp;Data!$J$1)</f>
        <v>GP9, Sarja 1</v>
      </c>
      <c r="O159" s="34">
        <f t="shared" si="25"/>
        <v>233</v>
      </c>
      <c r="P159" s="34">
        <f>IF($L159="","",Data!B158)</f>
        <v>9</v>
      </c>
      <c r="Q159" s="34" t="str">
        <f t="shared" si="26"/>
        <v>1</v>
      </c>
      <c r="R159" s="34">
        <f t="shared" si="27"/>
        <v>159</v>
      </c>
      <c r="S159" s="70">
        <f t="shared" si="28"/>
        <v>0.23309115900000002</v>
      </c>
    </row>
    <row r="160" spans="1:19" x14ac:dyDescent="0.25">
      <c r="A160" s="34">
        <f t="shared" si="32"/>
        <v>156</v>
      </c>
      <c r="B160" s="34" t="str">
        <f t="shared" si="29"/>
        <v>Joonas Ollonqvist</v>
      </c>
      <c r="C160" s="34">
        <f t="shared" si="30"/>
        <v>124</v>
      </c>
      <c r="D160" s="34" t="str">
        <f t="shared" si="31"/>
        <v>GP6, Sarja 2</v>
      </c>
      <c r="K160" s="34">
        <f t="shared" si="24"/>
        <v>335</v>
      </c>
      <c r="L160" s="34" t="str">
        <f>IF(Data!$I159="","",Data!I159)</f>
        <v>Juho Korpi</v>
      </c>
      <c r="M160" s="34" t="str">
        <f>IF(Data!$I159="","",IF(Data!J159=0,"dns",Data!J159))</f>
        <v>dns</v>
      </c>
      <c r="N160" s="34" t="str">
        <f>IF(Data!$I159="","","GP"&amp;Data!$B159&amp;", "&amp;Data!$J$1)</f>
        <v>GP9, Sarja 1</v>
      </c>
      <c r="O160" s="34">
        <f t="shared" si="25"/>
        <v>625</v>
      </c>
      <c r="P160" s="34">
        <f>IF($L160="","",Data!B159)</f>
        <v>9</v>
      </c>
      <c r="Q160" s="34" t="str">
        <f t="shared" si="26"/>
        <v>1</v>
      </c>
      <c r="R160" s="34">
        <f t="shared" si="27"/>
        <v>160</v>
      </c>
      <c r="S160" s="70">
        <f t="shared" si="28"/>
        <v>0.62509116000000009</v>
      </c>
    </row>
    <row r="161" spans="1:19" x14ac:dyDescent="0.25">
      <c r="A161" s="34">
        <f t="shared" si="32"/>
        <v>157</v>
      </c>
      <c r="B161" s="34" t="str">
        <f t="shared" si="29"/>
        <v>Niko Reunanen</v>
      </c>
      <c r="C161" s="34">
        <f t="shared" si="30"/>
        <v>124</v>
      </c>
      <c r="D161" s="34" t="str">
        <f t="shared" si="31"/>
        <v>GP6, Sarja 2</v>
      </c>
      <c r="K161" s="34">
        <f t="shared" si="24"/>
        <v>336</v>
      </c>
      <c r="L161" s="34" t="str">
        <f>IF(Data!$I160="","",Data!I160)</f>
        <v>Roope Warro</v>
      </c>
      <c r="M161" s="34" t="str">
        <f>IF(Data!$I160="","",IF(Data!J160=0,"dns",Data!J160))</f>
        <v>dns</v>
      </c>
      <c r="N161" s="34" t="str">
        <f>IF(Data!$I160="","","GP"&amp;Data!$B160&amp;", "&amp;Data!$J$1)</f>
        <v>GP9, Sarja 1</v>
      </c>
      <c r="O161" s="34">
        <f t="shared" si="25"/>
        <v>625</v>
      </c>
      <c r="P161" s="34">
        <f>IF($L161="","",Data!B160)</f>
        <v>9</v>
      </c>
      <c r="Q161" s="34" t="str">
        <f t="shared" si="26"/>
        <v>1</v>
      </c>
      <c r="R161" s="34">
        <f t="shared" si="27"/>
        <v>161</v>
      </c>
      <c r="S161" s="70">
        <f t="shared" si="28"/>
        <v>0.62509116100000006</v>
      </c>
    </row>
    <row r="162" spans="1:19" x14ac:dyDescent="0.25">
      <c r="A162" s="34">
        <f t="shared" si="32"/>
        <v>158</v>
      </c>
      <c r="B162" s="34" t="str">
        <f t="shared" si="29"/>
        <v>Niko Reunanen</v>
      </c>
      <c r="C162" s="34">
        <f t="shared" si="30"/>
        <v>124</v>
      </c>
      <c r="D162" s="34" t="str">
        <f t="shared" si="31"/>
        <v>GP8, Sarja 2</v>
      </c>
      <c r="K162" s="34">
        <f t="shared" si="24"/>
        <v>337</v>
      </c>
      <c r="L162" s="34" t="str">
        <f>IF(Data!$I161="","",Data!I161)</f>
        <v>Iiro Riikonen</v>
      </c>
      <c r="M162" s="34" t="str">
        <f>IF(Data!$I161="","",IF(Data!J161=0,"dns",Data!J161))</f>
        <v>dns</v>
      </c>
      <c r="N162" s="34" t="str">
        <f>IF(Data!$I161="","","GP"&amp;Data!$B161&amp;", "&amp;Data!$J$1)</f>
        <v>GP9, Sarja 1</v>
      </c>
      <c r="O162" s="34">
        <f t="shared" si="25"/>
        <v>625</v>
      </c>
      <c r="P162" s="34">
        <f>IF($L162="","",Data!B161)</f>
        <v>9</v>
      </c>
      <c r="Q162" s="34" t="str">
        <f t="shared" si="26"/>
        <v>1</v>
      </c>
      <c r="R162" s="34">
        <f t="shared" si="27"/>
        <v>162</v>
      </c>
      <c r="S162" s="70">
        <f t="shared" si="28"/>
        <v>0.62509116200000003</v>
      </c>
    </row>
    <row r="163" spans="1:19" x14ac:dyDescent="0.25">
      <c r="A163" s="34">
        <f t="shared" si="32"/>
        <v>159</v>
      </c>
      <c r="B163" s="34" t="str">
        <f t="shared" si="29"/>
        <v>Mikko Mansikkamäki</v>
      </c>
      <c r="C163" s="34">
        <f t="shared" si="30"/>
        <v>124</v>
      </c>
      <c r="D163" s="34" t="str">
        <f t="shared" si="31"/>
        <v>GP8, Sarja 2</v>
      </c>
      <c r="K163" s="34">
        <f t="shared" si="24"/>
        <v>338</v>
      </c>
      <c r="L163" s="34" t="str">
        <f>IF(Data!$I162="","",Data!I162)</f>
        <v>Sakari Leinonen</v>
      </c>
      <c r="M163" s="34" t="str">
        <f>IF(Data!$I162="","",IF(Data!J162=0,"dns",Data!J162))</f>
        <v>dns</v>
      </c>
      <c r="N163" s="34" t="str">
        <f>IF(Data!$I162="","","GP"&amp;Data!$B162&amp;", "&amp;Data!$J$1)</f>
        <v>GP9, Sarja 1</v>
      </c>
      <c r="O163" s="34">
        <f t="shared" si="25"/>
        <v>625</v>
      </c>
      <c r="P163" s="34">
        <f>IF($L163="","",Data!B162)</f>
        <v>9</v>
      </c>
      <c r="Q163" s="34" t="str">
        <f t="shared" si="26"/>
        <v>1</v>
      </c>
      <c r="R163" s="34">
        <f t="shared" si="27"/>
        <v>163</v>
      </c>
      <c r="S163" s="70">
        <f t="shared" si="28"/>
        <v>0.62509116300000012</v>
      </c>
    </row>
    <row r="164" spans="1:19" x14ac:dyDescent="0.25">
      <c r="A164" s="34">
        <f t="shared" si="32"/>
        <v>160</v>
      </c>
      <c r="B164" s="34" t="str">
        <f t="shared" si="29"/>
        <v>Kaleva Latvala</v>
      </c>
      <c r="C164" s="34">
        <f t="shared" si="30"/>
        <v>124</v>
      </c>
      <c r="D164" s="34" t="str">
        <f t="shared" si="31"/>
        <v>GP9, Sarja 2</v>
      </c>
      <c r="K164" s="34">
        <f t="shared" si="24"/>
        <v>339</v>
      </c>
      <c r="L164" s="34" t="str">
        <f>IF(Data!$I163="","",Data!I163)</f>
        <v>Tatu Erlin</v>
      </c>
      <c r="M164" s="34" t="str">
        <f>IF(Data!$I163="","",IF(Data!J163=0,"dns",Data!J163))</f>
        <v>dns</v>
      </c>
      <c r="N164" s="34" t="str">
        <f>IF(Data!$I163="","","GP"&amp;Data!$B163&amp;", "&amp;Data!$J$1)</f>
        <v>GP9, Sarja 1</v>
      </c>
      <c r="O164" s="34">
        <f t="shared" si="25"/>
        <v>625</v>
      </c>
      <c r="P164" s="34">
        <f>IF($L164="","",Data!B163)</f>
        <v>9</v>
      </c>
      <c r="Q164" s="34" t="str">
        <f t="shared" si="26"/>
        <v>1</v>
      </c>
      <c r="R164" s="34">
        <f t="shared" si="27"/>
        <v>164</v>
      </c>
      <c r="S164" s="70">
        <f t="shared" si="28"/>
        <v>0.62509116400000009</v>
      </c>
    </row>
    <row r="165" spans="1:19" x14ac:dyDescent="0.25">
      <c r="A165" s="34">
        <f t="shared" si="32"/>
        <v>161</v>
      </c>
      <c r="B165" s="34" t="str">
        <f t="shared" si="29"/>
        <v>Olli Kajava</v>
      </c>
      <c r="C165" s="34">
        <f t="shared" si="30"/>
        <v>124</v>
      </c>
      <c r="D165" s="34" t="str">
        <f t="shared" si="31"/>
        <v>GP10, Sarja 2</v>
      </c>
      <c r="K165" s="34">
        <f t="shared" si="24"/>
        <v>33</v>
      </c>
      <c r="L165" s="34" t="str">
        <f>IF(Data!$I164="","",Data!I164)</f>
        <v>Miika Nordblad</v>
      </c>
      <c r="M165" s="34">
        <f>IF(Data!$I164="","",IF(Data!J164=0,"dns",Data!J164))</f>
        <v>166</v>
      </c>
      <c r="N165" s="34" t="str">
        <f>IF(Data!$I164="","","GP"&amp;Data!$B164&amp;", "&amp;Data!$J$1)</f>
        <v>GP10, Sarja 1</v>
      </c>
      <c r="O165" s="34">
        <f t="shared" si="25"/>
        <v>33</v>
      </c>
      <c r="P165" s="34">
        <f>IF($L165="","",Data!B164)</f>
        <v>10</v>
      </c>
      <c r="Q165" s="34" t="str">
        <f t="shared" si="26"/>
        <v>1</v>
      </c>
      <c r="R165" s="34">
        <f t="shared" si="27"/>
        <v>165</v>
      </c>
      <c r="S165" s="70">
        <f t="shared" si="28"/>
        <v>3.3101165000000009E-2</v>
      </c>
    </row>
    <row r="166" spans="1:19" x14ac:dyDescent="0.25">
      <c r="A166" s="34">
        <f t="shared" si="32"/>
        <v>162</v>
      </c>
      <c r="B166" s="34" t="str">
        <f t="shared" si="29"/>
        <v>Miika Nordblad</v>
      </c>
      <c r="C166" s="34">
        <f t="shared" si="30"/>
        <v>123</v>
      </c>
      <c r="D166" s="34" t="str">
        <f t="shared" si="31"/>
        <v>GP4, Sarja 2</v>
      </c>
      <c r="K166" s="34">
        <f t="shared" si="24"/>
        <v>90</v>
      </c>
      <c r="L166" s="34" t="str">
        <f>IF(Data!$I165="","",Data!I165)</f>
        <v>Henri Verho</v>
      </c>
      <c r="M166" s="34">
        <f>IF(Data!$I165="","",IF(Data!J165=0,"dns",Data!J165))</f>
        <v>144</v>
      </c>
      <c r="N166" s="34" t="str">
        <f>IF(Data!$I165="","","GP"&amp;Data!$B165&amp;", "&amp;Data!$J$1)</f>
        <v>GP10, Sarja 1</v>
      </c>
      <c r="O166" s="34">
        <f t="shared" si="25"/>
        <v>87</v>
      </c>
      <c r="P166" s="34">
        <f>IF($L166="","",Data!B165)</f>
        <v>10</v>
      </c>
      <c r="Q166" s="34" t="str">
        <f t="shared" si="26"/>
        <v>1</v>
      </c>
      <c r="R166" s="34">
        <f t="shared" si="27"/>
        <v>166</v>
      </c>
      <c r="S166" s="70">
        <f t="shared" si="28"/>
        <v>8.7101165999999994E-2</v>
      </c>
    </row>
    <row r="167" spans="1:19" x14ac:dyDescent="0.25">
      <c r="A167" s="34">
        <f t="shared" si="32"/>
        <v>163</v>
      </c>
      <c r="B167" s="34" t="str">
        <f t="shared" si="29"/>
        <v>Niko Reunanen</v>
      </c>
      <c r="C167" s="34">
        <f t="shared" si="30"/>
        <v>123</v>
      </c>
      <c r="D167" s="34" t="str">
        <f t="shared" si="31"/>
        <v>GP5, Sarja 1</v>
      </c>
      <c r="K167" s="34">
        <f t="shared" si="24"/>
        <v>86</v>
      </c>
      <c r="L167" s="34" t="str">
        <f>IF(Data!$I166="","",Data!I166)</f>
        <v>Jami Kallio</v>
      </c>
      <c r="M167" s="34">
        <f>IF(Data!$I166="","",IF(Data!J166=0,"dns",Data!J166))</f>
        <v>145</v>
      </c>
      <c r="N167" s="34" t="str">
        <f>IF(Data!$I166="","","GP"&amp;Data!$B166&amp;", "&amp;Data!$J$1)</f>
        <v>GP10, Sarja 1</v>
      </c>
      <c r="O167" s="34">
        <f t="shared" si="25"/>
        <v>83</v>
      </c>
      <c r="P167" s="34">
        <f>IF($L167="","",Data!B166)</f>
        <v>10</v>
      </c>
      <c r="Q167" s="34" t="str">
        <f t="shared" si="26"/>
        <v>1</v>
      </c>
      <c r="R167" s="34">
        <f t="shared" si="27"/>
        <v>167</v>
      </c>
      <c r="S167" s="70">
        <f t="shared" si="28"/>
        <v>8.3101167000000004E-2</v>
      </c>
    </row>
    <row r="168" spans="1:19" x14ac:dyDescent="0.25">
      <c r="A168" s="34">
        <f t="shared" si="32"/>
        <v>164</v>
      </c>
      <c r="B168" s="34" t="str">
        <f t="shared" si="29"/>
        <v>Miika Nordblad</v>
      </c>
      <c r="C168" s="34">
        <f t="shared" si="30"/>
        <v>123</v>
      </c>
      <c r="D168" s="34" t="str">
        <f t="shared" si="31"/>
        <v>GP6, Sarja 2</v>
      </c>
      <c r="K168" s="34">
        <f t="shared" si="24"/>
        <v>148</v>
      </c>
      <c r="L168" s="34" t="str">
        <f>IF(Data!$I167="","",Data!I167)</f>
        <v>Mikko Mansikkamäki</v>
      </c>
      <c r="M168" s="34">
        <f>IF(Data!$I167="","",IF(Data!J167=0,"dns",Data!J167))</f>
        <v>127</v>
      </c>
      <c r="N168" s="34" t="str">
        <f>IF(Data!$I167="","","GP"&amp;Data!$B167&amp;", "&amp;Data!$J$1)</f>
        <v>GP10, Sarja 1</v>
      </c>
      <c r="O168" s="34">
        <f t="shared" si="25"/>
        <v>141</v>
      </c>
      <c r="P168" s="34">
        <f>IF($L168="","",Data!B167)</f>
        <v>10</v>
      </c>
      <c r="Q168" s="34" t="str">
        <f t="shared" si="26"/>
        <v>1</v>
      </c>
      <c r="R168" s="34">
        <f t="shared" si="27"/>
        <v>168</v>
      </c>
      <c r="S168" s="70">
        <f t="shared" si="28"/>
        <v>0.14110116799999997</v>
      </c>
    </row>
    <row r="169" spans="1:19" x14ac:dyDescent="0.25">
      <c r="A169" s="34">
        <f t="shared" si="32"/>
        <v>165</v>
      </c>
      <c r="B169" s="34" t="str">
        <f t="shared" si="29"/>
        <v>Jami Kallio</v>
      </c>
      <c r="C169" s="34">
        <f t="shared" si="30"/>
        <v>123</v>
      </c>
      <c r="D169" s="34" t="str">
        <f t="shared" si="31"/>
        <v>GP8, Sarja 1</v>
      </c>
      <c r="K169" s="34">
        <f t="shared" si="24"/>
        <v>117</v>
      </c>
      <c r="L169" s="34" t="str">
        <f>IF(Data!$I168="","",Data!I168)</f>
        <v>Juho Korpi</v>
      </c>
      <c r="M169" s="34">
        <f>IF(Data!$I168="","",IF(Data!J168=0,"dns",Data!J168))</f>
        <v>133</v>
      </c>
      <c r="N169" s="34" t="str">
        <f>IF(Data!$I168="","","GP"&amp;Data!$B168&amp;", "&amp;Data!$J$1)</f>
        <v>GP10, Sarja 1</v>
      </c>
      <c r="O169" s="34">
        <f t="shared" si="25"/>
        <v>113</v>
      </c>
      <c r="P169" s="34">
        <f>IF($L169="","",Data!B168)</f>
        <v>10</v>
      </c>
      <c r="Q169" s="34" t="str">
        <f t="shared" si="26"/>
        <v>1</v>
      </c>
      <c r="R169" s="34">
        <f t="shared" si="27"/>
        <v>169</v>
      </c>
      <c r="S169" s="70">
        <f t="shared" si="28"/>
        <v>0.113101169</v>
      </c>
    </row>
    <row r="170" spans="1:19" x14ac:dyDescent="0.25">
      <c r="A170" s="34">
        <f t="shared" si="32"/>
        <v>166</v>
      </c>
      <c r="B170" s="34" t="str">
        <f t="shared" si="29"/>
        <v>Mika Sola</v>
      </c>
      <c r="C170" s="34">
        <f t="shared" si="30"/>
        <v>123</v>
      </c>
      <c r="D170" s="34" t="str">
        <f t="shared" si="31"/>
        <v>GP9, Sarja 1</v>
      </c>
      <c r="K170" s="34">
        <f t="shared" si="24"/>
        <v>183</v>
      </c>
      <c r="L170" s="34" t="str">
        <f>IF(Data!$I169="","",Data!I169)</f>
        <v>Mika Sola</v>
      </c>
      <c r="M170" s="34">
        <f>IF(Data!$I169="","",IF(Data!J169=0,"dns",Data!J169))</f>
        <v>119</v>
      </c>
      <c r="N170" s="34" t="str">
        <f>IF(Data!$I169="","","GP"&amp;Data!$B169&amp;", "&amp;Data!$J$1)</f>
        <v>GP10, Sarja 1</v>
      </c>
      <c r="O170" s="34">
        <f t="shared" si="25"/>
        <v>179</v>
      </c>
      <c r="P170" s="34">
        <f>IF($L170="","",Data!B169)</f>
        <v>10</v>
      </c>
      <c r="Q170" s="34" t="str">
        <f t="shared" si="26"/>
        <v>1</v>
      </c>
      <c r="R170" s="34">
        <f t="shared" si="27"/>
        <v>170</v>
      </c>
      <c r="S170" s="70">
        <f t="shared" si="28"/>
        <v>0.17910116999999998</v>
      </c>
    </row>
    <row r="171" spans="1:19" x14ac:dyDescent="0.25">
      <c r="A171" s="34">
        <f t="shared" si="32"/>
        <v>167</v>
      </c>
      <c r="B171" s="34" t="str">
        <f t="shared" si="29"/>
        <v>Henri Verho</v>
      </c>
      <c r="C171" s="34">
        <f t="shared" si="30"/>
        <v>123</v>
      </c>
      <c r="D171" s="34" t="str">
        <f t="shared" si="31"/>
        <v>GP9, Sarja 2</v>
      </c>
      <c r="K171" s="34">
        <f t="shared" si="24"/>
        <v>136</v>
      </c>
      <c r="L171" s="34" t="str">
        <f>IF(Data!$I170="","",Data!I170)</f>
        <v>Niko Reunanen</v>
      </c>
      <c r="M171" s="34">
        <f>IF(Data!$I170="","",IF(Data!J170=0,"dns",Data!J170))</f>
        <v>129</v>
      </c>
      <c r="N171" s="34" t="str">
        <f>IF(Data!$I170="","","GP"&amp;Data!$B170&amp;", "&amp;Data!$J$1)</f>
        <v>GP10, Sarja 1</v>
      </c>
      <c r="O171" s="34">
        <f t="shared" si="25"/>
        <v>132</v>
      </c>
      <c r="P171" s="34">
        <f>IF($L171="","",Data!B170)</f>
        <v>10</v>
      </c>
      <c r="Q171" s="34" t="str">
        <f t="shared" si="26"/>
        <v>1</v>
      </c>
      <c r="R171" s="34">
        <f t="shared" si="27"/>
        <v>171</v>
      </c>
      <c r="S171" s="70">
        <f t="shared" si="28"/>
        <v>0.13210117099999999</v>
      </c>
    </row>
    <row r="172" spans="1:19" x14ac:dyDescent="0.25">
      <c r="A172" s="34">
        <f t="shared" si="32"/>
        <v>168</v>
      </c>
      <c r="B172" s="34" t="str">
        <f t="shared" si="29"/>
        <v>Miikka Korventausta</v>
      </c>
      <c r="C172" s="34">
        <f t="shared" si="30"/>
        <v>122</v>
      </c>
      <c r="D172" s="34" t="str">
        <f t="shared" si="31"/>
        <v>GP3, Sarja 2</v>
      </c>
      <c r="K172" s="34">
        <f t="shared" si="24"/>
        <v>209</v>
      </c>
      <c r="L172" s="34" t="str">
        <f>IF(Data!$I171="","",Data!I171)</f>
        <v>Sakari Leinonen</v>
      </c>
      <c r="M172" s="34">
        <f>IF(Data!$I171="","",IF(Data!J171=0,"dns",Data!J171))</f>
        <v>109</v>
      </c>
      <c r="N172" s="34" t="str">
        <f>IF(Data!$I171="","","GP"&amp;Data!$B171&amp;", "&amp;Data!$J$1)</f>
        <v>GP10, Sarja 1</v>
      </c>
      <c r="O172" s="34">
        <f t="shared" si="25"/>
        <v>208</v>
      </c>
      <c r="P172" s="34">
        <f>IF($L172="","",Data!B171)</f>
        <v>10</v>
      </c>
      <c r="Q172" s="34" t="str">
        <f t="shared" si="26"/>
        <v>1</v>
      </c>
      <c r="R172" s="34">
        <f t="shared" si="27"/>
        <v>172</v>
      </c>
      <c r="S172" s="70">
        <f t="shared" si="28"/>
        <v>0.20810117199999997</v>
      </c>
    </row>
    <row r="173" spans="1:19" x14ac:dyDescent="0.25">
      <c r="A173" s="34">
        <f t="shared" si="32"/>
        <v>169</v>
      </c>
      <c r="B173" s="34" t="str">
        <f t="shared" si="29"/>
        <v>Roope Warro</v>
      </c>
      <c r="C173" s="34">
        <f t="shared" si="30"/>
        <v>122</v>
      </c>
      <c r="D173" s="34" t="str">
        <f t="shared" si="31"/>
        <v>GP4, Sarja 2</v>
      </c>
      <c r="K173" s="34">
        <f t="shared" si="24"/>
        <v>230</v>
      </c>
      <c r="L173" s="34" t="str">
        <f>IF(Data!$I172="","",Data!I172)</f>
        <v>Olli Kajava</v>
      </c>
      <c r="M173" s="34">
        <f>IF(Data!$I172="","",IF(Data!J172=0,"dns",Data!J172))</f>
        <v>102</v>
      </c>
      <c r="N173" s="34" t="str">
        <f>IF(Data!$I172="","","GP"&amp;Data!$B172&amp;", "&amp;Data!$J$1)</f>
        <v>GP10, Sarja 1</v>
      </c>
      <c r="O173" s="34">
        <f t="shared" si="25"/>
        <v>226</v>
      </c>
      <c r="P173" s="34">
        <f>IF($L173="","",Data!B172)</f>
        <v>10</v>
      </c>
      <c r="Q173" s="34" t="str">
        <f t="shared" si="26"/>
        <v>1</v>
      </c>
      <c r="R173" s="34">
        <f t="shared" si="27"/>
        <v>173</v>
      </c>
      <c r="S173" s="70">
        <f t="shared" si="28"/>
        <v>0.22610117299999999</v>
      </c>
    </row>
    <row r="174" spans="1:19" x14ac:dyDescent="0.25">
      <c r="A174" s="34">
        <f t="shared" si="32"/>
        <v>170</v>
      </c>
      <c r="B174" s="34" t="str">
        <f t="shared" si="29"/>
        <v>Miikka Korventausta</v>
      </c>
      <c r="C174" s="34">
        <f t="shared" si="30"/>
        <v>122</v>
      </c>
      <c r="D174" s="34" t="str">
        <f t="shared" si="31"/>
        <v>GP4, Sarja 2</v>
      </c>
      <c r="K174" s="34">
        <f t="shared" si="24"/>
        <v>200</v>
      </c>
      <c r="L174" s="34" t="str">
        <f>IF(Data!$I173="","",Data!I173)</f>
        <v>Ossi Oksa</v>
      </c>
      <c r="M174" s="34">
        <f>IF(Data!$I173="","",IF(Data!J173=0,"dns",Data!J173))</f>
        <v>112</v>
      </c>
      <c r="N174" s="34" t="str">
        <f>IF(Data!$I173="","","GP"&amp;Data!$B173&amp;", "&amp;Data!$J$1)</f>
        <v>GP10, Sarja 1</v>
      </c>
      <c r="O174" s="34">
        <f t="shared" si="25"/>
        <v>198</v>
      </c>
      <c r="P174" s="34">
        <f>IF($L174="","",Data!B173)</f>
        <v>10</v>
      </c>
      <c r="Q174" s="34" t="str">
        <f t="shared" si="26"/>
        <v>1</v>
      </c>
      <c r="R174" s="34">
        <f t="shared" si="27"/>
        <v>174</v>
      </c>
      <c r="S174" s="70">
        <f t="shared" si="28"/>
        <v>0.19810117399999999</v>
      </c>
    </row>
    <row r="175" spans="1:19" x14ac:dyDescent="0.25">
      <c r="A175" s="34">
        <f t="shared" si="32"/>
        <v>171</v>
      </c>
      <c r="B175" s="34" t="str">
        <f t="shared" si="29"/>
        <v>Mika Sola</v>
      </c>
      <c r="C175" s="34">
        <f t="shared" si="30"/>
        <v>121</v>
      </c>
      <c r="D175" s="34" t="str">
        <f t="shared" si="31"/>
        <v>GP1, Sarja 1</v>
      </c>
      <c r="K175" s="34">
        <f t="shared" si="24"/>
        <v>345</v>
      </c>
      <c r="L175" s="34" t="str">
        <f>IF(Data!$I174="","",Data!I174)</f>
        <v>Frans Hartman</v>
      </c>
      <c r="M175" s="34" t="str">
        <f>IF(Data!$I174="","",IF(Data!J174=0,"dns",Data!J174))</f>
        <v>dns</v>
      </c>
      <c r="N175" s="34" t="str">
        <f>IF(Data!$I174="","","GP"&amp;Data!$B174&amp;", "&amp;Data!$J$1)</f>
        <v>GP10, Sarja 1</v>
      </c>
      <c r="O175" s="34">
        <f t="shared" si="25"/>
        <v>625</v>
      </c>
      <c r="P175" s="34">
        <f>IF($L175="","",Data!B174)</f>
        <v>10</v>
      </c>
      <c r="Q175" s="34" t="str">
        <f t="shared" si="26"/>
        <v>1</v>
      </c>
      <c r="R175" s="34">
        <f t="shared" si="27"/>
        <v>175</v>
      </c>
      <c r="S175" s="70">
        <f t="shared" si="28"/>
        <v>0.62510117500000006</v>
      </c>
    </row>
    <row r="176" spans="1:19" x14ac:dyDescent="0.25">
      <c r="A176" s="34">
        <f t="shared" si="32"/>
        <v>172</v>
      </c>
      <c r="B176" s="34" t="str">
        <f t="shared" si="29"/>
        <v>Joonas Ollonqvist</v>
      </c>
      <c r="C176" s="34">
        <f t="shared" si="30"/>
        <v>121</v>
      </c>
      <c r="D176" s="34" t="str">
        <f t="shared" si="31"/>
        <v>GP2, Sarja 2</v>
      </c>
      <c r="K176" s="34">
        <f t="shared" si="24"/>
        <v>346</v>
      </c>
      <c r="L176" s="34" t="str">
        <f>IF(Data!$I175="","",Data!I175)</f>
        <v>Kaleva Latvala</v>
      </c>
      <c r="M176" s="34" t="str">
        <f>IF(Data!$I175="","",IF(Data!J175=0,"dns",Data!J175))</f>
        <v>dns</v>
      </c>
      <c r="N176" s="34" t="str">
        <f>IF(Data!$I175="","","GP"&amp;Data!$B175&amp;", "&amp;Data!$J$1)</f>
        <v>GP10, Sarja 1</v>
      </c>
      <c r="O176" s="34">
        <f t="shared" si="25"/>
        <v>625</v>
      </c>
      <c r="P176" s="34">
        <f>IF($L176="","",Data!B175)</f>
        <v>10</v>
      </c>
      <c r="Q176" s="34" t="str">
        <f t="shared" si="26"/>
        <v>1</v>
      </c>
      <c r="R176" s="34">
        <f t="shared" si="27"/>
        <v>176</v>
      </c>
      <c r="S176" s="70">
        <f t="shared" si="28"/>
        <v>0.62510117600000004</v>
      </c>
    </row>
    <row r="177" spans="1:19" x14ac:dyDescent="0.25">
      <c r="A177" s="34">
        <f t="shared" si="32"/>
        <v>173</v>
      </c>
      <c r="B177" s="34" t="str">
        <f t="shared" si="29"/>
        <v>Sakari Leinonen</v>
      </c>
      <c r="C177" s="34">
        <f t="shared" si="30"/>
        <v>121</v>
      </c>
      <c r="D177" s="34" t="str">
        <f t="shared" si="31"/>
        <v>GP3, Sarja 2</v>
      </c>
      <c r="K177" s="34">
        <f t="shared" si="24"/>
        <v>347</v>
      </c>
      <c r="L177" s="34" t="str">
        <f>IF(Data!$I176="","",Data!I176)</f>
        <v>Asko Haaksi</v>
      </c>
      <c r="M177" s="34" t="str">
        <f>IF(Data!$I176="","",IF(Data!J176=0,"dns",Data!J176))</f>
        <v>dns</v>
      </c>
      <c r="N177" s="34" t="str">
        <f>IF(Data!$I176="","","GP"&amp;Data!$B176&amp;", "&amp;Data!$J$1)</f>
        <v>GP10, Sarja 1</v>
      </c>
      <c r="O177" s="34">
        <f t="shared" si="25"/>
        <v>625</v>
      </c>
      <c r="P177" s="34">
        <f>IF($L177="","",Data!B176)</f>
        <v>10</v>
      </c>
      <c r="Q177" s="34" t="str">
        <f t="shared" si="26"/>
        <v>1</v>
      </c>
      <c r="R177" s="34">
        <f t="shared" si="27"/>
        <v>177</v>
      </c>
      <c r="S177" s="70">
        <f t="shared" si="28"/>
        <v>0.62510117700000001</v>
      </c>
    </row>
    <row r="178" spans="1:19" x14ac:dyDescent="0.25">
      <c r="A178" s="34">
        <f t="shared" si="32"/>
        <v>174</v>
      </c>
      <c r="B178" s="34" t="str">
        <f t="shared" si="29"/>
        <v>Juho Korpi</v>
      </c>
      <c r="C178" s="34">
        <f t="shared" si="30"/>
        <v>120</v>
      </c>
      <c r="D178" s="34" t="str">
        <f t="shared" si="31"/>
        <v>GP3, Sarja 2</v>
      </c>
      <c r="K178" s="34">
        <f t="shared" si="24"/>
        <v>348</v>
      </c>
      <c r="L178" s="34" t="str">
        <f>IF(Data!$I177="","",Data!I177)</f>
        <v>Joonas Ollonqvist</v>
      </c>
      <c r="M178" s="34" t="str">
        <f>IF(Data!$I177="","",IF(Data!J177=0,"dns",Data!J177))</f>
        <v>dns</v>
      </c>
      <c r="N178" s="34" t="str">
        <f>IF(Data!$I177="","","GP"&amp;Data!$B177&amp;", "&amp;Data!$J$1)</f>
        <v>GP10, Sarja 1</v>
      </c>
      <c r="O178" s="34">
        <f t="shared" si="25"/>
        <v>625</v>
      </c>
      <c r="P178" s="34">
        <f>IF($L178="","",Data!B177)</f>
        <v>10</v>
      </c>
      <c r="Q178" s="34" t="str">
        <f t="shared" si="26"/>
        <v>1</v>
      </c>
      <c r="R178" s="34">
        <f t="shared" si="27"/>
        <v>178</v>
      </c>
      <c r="S178" s="70">
        <f t="shared" si="28"/>
        <v>0.62510117799999998</v>
      </c>
    </row>
    <row r="179" spans="1:19" x14ac:dyDescent="0.25">
      <c r="A179" s="34">
        <f t="shared" si="32"/>
        <v>175</v>
      </c>
      <c r="B179" s="34" t="str">
        <f t="shared" si="29"/>
        <v>Juho Korpi</v>
      </c>
      <c r="C179" s="34">
        <f t="shared" si="30"/>
        <v>120</v>
      </c>
      <c r="D179" s="34" t="str">
        <f t="shared" si="31"/>
        <v>GP4, Sarja 2</v>
      </c>
      <c r="K179" s="34">
        <f t="shared" si="24"/>
        <v>349</v>
      </c>
      <c r="L179" s="34" t="str">
        <f>IF(Data!$I178="","",Data!I178)</f>
        <v>Miikka Korventausta</v>
      </c>
      <c r="M179" s="34" t="str">
        <f>IF(Data!$I178="","",IF(Data!J178=0,"dns",Data!J178))</f>
        <v>dns</v>
      </c>
      <c r="N179" s="34" t="str">
        <f>IF(Data!$I178="","","GP"&amp;Data!$B178&amp;", "&amp;Data!$J$1)</f>
        <v>GP10, Sarja 1</v>
      </c>
      <c r="O179" s="34">
        <f t="shared" si="25"/>
        <v>625</v>
      </c>
      <c r="P179" s="34">
        <f>IF($L179="","",Data!B178)</f>
        <v>10</v>
      </c>
      <c r="Q179" s="34" t="str">
        <f t="shared" si="26"/>
        <v>1</v>
      </c>
      <c r="R179" s="34">
        <f t="shared" si="27"/>
        <v>179</v>
      </c>
      <c r="S179" s="70">
        <f t="shared" si="28"/>
        <v>0.62510117900000006</v>
      </c>
    </row>
    <row r="180" spans="1:19" x14ac:dyDescent="0.25">
      <c r="A180" s="34">
        <f t="shared" si="32"/>
        <v>176</v>
      </c>
      <c r="B180" s="34" t="str">
        <f t="shared" si="29"/>
        <v>Asko Haaksi</v>
      </c>
      <c r="C180" s="34">
        <f t="shared" si="30"/>
        <v>120</v>
      </c>
      <c r="D180" s="34" t="str">
        <f t="shared" si="31"/>
        <v>GP5, Sarja 1</v>
      </c>
      <c r="K180" s="34">
        <f t="shared" si="24"/>
        <v>350</v>
      </c>
      <c r="L180" s="34" t="str">
        <f>IF(Data!$I179="","",Data!I179)</f>
        <v>Roope Warro</v>
      </c>
      <c r="M180" s="34" t="str">
        <f>IF(Data!$I179="","",IF(Data!J179=0,"dns",Data!J179))</f>
        <v>dns</v>
      </c>
      <c r="N180" s="34" t="str">
        <f>IF(Data!$I179="","","GP"&amp;Data!$B179&amp;", "&amp;Data!$J$1)</f>
        <v>GP10, Sarja 1</v>
      </c>
      <c r="O180" s="34">
        <f t="shared" si="25"/>
        <v>625</v>
      </c>
      <c r="P180" s="34">
        <f>IF($L180="","",Data!B179)</f>
        <v>10</v>
      </c>
      <c r="Q180" s="34" t="str">
        <f t="shared" si="26"/>
        <v>1</v>
      </c>
      <c r="R180" s="34">
        <f t="shared" si="27"/>
        <v>180</v>
      </c>
      <c r="S180" s="70">
        <f t="shared" si="28"/>
        <v>0.62510118000000003</v>
      </c>
    </row>
    <row r="181" spans="1:19" x14ac:dyDescent="0.25">
      <c r="A181" s="34">
        <f t="shared" si="32"/>
        <v>177</v>
      </c>
      <c r="B181" s="34" t="str">
        <f t="shared" si="29"/>
        <v>Niko Reunanen</v>
      </c>
      <c r="C181" s="34">
        <f t="shared" si="30"/>
        <v>120</v>
      </c>
      <c r="D181" s="34" t="str">
        <f t="shared" si="31"/>
        <v>GP5, Sarja 2</v>
      </c>
      <c r="K181" s="34">
        <f t="shared" si="24"/>
        <v>351</v>
      </c>
      <c r="L181" s="34" t="str">
        <f>IF(Data!$I180="","",Data!I180)</f>
        <v>Iiro Riikonen</v>
      </c>
      <c r="M181" s="34" t="str">
        <f>IF(Data!$I180="","",IF(Data!J180=0,"dns",Data!J180))</f>
        <v>dns</v>
      </c>
      <c r="N181" s="34" t="str">
        <f>IF(Data!$I180="","","GP"&amp;Data!$B180&amp;", "&amp;Data!$J$1)</f>
        <v>GP10, Sarja 1</v>
      </c>
      <c r="O181" s="34">
        <f t="shared" si="25"/>
        <v>625</v>
      </c>
      <c r="P181" s="34">
        <f>IF($L181="","",Data!B180)</f>
        <v>10</v>
      </c>
      <c r="Q181" s="34" t="str">
        <f t="shared" si="26"/>
        <v>1</v>
      </c>
      <c r="R181" s="34">
        <f t="shared" si="27"/>
        <v>181</v>
      </c>
      <c r="S181" s="70">
        <f t="shared" si="28"/>
        <v>0.62510118100000001</v>
      </c>
    </row>
    <row r="182" spans="1:19" x14ac:dyDescent="0.25">
      <c r="A182" s="34">
        <f t="shared" si="32"/>
        <v>178</v>
      </c>
      <c r="B182" s="34" t="str">
        <f t="shared" si="29"/>
        <v>Juho Korpi</v>
      </c>
      <c r="C182" s="34">
        <f t="shared" si="30"/>
        <v>120</v>
      </c>
      <c r="D182" s="34" t="str">
        <f t="shared" si="31"/>
        <v>GP10, Sarja 2</v>
      </c>
      <c r="K182" s="34">
        <f t="shared" si="24"/>
        <v>352</v>
      </c>
      <c r="L182" s="34" t="str">
        <f>IF(Data!$I181="","",Data!I181)</f>
        <v>Tatu Erlin</v>
      </c>
      <c r="M182" s="34" t="str">
        <f>IF(Data!$I181="","",IF(Data!J181=0,"dns",Data!J181))</f>
        <v>dns</v>
      </c>
      <c r="N182" s="34" t="str">
        <f>IF(Data!$I181="","","GP"&amp;Data!$B181&amp;", "&amp;Data!$J$1)</f>
        <v>GP10, Sarja 1</v>
      </c>
      <c r="O182" s="34">
        <f t="shared" si="25"/>
        <v>625</v>
      </c>
      <c r="P182" s="34">
        <f>IF($L182="","",Data!B181)</f>
        <v>10</v>
      </c>
      <c r="Q182" s="34" t="str">
        <f t="shared" si="26"/>
        <v>1</v>
      </c>
      <c r="R182" s="34">
        <f t="shared" si="27"/>
        <v>182</v>
      </c>
      <c r="S182" s="70">
        <f t="shared" si="28"/>
        <v>0.62510118199999998</v>
      </c>
    </row>
    <row r="183" spans="1:19" x14ac:dyDescent="0.25">
      <c r="A183" s="34">
        <f t="shared" si="32"/>
        <v>179</v>
      </c>
      <c r="B183" s="34" t="str">
        <f t="shared" si="29"/>
        <v>Tatu Erlin</v>
      </c>
      <c r="C183" s="34">
        <f t="shared" si="30"/>
        <v>119</v>
      </c>
      <c r="D183" s="34" t="str">
        <f t="shared" si="31"/>
        <v>GP2, Sarja 2</v>
      </c>
      <c r="K183" s="34" t="str">
        <f t="shared" si="24"/>
        <v/>
      </c>
      <c r="L183" s="34" t="str">
        <f>IF(Data!$I182="","",Data!I182)</f>
        <v/>
      </c>
      <c r="M183" s="34" t="str">
        <f>IF(Data!$I182="","",IF(Data!J182=0,"dns",Data!J182))</f>
        <v/>
      </c>
      <c r="N183" s="34" t="str">
        <f>IF(Data!$I182="","","GP"&amp;Data!$B182&amp;", "&amp;Data!$J$1)</f>
        <v/>
      </c>
      <c r="O183" s="34" t="str">
        <f t="shared" si="25"/>
        <v/>
      </c>
      <c r="P183" s="34" t="str">
        <f>IF($L183="","",Data!B182)</f>
        <v/>
      </c>
      <c r="Q183" s="34" t="str">
        <f t="shared" si="26"/>
        <v/>
      </c>
      <c r="R183" s="34" t="str">
        <f t="shared" si="27"/>
        <v/>
      </c>
      <c r="S183" s="70" t="str">
        <f t="shared" si="28"/>
        <v/>
      </c>
    </row>
    <row r="184" spans="1:19" x14ac:dyDescent="0.25">
      <c r="A184" s="34">
        <f t="shared" si="32"/>
        <v>180</v>
      </c>
      <c r="B184" s="34" t="str">
        <f t="shared" si="29"/>
        <v>Mikko Mansikkamäki</v>
      </c>
      <c r="C184" s="34">
        <f t="shared" si="30"/>
        <v>119</v>
      </c>
      <c r="D184" s="34" t="str">
        <f t="shared" si="31"/>
        <v>GP6, Sarja 2</v>
      </c>
      <c r="K184" s="34" t="str">
        <f t="shared" si="24"/>
        <v/>
      </c>
      <c r="L184" s="34" t="str">
        <f>IF(Data!$I183="","",Data!I183)</f>
        <v/>
      </c>
      <c r="M184" s="34" t="str">
        <f>IF(Data!$I183="","",IF(Data!J183=0,"dns",Data!J183))</f>
        <v/>
      </c>
      <c r="N184" s="34" t="str">
        <f>IF(Data!$I183="","","GP"&amp;Data!$B183&amp;", "&amp;Data!$J$1)</f>
        <v/>
      </c>
      <c r="O184" s="34" t="str">
        <f t="shared" si="25"/>
        <v/>
      </c>
      <c r="P184" s="34" t="str">
        <f>IF($L184="","",Data!B183)</f>
        <v/>
      </c>
      <c r="Q184" s="34" t="str">
        <f t="shared" si="26"/>
        <v/>
      </c>
      <c r="R184" s="34" t="str">
        <f t="shared" si="27"/>
        <v/>
      </c>
      <c r="S184" s="70" t="str">
        <f t="shared" si="28"/>
        <v/>
      </c>
    </row>
    <row r="185" spans="1:19" x14ac:dyDescent="0.25">
      <c r="A185" s="34">
        <f t="shared" si="32"/>
        <v>181</v>
      </c>
      <c r="B185" s="34" t="str">
        <f t="shared" si="29"/>
        <v>Joonas Ollonqvist</v>
      </c>
      <c r="C185" s="34">
        <f t="shared" si="30"/>
        <v>119</v>
      </c>
      <c r="D185" s="34" t="str">
        <f t="shared" si="31"/>
        <v>GP9, Sarja 1</v>
      </c>
      <c r="K185" s="34" t="str">
        <f t="shared" si="24"/>
        <v/>
      </c>
      <c r="L185" s="34" t="str">
        <f>IF(Data!$I184="","",Data!I184)</f>
        <v/>
      </c>
      <c r="M185" s="34" t="str">
        <f>IF(Data!$I184="","",IF(Data!J184=0,"dns",Data!J184))</f>
        <v/>
      </c>
      <c r="N185" s="34" t="str">
        <f>IF(Data!$I184="","","GP"&amp;Data!$B184&amp;", "&amp;Data!$J$1)</f>
        <v/>
      </c>
      <c r="O185" s="34" t="str">
        <f t="shared" si="25"/>
        <v/>
      </c>
      <c r="P185" s="34" t="str">
        <f>IF($L185="","",Data!B184)</f>
        <v/>
      </c>
      <c r="Q185" s="34" t="str">
        <f t="shared" si="26"/>
        <v/>
      </c>
      <c r="R185" s="34" t="str">
        <f t="shared" si="27"/>
        <v/>
      </c>
      <c r="S185" s="70" t="str">
        <f t="shared" si="28"/>
        <v/>
      </c>
    </row>
    <row r="186" spans="1:19" x14ac:dyDescent="0.25">
      <c r="A186" s="34">
        <f t="shared" si="32"/>
        <v>182</v>
      </c>
      <c r="B186" s="34" t="str">
        <f t="shared" si="29"/>
        <v>Ossi Oksa</v>
      </c>
      <c r="C186" s="34">
        <f t="shared" si="30"/>
        <v>119</v>
      </c>
      <c r="D186" s="34" t="str">
        <f t="shared" si="31"/>
        <v>GP9, Sarja 2</v>
      </c>
      <c r="K186" s="34" t="str">
        <f t="shared" si="24"/>
        <v/>
      </c>
      <c r="L186" s="34" t="str">
        <f>IF(Data!$I185="","",Data!I185)</f>
        <v/>
      </c>
      <c r="M186" s="34" t="str">
        <f>IF(Data!$I185="","",IF(Data!J185=0,"dns",Data!J185))</f>
        <v/>
      </c>
      <c r="N186" s="34" t="str">
        <f>IF(Data!$I185="","","GP"&amp;Data!$B185&amp;", "&amp;Data!$J$1)</f>
        <v/>
      </c>
      <c r="O186" s="34" t="str">
        <f t="shared" si="25"/>
        <v/>
      </c>
      <c r="P186" s="34" t="str">
        <f>IF($L186="","",Data!B185)</f>
        <v/>
      </c>
      <c r="Q186" s="34" t="str">
        <f t="shared" si="26"/>
        <v/>
      </c>
      <c r="R186" s="34" t="str">
        <f t="shared" si="27"/>
        <v/>
      </c>
      <c r="S186" s="70" t="str">
        <f t="shared" si="28"/>
        <v/>
      </c>
    </row>
    <row r="187" spans="1:19" x14ac:dyDescent="0.25">
      <c r="A187" s="34">
        <f t="shared" si="32"/>
        <v>183</v>
      </c>
      <c r="B187" s="34" t="str">
        <f t="shared" si="29"/>
        <v>Mika Sola</v>
      </c>
      <c r="C187" s="34">
        <f t="shared" si="30"/>
        <v>119</v>
      </c>
      <c r="D187" s="34" t="str">
        <f t="shared" si="31"/>
        <v>GP10, Sarja 1</v>
      </c>
      <c r="K187" s="34" t="str">
        <f t="shared" si="24"/>
        <v/>
      </c>
      <c r="L187" s="34" t="str">
        <f>IF(Data!$I186="","",Data!I186)</f>
        <v/>
      </c>
      <c r="M187" s="34" t="str">
        <f>IF(Data!$I186="","",IF(Data!J186=0,"dns",Data!J186))</f>
        <v/>
      </c>
      <c r="N187" s="34" t="str">
        <f>IF(Data!$I186="","","GP"&amp;Data!$B186&amp;", "&amp;Data!$J$1)</f>
        <v/>
      </c>
      <c r="O187" s="34" t="str">
        <f t="shared" si="25"/>
        <v/>
      </c>
      <c r="P187" s="34" t="str">
        <f>IF($L187="","",Data!B186)</f>
        <v/>
      </c>
      <c r="Q187" s="34" t="str">
        <f t="shared" si="26"/>
        <v/>
      </c>
      <c r="R187" s="34" t="str">
        <f t="shared" si="27"/>
        <v/>
      </c>
      <c r="S187" s="70" t="str">
        <f t="shared" si="28"/>
        <v/>
      </c>
    </row>
    <row r="188" spans="1:19" x14ac:dyDescent="0.25">
      <c r="A188" s="34">
        <f t="shared" si="32"/>
        <v>184</v>
      </c>
      <c r="B188" s="34" t="str">
        <f t="shared" si="29"/>
        <v>Kaleva Latvala</v>
      </c>
      <c r="C188" s="34">
        <f t="shared" si="30"/>
        <v>118</v>
      </c>
      <c r="D188" s="34" t="str">
        <f t="shared" si="31"/>
        <v>GP1, Sarja 1</v>
      </c>
      <c r="K188" s="34" t="str">
        <f t="shared" si="24"/>
        <v/>
      </c>
      <c r="L188" s="34" t="str">
        <f>IF(Data!$I187="","",Data!I187)</f>
        <v/>
      </c>
      <c r="M188" s="34" t="str">
        <f>IF(Data!$I187="","",IF(Data!J187=0,"dns",Data!J187))</f>
        <v/>
      </c>
      <c r="N188" s="34" t="str">
        <f>IF(Data!$I187="","","GP"&amp;Data!$B187&amp;", "&amp;Data!$J$1)</f>
        <v/>
      </c>
      <c r="O188" s="34" t="str">
        <f t="shared" si="25"/>
        <v/>
      </c>
      <c r="P188" s="34" t="str">
        <f>IF($L188="","",Data!B187)</f>
        <v/>
      </c>
      <c r="Q188" s="34" t="str">
        <f t="shared" si="26"/>
        <v/>
      </c>
      <c r="R188" s="34" t="str">
        <f t="shared" si="27"/>
        <v/>
      </c>
      <c r="S188" s="70" t="str">
        <f t="shared" si="28"/>
        <v/>
      </c>
    </row>
    <row r="189" spans="1:19" x14ac:dyDescent="0.25">
      <c r="A189" s="34">
        <f t="shared" si="32"/>
        <v>185</v>
      </c>
      <c r="B189" s="34" t="str">
        <f t="shared" si="29"/>
        <v>Kaleva Latvala</v>
      </c>
      <c r="C189" s="34">
        <f t="shared" si="30"/>
        <v>118</v>
      </c>
      <c r="D189" s="34" t="str">
        <f t="shared" si="31"/>
        <v>GP3, Sarja 2</v>
      </c>
      <c r="K189" s="34" t="str">
        <f t="shared" si="24"/>
        <v/>
      </c>
      <c r="L189" s="34" t="str">
        <f>IF(Data!$I188="","",Data!I188)</f>
        <v/>
      </c>
      <c r="M189" s="34" t="str">
        <f>IF(Data!$I188="","",IF(Data!J188=0,"dns",Data!J188))</f>
        <v/>
      </c>
      <c r="N189" s="34" t="str">
        <f>IF(Data!$I188="","","GP"&amp;Data!$B188&amp;", "&amp;Data!$J$1)</f>
        <v/>
      </c>
      <c r="O189" s="34" t="str">
        <f t="shared" si="25"/>
        <v/>
      </c>
      <c r="P189" s="34" t="str">
        <f>IF($L189="","",Data!B188)</f>
        <v/>
      </c>
      <c r="Q189" s="34" t="str">
        <f t="shared" si="26"/>
        <v/>
      </c>
      <c r="R189" s="34" t="str">
        <f t="shared" si="27"/>
        <v/>
      </c>
      <c r="S189" s="70" t="str">
        <f t="shared" si="28"/>
        <v/>
      </c>
    </row>
    <row r="190" spans="1:19" x14ac:dyDescent="0.25">
      <c r="A190" s="34">
        <f t="shared" si="32"/>
        <v>186</v>
      </c>
      <c r="B190" s="34" t="str">
        <f t="shared" si="29"/>
        <v>Mika Sola</v>
      </c>
      <c r="C190" s="34">
        <f t="shared" si="30"/>
        <v>118</v>
      </c>
      <c r="D190" s="34" t="str">
        <f t="shared" si="31"/>
        <v>GP4, Sarja 1</v>
      </c>
      <c r="K190" s="34" t="str">
        <f t="shared" si="24"/>
        <v/>
      </c>
      <c r="L190" s="34" t="str">
        <f>IF(Data!$I189="","",Data!I189)</f>
        <v/>
      </c>
      <c r="M190" s="34" t="str">
        <f>IF(Data!$I189="","",IF(Data!J189=0,"dns",Data!J189))</f>
        <v/>
      </c>
      <c r="N190" s="34" t="str">
        <f>IF(Data!$I189="","","GP"&amp;Data!$B189&amp;", "&amp;Data!$J$1)</f>
        <v/>
      </c>
      <c r="O190" s="34" t="str">
        <f t="shared" si="25"/>
        <v/>
      </c>
      <c r="P190" s="34" t="str">
        <f>IF($L190="","",Data!B189)</f>
        <v/>
      </c>
      <c r="Q190" s="34" t="str">
        <f t="shared" si="26"/>
        <v/>
      </c>
      <c r="R190" s="34" t="str">
        <f t="shared" si="27"/>
        <v/>
      </c>
      <c r="S190" s="70" t="str">
        <f t="shared" si="28"/>
        <v/>
      </c>
    </row>
    <row r="191" spans="1:19" x14ac:dyDescent="0.25">
      <c r="A191" s="34">
        <f t="shared" si="32"/>
        <v>187</v>
      </c>
      <c r="B191" s="34" t="str">
        <f t="shared" si="29"/>
        <v>Niko Reunanen</v>
      </c>
      <c r="C191" s="34">
        <f t="shared" si="30"/>
        <v>118</v>
      </c>
      <c r="D191" s="34" t="str">
        <f t="shared" si="31"/>
        <v>GP8, Sarja 1</v>
      </c>
      <c r="K191" s="34" t="str">
        <f t="shared" si="24"/>
        <v/>
      </c>
      <c r="L191" s="34" t="str">
        <f>IF(Data!$I190="","",Data!I190)</f>
        <v/>
      </c>
      <c r="M191" s="34" t="str">
        <f>IF(Data!$I190="","",IF(Data!J190=0,"dns",Data!J190))</f>
        <v/>
      </c>
      <c r="N191" s="34" t="str">
        <f>IF(Data!$I190="","","GP"&amp;Data!$B190&amp;", "&amp;Data!$J$1)</f>
        <v/>
      </c>
      <c r="O191" s="34" t="str">
        <f t="shared" si="25"/>
        <v/>
      </c>
      <c r="P191" s="34" t="str">
        <f>IF($L191="","",Data!B190)</f>
        <v/>
      </c>
      <c r="Q191" s="34" t="str">
        <f t="shared" si="26"/>
        <v/>
      </c>
      <c r="R191" s="34" t="str">
        <f t="shared" si="27"/>
        <v/>
      </c>
      <c r="S191" s="70" t="str">
        <f t="shared" si="28"/>
        <v/>
      </c>
    </row>
    <row r="192" spans="1:19" x14ac:dyDescent="0.25">
      <c r="A192" s="34">
        <f t="shared" si="32"/>
        <v>188</v>
      </c>
      <c r="B192" s="34" t="str">
        <f t="shared" si="29"/>
        <v>Asko Haaksi</v>
      </c>
      <c r="C192" s="34">
        <f t="shared" si="30"/>
        <v>118</v>
      </c>
      <c r="D192" s="34" t="str">
        <f t="shared" si="31"/>
        <v>GP9, Sarja 2</v>
      </c>
      <c r="K192" s="34" t="str">
        <f t="shared" si="24"/>
        <v/>
      </c>
      <c r="L192" s="34" t="str">
        <f>IF(Data!$I191="","",Data!I191)</f>
        <v/>
      </c>
      <c r="M192" s="34" t="str">
        <f>IF(Data!$I191="","",IF(Data!J191=0,"dns",Data!J191))</f>
        <v/>
      </c>
      <c r="N192" s="34" t="str">
        <f>IF(Data!$I191="","","GP"&amp;Data!$B191&amp;", "&amp;Data!$J$1)</f>
        <v/>
      </c>
      <c r="O192" s="34" t="str">
        <f t="shared" si="25"/>
        <v/>
      </c>
      <c r="P192" s="34" t="str">
        <f>IF($L192="","",Data!B191)</f>
        <v/>
      </c>
      <c r="Q192" s="34" t="str">
        <f t="shared" si="26"/>
        <v/>
      </c>
      <c r="R192" s="34" t="str">
        <f t="shared" si="27"/>
        <v/>
      </c>
      <c r="S192" s="70" t="str">
        <f t="shared" si="28"/>
        <v/>
      </c>
    </row>
    <row r="193" spans="1:19" x14ac:dyDescent="0.25">
      <c r="A193" s="34">
        <f t="shared" si="32"/>
        <v>189</v>
      </c>
      <c r="B193" s="34" t="str">
        <f t="shared" si="29"/>
        <v>Mikko Mansikkamäki</v>
      </c>
      <c r="C193" s="34">
        <f t="shared" si="30"/>
        <v>117</v>
      </c>
      <c r="D193" s="34" t="str">
        <f t="shared" si="31"/>
        <v>GP3, Sarja 1</v>
      </c>
      <c r="K193" s="34" t="str">
        <f t="shared" si="24"/>
        <v/>
      </c>
      <c r="L193" s="34" t="str">
        <f>IF(Data!$I192="","",Data!I192)</f>
        <v/>
      </c>
      <c r="M193" s="34" t="str">
        <f>IF(Data!$I192="","",IF(Data!J192=0,"dns",Data!J192))</f>
        <v/>
      </c>
      <c r="N193" s="34" t="str">
        <f>IF(Data!$I192="","","GP"&amp;Data!$B192&amp;", "&amp;Data!$J$1)</f>
        <v/>
      </c>
      <c r="O193" s="34" t="str">
        <f t="shared" si="25"/>
        <v/>
      </c>
      <c r="P193" s="34" t="str">
        <f>IF($L193="","",Data!B192)</f>
        <v/>
      </c>
      <c r="Q193" s="34" t="str">
        <f t="shared" si="26"/>
        <v/>
      </c>
      <c r="R193" s="34" t="str">
        <f t="shared" si="27"/>
        <v/>
      </c>
      <c r="S193" s="70" t="str">
        <f t="shared" si="28"/>
        <v/>
      </c>
    </row>
    <row r="194" spans="1:19" x14ac:dyDescent="0.25">
      <c r="A194" s="34">
        <f t="shared" si="32"/>
        <v>190</v>
      </c>
      <c r="B194" s="34" t="str">
        <f t="shared" si="29"/>
        <v>Joonas Ollonqvist</v>
      </c>
      <c r="C194" s="34">
        <f t="shared" si="30"/>
        <v>117</v>
      </c>
      <c r="D194" s="34" t="str">
        <f t="shared" si="31"/>
        <v>GP6, Sarja 1</v>
      </c>
      <c r="K194" s="34" t="str">
        <f t="shared" si="24"/>
        <v/>
      </c>
      <c r="L194" s="34" t="str">
        <f>IF(Data!$I193="","",Data!I193)</f>
        <v/>
      </c>
      <c r="M194" s="34" t="str">
        <f>IF(Data!$I193="","",IF(Data!J193=0,"dns",Data!J193))</f>
        <v/>
      </c>
      <c r="N194" s="34" t="str">
        <f>IF(Data!$I193="","","GP"&amp;Data!$B193&amp;", "&amp;Data!$J$1)</f>
        <v/>
      </c>
      <c r="O194" s="34" t="str">
        <f t="shared" si="25"/>
        <v/>
      </c>
      <c r="P194" s="34" t="str">
        <f>IF($L194="","",Data!B193)</f>
        <v/>
      </c>
      <c r="Q194" s="34" t="str">
        <f t="shared" si="26"/>
        <v/>
      </c>
      <c r="R194" s="34" t="str">
        <f t="shared" si="27"/>
        <v/>
      </c>
      <c r="S194" s="70" t="str">
        <f t="shared" si="28"/>
        <v/>
      </c>
    </row>
    <row r="195" spans="1:19" x14ac:dyDescent="0.25">
      <c r="A195" s="34">
        <f t="shared" si="32"/>
        <v>191</v>
      </c>
      <c r="B195" s="34" t="str">
        <f t="shared" si="29"/>
        <v>Mika Sola</v>
      </c>
      <c r="C195" s="34">
        <f t="shared" si="30"/>
        <v>117</v>
      </c>
      <c r="D195" s="34" t="str">
        <f t="shared" si="31"/>
        <v>GP6, Sarja 1</v>
      </c>
      <c r="K195" s="34" t="str">
        <f t="shared" si="24"/>
        <v/>
      </c>
      <c r="L195" s="34" t="str">
        <f>IF(Data!$I194="","",Data!I194)</f>
        <v/>
      </c>
      <c r="M195" s="34" t="str">
        <f>IF(Data!$I194="","",IF(Data!J194=0,"dns",Data!J194))</f>
        <v/>
      </c>
      <c r="N195" s="34" t="str">
        <f>IF(Data!$I194="","","GP"&amp;Data!$B194&amp;", "&amp;Data!$J$1)</f>
        <v/>
      </c>
      <c r="O195" s="34" t="str">
        <f t="shared" si="25"/>
        <v/>
      </c>
      <c r="P195" s="34" t="str">
        <f>IF($L195="","",Data!B194)</f>
        <v/>
      </c>
      <c r="Q195" s="34" t="str">
        <f t="shared" si="26"/>
        <v/>
      </c>
      <c r="R195" s="34" t="str">
        <f t="shared" si="27"/>
        <v/>
      </c>
      <c r="S195" s="70" t="str">
        <f t="shared" si="28"/>
        <v/>
      </c>
    </row>
    <row r="196" spans="1:19" x14ac:dyDescent="0.25">
      <c r="A196" s="34">
        <f t="shared" si="32"/>
        <v>192</v>
      </c>
      <c r="B196" s="34" t="str">
        <f t="shared" si="29"/>
        <v>Niko Reunanen</v>
      </c>
      <c r="C196" s="34">
        <f t="shared" si="30"/>
        <v>117</v>
      </c>
      <c r="D196" s="34" t="str">
        <f t="shared" si="31"/>
        <v>GP10, Sarja 2</v>
      </c>
      <c r="K196" s="34" t="str">
        <f t="shared" ref="K196:K259" si="33">IF($L196="","",_xlfn.RANK.EQ($S196,$S$3:$S$626,1))</f>
        <v/>
      </c>
      <c r="L196" s="34" t="str">
        <f>IF(Data!$I195="","",Data!I195)</f>
        <v/>
      </c>
      <c r="M196" s="34" t="str">
        <f>IF(Data!$I195="","",IF(Data!J195=0,"dns",Data!J195))</f>
        <v/>
      </c>
      <c r="N196" s="34" t="str">
        <f>IF(Data!$I195="","","GP"&amp;Data!$B195&amp;", "&amp;Data!$J$1)</f>
        <v/>
      </c>
      <c r="O196" s="34" t="str">
        <f t="shared" ref="O196:O259" si="34">IF(L196="","",IFERROR(_xlfn.RANK.EQ($M196,$M$3:$M$626,0),COUNTA($L$3:$L$626)+1))</f>
        <v/>
      </c>
      <c r="P196" s="34" t="str">
        <f>IF($L196="","",Data!B195)</f>
        <v/>
      </c>
      <c r="Q196" s="34" t="str">
        <f t="shared" ref="Q196:Q259" si="35">IF($L196="","",RIGHT(N196,1))</f>
        <v/>
      </c>
      <c r="R196" s="34" t="str">
        <f t="shared" ref="R196:R259" si="36">IF($L196="","",ROW())</f>
        <v/>
      </c>
      <c r="S196" s="70" t="str">
        <f t="shared" ref="S196:S259" si="37">IF($L196="","",O196/1000+P196/100000+Q196/1000000+R196/1000000000)</f>
        <v/>
      </c>
    </row>
    <row r="197" spans="1:19" x14ac:dyDescent="0.25">
      <c r="A197" s="34">
        <f t="shared" si="32"/>
        <v>193</v>
      </c>
      <c r="B197" s="34" t="str">
        <f t="shared" ref="B197:B260" si="38">IF($A197="","",VLOOKUP($A197,$K$3:$N$626,L$1,0))</f>
        <v>Kaleva Latvala</v>
      </c>
      <c r="C197" s="34">
        <f t="shared" ref="C197:C260" si="39">IF($A197="","",VLOOKUP($A197,$K$3:$N$626,M$1,0))</f>
        <v>115</v>
      </c>
      <c r="D197" s="34" t="str">
        <f t="shared" ref="D197:D260" si="40">IF($A197="","",VLOOKUP($A197,$K$3:$N$626,N$1,0))</f>
        <v>GP4, Sarja 2</v>
      </c>
      <c r="K197" s="34" t="str">
        <f t="shared" si="33"/>
        <v/>
      </c>
      <c r="L197" s="34" t="str">
        <f>IF(Data!$I196="","",Data!I196)</f>
        <v/>
      </c>
      <c r="M197" s="34" t="str">
        <f>IF(Data!$I196="","",IF(Data!J196=0,"dns",Data!J196))</f>
        <v/>
      </c>
      <c r="N197" s="34" t="str">
        <f>IF(Data!$I196="","","GP"&amp;Data!$B196&amp;", "&amp;Data!$J$1)</f>
        <v/>
      </c>
      <c r="O197" s="34" t="str">
        <f t="shared" si="34"/>
        <v/>
      </c>
      <c r="P197" s="34" t="str">
        <f>IF($L197="","",Data!B196)</f>
        <v/>
      </c>
      <c r="Q197" s="34" t="str">
        <f t="shared" si="35"/>
        <v/>
      </c>
      <c r="R197" s="34" t="str">
        <f t="shared" si="36"/>
        <v/>
      </c>
      <c r="S197" s="70" t="str">
        <f t="shared" si="37"/>
        <v/>
      </c>
    </row>
    <row r="198" spans="1:19" x14ac:dyDescent="0.25">
      <c r="A198" s="34">
        <f t="shared" ref="A198:A261" si="41">IFERROR(IF(A197+1&gt;MAX($K$3:$K$626),"",A197+1),"")</f>
        <v>194</v>
      </c>
      <c r="B198" s="34" t="str">
        <f t="shared" si="38"/>
        <v>Mika Sola</v>
      </c>
      <c r="C198" s="34">
        <f t="shared" si="39"/>
        <v>115</v>
      </c>
      <c r="D198" s="34" t="str">
        <f t="shared" si="40"/>
        <v>GP8, Sarja 1</v>
      </c>
      <c r="K198" s="34" t="str">
        <f t="shared" si="33"/>
        <v/>
      </c>
      <c r="L198" s="34" t="str">
        <f>IF(Data!$I197="","",Data!I197)</f>
        <v/>
      </c>
      <c r="M198" s="34" t="str">
        <f>IF(Data!$I197="","",IF(Data!J197=0,"dns",Data!J197))</f>
        <v/>
      </c>
      <c r="N198" s="34" t="str">
        <f>IF(Data!$I197="","","GP"&amp;Data!$B197&amp;", "&amp;Data!$J$1)</f>
        <v/>
      </c>
      <c r="O198" s="34" t="str">
        <f t="shared" si="34"/>
        <v/>
      </c>
      <c r="P198" s="34" t="str">
        <f>IF($L198="","",Data!B197)</f>
        <v/>
      </c>
      <c r="Q198" s="34" t="str">
        <f t="shared" si="35"/>
        <v/>
      </c>
      <c r="R198" s="34" t="str">
        <f t="shared" si="36"/>
        <v/>
      </c>
      <c r="S198" s="70" t="str">
        <f t="shared" si="37"/>
        <v/>
      </c>
    </row>
    <row r="199" spans="1:19" x14ac:dyDescent="0.25">
      <c r="A199" s="34">
        <f t="shared" si="41"/>
        <v>195</v>
      </c>
      <c r="B199" s="34" t="str">
        <f t="shared" si="38"/>
        <v>Niko Reunanen</v>
      </c>
      <c r="C199" s="34">
        <f t="shared" si="39"/>
        <v>114</v>
      </c>
      <c r="D199" s="34" t="str">
        <f t="shared" si="40"/>
        <v>GP1, Sarja 1</v>
      </c>
      <c r="K199" s="34" t="str">
        <f t="shared" si="33"/>
        <v/>
      </c>
      <c r="L199" s="34" t="str">
        <f>IF(Data!$I198="","",Data!I198)</f>
        <v/>
      </c>
      <c r="M199" s="34" t="str">
        <f>IF(Data!$I198="","",IF(Data!J198=0,"dns",Data!J198))</f>
        <v/>
      </c>
      <c r="N199" s="34" t="str">
        <f>IF(Data!$I198="","","GP"&amp;Data!$B198&amp;", "&amp;Data!$J$1)</f>
        <v/>
      </c>
      <c r="O199" s="34" t="str">
        <f t="shared" si="34"/>
        <v/>
      </c>
      <c r="P199" s="34" t="str">
        <f>IF($L199="","",Data!B198)</f>
        <v/>
      </c>
      <c r="Q199" s="34" t="str">
        <f t="shared" si="35"/>
        <v/>
      </c>
      <c r="R199" s="34" t="str">
        <f t="shared" si="36"/>
        <v/>
      </c>
      <c r="S199" s="70" t="str">
        <f t="shared" si="37"/>
        <v/>
      </c>
    </row>
    <row r="200" spans="1:19" x14ac:dyDescent="0.25">
      <c r="A200" s="34">
        <f t="shared" si="41"/>
        <v>196</v>
      </c>
      <c r="B200" s="34" t="str">
        <f t="shared" si="38"/>
        <v>Kaleva Latvala</v>
      </c>
      <c r="C200" s="34">
        <f t="shared" si="39"/>
        <v>114</v>
      </c>
      <c r="D200" s="34" t="str">
        <f t="shared" si="40"/>
        <v>GP3, Sarja 1</v>
      </c>
      <c r="K200" s="34" t="str">
        <f t="shared" si="33"/>
        <v/>
      </c>
      <c r="L200" s="34" t="str">
        <f>IF(Data!$I199="","",Data!I199)</f>
        <v/>
      </c>
      <c r="M200" s="34" t="str">
        <f>IF(Data!$I199="","",IF(Data!J199=0,"dns",Data!J199))</f>
        <v/>
      </c>
      <c r="N200" s="34" t="str">
        <f>IF(Data!$I199="","","GP"&amp;Data!$B199&amp;", "&amp;Data!$J$1)</f>
        <v/>
      </c>
      <c r="O200" s="34" t="str">
        <f t="shared" si="34"/>
        <v/>
      </c>
      <c r="P200" s="34" t="str">
        <f>IF($L200="","",Data!B199)</f>
        <v/>
      </c>
      <c r="Q200" s="34" t="str">
        <f t="shared" si="35"/>
        <v/>
      </c>
      <c r="R200" s="34" t="str">
        <f t="shared" si="36"/>
        <v/>
      </c>
      <c r="S200" s="70" t="str">
        <f t="shared" si="37"/>
        <v/>
      </c>
    </row>
    <row r="201" spans="1:19" x14ac:dyDescent="0.25">
      <c r="A201" s="34">
        <f t="shared" si="41"/>
        <v>197</v>
      </c>
      <c r="B201" s="34" t="str">
        <f t="shared" si="38"/>
        <v>Mika Sola</v>
      </c>
      <c r="C201" s="34">
        <f t="shared" si="39"/>
        <v>113</v>
      </c>
      <c r="D201" s="34" t="str">
        <f t="shared" si="40"/>
        <v>GP3, Sarja 1</v>
      </c>
      <c r="K201" s="34" t="str">
        <f t="shared" si="33"/>
        <v/>
      </c>
      <c r="L201" s="34" t="str">
        <f>IF(Data!$I200="","",Data!I200)</f>
        <v/>
      </c>
      <c r="M201" s="34" t="str">
        <f>IF(Data!$I200="","",IF(Data!J200=0,"dns",Data!J200))</f>
        <v/>
      </c>
      <c r="N201" s="34" t="str">
        <f>IF(Data!$I200="","","GP"&amp;Data!$B200&amp;", "&amp;Data!$J$1)</f>
        <v/>
      </c>
      <c r="O201" s="34" t="str">
        <f t="shared" si="34"/>
        <v/>
      </c>
      <c r="P201" s="34" t="str">
        <f>IF($L201="","",Data!B200)</f>
        <v/>
      </c>
      <c r="Q201" s="34" t="str">
        <f t="shared" si="35"/>
        <v/>
      </c>
      <c r="R201" s="34" t="str">
        <f t="shared" si="36"/>
        <v/>
      </c>
      <c r="S201" s="70" t="str">
        <f t="shared" si="37"/>
        <v/>
      </c>
    </row>
    <row r="202" spans="1:19" x14ac:dyDescent="0.25">
      <c r="A202" s="34">
        <f t="shared" si="41"/>
        <v>198</v>
      </c>
      <c r="B202" s="34" t="str">
        <f t="shared" si="38"/>
        <v>Miikka Korventausta</v>
      </c>
      <c r="C202" s="34">
        <f t="shared" si="39"/>
        <v>112</v>
      </c>
      <c r="D202" s="34" t="str">
        <f t="shared" si="40"/>
        <v>GP7, Sarja 1</v>
      </c>
      <c r="K202" s="34" t="str">
        <f t="shared" si="33"/>
        <v/>
      </c>
      <c r="L202" s="34" t="str">
        <f>IF(Data!$I201="","",Data!I201)</f>
        <v/>
      </c>
      <c r="M202" s="34" t="str">
        <f>IF(Data!$I201="","",IF(Data!J201=0,"dns",Data!J201))</f>
        <v/>
      </c>
      <c r="N202" s="34" t="str">
        <f>IF(Data!$I201="","","GP"&amp;Data!$B201&amp;", "&amp;Data!$J$1)</f>
        <v/>
      </c>
      <c r="O202" s="34" t="str">
        <f t="shared" si="34"/>
        <v/>
      </c>
      <c r="P202" s="34" t="str">
        <f>IF($L202="","",Data!B201)</f>
        <v/>
      </c>
      <c r="Q202" s="34" t="str">
        <f t="shared" si="35"/>
        <v/>
      </c>
      <c r="R202" s="34" t="str">
        <f t="shared" si="36"/>
        <v/>
      </c>
      <c r="S202" s="70" t="str">
        <f t="shared" si="37"/>
        <v/>
      </c>
    </row>
    <row r="203" spans="1:19" x14ac:dyDescent="0.25">
      <c r="A203" s="34">
        <f t="shared" si="41"/>
        <v>199</v>
      </c>
      <c r="B203" s="34" t="str">
        <f t="shared" si="38"/>
        <v>Jami Kallio</v>
      </c>
      <c r="C203" s="34">
        <f t="shared" si="39"/>
        <v>112</v>
      </c>
      <c r="D203" s="34" t="str">
        <f t="shared" si="40"/>
        <v>GP9, Sarja 1</v>
      </c>
      <c r="K203" s="34" t="str">
        <f t="shared" si="33"/>
        <v/>
      </c>
      <c r="L203" s="34" t="str">
        <f>IF(Data!$I202="","",Data!I202)</f>
        <v/>
      </c>
      <c r="M203" s="34" t="str">
        <f>IF(Data!$I202="","",IF(Data!J202=0,"dns",Data!J202))</f>
        <v/>
      </c>
      <c r="N203" s="34" t="str">
        <f>IF(Data!$I202="","","GP"&amp;Data!$B202&amp;", "&amp;Data!$J$1)</f>
        <v/>
      </c>
      <c r="O203" s="34" t="str">
        <f t="shared" si="34"/>
        <v/>
      </c>
      <c r="P203" s="34" t="str">
        <f>IF($L203="","",Data!B202)</f>
        <v/>
      </c>
      <c r="Q203" s="34" t="str">
        <f t="shared" si="35"/>
        <v/>
      </c>
      <c r="R203" s="34" t="str">
        <f t="shared" si="36"/>
        <v/>
      </c>
      <c r="S203" s="70" t="str">
        <f t="shared" si="37"/>
        <v/>
      </c>
    </row>
    <row r="204" spans="1:19" x14ac:dyDescent="0.25">
      <c r="A204" s="34">
        <f t="shared" si="41"/>
        <v>200</v>
      </c>
      <c r="B204" s="34" t="str">
        <f t="shared" si="38"/>
        <v>Ossi Oksa</v>
      </c>
      <c r="C204" s="34">
        <f t="shared" si="39"/>
        <v>112</v>
      </c>
      <c r="D204" s="34" t="str">
        <f t="shared" si="40"/>
        <v>GP10, Sarja 1</v>
      </c>
      <c r="K204" s="34" t="str">
        <f t="shared" si="33"/>
        <v/>
      </c>
      <c r="L204" s="34" t="str">
        <f>IF(Data!$I203="","",Data!I203)</f>
        <v/>
      </c>
      <c r="M204" s="34" t="str">
        <f>IF(Data!$I203="","",IF(Data!J203=0,"dns",Data!J203))</f>
        <v/>
      </c>
      <c r="N204" s="34" t="str">
        <f>IF(Data!$I203="","","GP"&amp;Data!$B203&amp;", "&amp;Data!$J$1)</f>
        <v/>
      </c>
      <c r="O204" s="34" t="str">
        <f t="shared" si="34"/>
        <v/>
      </c>
      <c r="P204" s="34" t="str">
        <f>IF($L204="","",Data!B203)</f>
        <v/>
      </c>
      <c r="Q204" s="34" t="str">
        <f t="shared" si="35"/>
        <v/>
      </c>
      <c r="R204" s="34" t="str">
        <f t="shared" si="36"/>
        <v/>
      </c>
      <c r="S204" s="70" t="str">
        <f t="shared" si="37"/>
        <v/>
      </c>
    </row>
    <row r="205" spans="1:19" x14ac:dyDescent="0.25">
      <c r="A205" s="34">
        <f t="shared" si="41"/>
        <v>201</v>
      </c>
      <c r="B205" s="34" t="str">
        <f t="shared" si="38"/>
        <v>Henri Verho</v>
      </c>
      <c r="C205" s="34">
        <f t="shared" si="39"/>
        <v>111</v>
      </c>
      <c r="D205" s="34" t="str">
        <f t="shared" si="40"/>
        <v>GP1, Sarja 2</v>
      </c>
      <c r="K205" s="34" t="str">
        <f t="shared" si="33"/>
        <v/>
      </c>
      <c r="L205" s="34" t="str">
        <f>IF(Data!$I204="","",Data!I204)</f>
        <v/>
      </c>
      <c r="M205" s="34" t="str">
        <f>IF(Data!$I204="","",IF(Data!J204=0,"dns",Data!J204))</f>
        <v/>
      </c>
      <c r="N205" s="34" t="str">
        <f>IF(Data!$I204="","","GP"&amp;Data!$B204&amp;", "&amp;Data!$J$1)</f>
        <v/>
      </c>
      <c r="O205" s="34" t="str">
        <f t="shared" si="34"/>
        <v/>
      </c>
      <c r="P205" s="34" t="str">
        <f>IF($L205="","",Data!B204)</f>
        <v/>
      </c>
      <c r="Q205" s="34" t="str">
        <f t="shared" si="35"/>
        <v/>
      </c>
      <c r="R205" s="34" t="str">
        <f t="shared" si="36"/>
        <v/>
      </c>
      <c r="S205" s="70" t="str">
        <f t="shared" si="37"/>
        <v/>
      </c>
    </row>
    <row r="206" spans="1:19" x14ac:dyDescent="0.25">
      <c r="A206" s="34">
        <f t="shared" si="41"/>
        <v>202</v>
      </c>
      <c r="B206" s="34" t="str">
        <f t="shared" si="38"/>
        <v>Frans Hartman</v>
      </c>
      <c r="C206" s="34">
        <f t="shared" si="39"/>
        <v>111</v>
      </c>
      <c r="D206" s="34" t="str">
        <f t="shared" si="40"/>
        <v>GP1, Sarja 2</v>
      </c>
      <c r="K206" s="34" t="str">
        <f t="shared" si="33"/>
        <v/>
      </c>
      <c r="L206" s="34" t="str">
        <f>IF(Data!$I205="","",Data!I205)</f>
        <v/>
      </c>
      <c r="M206" s="34" t="str">
        <f>IF(Data!$I205="","",IF(Data!J205=0,"dns",Data!J205))</f>
        <v/>
      </c>
      <c r="N206" s="34" t="str">
        <f>IF(Data!$I205="","","GP"&amp;Data!$B205&amp;", "&amp;Data!$J$1)</f>
        <v/>
      </c>
      <c r="O206" s="34" t="str">
        <f t="shared" si="34"/>
        <v/>
      </c>
      <c r="P206" s="34" t="str">
        <f>IF($L206="","",Data!B205)</f>
        <v/>
      </c>
      <c r="Q206" s="34" t="str">
        <f t="shared" si="35"/>
        <v/>
      </c>
      <c r="R206" s="34" t="str">
        <f t="shared" si="36"/>
        <v/>
      </c>
      <c r="S206" s="70" t="str">
        <f t="shared" si="37"/>
        <v/>
      </c>
    </row>
    <row r="207" spans="1:19" x14ac:dyDescent="0.25">
      <c r="A207" s="34">
        <f t="shared" si="41"/>
        <v>203</v>
      </c>
      <c r="B207" s="34" t="str">
        <f t="shared" si="38"/>
        <v>Ossi Oksa</v>
      </c>
      <c r="C207" s="34">
        <f t="shared" si="39"/>
        <v>111</v>
      </c>
      <c r="D207" s="34" t="str">
        <f t="shared" si="40"/>
        <v>GP1, Sarja 2</v>
      </c>
      <c r="K207" s="34" t="str">
        <f t="shared" si="33"/>
        <v/>
      </c>
      <c r="L207" s="34" t="str">
        <f>IF(Data!$I206="","",Data!I206)</f>
        <v/>
      </c>
      <c r="M207" s="34" t="str">
        <f>IF(Data!$I206="","",IF(Data!J206=0,"dns",Data!J206))</f>
        <v/>
      </c>
      <c r="N207" s="34" t="str">
        <f>IF(Data!$I206="","","GP"&amp;Data!$B206&amp;", "&amp;Data!$J$1)</f>
        <v/>
      </c>
      <c r="O207" s="34" t="str">
        <f t="shared" si="34"/>
        <v/>
      </c>
      <c r="P207" s="34" t="str">
        <f>IF($L207="","",Data!B206)</f>
        <v/>
      </c>
      <c r="Q207" s="34" t="str">
        <f t="shared" si="35"/>
        <v/>
      </c>
      <c r="R207" s="34" t="str">
        <f t="shared" si="36"/>
        <v/>
      </c>
      <c r="S207" s="70" t="str">
        <f t="shared" si="37"/>
        <v/>
      </c>
    </row>
    <row r="208" spans="1:19" x14ac:dyDescent="0.25">
      <c r="A208" s="34">
        <f t="shared" si="41"/>
        <v>204</v>
      </c>
      <c r="B208" s="34" t="str">
        <f t="shared" si="38"/>
        <v>Olli Kajava</v>
      </c>
      <c r="C208" s="34">
        <f t="shared" si="39"/>
        <v>111</v>
      </c>
      <c r="D208" s="34" t="str">
        <f t="shared" si="40"/>
        <v>GP6, Sarja 1</v>
      </c>
      <c r="K208" s="34" t="str">
        <f t="shared" si="33"/>
        <v/>
      </c>
      <c r="L208" s="34" t="str">
        <f>IF(Data!$I207="","",Data!I207)</f>
        <v/>
      </c>
      <c r="M208" s="34" t="str">
        <f>IF(Data!$I207="","",IF(Data!J207=0,"dns",Data!J207))</f>
        <v/>
      </c>
      <c r="N208" s="34" t="str">
        <f>IF(Data!$I207="","","GP"&amp;Data!$B207&amp;", "&amp;Data!$J$1)</f>
        <v/>
      </c>
      <c r="O208" s="34" t="str">
        <f t="shared" si="34"/>
        <v/>
      </c>
      <c r="P208" s="34" t="str">
        <f>IF($L208="","",Data!B207)</f>
        <v/>
      </c>
      <c r="Q208" s="34" t="str">
        <f t="shared" si="35"/>
        <v/>
      </c>
      <c r="R208" s="34" t="str">
        <f t="shared" si="36"/>
        <v/>
      </c>
      <c r="S208" s="70" t="str">
        <f t="shared" si="37"/>
        <v/>
      </c>
    </row>
    <row r="209" spans="1:19" x14ac:dyDescent="0.25">
      <c r="A209" s="34">
        <f t="shared" si="41"/>
        <v>205</v>
      </c>
      <c r="B209" s="34" t="str">
        <f t="shared" si="38"/>
        <v>Kaleva Latvala</v>
      </c>
      <c r="C209" s="34">
        <f t="shared" si="39"/>
        <v>111</v>
      </c>
      <c r="D209" s="34" t="str">
        <f t="shared" si="40"/>
        <v>GP8, Sarja 2</v>
      </c>
      <c r="K209" s="34" t="str">
        <f t="shared" si="33"/>
        <v/>
      </c>
      <c r="L209" s="34" t="str">
        <f>IF(Data!$I208="","",Data!I208)</f>
        <v/>
      </c>
      <c r="M209" s="34" t="str">
        <f>IF(Data!$I208="","",IF(Data!J208=0,"dns",Data!J208))</f>
        <v/>
      </c>
      <c r="N209" s="34" t="str">
        <f>IF(Data!$I208="","","GP"&amp;Data!$B208&amp;", "&amp;Data!$J$1)</f>
        <v/>
      </c>
      <c r="O209" s="34" t="str">
        <f t="shared" si="34"/>
        <v/>
      </c>
      <c r="P209" s="34" t="str">
        <f>IF($L209="","",Data!B208)</f>
        <v/>
      </c>
      <c r="Q209" s="34" t="str">
        <f t="shared" si="35"/>
        <v/>
      </c>
      <c r="R209" s="34" t="str">
        <f t="shared" si="36"/>
        <v/>
      </c>
      <c r="S209" s="70" t="str">
        <f t="shared" si="37"/>
        <v/>
      </c>
    </row>
    <row r="210" spans="1:19" x14ac:dyDescent="0.25">
      <c r="A210" s="34">
        <f t="shared" si="41"/>
        <v>206</v>
      </c>
      <c r="B210" s="34" t="str">
        <f t="shared" si="38"/>
        <v>Sakari Leinonen</v>
      </c>
      <c r="C210" s="34">
        <f t="shared" si="39"/>
        <v>110</v>
      </c>
      <c r="D210" s="34" t="str">
        <f t="shared" si="40"/>
        <v>GP1, Sarja 2</v>
      </c>
      <c r="K210" s="34" t="str">
        <f t="shared" si="33"/>
        <v/>
      </c>
      <c r="L210" s="34" t="str">
        <f>IF(Data!$I209="","",Data!I209)</f>
        <v/>
      </c>
      <c r="M210" s="34" t="str">
        <f>IF(Data!$I209="","",IF(Data!J209=0,"dns",Data!J209))</f>
        <v/>
      </c>
      <c r="N210" s="34" t="str">
        <f>IF(Data!$I209="","","GP"&amp;Data!$B209&amp;", "&amp;Data!$J$1)</f>
        <v/>
      </c>
      <c r="O210" s="34" t="str">
        <f t="shared" si="34"/>
        <v/>
      </c>
      <c r="P210" s="34" t="str">
        <f>IF($L210="","",Data!B209)</f>
        <v/>
      </c>
      <c r="Q210" s="34" t="str">
        <f t="shared" si="35"/>
        <v/>
      </c>
      <c r="R210" s="34" t="str">
        <f t="shared" si="36"/>
        <v/>
      </c>
      <c r="S210" s="70" t="str">
        <f t="shared" si="37"/>
        <v/>
      </c>
    </row>
    <row r="211" spans="1:19" x14ac:dyDescent="0.25">
      <c r="A211" s="34">
        <f t="shared" si="41"/>
        <v>207</v>
      </c>
      <c r="B211" s="34" t="str">
        <f t="shared" si="38"/>
        <v>Miikka Korventausta</v>
      </c>
      <c r="C211" s="34">
        <f t="shared" si="39"/>
        <v>110</v>
      </c>
      <c r="D211" s="34" t="str">
        <f t="shared" si="40"/>
        <v>GP2, Sarja 1</v>
      </c>
      <c r="K211" s="34" t="str">
        <f t="shared" si="33"/>
        <v/>
      </c>
      <c r="L211" s="34" t="str">
        <f>IF(Data!$I210="","",Data!I210)</f>
        <v/>
      </c>
      <c r="M211" s="34" t="str">
        <f>IF(Data!$I210="","",IF(Data!J210=0,"dns",Data!J210))</f>
        <v/>
      </c>
      <c r="N211" s="34" t="str">
        <f>IF(Data!$I210="","","GP"&amp;Data!$B210&amp;", "&amp;Data!$J$1)</f>
        <v/>
      </c>
      <c r="O211" s="34" t="str">
        <f t="shared" si="34"/>
        <v/>
      </c>
      <c r="P211" s="34" t="str">
        <f>IF($L211="","",Data!B210)</f>
        <v/>
      </c>
      <c r="Q211" s="34" t="str">
        <f t="shared" si="35"/>
        <v/>
      </c>
      <c r="R211" s="34" t="str">
        <f t="shared" si="36"/>
        <v/>
      </c>
      <c r="S211" s="70" t="str">
        <f t="shared" si="37"/>
        <v/>
      </c>
    </row>
    <row r="212" spans="1:19" x14ac:dyDescent="0.25">
      <c r="A212" s="34">
        <f t="shared" si="41"/>
        <v>208</v>
      </c>
      <c r="B212" s="34" t="str">
        <f t="shared" si="38"/>
        <v>Juho Korpi</v>
      </c>
      <c r="C212" s="34">
        <f t="shared" si="39"/>
        <v>109</v>
      </c>
      <c r="D212" s="34" t="str">
        <f t="shared" si="40"/>
        <v>GP4, Sarja 1</v>
      </c>
      <c r="K212" s="34" t="str">
        <f t="shared" si="33"/>
        <v/>
      </c>
      <c r="L212" s="34" t="str">
        <f>IF(Data!$I211="","",Data!I211)</f>
        <v/>
      </c>
      <c r="M212" s="34" t="str">
        <f>IF(Data!$I211="","",IF(Data!J211=0,"dns",Data!J211))</f>
        <v/>
      </c>
      <c r="N212" s="34" t="str">
        <f>IF(Data!$I211="","","GP"&amp;Data!$B211&amp;", "&amp;Data!$J$1)</f>
        <v/>
      </c>
      <c r="O212" s="34" t="str">
        <f t="shared" si="34"/>
        <v/>
      </c>
      <c r="P212" s="34" t="str">
        <f>IF($L212="","",Data!B211)</f>
        <v/>
      </c>
      <c r="Q212" s="34" t="str">
        <f t="shared" si="35"/>
        <v/>
      </c>
      <c r="R212" s="34" t="str">
        <f t="shared" si="36"/>
        <v/>
      </c>
      <c r="S212" s="70" t="str">
        <f t="shared" si="37"/>
        <v/>
      </c>
    </row>
    <row r="213" spans="1:19" x14ac:dyDescent="0.25">
      <c r="A213" s="34">
        <f t="shared" si="41"/>
        <v>209</v>
      </c>
      <c r="B213" s="34" t="str">
        <f t="shared" si="38"/>
        <v>Sakari Leinonen</v>
      </c>
      <c r="C213" s="34">
        <f t="shared" si="39"/>
        <v>109</v>
      </c>
      <c r="D213" s="34" t="str">
        <f t="shared" si="40"/>
        <v>GP10, Sarja 1</v>
      </c>
      <c r="K213" s="34" t="str">
        <f t="shared" si="33"/>
        <v/>
      </c>
      <c r="L213" s="34" t="str">
        <f>IF(Data!$I212="","",Data!I212)</f>
        <v/>
      </c>
      <c r="M213" s="34" t="str">
        <f>IF(Data!$I212="","",IF(Data!J212=0,"dns",Data!J212))</f>
        <v/>
      </c>
      <c r="N213" s="34" t="str">
        <f>IF(Data!$I212="","","GP"&amp;Data!$B212&amp;", "&amp;Data!$J$1)</f>
        <v/>
      </c>
      <c r="O213" s="34" t="str">
        <f t="shared" si="34"/>
        <v/>
      </c>
      <c r="P213" s="34" t="str">
        <f>IF($L213="","",Data!B212)</f>
        <v/>
      </c>
      <c r="Q213" s="34" t="str">
        <f t="shared" si="35"/>
        <v/>
      </c>
      <c r="R213" s="34" t="str">
        <f t="shared" si="36"/>
        <v/>
      </c>
      <c r="S213" s="70" t="str">
        <f t="shared" si="37"/>
        <v/>
      </c>
    </row>
    <row r="214" spans="1:19" x14ac:dyDescent="0.25">
      <c r="A214" s="34">
        <f t="shared" si="41"/>
        <v>210</v>
      </c>
      <c r="B214" s="34" t="str">
        <f t="shared" si="38"/>
        <v>Joonas Ollonqvist</v>
      </c>
      <c r="C214" s="34">
        <f t="shared" si="39"/>
        <v>108</v>
      </c>
      <c r="D214" s="34" t="str">
        <f t="shared" si="40"/>
        <v>GP4, Sarja 2</v>
      </c>
      <c r="K214" s="34" t="str">
        <f t="shared" si="33"/>
        <v/>
      </c>
      <c r="L214" s="34" t="str">
        <f>IF(Data!$I213="","",Data!I213)</f>
        <v/>
      </c>
      <c r="M214" s="34" t="str">
        <f>IF(Data!$I213="","",IF(Data!J213=0,"dns",Data!J213))</f>
        <v/>
      </c>
      <c r="N214" s="34" t="str">
        <f>IF(Data!$I213="","","GP"&amp;Data!$B213&amp;", "&amp;Data!$J$1)</f>
        <v/>
      </c>
      <c r="O214" s="34" t="str">
        <f t="shared" si="34"/>
        <v/>
      </c>
      <c r="P214" s="34" t="str">
        <f>IF($L214="","",Data!B213)</f>
        <v/>
      </c>
      <c r="Q214" s="34" t="str">
        <f t="shared" si="35"/>
        <v/>
      </c>
      <c r="R214" s="34" t="str">
        <f t="shared" si="36"/>
        <v/>
      </c>
      <c r="S214" s="70" t="str">
        <f t="shared" si="37"/>
        <v/>
      </c>
    </row>
    <row r="215" spans="1:19" x14ac:dyDescent="0.25">
      <c r="A215" s="34">
        <f t="shared" si="41"/>
        <v>211</v>
      </c>
      <c r="B215" s="34" t="str">
        <f t="shared" si="38"/>
        <v>Miikka Korventausta</v>
      </c>
      <c r="C215" s="34">
        <f t="shared" si="39"/>
        <v>107</v>
      </c>
      <c r="D215" s="34" t="str">
        <f t="shared" si="40"/>
        <v>GP1, Sarja 1</v>
      </c>
      <c r="K215" s="34" t="str">
        <f t="shared" si="33"/>
        <v/>
      </c>
      <c r="L215" s="34" t="str">
        <f>IF(Data!$I214="","",Data!I214)</f>
        <v/>
      </c>
      <c r="M215" s="34" t="str">
        <f>IF(Data!$I214="","",IF(Data!J214=0,"dns",Data!J214))</f>
        <v/>
      </c>
      <c r="N215" s="34" t="str">
        <f>IF(Data!$I214="","","GP"&amp;Data!$B214&amp;", "&amp;Data!$J$1)</f>
        <v/>
      </c>
      <c r="O215" s="34" t="str">
        <f t="shared" si="34"/>
        <v/>
      </c>
      <c r="P215" s="34" t="str">
        <f>IF($L215="","",Data!B214)</f>
        <v/>
      </c>
      <c r="Q215" s="34" t="str">
        <f t="shared" si="35"/>
        <v/>
      </c>
      <c r="R215" s="34" t="str">
        <f t="shared" si="36"/>
        <v/>
      </c>
      <c r="S215" s="70" t="str">
        <f t="shared" si="37"/>
        <v/>
      </c>
    </row>
    <row r="216" spans="1:19" x14ac:dyDescent="0.25">
      <c r="A216" s="34">
        <f t="shared" si="41"/>
        <v>212</v>
      </c>
      <c r="B216" s="34" t="str">
        <f t="shared" si="38"/>
        <v>Miikka Korventausta</v>
      </c>
      <c r="C216" s="34">
        <f t="shared" si="39"/>
        <v>107</v>
      </c>
      <c r="D216" s="34" t="str">
        <f t="shared" si="40"/>
        <v>GP2, Sarja 2</v>
      </c>
      <c r="K216" s="34" t="str">
        <f t="shared" si="33"/>
        <v/>
      </c>
      <c r="L216" s="34" t="str">
        <f>IF(Data!$I215="","",Data!I215)</f>
        <v/>
      </c>
      <c r="M216" s="34" t="str">
        <f>IF(Data!$I215="","",IF(Data!J215=0,"dns",Data!J215))</f>
        <v/>
      </c>
      <c r="N216" s="34" t="str">
        <f>IF(Data!$I215="","","GP"&amp;Data!$B215&amp;", "&amp;Data!$J$1)</f>
        <v/>
      </c>
      <c r="O216" s="34" t="str">
        <f t="shared" si="34"/>
        <v/>
      </c>
      <c r="P216" s="34" t="str">
        <f>IF($L216="","",Data!B215)</f>
        <v/>
      </c>
      <c r="Q216" s="34" t="str">
        <f t="shared" si="35"/>
        <v/>
      </c>
      <c r="R216" s="34" t="str">
        <f t="shared" si="36"/>
        <v/>
      </c>
      <c r="S216" s="70" t="str">
        <f t="shared" si="37"/>
        <v/>
      </c>
    </row>
    <row r="217" spans="1:19" x14ac:dyDescent="0.25">
      <c r="A217" s="34">
        <f t="shared" si="41"/>
        <v>213</v>
      </c>
      <c r="B217" s="34" t="str">
        <f t="shared" si="38"/>
        <v>Juho Korpi</v>
      </c>
      <c r="C217" s="34">
        <f t="shared" si="39"/>
        <v>107</v>
      </c>
      <c r="D217" s="34" t="str">
        <f t="shared" si="40"/>
        <v>GP8, Sarja 2</v>
      </c>
      <c r="K217" s="34" t="str">
        <f t="shared" si="33"/>
        <v/>
      </c>
      <c r="L217" s="34" t="str">
        <f>IF(Data!$I216="","",Data!I216)</f>
        <v/>
      </c>
      <c r="M217" s="34" t="str">
        <f>IF(Data!$I216="","",IF(Data!J216=0,"dns",Data!J216))</f>
        <v/>
      </c>
      <c r="N217" s="34" t="str">
        <f>IF(Data!$I216="","","GP"&amp;Data!$B216&amp;", "&amp;Data!$J$1)</f>
        <v/>
      </c>
      <c r="O217" s="34" t="str">
        <f t="shared" si="34"/>
        <v/>
      </c>
      <c r="P217" s="34" t="str">
        <f>IF($L217="","",Data!B216)</f>
        <v/>
      </c>
      <c r="Q217" s="34" t="str">
        <f t="shared" si="35"/>
        <v/>
      </c>
      <c r="R217" s="34" t="str">
        <f t="shared" si="36"/>
        <v/>
      </c>
      <c r="S217" s="70" t="str">
        <f t="shared" si="37"/>
        <v/>
      </c>
    </row>
    <row r="218" spans="1:19" x14ac:dyDescent="0.25">
      <c r="A218" s="34">
        <f t="shared" si="41"/>
        <v>214</v>
      </c>
      <c r="B218" s="34" t="str">
        <f t="shared" si="38"/>
        <v>Miikka Korventausta</v>
      </c>
      <c r="C218" s="34">
        <f t="shared" si="39"/>
        <v>107</v>
      </c>
      <c r="D218" s="34" t="str">
        <f t="shared" si="40"/>
        <v>GP9, Sarja 2</v>
      </c>
      <c r="K218" s="34" t="str">
        <f t="shared" si="33"/>
        <v/>
      </c>
      <c r="L218" s="34" t="str">
        <f>IF(Data!$I217="","",Data!I217)</f>
        <v/>
      </c>
      <c r="M218" s="34" t="str">
        <f>IF(Data!$I217="","",IF(Data!J217=0,"dns",Data!J217))</f>
        <v/>
      </c>
      <c r="N218" s="34" t="str">
        <f>IF(Data!$I217="","","GP"&amp;Data!$B217&amp;", "&amp;Data!$J$1)</f>
        <v/>
      </c>
      <c r="O218" s="34" t="str">
        <f t="shared" si="34"/>
        <v/>
      </c>
      <c r="P218" s="34" t="str">
        <f>IF($L218="","",Data!B217)</f>
        <v/>
      </c>
      <c r="Q218" s="34" t="str">
        <f t="shared" si="35"/>
        <v/>
      </c>
      <c r="R218" s="34" t="str">
        <f t="shared" si="36"/>
        <v/>
      </c>
      <c r="S218" s="70" t="str">
        <f t="shared" si="37"/>
        <v/>
      </c>
    </row>
    <row r="219" spans="1:19" x14ac:dyDescent="0.25">
      <c r="A219" s="34">
        <f t="shared" si="41"/>
        <v>215</v>
      </c>
      <c r="B219" s="34" t="str">
        <f t="shared" si="38"/>
        <v>Juho Korpi</v>
      </c>
      <c r="C219" s="34">
        <f t="shared" si="39"/>
        <v>106</v>
      </c>
      <c r="D219" s="34" t="str">
        <f t="shared" si="40"/>
        <v>GP6, Sarja 1</v>
      </c>
      <c r="K219" s="34" t="str">
        <f t="shared" si="33"/>
        <v/>
      </c>
      <c r="L219" s="34" t="str">
        <f>IF(Data!$I218="","",Data!I218)</f>
        <v/>
      </c>
      <c r="M219" s="34" t="str">
        <f>IF(Data!$I218="","",IF(Data!J218=0,"dns",Data!J218))</f>
        <v/>
      </c>
      <c r="N219" s="34" t="str">
        <f>IF(Data!$I218="","","GP"&amp;Data!$B218&amp;", "&amp;Data!$J$1)</f>
        <v/>
      </c>
      <c r="O219" s="34" t="str">
        <f t="shared" si="34"/>
        <v/>
      </c>
      <c r="P219" s="34" t="str">
        <f>IF($L219="","",Data!B218)</f>
        <v/>
      </c>
      <c r="Q219" s="34" t="str">
        <f t="shared" si="35"/>
        <v/>
      </c>
      <c r="R219" s="34" t="str">
        <f t="shared" si="36"/>
        <v/>
      </c>
      <c r="S219" s="70" t="str">
        <f t="shared" si="37"/>
        <v/>
      </c>
    </row>
    <row r="220" spans="1:19" x14ac:dyDescent="0.25">
      <c r="A220" s="34">
        <f t="shared" si="41"/>
        <v>216</v>
      </c>
      <c r="B220" s="34" t="str">
        <f t="shared" si="38"/>
        <v>Niko Reunanen</v>
      </c>
      <c r="C220" s="34">
        <f t="shared" si="39"/>
        <v>106</v>
      </c>
      <c r="D220" s="34" t="str">
        <f t="shared" si="40"/>
        <v>GP7, Sarja 2</v>
      </c>
      <c r="K220" s="34" t="str">
        <f t="shared" si="33"/>
        <v/>
      </c>
      <c r="L220" s="34" t="str">
        <f>IF(Data!$I219="","",Data!I219)</f>
        <v/>
      </c>
      <c r="M220" s="34" t="str">
        <f>IF(Data!$I219="","",IF(Data!J219=0,"dns",Data!J219))</f>
        <v/>
      </c>
      <c r="N220" s="34" t="str">
        <f>IF(Data!$I219="","","GP"&amp;Data!$B219&amp;", "&amp;Data!$J$1)</f>
        <v/>
      </c>
      <c r="O220" s="34" t="str">
        <f t="shared" si="34"/>
        <v/>
      </c>
      <c r="P220" s="34" t="str">
        <f>IF($L220="","",Data!B219)</f>
        <v/>
      </c>
      <c r="Q220" s="34" t="str">
        <f t="shared" si="35"/>
        <v/>
      </c>
      <c r="R220" s="34" t="str">
        <f t="shared" si="36"/>
        <v/>
      </c>
      <c r="S220" s="70" t="str">
        <f t="shared" si="37"/>
        <v/>
      </c>
    </row>
    <row r="221" spans="1:19" x14ac:dyDescent="0.25">
      <c r="A221" s="34">
        <f t="shared" si="41"/>
        <v>217</v>
      </c>
      <c r="B221" s="34" t="str">
        <f t="shared" si="38"/>
        <v>Sakari Leinonen</v>
      </c>
      <c r="C221" s="34">
        <f t="shared" si="39"/>
        <v>105</v>
      </c>
      <c r="D221" s="34" t="str">
        <f t="shared" si="40"/>
        <v>GP3, Sarja 1</v>
      </c>
      <c r="K221" s="34" t="str">
        <f t="shared" si="33"/>
        <v/>
      </c>
      <c r="L221" s="34" t="str">
        <f>IF(Data!$I220="","",Data!I220)</f>
        <v/>
      </c>
      <c r="M221" s="34" t="str">
        <f>IF(Data!$I220="","",IF(Data!J220=0,"dns",Data!J220))</f>
        <v/>
      </c>
      <c r="N221" s="34" t="str">
        <f>IF(Data!$I220="","","GP"&amp;Data!$B220&amp;", "&amp;Data!$J$1)</f>
        <v/>
      </c>
      <c r="O221" s="34" t="str">
        <f t="shared" si="34"/>
        <v/>
      </c>
      <c r="P221" s="34" t="str">
        <f>IF($L221="","",Data!B220)</f>
        <v/>
      </c>
      <c r="Q221" s="34" t="str">
        <f t="shared" si="35"/>
        <v/>
      </c>
      <c r="R221" s="34" t="str">
        <f t="shared" si="36"/>
        <v/>
      </c>
      <c r="S221" s="70" t="str">
        <f t="shared" si="37"/>
        <v/>
      </c>
    </row>
    <row r="222" spans="1:19" x14ac:dyDescent="0.25">
      <c r="A222" s="34">
        <f t="shared" si="41"/>
        <v>218</v>
      </c>
      <c r="B222" s="34" t="str">
        <f t="shared" si="38"/>
        <v>Joonas Ollonqvist</v>
      </c>
      <c r="C222" s="34">
        <f t="shared" si="39"/>
        <v>105</v>
      </c>
      <c r="D222" s="34" t="str">
        <f t="shared" si="40"/>
        <v>GP7, Sarja 1</v>
      </c>
      <c r="K222" s="34" t="str">
        <f t="shared" si="33"/>
        <v/>
      </c>
      <c r="L222" s="34" t="str">
        <f>IF(Data!$I221="","",Data!I221)</f>
        <v/>
      </c>
      <c r="M222" s="34" t="str">
        <f>IF(Data!$I221="","",IF(Data!J221=0,"dns",Data!J221))</f>
        <v/>
      </c>
      <c r="N222" s="34" t="str">
        <f>IF(Data!$I221="","","GP"&amp;Data!$B221&amp;", "&amp;Data!$J$1)</f>
        <v/>
      </c>
      <c r="O222" s="34" t="str">
        <f t="shared" si="34"/>
        <v/>
      </c>
      <c r="P222" s="34" t="str">
        <f>IF($L222="","",Data!B221)</f>
        <v/>
      </c>
      <c r="Q222" s="34" t="str">
        <f t="shared" si="35"/>
        <v/>
      </c>
      <c r="R222" s="34" t="str">
        <f t="shared" si="36"/>
        <v/>
      </c>
      <c r="S222" s="70" t="str">
        <f t="shared" si="37"/>
        <v/>
      </c>
    </row>
    <row r="223" spans="1:19" x14ac:dyDescent="0.25">
      <c r="A223" s="34">
        <f t="shared" si="41"/>
        <v>219</v>
      </c>
      <c r="B223" s="34" t="str">
        <f t="shared" si="38"/>
        <v>Kaleva Latvala</v>
      </c>
      <c r="C223" s="34">
        <f t="shared" si="39"/>
        <v>105</v>
      </c>
      <c r="D223" s="34" t="str">
        <f t="shared" si="40"/>
        <v>GP8, Sarja 1</v>
      </c>
      <c r="K223" s="34" t="str">
        <f t="shared" si="33"/>
        <v/>
      </c>
      <c r="L223" s="34" t="str">
        <f>IF(Data!$I222="","",Data!I222)</f>
        <v/>
      </c>
      <c r="M223" s="34" t="str">
        <f>IF(Data!$I222="","",IF(Data!J222=0,"dns",Data!J222))</f>
        <v/>
      </c>
      <c r="N223" s="34" t="str">
        <f>IF(Data!$I222="","","GP"&amp;Data!$B222&amp;", "&amp;Data!$J$1)</f>
        <v/>
      </c>
      <c r="O223" s="34" t="str">
        <f t="shared" si="34"/>
        <v/>
      </c>
      <c r="P223" s="34" t="str">
        <f>IF($L223="","",Data!B222)</f>
        <v/>
      </c>
      <c r="Q223" s="34" t="str">
        <f t="shared" si="35"/>
        <v/>
      </c>
      <c r="R223" s="34" t="str">
        <f t="shared" si="36"/>
        <v/>
      </c>
      <c r="S223" s="70" t="str">
        <f t="shared" si="37"/>
        <v/>
      </c>
    </row>
    <row r="224" spans="1:19" x14ac:dyDescent="0.25">
      <c r="A224" s="34">
        <f t="shared" si="41"/>
        <v>220</v>
      </c>
      <c r="B224" s="34" t="str">
        <f t="shared" si="38"/>
        <v>Tatu Erlin</v>
      </c>
      <c r="C224" s="34">
        <f t="shared" si="39"/>
        <v>104</v>
      </c>
      <c r="D224" s="34" t="str">
        <f t="shared" si="40"/>
        <v>GP2, Sarja 1</v>
      </c>
      <c r="K224" s="34" t="str">
        <f t="shared" si="33"/>
        <v/>
      </c>
      <c r="L224" s="34" t="str">
        <f>IF(Data!$I223="","",Data!I223)</f>
        <v/>
      </c>
      <c r="M224" s="34" t="str">
        <f>IF(Data!$I223="","",IF(Data!J223=0,"dns",Data!J223))</f>
        <v/>
      </c>
      <c r="N224" s="34" t="str">
        <f>IF(Data!$I223="","","GP"&amp;Data!$B223&amp;", "&amp;Data!$J$1)</f>
        <v/>
      </c>
      <c r="O224" s="34" t="str">
        <f t="shared" si="34"/>
        <v/>
      </c>
      <c r="P224" s="34" t="str">
        <f>IF($L224="","",Data!B223)</f>
        <v/>
      </c>
      <c r="Q224" s="34" t="str">
        <f t="shared" si="35"/>
        <v/>
      </c>
      <c r="R224" s="34" t="str">
        <f t="shared" si="36"/>
        <v/>
      </c>
      <c r="S224" s="70" t="str">
        <f t="shared" si="37"/>
        <v/>
      </c>
    </row>
    <row r="225" spans="1:19" x14ac:dyDescent="0.25">
      <c r="A225" s="34">
        <f t="shared" si="41"/>
        <v>221</v>
      </c>
      <c r="B225" s="34" t="str">
        <f t="shared" si="38"/>
        <v>Henri Verho</v>
      </c>
      <c r="C225" s="34">
        <f t="shared" si="39"/>
        <v>104</v>
      </c>
      <c r="D225" s="34" t="str">
        <f t="shared" si="40"/>
        <v>GP3, Sarja 2</v>
      </c>
      <c r="K225" s="34" t="str">
        <f t="shared" si="33"/>
        <v/>
      </c>
      <c r="L225" s="34" t="str">
        <f>IF(Data!$I224="","",Data!I224)</f>
        <v/>
      </c>
      <c r="M225" s="34" t="str">
        <f>IF(Data!$I224="","",IF(Data!J224=0,"dns",Data!J224))</f>
        <v/>
      </c>
      <c r="N225" s="34" t="str">
        <f>IF(Data!$I224="","","GP"&amp;Data!$B224&amp;", "&amp;Data!$J$1)</f>
        <v/>
      </c>
      <c r="O225" s="34" t="str">
        <f t="shared" si="34"/>
        <v/>
      </c>
      <c r="P225" s="34" t="str">
        <f>IF($L225="","",Data!B224)</f>
        <v/>
      </c>
      <c r="Q225" s="34" t="str">
        <f t="shared" si="35"/>
        <v/>
      </c>
      <c r="R225" s="34" t="str">
        <f t="shared" si="36"/>
        <v/>
      </c>
      <c r="S225" s="70" t="str">
        <f t="shared" si="37"/>
        <v/>
      </c>
    </row>
    <row r="226" spans="1:19" x14ac:dyDescent="0.25">
      <c r="A226" s="34">
        <f t="shared" si="41"/>
        <v>222</v>
      </c>
      <c r="B226" s="34" t="str">
        <f t="shared" si="38"/>
        <v>Mikko Mansikkamäki</v>
      </c>
      <c r="C226" s="34">
        <f t="shared" si="39"/>
        <v>104</v>
      </c>
      <c r="D226" s="34" t="str">
        <f t="shared" si="40"/>
        <v>GP8, Sarja 1</v>
      </c>
      <c r="K226" s="34" t="str">
        <f t="shared" si="33"/>
        <v/>
      </c>
      <c r="L226" s="34" t="str">
        <f>IF(Data!$I225="","",Data!I225)</f>
        <v/>
      </c>
      <c r="M226" s="34" t="str">
        <f>IF(Data!$I225="","",IF(Data!J225=0,"dns",Data!J225))</f>
        <v/>
      </c>
      <c r="N226" s="34" t="str">
        <f>IF(Data!$I225="","","GP"&amp;Data!$B225&amp;", "&amp;Data!$J$1)</f>
        <v/>
      </c>
      <c r="O226" s="34" t="str">
        <f t="shared" si="34"/>
        <v/>
      </c>
      <c r="P226" s="34" t="str">
        <f>IF($L226="","",Data!B225)</f>
        <v/>
      </c>
      <c r="Q226" s="34" t="str">
        <f t="shared" si="35"/>
        <v/>
      </c>
      <c r="R226" s="34" t="str">
        <f t="shared" si="36"/>
        <v/>
      </c>
      <c r="S226" s="70" t="str">
        <f t="shared" si="37"/>
        <v/>
      </c>
    </row>
    <row r="227" spans="1:19" x14ac:dyDescent="0.25">
      <c r="A227" s="34">
        <f t="shared" si="41"/>
        <v>223</v>
      </c>
      <c r="B227" s="34" t="str">
        <f t="shared" si="38"/>
        <v>Miikka Korventausta</v>
      </c>
      <c r="C227" s="34">
        <f t="shared" si="39"/>
        <v>104</v>
      </c>
      <c r="D227" s="34" t="str">
        <f t="shared" si="40"/>
        <v>GP8, Sarja 2</v>
      </c>
      <c r="K227" s="34" t="str">
        <f t="shared" si="33"/>
        <v/>
      </c>
      <c r="L227" s="34" t="str">
        <f>IF(Data!$I226="","",Data!I226)</f>
        <v/>
      </c>
      <c r="M227" s="34" t="str">
        <f>IF(Data!$I226="","",IF(Data!J226=0,"dns",Data!J226))</f>
        <v/>
      </c>
      <c r="N227" s="34" t="str">
        <f>IF(Data!$I226="","","GP"&amp;Data!$B226&amp;", "&amp;Data!$J$1)</f>
        <v/>
      </c>
      <c r="O227" s="34" t="str">
        <f t="shared" si="34"/>
        <v/>
      </c>
      <c r="P227" s="34" t="str">
        <f>IF($L227="","",Data!B226)</f>
        <v/>
      </c>
      <c r="Q227" s="34" t="str">
        <f t="shared" si="35"/>
        <v/>
      </c>
      <c r="R227" s="34" t="str">
        <f t="shared" si="36"/>
        <v/>
      </c>
      <c r="S227" s="70" t="str">
        <f t="shared" si="37"/>
        <v/>
      </c>
    </row>
    <row r="228" spans="1:19" x14ac:dyDescent="0.25">
      <c r="A228" s="34">
        <f t="shared" si="41"/>
        <v>224</v>
      </c>
      <c r="B228" s="34" t="str">
        <f t="shared" si="38"/>
        <v>Joonas Ollonqvist</v>
      </c>
      <c r="C228" s="34">
        <f t="shared" si="39"/>
        <v>104</v>
      </c>
      <c r="D228" s="34" t="str">
        <f t="shared" si="40"/>
        <v>GP9, Sarja 2</v>
      </c>
      <c r="K228" s="34" t="str">
        <f t="shared" si="33"/>
        <v/>
      </c>
      <c r="L228" s="34" t="str">
        <f>IF(Data!$I227="","",Data!I227)</f>
        <v/>
      </c>
      <c r="M228" s="34" t="str">
        <f>IF(Data!$I227="","",IF(Data!J227=0,"dns",Data!J227))</f>
        <v/>
      </c>
      <c r="N228" s="34" t="str">
        <f>IF(Data!$I227="","","GP"&amp;Data!$B227&amp;", "&amp;Data!$J$1)</f>
        <v/>
      </c>
      <c r="O228" s="34" t="str">
        <f t="shared" si="34"/>
        <v/>
      </c>
      <c r="P228" s="34" t="str">
        <f>IF($L228="","",Data!B227)</f>
        <v/>
      </c>
      <c r="Q228" s="34" t="str">
        <f t="shared" si="35"/>
        <v/>
      </c>
      <c r="R228" s="34" t="str">
        <f t="shared" si="36"/>
        <v/>
      </c>
      <c r="S228" s="70" t="str">
        <f t="shared" si="37"/>
        <v/>
      </c>
    </row>
    <row r="229" spans="1:19" x14ac:dyDescent="0.25">
      <c r="A229" s="34">
        <f t="shared" si="41"/>
        <v>225</v>
      </c>
      <c r="B229" s="34" t="str">
        <f t="shared" si="38"/>
        <v>Sakari Leinonen</v>
      </c>
      <c r="C229" s="34">
        <f t="shared" si="39"/>
        <v>103</v>
      </c>
      <c r="D229" s="34" t="str">
        <f t="shared" si="40"/>
        <v>GP6, Sarja 1</v>
      </c>
      <c r="K229" s="34" t="str">
        <f t="shared" si="33"/>
        <v/>
      </c>
      <c r="L229" s="34" t="str">
        <f>IF(Data!$I228="","",Data!I228)</f>
        <v/>
      </c>
      <c r="M229" s="34" t="str">
        <f>IF(Data!$I228="","",IF(Data!J228=0,"dns",Data!J228))</f>
        <v/>
      </c>
      <c r="N229" s="34" t="str">
        <f>IF(Data!$I228="","","GP"&amp;Data!$B228&amp;", "&amp;Data!$J$1)</f>
        <v/>
      </c>
      <c r="O229" s="34" t="str">
        <f t="shared" si="34"/>
        <v/>
      </c>
      <c r="P229" s="34" t="str">
        <f>IF($L229="","",Data!B228)</f>
        <v/>
      </c>
      <c r="Q229" s="34" t="str">
        <f t="shared" si="35"/>
        <v/>
      </c>
      <c r="R229" s="34" t="str">
        <f t="shared" si="36"/>
        <v/>
      </c>
      <c r="S229" s="70" t="str">
        <f t="shared" si="37"/>
        <v/>
      </c>
    </row>
    <row r="230" spans="1:19" x14ac:dyDescent="0.25">
      <c r="A230" s="34">
        <f t="shared" si="41"/>
        <v>226</v>
      </c>
      <c r="B230" s="34" t="str">
        <f t="shared" si="38"/>
        <v>Henri Verho</v>
      </c>
      <c r="C230" s="34">
        <f t="shared" si="39"/>
        <v>102</v>
      </c>
      <c r="D230" s="34" t="str">
        <f t="shared" si="40"/>
        <v>GP1, Sarja 1</v>
      </c>
      <c r="K230" s="34" t="str">
        <f t="shared" si="33"/>
        <v/>
      </c>
      <c r="L230" s="34" t="str">
        <f>IF(Data!$I229="","",Data!I229)</f>
        <v/>
      </c>
      <c r="M230" s="34" t="str">
        <f>IF(Data!$I229="","",IF(Data!J229=0,"dns",Data!J229))</f>
        <v/>
      </c>
      <c r="N230" s="34" t="str">
        <f>IF(Data!$I229="","","GP"&amp;Data!$B229&amp;", "&amp;Data!$J$1)</f>
        <v/>
      </c>
      <c r="O230" s="34" t="str">
        <f t="shared" si="34"/>
        <v/>
      </c>
      <c r="P230" s="34" t="str">
        <f>IF($L230="","",Data!B229)</f>
        <v/>
      </c>
      <c r="Q230" s="34" t="str">
        <f t="shared" si="35"/>
        <v/>
      </c>
      <c r="R230" s="34" t="str">
        <f t="shared" si="36"/>
        <v/>
      </c>
      <c r="S230" s="70" t="str">
        <f t="shared" si="37"/>
        <v/>
      </c>
    </row>
    <row r="231" spans="1:19" x14ac:dyDescent="0.25">
      <c r="A231" s="34">
        <f t="shared" si="41"/>
        <v>227</v>
      </c>
      <c r="B231" s="34" t="str">
        <f t="shared" si="38"/>
        <v>Jami Kallio</v>
      </c>
      <c r="C231" s="34">
        <f t="shared" si="39"/>
        <v>102</v>
      </c>
      <c r="D231" s="34" t="str">
        <f t="shared" si="40"/>
        <v>GP1, Sarja 1</v>
      </c>
      <c r="K231" s="34" t="str">
        <f t="shared" si="33"/>
        <v/>
      </c>
      <c r="L231" s="34" t="str">
        <f>IF(Data!$I230="","",Data!I230)</f>
        <v/>
      </c>
      <c r="M231" s="34" t="str">
        <f>IF(Data!$I230="","",IF(Data!J230=0,"dns",Data!J230))</f>
        <v/>
      </c>
      <c r="N231" s="34" t="str">
        <f>IF(Data!$I230="","","GP"&amp;Data!$B230&amp;", "&amp;Data!$J$1)</f>
        <v/>
      </c>
      <c r="O231" s="34" t="str">
        <f t="shared" si="34"/>
        <v/>
      </c>
      <c r="P231" s="34" t="str">
        <f>IF($L231="","",Data!B230)</f>
        <v/>
      </c>
      <c r="Q231" s="34" t="str">
        <f t="shared" si="35"/>
        <v/>
      </c>
      <c r="R231" s="34" t="str">
        <f t="shared" si="36"/>
        <v/>
      </c>
      <c r="S231" s="70" t="str">
        <f t="shared" si="37"/>
        <v/>
      </c>
    </row>
    <row r="232" spans="1:19" x14ac:dyDescent="0.25">
      <c r="A232" s="34">
        <f t="shared" si="41"/>
        <v>228</v>
      </c>
      <c r="B232" s="34" t="str">
        <f t="shared" si="38"/>
        <v>Juho Korpi</v>
      </c>
      <c r="C232" s="34">
        <f t="shared" si="39"/>
        <v>102</v>
      </c>
      <c r="D232" s="34" t="str">
        <f t="shared" si="40"/>
        <v>GP2, Sarja 1</v>
      </c>
      <c r="K232" s="34" t="str">
        <f t="shared" si="33"/>
        <v/>
      </c>
      <c r="L232" s="34" t="str">
        <f>IF(Data!$I231="","",Data!I231)</f>
        <v/>
      </c>
      <c r="M232" s="34" t="str">
        <f>IF(Data!$I231="","",IF(Data!J231=0,"dns",Data!J231))</f>
        <v/>
      </c>
      <c r="N232" s="34" t="str">
        <f>IF(Data!$I231="","","GP"&amp;Data!$B231&amp;", "&amp;Data!$J$1)</f>
        <v/>
      </c>
      <c r="O232" s="34" t="str">
        <f t="shared" si="34"/>
        <v/>
      </c>
      <c r="P232" s="34" t="str">
        <f>IF($L232="","",Data!B231)</f>
        <v/>
      </c>
      <c r="Q232" s="34" t="str">
        <f t="shared" si="35"/>
        <v/>
      </c>
      <c r="R232" s="34" t="str">
        <f t="shared" si="36"/>
        <v/>
      </c>
      <c r="S232" s="70" t="str">
        <f t="shared" si="37"/>
        <v/>
      </c>
    </row>
    <row r="233" spans="1:19" x14ac:dyDescent="0.25">
      <c r="A233" s="34">
        <f t="shared" si="41"/>
        <v>229</v>
      </c>
      <c r="B233" s="34" t="str">
        <f t="shared" si="38"/>
        <v>Roope Warro</v>
      </c>
      <c r="C233" s="34">
        <f t="shared" si="39"/>
        <v>102</v>
      </c>
      <c r="D233" s="34" t="str">
        <f t="shared" si="40"/>
        <v>GP4, Sarja 1</v>
      </c>
      <c r="K233" s="34" t="str">
        <f t="shared" si="33"/>
        <v/>
      </c>
      <c r="L233" s="34" t="str">
        <f>IF(Data!$I232="","",Data!I232)</f>
        <v/>
      </c>
      <c r="M233" s="34" t="str">
        <f>IF(Data!$I232="","",IF(Data!J232=0,"dns",Data!J232))</f>
        <v/>
      </c>
      <c r="N233" s="34" t="str">
        <f>IF(Data!$I232="","","GP"&amp;Data!$B232&amp;", "&amp;Data!$J$1)</f>
        <v/>
      </c>
      <c r="O233" s="34" t="str">
        <f t="shared" si="34"/>
        <v/>
      </c>
      <c r="P233" s="34" t="str">
        <f>IF($L233="","",Data!B232)</f>
        <v/>
      </c>
      <c r="Q233" s="34" t="str">
        <f t="shared" si="35"/>
        <v/>
      </c>
      <c r="R233" s="34" t="str">
        <f t="shared" si="36"/>
        <v/>
      </c>
      <c r="S233" s="70" t="str">
        <f t="shared" si="37"/>
        <v/>
      </c>
    </row>
    <row r="234" spans="1:19" x14ac:dyDescent="0.25">
      <c r="A234" s="34">
        <f t="shared" si="41"/>
        <v>230</v>
      </c>
      <c r="B234" s="34" t="str">
        <f t="shared" si="38"/>
        <v>Olli Kajava</v>
      </c>
      <c r="C234" s="34">
        <f t="shared" si="39"/>
        <v>102</v>
      </c>
      <c r="D234" s="34" t="str">
        <f t="shared" si="40"/>
        <v>GP10, Sarja 1</v>
      </c>
      <c r="K234" s="34" t="str">
        <f t="shared" si="33"/>
        <v/>
      </c>
      <c r="L234" s="34" t="str">
        <f>IF(Data!$I233="","",Data!I233)</f>
        <v/>
      </c>
      <c r="M234" s="34" t="str">
        <f>IF(Data!$I233="","",IF(Data!J233=0,"dns",Data!J233))</f>
        <v/>
      </c>
      <c r="N234" s="34" t="str">
        <f>IF(Data!$I233="","","GP"&amp;Data!$B233&amp;", "&amp;Data!$J$1)</f>
        <v/>
      </c>
      <c r="O234" s="34" t="str">
        <f t="shared" si="34"/>
        <v/>
      </c>
      <c r="P234" s="34" t="str">
        <f>IF($L234="","",Data!B233)</f>
        <v/>
      </c>
      <c r="Q234" s="34" t="str">
        <f t="shared" si="35"/>
        <v/>
      </c>
      <c r="R234" s="34" t="str">
        <f t="shared" si="36"/>
        <v/>
      </c>
      <c r="S234" s="70" t="str">
        <f t="shared" si="37"/>
        <v/>
      </c>
    </row>
    <row r="235" spans="1:19" x14ac:dyDescent="0.25">
      <c r="A235" s="34">
        <f t="shared" si="41"/>
        <v>231</v>
      </c>
      <c r="B235" s="34" t="str">
        <f t="shared" si="38"/>
        <v>Tatu Erlin</v>
      </c>
      <c r="C235" s="34">
        <f t="shared" si="39"/>
        <v>101</v>
      </c>
      <c r="D235" s="34" t="str">
        <f t="shared" si="40"/>
        <v>GP1, Sarja 1</v>
      </c>
      <c r="K235" s="34" t="str">
        <f t="shared" si="33"/>
        <v/>
      </c>
      <c r="L235" s="34" t="str">
        <f>IF(Data!$I234="","",Data!I234)</f>
        <v/>
      </c>
      <c r="M235" s="34" t="str">
        <f>IF(Data!$I234="","",IF(Data!J234=0,"dns",Data!J234))</f>
        <v/>
      </c>
      <c r="N235" s="34" t="str">
        <f>IF(Data!$I234="","","GP"&amp;Data!$B234&amp;", "&amp;Data!$J$1)</f>
        <v/>
      </c>
      <c r="O235" s="34" t="str">
        <f t="shared" si="34"/>
        <v/>
      </c>
      <c r="P235" s="34" t="str">
        <f>IF($L235="","",Data!B234)</f>
        <v/>
      </c>
      <c r="Q235" s="34" t="str">
        <f t="shared" si="35"/>
        <v/>
      </c>
      <c r="R235" s="34" t="str">
        <f t="shared" si="36"/>
        <v/>
      </c>
      <c r="S235" s="70" t="str">
        <f t="shared" si="37"/>
        <v/>
      </c>
    </row>
    <row r="236" spans="1:19" x14ac:dyDescent="0.25">
      <c r="A236" s="34">
        <f t="shared" si="41"/>
        <v>232</v>
      </c>
      <c r="B236" s="34" t="str">
        <f t="shared" si="38"/>
        <v>Mikko Mansikkamäki</v>
      </c>
      <c r="C236" s="34">
        <f t="shared" si="39"/>
        <v>100</v>
      </c>
      <c r="D236" s="34" t="str">
        <f t="shared" si="40"/>
        <v>GP9, Sarja 2</v>
      </c>
      <c r="K236" s="34" t="str">
        <f t="shared" si="33"/>
        <v/>
      </c>
      <c r="L236" s="34" t="str">
        <f>IF(Data!$I235="","",Data!I235)</f>
        <v/>
      </c>
      <c r="M236" s="34" t="str">
        <f>IF(Data!$I235="","",IF(Data!J235=0,"dns",Data!J235))</f>
        <v/>
      </c>
      <c r="N236" s="34" t="str">
        <f>IF(Data!$I235="","","GP"&amp;Data!$B235&amp;", "&amp;Data!$J$1)</f>
        <v/>
      </c>
      <c r="O236" s="34" t="str">
        <f t="shared" si="34"/>
        <v/>
      </c>
      <c r="P236" s="34" t="str">
        <f>IF($L236="","",Data!B235)</f>
        <v/>
      </c>
      <c r="Q236" s="34" t="str">
        <f t="shared" si="35"/>
        <v/>
      </c>
      <c r="R236" s="34" t="str">
        <f t="shared" si="36"/>
        <v/>
      </c>
      <c r="S236" s="70" t="str">
        <f t="shared" si="37"/>
        <v/>
      </c>
    </row>
    <row r="237" spans="1:19" x14ac:dyDescent="0.25">
      <c r="A237" s="34">
        <f t="shared" si="41"/>
        <v>233</v>
      </c>
      <c r="B237" s="34" t="str">
        <f t="shared" si="38"/>
        <v>Jami Kallio</v>
      </c>
      <c r="C237" s="34">
        <f t="shared" si="39"/>
        <v>97</v>
      </c>
      <c r="D237" s="34" t="str">
        <f t="shared" si="40"/>
        <v>GP1, Sarja 2</v>
      </c>
      <c r="K237" s="34" t="str">
        <f t="shared" si="33"/>
        <v/>
      </c>
      <c r="L237" s="34" t="str">
        <f>IF(Data!$I236="","",Data!I236)</f>
        <v/>
      </c>
      <c r="M237" s="34" t="str">
        <f>IF(Data!$I236="","",IF(Data!J236=0,"dns",Data!J236))</f>
        <v/>
      </c>
      <c r="N237" s="34" t="str">
        <f>IF(Data!$I236="","","GP"&amp;Data!$B236&amp;", "&amp;Data!$J$1)</f>
        <v/>
      </c>
      <c r="O237" s="34" t="str">
        <f t="shared" si="34"/>
        <v/>
      </c>
      <c r="P237" s="34" t="str">
        <f>IF($L237="","",Data!B236)</f>
        <v/>
      </c>
      <c r="Q237" s="34" t="str">
        <f t="shared" si="35"/>
        <v/>
      </c>
      <c r="R237" s="34" t="str">
        <f t="shared" si="36"/>
        <v/>
      </c>
      <c r="S237" s="70" t="str">
        <f t="shared" si="37"/>
        <v/>
      </c>
    </row>
    <row r="238" spans="1:19" x14ac:dyDescent="0.25">
      <c r="A238" s="34">
        <f t="shared" si="41"/>
        <v>234</v>
      </c>
      <c r="B238" s="34" t="str">
        <f t="shared" si="38"/>
        <v>Asko Haaksi</v>
      </c>
      <c r="C238" s="34">
        <f t="shared" si="39"/>
        <v>97</v>
      </c>
      <c r="D238" s="34" t="str">
        <f t="shared" si="40"/>
        <v>GP6, Sarja 1</v>
      </c>
      <c r="K238" s="34" t="str">
        <f t="shared" si="33"/>
        <v/>
      </c>
      <c r="L238" s="34" t="str">
        <f>IF(Data!$I237="","",Data!I237)</f>
        <v/>
      </c>
      <c r="M238" s="34" t="str">
        <f>IF(Data!$I237="","",IF(Data!J237=0,"dns",Data!J237))</f>
        <v/>
      </c>
      <c r="N238" s="34" t="str">
        <f>IF(Data!$I237="","","GP"&amp;Data!$B237&amp;", "&amp;Data!$J$1)</f>
        <v/>
      </c>
      <c r="O238" s="34" t="str">
        <f t="shared" si="34"/>
        <v/>
      </c>
      <c r="P238" s="34" t="str">
        <f>IF($L238="","",Data!B237)</f>
        <v/>
      </c>
      <c r="Q238" s="34" t="str">
        <f t="shared" si="35"/>
        <v/>
      </c>
      <c r="R238" s="34" t="str">
        <f t="shared" si="36"/>
        <v/>
      </c>
      <c r="S238" s="70" t="str">
        <f t="shared" si="37"/>
        <v/>
      </c>
    </row>
    <row r="239" spans="1:19" x14ac:dyDescent="0.25">
      <c r="A239" s="34">
        <f t="shared" si="41"/>
        <v>235</v>
      </c>
      <c r="B239" s="34" t="str">
        <f t="shared" si="38"/>
        <v>Miikka Korventausta</v>
      </c>
      <c r="C239" s="34">
        <f t="shared" si="39"/>
        <v>97</v>
      </c>
      <c r="D239" s="34" t="str">
        <f t="shared" si="40"/>
        <v>GP9, Sarja 1</v>
      </c>
      <c r="K239" s="34" t="str">
        <f t="shared" si="33"/>
        <v/>
      </c>
      <c r="L239" s="34" t="str">
        <f>IF(Data!$I238="","",Data!I238)</f>
        <v/>
      </c>
      <c r="M239" s="34" t="str">
        <f>IF(Data!$I238="","",IF(Data!J238=0,"dns",Data!J238))</f>
        <v/>
      </c>
      <c r="N239" s="34" t="str">
        <f>IF(Data!$I238="","","GP"&amp;Data!$B238&amp;", "&amp;Data!$J$1)</f>
        <v/>
      </c>
      <c r="O239" s="34" t="str">
        <f t="shared" si="34"/>
        <v/>
      </c>
      <c r="P239" s="34" t="str">
        <f>IF($L239="","",Data!B238)</f>
        <v/>
      </c>
      <c r="Q239" s="34" t="str">
        <f t="shared" si="35"/>
        <v/>
      </c>
      <c r="R239" s="34" t="str">
        <f t="shared" si="36"/>
        <v/>
      </c>
      <c r="S239" s="70" t="str">
        <f t="shared" si="37"/>
        <v/>
      </c>
    </row>
    <row r="240" spans="1:19" x14ac:dyDescent="0.25">
      <c r="A240" s="34">
        <f t="shared" si="41"/>
        <v>236</v>
      </c>
      <c r="B240" s="34" t="str">
        <f t="shared" si="38"/>
        <v>Joonas Ollonqvist</v>
      </c>
      <c r="C240" s="34">
        <f t="shared" si="39"/>
        <v>95</v>
      </c>
      <c r="D240" s="34" t="str">
        <f t="shared" si="40"/>
        <v>GP4, Sarja 1</v>
      </c>
      <c r="K240" s="34" t="str">
        <f t="shared" si="33"/>
        <v/>
      </c>
      <c r="L240" s="34" t="str">
        <f>IF(Data!$I239="","",Data!I239)</f>
        <v/>
      </c>
      <c r="M240" s="34" t="str">
        <f>IF(Data!$I239="","",IF(Data!J239=0,"dns",Data!J239))</f>
        <v/>
      </c>
      <c r="N240" s="34" t="str">
        <f>IF(Data!$I239="","","GP"&amp;Data!$B239&amp;", "&amp;Data!$J$1)</f>
        <v/>
      </c>
      <c r="O240" s="34" t="str">
        <f t="shared" si="34"/>
        <v/>
      </c>
      <c r="P240" s="34" t="str">
        <f>IF($L240="","",Data!B239)</f>
        <v/>
      </c>
      <c r="Q240" s="34" t="str">
        <f t="shared" si="35"/>
        <v/>
      </c>
      <c r="R240" s="34" t="str">
        <f t="shared" si="36"/>
        <v/>
      </c>
      <c r="S240" s="70" t="str">
        <f t="shared" si="37"/>
        <v/>
      </c>
    </row>
    <row r="241" spans="1:19" x14ac:dyDescent="0.25">
      <c r="A241" s="34">
        <f t="shared" si="41"/>
        <v>237</v>
      </c>
      <c r="B241" s="34" t="str">
        <f t="shared" si="38"/>
        <v>Mikko Mansikkamäki</v>
      </c>
      <c r="C241" s="34">
        <f t="shared" si="39"/>
        <v>92</v>
      </c>
      <c r="D241" s="34" t="str">
        <f t="shared" si="40"/>
        <v>GP3, Sarja 2</v>
      </c>
      <c r="K241" s="34" t="str">
        <f t="shared" si="33"/>
        <v/>
      </c>
      <c r="L241" s="34" t="str">
        <f>IF(Data!$I240="","",Data!I240)</f>
        <v/>
      </c>
      <c r="M241" s="34" t="str">
        <f>IF(Data!$I240="","",IF(Data!J240=0,"dns",Data!J240))</f>
        <v/>
      </c>
      <c r="N241" s="34" t="str">
        <f>IF(Data!$I240="","","GP"&amp;Data!$B240&amp;", "&amp;Data!$J$1)</f>
        <v/>
      </c>
      <c r="O241" s="34" t="str">
        <f t="shared" si="34"/>
        <v/>
      </c>
      <c r="P241" s="34" t="str">
        <f>IF($L241="","",Data!B240)</f>
        <v/>
      </c>
      <c r="Q241" s="34" t="str">
        <f t="shared" si="35"/>
        <v/>
      </c>
      <c r="R241" s="34" t="str">
        <f t="shared" si="36"/>
        <v/>
      </c>
      <c r="S241" s="70" t="str">
        <f t="shared" si="37"/>
        <v/>
      </c>
    </row>
    <row r="242" spans="1:19" x14ac:dyDescent="0.25">
      <c r="A242" s="34">
        <f t="shared" si="41"/>
        <v>238</v>
      </c>
      <c r="B242" s="34" t="str">
        <f t="shared" si="38"/>
        <v>Kaleva Latvala</v>
      </c>
      <c r="C242" s="34">
        <f t="shared" si="39"/>
        <v>92</v>
      </c>
      <c r="D242" s="34" t="str">
        <f t="shared" si="40"/>
        <v>GP6, Sarja 1</v>
      </c>
      <c r="K242" s="34" t="str">
        <f t="shared" si="33"/>
        <v/>
      </c>
      <c r="L242" s="34" t="str">
        <f>IF(Data!$I241="","",Data!I241)</f>
        <v/>
      </c>
      <c r="M242" s="34" t="str">
        <f>IF(Data!$I241="","",IF(Data!J241=0,"dns",Data!J241))</f>
        <v/>
      </c>
      <c r="N242" s="34" t="str">
        <f>IF(Data!$I241="","","GP"&amp;Data!$B241&amp;", "&amp;Data!$J$1)</f>
        <v/>
      </c>
      <c r="O242" s="34" t="str">
        <f t="shared" si="34"/>
        <v/>
      </c>
      <c r="P242" s="34" t="str">
        <f>IF($L242="","",Data!B241)</f>
        <v/>
      </c>
      <c r="Q242" s="34" t="str">
        <f t="shared" si="35"/>
        <v/>
      </c>
      <c r="R242" s="34" t="str">
        <f t="shared" si="36"/>
        <v/>
      </c>
      <c r="S242" s="70" t="str">
        <f t="shared" si="37"/>
        <v/>
      </c>
    </row>
    <row r="243" spans="1:19" x14ac:dyDescent="0.25">
      <c r="A243" s="34">
        <f t="shared" si="41"/>
        <v>239</v>
      </c>
      <c r="B243" s="34" t="str">
        <f t="shared" si="38"/>
        <v>Mika Sola</v>
      </c>
      <c r="C243" s="34">
        <f t="shared" si="39"/>
        <v>91</v>
      </c>
      <c r="D243" s="34" t="str">
        <f t="shared" si="40"/>
        <v>GP2, Sarja 1</v>
      </c>
      <c r="K243" s="34" t="str">
        <f t="shared" si="33"/>
        <v/>
      </c>
      <c r="L243" s="34" t="str">
        <f>IF(Data!$I242="","",Data!I242)</f>
        <v/>
      </c>
      <c r="M243" s="34" t="str">
        <f>IF(Data!$I242="","",IF(Data!J242=0,"dns",Data!J242))</f>
        <v/>
      </c>
      <c r="N243" s="34" t="str">
        <f>IF(Data!$I242="","","GP"&amp;Data!$B242&amp;", "&amp;Data!$J$1)</f>
        <v/>
      </c>
      <c r="O243" s="34" t="str">
        <f t="shared" si="34"/>
        <v/>
      </c>
      <c r="P243" s="34" t="str">
        <f>IF($L243="","",Data!B242)</f>
        <v/>
      </c>
      <c r="Q243" s="34" t="str">
        <f t="shared" si="35"/>
        <v/>
      </c>
      <c r="R243" s="34" t="str">
        <f t="shared" si="36"/>
        <v/>
      </c>
      <c r="S243" s="70" t="str">
        <f t="shared" si="37"/>
        <v/>
      </c>
    </row>
    <row r="244" spans="1:19" x14ac:dyDescent="0.25">
      <c r="A244" s="34">
        <f t="shared" si="41"/>
        <v>240</v>
      </c>
      <c r="B244" s="34" t="str">
        <f t="shared" si="38"/>
        <v>Ossi Oksa</v>
      </c>
      <c r="C244" s="34">
        <f t="shared" si="39"/>
        <v>91</v>
      </c>
      <c r="D244" s="34" t="str">
        <f t="shared" si="40"/>
        <v>GP10, Sarja 2</v>
      </c>
      <c r="K244" s="34" t="str">
        <f t="shared" si="33"/>
        <v/>
      </c>
      <c r="L244" s="34" t="str">
        <f>IF(Data!$I243="","",Data!I243)</f>
        <v/>
      </c>
      <c r="M244" s="34" t="str">
        <f>IF(Data!$I243="","",IF(Data!J243=0,"dns",Data!J243))</f>
        <v/>
      </c>
      <c r="N244" s="34" t="str">
        <f>IF(Data!$I243="","","GP"&amp;Data!$B243&amp;", "&amp;Data!$J$1)</f>
        <v/>
      </c>
      <c r="O244" s="34" t="str">
        <f t="shared" si="34"/>
        <v/>
      </c>
      <c r="P244" s="34" t="str">
        <f>IF($L244="","",Data!B243)</f>
        <v/>
      </c>
      <c r="Q244" s="34" t="str">
        <f t="shared" si="35"/>
        <v/>
      </c>
      <c r="R244" s="34" t="str">
        <f t="shared" si="36"/>
        <v/>
      </c>
      <c r="S244" s="70" t="str">
        <f t="shared" si="37"/>
        <v/>
      </c>
    </row>
    <row r="245" spans="1:19" x14ac:dyDescent="0.25">
      <c r="A245" s="34">
        <f t="shared" si="41"/>
        <v>241</v>
      </c>
      <c r="B245" s="34" t="str">
        <f t="shared" si="38"/>
        <v>Mika Sola</v>
      </c>
      <c r="C245" s="34">
        <f t="shared" si="39"/>
        <v>90</v>
      </c>
      <c r="D245" s="34" t="str">
        <f t="shared" si="40"/>
        <v>GP9, Sarja 2</v>
      </c>
      <c r="K245" s="34" t="str">
        <f t="shared" si="33"/>
        <v/>
      </c>
      <c r="L245" s="34" t="str">
        <f>IF(Data!$I244="","",Data!I244)</f>
        <v/>
      </c>
      <c r="M245" s="34" t="str">
        <f>IF(Data!$I244="","",IF(Data!J244=0,"dns",Data!J244))</f>
        <v/>
      </c>
      <c r="N245" s="34" t="str">
        <f>IF(Data!$I244="","","GP"&amp;Data!$B244&amp;", "&amp;Data!$J$1)</f>
        <v/>
      </c>
      <c r="O245" s="34" t="str">
        <f t="shared" si="34"/>
        <v/>
      </c>
      <c r="P245" s="34" t="str">
        <f>IF($L245="","",Data!B244)</f>
        <v/>
      </c>
      <c r="Q245" s="34" t="str">
        <f t="shared" si="35"/>
        <v/>
      </c>
      <c r="R245" s="34" t="str">
        <f t="shared" si="36"/>
        <v/>
      </c>
      <c r="S245" s="70" t="str">
        <f t="shared" si="37"/>
        <v/>
      </c>
    </row>
    <row r="246" spans="1:19" x14ac:dyDescent="0.25">
      <c r="A246" s="34">
        <f t="shared" si="41"/>
        <v>242</v>
      </c>
      <c r="B246" s="34" t="str">
        <f t="shared" si="38"/>
        <v>Tatu Erlin</v>
      </c>
      <c r="C246" s="34">
        <f t="shared" si="39"/>
        <v>89</v>
      </c>
      <c r="D246" s="34" t="str">
        <f t="shared" si="40"/>
        <v>GP6, Sarja 2</v>
      </c>
      <c r="K246" s="34" t="str">
        <f t="shared" si="33"/>
        <v/>
      </c>
      <c r="L246" s="34" t="str">
        <f>IF(Data!$I245="","",Data!I245)</f>
        <v/>
      </c>
      <c r="M246" s="34" t="str">
        <f>IF(Data!$I245="","",IF(Data!J245=0,"dns",Data!J245))</f>
        <v/>
      </c>
      <c r="N246" s="34" t="str">
        <f>IF(Data!$I245="","","GP"&amp;Data!$B245&amp;", "&amp;Data!$J$1)</f>
        <v/>
      </c>
      <c r="O246" s="34" t="str">
        <f t="shared" si="34"/>
        <v/>
      </c>
      <c r="P246" s="34" t="str">
        <f>IF($L246="","",Data!B245)</f>
        <v/>
      </c>
      <c r="Q246" s="34" t="str">
        <f t="shared" si="35"/>
        <v/>
      </c>
      <c r="R246" s="34" t="str">
        <f t="shared" si="36"/>
        <v/>
      </c>
      <c r="S246" s="70" t="str">
        <f t="shared" si="37"/>
        <v/>
      </c>
    </row>
    <row r="247" spans="1:19" x14ac:dyDescent="0.25">
      <c r="A247" s="34">
        <f t="shared" si="41"/>
        <v>243</v>
      </c>
      <c r="B247" s="34" t="str">
        <f t="shared" si="38"/>
        <v>Niko Reunanen</v>
      </c>
      <c r="C247" s="34">
        <f t="shared" si="39"/>
        <v>87</v>
      </c>
      <c r="D247" s="34" t="str">
        <f t="shared" si="40"/>
        <v>GP1, Sarja 2</v>
      </c>
      <c r="K247" s="34" t="str">
        <f t="shared" si="33"/>
        <v/>
      </c>
      <c r="L247" s="34" t="str">
        <f>IF(Data!$I246="","",Data!I246)</f>
        <v/>
      </c>
      <c r="M247" s="34" t="str">
        <f>IF(Data!$I246="","",IF(Data!J246=0,"dns",Data!J246))</f>
        <v/>
      </c>
      <c r="N247" s="34" t="str">
        <f>IF(Data!$I246="","","GP"&amp;Data!$B246&amp;", "&amp;Data!$J$1)</f>
        <v/>
      </c>
      <c r="O247" s="34" t="str">
        <f t="shared" si="34"/>
        <v/>
      </c>
      <c r="P247" s="34" t="str">
        <f>IF($L247="","",Data!B246)</f>
        <v/>
      </c>
      <c r="Q247" s="34" t="str">
        <f t="shared" si="35"/>
        <v/>
      </c>
      <c r="R247" s="34" t="str">
        <f t="shared" si="36"/>
        <v/>
      </c>
      <c r="S247" s="70" t="str">
        <f t="shared" si="37"/>
        <v/>
      </c>
    </row>
    <row r="248" spans="1:19" x14ac:dyDescent="0.25">
      <c r="A248" s="34">
        <f t="shared" si="41"/>
        <v>244</v>
      </c>
      <c r="B248" s="34" t="str">
        <f t="shared" si="38"/>
        <v>Ossi Oksa</v>
      </c>
      <c r="C248" s="34">
        <f t="shared" si="39"/>
        <v>87</v>
      </c>
      <c r="D248" s="34" t="str">
        <f t="shared" si="40"/>
        <v>GP7, Sarja 1</v>
      </c>
      <c r="K248" s="34" t="str">
        <f t="shared" si="33"/>
        <v/>
      </c>
      <c r="L248" s="34" t="str">
        <f>IF(Data!$I247="","",Data!I247)</f>
        <v/>
      </c>
      <c r="M248" s="34" t="str">
        <f>IF(Data!$I247="","",IF(Data!J247=0,"dns",Data!J247))</f>
        <v/>
      </c>
      <c r="N248" s="34" t="str">
        <f>IF(Data!$I247="","","GP"&amp;Data!$B247&amp;", "&amp;Data!$J$1)</f>
        <v/>
      </c>
      <c r="O248" s="34" t="str">
        <f t="shared" si="34"/>
        <v/>
      </c>
      <c r="P248" s="34" t="str">
        <f>IF($L248="","",Data!B247)</f>
        <v/>
      </c>
      <c r="Q248" s="34" t="str">
        <f t="shared" si="35"/>
        <v/>
      </c>
      <c r="R248" s="34" t="str">
        <f t="shared" si="36"/>
        <v/>
      </c>
      <c r="S248" s="70" t="str">
        <f t="shared" si="37"/>
        <v/>
      </c>
    </row>
    <row r="249" spans="1:19" x14ac:dyDescent="0.25">
      <c r="A249" s="34">
        <f t="shared" si="41"/>
        <v>245</v>
      </c>
      <c r="B249" s="34" t="str">
        <f t="shared" si="38"/>
        <v>Tatu Erlin</v>
      </c>
      <c r="C249" s="34">
        <f t="shared" si="39"/>
        <v>84</v>
      </c>
      <c r="D249" s="34" t="str">
        <f t="shared" si="40"/>
        <v>GP6, Sarja 1</v>
      </c>
      <c r="K249" s="34" t="str">
        <f t="shared" si="33"/>
        <v/>
      </c>
      <c r="L249" s="34" t="str">
        <f>IF(Data!$I248="","",Data!I248)</f>
        <v/>
      </c>
      <c r="M249" s="34" t="str">
        <f>IF(Data!$I248="","",IF(Data!J248=0,"dns",Data!J248))</f>
        <v/>
      </c>
      <c r="N249" s="34" t="str">
        <f>IF(Data!$I248="","","GP"&amp;Data!$B248&amp;", "&amp;Data!$J$1)</f>
        <v/>
      </c>
      <c r="O249" s="34" t="str">
        <f t="shared" si="34"/>
        <v/>
      </c>
      <c r="P249" s="34" t="str">
        <f>IF($L249="","",Data!B248)</f>
        <v/>
      </c>
      <c r="Q249" s="34" t="str">
        <f t="shared" si="35"/>
        <v/>
      </c>
      <c r="R249" s="34" t="str">
        <f t="shared" si="36"/>
        <v/>
      </c>
      <c r="S249" s="70" t="str">
        <f t="shared" si="37"/>
        <v/>
      </c>
    </row>
    <row r="250" spans="1:19" x14ac:dyDescent="0.25">
      <c r="A250" s="34">
        <f t="shared" si="41"/>
        <v>246</v>
      </c>
      <c r="B250" s="34" t="str">
        <f t="shared" si="38"/>
        <v>Sakari Leinonen</v>
      </c>
      <c r="C250" s="34">
        <f t="shared" si="39"/>
        <v>82</v>
      </c>
      <c r="D250" s="34" t="str">
        <f t="shared" si="40"/>
        <v>GP1, Sarja 1</v>
      </c>
      <c r="K250" s="34" t="str">
        <f t="shared" si="33"/>
        <v/>
      </c>
      <c r="L250" s="34" t="str">
        <f>IF(Data!$I249="","",Data!I249)</f>
        <v/>
      </c>
      <c r="M250" s="34" t="str">
        <f>IF(Data!$I249="","",IF(Data!J249=0,"dns",Data!J249))</f>
        <v/>
      </c>
      <c r="N250" s="34" t="str">
        <f>IF(Data!$I249="","","GP"&amp;Data!$B249&amp;", "&amp;Data!$J$1)</f>
        <v/>
      </c>
      <c r="O250" s="34" t="str">
        <f t="shared" si="34"/>
        <v/>
      </c>
      <c r="P250" s="34" t="str">
        <f>IF($L250="","",Data!B249)</f>
        <v/>
      </c>
      <c r="Q250" s="34" t="str">
        <f t="shared" si="35"/>
        <v/>
      </c>
      <c r="R250" s="34" t="str">
        <f t="shared" si="36"/>
        <v/>
      </c>
      <c r="S250" s="70" t="str">
        <f t="shared" si="37"/>
        <v/>
      </c>
    </row>
    <row r="251" spans="1:19" x14ac:dyDescent="0.25">
      <c r="A251" s="34">
        <f t="shared" si="41"/>
        <v>247</v>
      </c>
      <c r="B251" s="34" t="str">
        <f t="shared" si="38"/>
        <v>Joonas Ollonqvist</v>
      </c>
      <c r="C251" s="34">
        <f t="shared" si="39"/>
        <v>80</v>
      </c>
      <c r="D251" s="34" t="str">
        <f t="shared" si="40"/>
        <v>GP8, Sarja 1</v>
      </c>
      <c r="K251" s="34" t="str">
        <f t="shared" si="33"/>
        <v/>
      </c>
      <c r="L251" s="34" t="str">
        <f>IF(Data!$I250="","",Data!I250)</f>
        <v/>
      </c>
      <c r="M251" s="34" t="str">
        <f>IF(Data!$I250="","",IF(Data!J250=0,"dns",Data!J250))</f>
        <v/>
      </c>
      <c r="N251" s="34" t="str">
        <f>IF(Data!$I250="","","GP"&amp;Data!$B250&amp;", "&amp;Data!$J$1)</f>
        <v/>
      </c>
      <c r="O251" s="34" t="str">
        <f t="shared" si="34"/>
        <v/>
      </c>
      <c r="P251" s="34" t="str">
        <f>IF($L251="","",Data!B250)</f>
        <v/>
      </c>
      <c r="Q251" s="34" t="str">
        <f t="shared" si="35"/>
        <v/>
      </c>
      <c r="R251" s="34" t="str">
        <f t="shared" si="36"/>
        <v/>
      </c>
      <c r="S251" s="70" t="str">
        <f t="shared" si="37"/>
        <v/>
      </c>
    </row>
    <row r="252" spans="1:19" x14ac:dyDescent="0.25">
      <c r="A252" s="34">
        <f t="shared" si="41"/>
        <v>248</v>
      </c>
      <c r="B252" s="34" t="str">
        <f t="shared" si="38"/>
        <v>Mikko Mansikkamäki</v>
      </c>
      <c r="C252" s="34">
        <f t="shared" si="39"/>
        <v>76</v>
      </c>
      <c r="D252" s="34" t="str">
        <f t="shared" si="40"/>
        <v>GP4, Sarja 1</v>
      </c>
      <c r="K252" s="34" t="str">
        <f t="shared" si="33"/>
        <v/>
      </c>
      <c r="L252" s="34" t="str">
        <f>IF(Data!$I251="","",Data!I251)</f>
        <v/>
      </c>
      <c r="M252" s="34" t="str">
        <f>IF(Data!$I251="","",IF(Data!J251=0,"dns",Data!J251))</f>
        <v/>
      </c>
      <c r="N252" s="34" t="str">
        <f>IF(Data!$I251="","","GP"&amp;Data!$B251&amp;", "&amp;Data!$J$1)</f>
        <v/>
      </c>
      <c r="O252" s="34" t="str">
        <f t="shared" si="34"/>
        <v/>
      </c>
      <c r="P252" s="34" t="str">
        <f>IF($L252="","",Data!B251)</f>
        <v/>
      </c>
      <c r="Q252" s="34" t="str">
        <f t="shared" si="35"/>
        <v/>
      </c>
      <c r="R252" s="34" t="str">
        <f t="shared" si="36"/>
        <v/>
      </c>
      <c r="S252" s="70" t="str">
        <f t="shared" si="37"/>
        <v/>
      </c>
    </row>
    <row r="253" spans="1:19" x14ac:dyDescent="0.25">
      <c r="A253" s="34">
        <f t="shared" si="41"/>
        <v>249</v>
      </c>
      <c r="B253" s="34" t="str">
        <f t="shared" si="38"/>
        <v>Roope Warro</v>
      </c>
      <c r="C253" s="34">
        <f t="shared" si="39"/>
        <v>73</v>
      </c>
      <c r="D253" s="34" t="str">
        <f t="shared" si="40"/>
        <v>GP1, Sarja 1</v>
      </c>
      <c r="K253" s="34" t="str">
        <f t="shared" si="33"/>
        <v/>
      </c>
      <c r="L253" s="34" t="str">
        <f>IF(Data!$I252="","",Data!I252)</f>
        <v/>
      </c>
      <c r="M253" s="34" t="str">
        <f>IF(Data!$I252="","",IF(Data!J252=0,"dns",Data!J252))</f>
        <v/>
      </c>
      <c r="N253" s="34" t="str">
        <f>IF(Data!$I252="","","GP"&amp;Data!$B252&amp;", "&amp;Data!$J$1)</f>
        <v/>
      </c>
      <c r="O253" s="34" t="str">
        <f t="shared" si="34"/>
        <v/>
      </c>
      <c r="P253" s="34" t="str">
        <f>IF($L253="","",Data!B252)</f>
        <v/>
      </c>
      <c r="Q253" s="34" t="str">
        <f t="shared" si="35"/>
        <v/>
      </c>
      <c r="R253" s="34" t="str">
        <f t="shared" si="36"/>
        <v/>
      </c>
      <c r="S253" s="70" t="str">
        <f t="shared" si="37"/>
        <v/>
      </c>
    </row>
    <row r="254" spans="1:19" x14ac:dyDescent="0.25">
      <c r="A254" s="34">
        <f t="shared" si="41"/>
        <v>250</v>
      </c>
      <c r="B254" s="34" t="str">
        <f t="shared" si="38"/>
        <v>Miikka Korventausta</v>
      </c>
      <c r="C254" s="34">
        <f t="shared" si="39"/>
        <v>73</v>
      </c>
      <c r="D254" s="34" t="str">
        <f t="shared" si="40"/>
        <v>GP1, Sarja 2</v>
      </c>
      <c r="K254" s="34" t="str">
        <f t="shared" si="33"/>
        <v/>
      </c>
      <c r="L254" s="34" t="str">
        <f>IF(Data!$I253="","",Data!I253)</f>
        <v/>
      </c>
      <c r="M254" s="34" t="str">
        <f>IF(Data!$I253="","",IF(Data!J253=0,"dns",Data!J253))</f>
        <v/>
      </c>
      <c r="N254" s="34" t="str">
        <f>IF(Data!$I253="","","GP"&amp;Data!$B253&amp;", "&amp;Data!$J$1)</f>
        <v/>
      </c>
      <c r="O254" s="34" t="str">
        <f t="shared" si="34"/>
        <v/>
      </c>
      <c r="P254" s="34" t="str">
        <f>IF($L254="","",Data!B253)</f>
        <v/>
      </c>
      <c r="Q254" s="34" t="str">
        <f t="shared" si="35"/>
        <v/>
      </c>
      <c r="R254" s="34" t="str">
        <f t="shared" si="36"/>
        <v/>
      </c>
      <c r="S254" s="70" t="str">
        <f t="shared" si="37"/>
        <v/>
      </c>
    </row>
    <row r="255" spans="1:19" x14ac:dyDescent="0.25">
      <c r="A255" s="34">
        <f t="shared" si="41"/>
        <v>251</v>
      </c>
      <c r="B255" s="34" t="str">
        <f t="shared" si="38"/>
        <v>Mikko Mansikkamäki</v>
      </c>
      <c r="C255" s="34">
        <f t="shared" si="39"/>
        <v>72</v>
      </c>
      <c r="D255" s="34" t="str">
        <f t="shared" si="40"/>
        <v>GP4, Sarja 2</v>
      </c>
      <c r="K255" s="34" t="str">
        <f t="shared" si="33"/>
        <v/>
      </c>
      <c r="L255" s="34" t="str">
        <f>IF(Data!$I254="","",Data!I254)</f>
        <v/>
      </c>
      <c r="M255" s="34" t="str">
        <f>IF(Data!$I254="","",IF(Data!J254=0,"dns",Data!J254))</f>
        <v/>
      </c>
      <c r="N255" s="34" t="str">
        <f>IF(Data!$I254="","","GP"&amp;Data!$B254&amp;", "&amp;Data!$J$1)</f>
        <v/>
      </c>
      <c r="O255" s="34" t="str">
        <f t="shared" si="34"/>
        <v/>
      </c>
      <c r="P255" s="34" t="str">
        <f>IF($L255="","",Data!B254)</f>
        <v/>
      </c>
      <c r="Q255" s="34" t="str">
        <f t="shared" si="35"/>
        <v/>
      </c>
      <c r="R255" s="34" t="str">
        <f t="shared" si="36"/>
        <v/>
      </c>
      <c r="S255" s="70" t="str">
        <f t="shared" si="37"/>
        <v/>
      </c>
    </row>
    <row r="256" spans="1:19" x14ac:dyDescent="0.25">
      <c r="A256" s="34">
        <f t="shared" si="41"/>
        <v>252</v>
      </c>
      <c r="B256" s="34" t="str">
        <f t="shared" si="38"/>
        <v>Mikko Mansikkamäki</v>
      </c>
      <c r="C256" s="34">
        <f t="shared" si="39"/>
        <v>59</v>
      </c>
      <c r="D256" s="34" t="str">
        <f t="shared" si="40"/>
        <v>GP6, Sarja 1</v>
      </c>
      <c r="K256" s="34" t="str">
        <f t="shared" si="33"/>
        <v/>
      </c>
      <c r="L256" s="34" t="str">
        <f>IF(Data!$I255="","",Data!I255)</f>
        <v/>
      </c>
      <c r="M256" s="34" t="str">
        <f>IF(Data!$I255="","",IF(Data!J255=0,"dns",Data!J255))</f>
        <v/>
      </c>
      <c r="N256" s="34" t="str">
        <f>IF(Data!$I255="","","GP"&amp;Data!$B255&amp;", "&amp;Data!$J$1)</f>
        <v/>
      </c>
      <c r="O256" s="34" t="str">
        <f t="shared" si="34"/>
        <v/>
      </c>
      <c r="P256" s="34" t="str">
        <f>IF($L256="","",Data!B255)</f>
        <v/>
      </c>
      <c r="Q256" s="34" t="str">
        <f t="shared" si="35"/>
        <v/>
      </c>
      <c r="R256" s="34" t="str">
        <f t="shared" si="36"/>
        <v/>
      </c>
      <c r="S256" s="70" t="str">
        <f t="shared" si="37"/>
        <v/>
      </c>
    </row>
    <row r="257" spans="1:19" x14ac:dyDescent="0.25">
      <c r="A257" s="34">
        <f t="shared" si="41"/>
        <v>253</v>
      </c>
      <c r="B257" s="34" t="str">
        <f t="shared" si="38"/>
        <v>Joonas Ollonqvist</v>
      </c>
      <c r="C257" s="34" t="str">
        <f t="shared" si="39"/>
        <v>dns</v>
      </c>
      <c r="D257" s="34" t="str">
        <f t="shared" si="40"/>
        <v>GP1, Sarja 1</v>
      </c>
      <c r="K257" s="34" t="str">
        <f t="shared" si="33"/>
        <v/>
      </c>
      <c r="L257" s="34" t="str">
        <f>IF(Data!$I256="","",Data!I256)</f>
        <v/>
      </c>
      <c r="M257" s="34" t="str">
        <f>IF(Data!$I256="","",IF(Data!J256=0,"dns",Data!J256))</f>
        <v/>
      </c>
      <c r="N257" s="34" t="str">
        <f>IF(Data!$I256="","","GP"&amp;Data!$B256&amp;", "&amp;Data!$J$1)</f>
        <v/>
      </c>
      <c r="O257" s="34" t="str">
        <f t="shared" si="34"/>
        <v/>
      </c>
      <c r="P257" s="34" t="str">
        <f>IF($L257="","",Data!B256)</f>
        <v/>
      </c>
      <c r="Q257" s="34" t="str">
        <f t="shared" si="35"/>
        <v/>
      </c>
      <c r="R257" s="34" t="str">
        <f t="shared" si="36"/>
        <v/>
      </c>
      <c r="S257" s="70" t="str">
        <f t="shared" si="37"/>
        <v/>
      </c>
    </row>
    <row r="258" spans="1:19" x14ac:dyDescent="0.25">
      <c r="A258" s="34">
        <f t="shared" si="41"/>
        <v>254</v>
      </c>
      <c r="B258" s="34" t="str">
        <f t="shared" si="38"/>
        <v>Miika Nordblad</v>
      </c>
      <c r="C258" s="34" t="str">
        <f t="shared" si="39"/>
        <v>dns</v>
      </c>
      <c r="D258" s="34" t="str">
        <f t="shared" si="40"/>
        <v>GP1, Sarja 1</v>
      </c>
      <c r="K258" s="34" t="str">
        <f t="shared" si="33"/>
        <v/>
      </c>
      <c r="L258" s="34" t="str">
        <f>IF(Data!$I257="","",Data!I257)</f>
        <v/>
      </c>
      <c r="M258" s="34" t="str">
        <f>IF(Data!$I257="","",IF(Data!J257=0,"dns",Data!J257))</f>
        <v/>
      </c>
      <c r="N258" s="34" t="str">
        <f>IF(Data!$I257="","","GP"&amp;Data!$B257&amp;", "&amp;Data!$J$1)</f>
        <v/>
      </c>
      <c r="O258" s="34" t="str">
        <f t="shared" si="34"/>
        <v/>
      </c>
      <c r="P258" s="34" t="str">
        <f>IF($L258="","",Data!B257)</f>
        <v/>
      </c>
      <c r="Q258" s="34" t="str">
        <f t="shared" si="35"/>
        <v/>
      </c>
      <c r="R258" s="34" t="str">
        <f t="shared" si="36"/>
        <v/>
      </c>
      <c r="S258" s="70" t="str">
        <f t="shared" si="37"/>
        <v/>
      </c>
    </row>
    <row r="259" spans="1:19" x14ac:dyDescent="0.25">
      <c r="A259" s="34">
        <f t="shared" si="41"/>
        <v>255</v>
      </c>
      <c r="B259" s="34" t="str">
        <f t="shared" si="38"/>
        <v>Juho Korpi</v>
      </c>
      <c r="C259" s="34" t="str">
        <f t="shared" si="39"/>
        <v>dns</v>
      </c>
      <c r="D259" s="34" t="str">
        <f t="shared" si="40"/>
        <v>GP1, Sarja 1</v>
      </c>
      <c r="K259" s="34" t="str">
        <f t="shared" si="33"/>
        <v/>
      </c>
      <c r="L259" s="34" t="str">
        <f>IF(Data!$I258="","",Data!I258)</f>
        <v/>
      </c>
      <c r="M259" s="34" t="str">
        <f>IF(Data!$I258="","",IF(Data!J258=0,"dns",Data!J258))</f>
        <v/>
      </c>
      <c r="N259" s="34" t="str">
        <f>IF(Data!$I258="","","GP"&amp;Data!$B258&amp;", "&amp;Data!$J$1)</f>
        <v/>
      </c>
      <c r="O259" s="34" t="str">
        <f t="shared" si="34"/>
        <v/>
      </c>
      <c r="P259" s="34" t="str">
        <f>IF($L259="","",Data!B258)</f>
        <v/>
      </c>
      <c r="Q259" s="34" t="str">
        <f t="shared" si="35"/>
        <v/>
      </c>
      <c r="R259" s="34" t="str">
        <f t="shared" si="36"/>
        <v/>
      </c>
      <c r="S259" s="70" t="str">
        <f t="shared" si="37"/>
        <v/>
      </c>
    </row>
    <row r="260" spans="1:19" x14ac:dyDescent="0.25">
      <c r="A260" s="34">
        <f t="shared" si="41"/>
        <v>256</v>
      </c>
      <c r="B260" s="34" t="str">
        <f t="shared" si="38"/>
        <v>Asko Haaksi</v>
      </c>
      <c r="C260" s="34" t="str">
        <f t="shared" si="39"/>
        <v>dns</v>
      </c>
      <c r="D260" s="34" t="str">
        <f t="shared" si="40"/>
        <v>GP1, Sarja 1</v>
      </c>
      <c r="K260" s="34" t="str">
        <f t="shared" ref="K260:K323" si="42">IF($L260="","",_xlfn.RANK.EQ($S260,$S$3:$S$626,1))</f>
        <v/>
      </c>
      <c r="L260" s="34" t="str">
        <f>IF(Data!$I259="","",Data!I259)</f>
        <v/>
      </c>
      <c r="M260" s="34" t="str">
        <f>IF(Data!$I259="","",IF(Data!J259=0,"dns",Data!J259))</f>
        <v/>
      </c>
      <c r="N260" s="34" t="str">
        <f>IF(Data!$I259="","","GP"&amp;Data!$B259&amp;", "&amp;Data!$J$1)</f>
        <v/>
      </c>
      <c r="O260" s="34" t="str">
        <f t="shared" ref="O260:O323" si="43">IF(L260="","",IFERROR(_xlfn.RANK.EQ($M260,$M$3:$M$626,0),COUNTA($L$3:$L$626)+1))</f>
        <v/>
      </c>
      <c r="P260" s="34" t="str">
        <f>IF($L260="","",Data!B259)</f>
        <v/>
      </c>
      <c r="Q260" s="34" t="str">
        <f t="shared" ref="Q260:Q291" si="44">IF($L260="","",RIGHT(N260,1))</f>
        <v/>
      </c>
      <c r="R260" s="34" t="str">
        <f t="shared" ref="R260:R291" si="45">IF($L260="","",ROW())</f>
        <v/>
      </c>
      <c r="S260" s="70" t="str">
        <f t="shared" ref="S260:S291" si="46">IF($L260="","",O260/1000+P260/100000+Q260/1000000+R260/1000000000)</f>
        <v/>
      </c>
    </row>
    <row r="261" spans="1:19" x14ac:dyDescent="0.25">
      <c r="A261" s="34">
        <f t="shared" si="41"/>
        <v>257</v>
      </c>
      <c r="B261" s="34" t="str">
        <f t="shared" ref="B261:B324" si="47">IF($A261="","",VLOOKUP($A261,$K$3:$N$626,L$1,0))</f>
        <v>Iiro Riikonen</v>
      </c>
      <c r="C261" s="34" t="str">
        <f t="shared" ref="C261:C324" si="48">IF($A261="","",VLOOKUP($A261,$K$3:$N$626,M$1,0))</f>
        <v>dns</v>
      </c>
      <c r="D261" s="34" t="str">
        <f t="shared" ref="D261:D324" si="49">IF($A261="","",VLOOKUP($A261,$K$3:$N$626,N$1,0))</f>
        <v>GP1, Sarja 1</v>
      </c>
      <c r="K261" s="34" t="str">
        <f t="shared" si="42"/>
        <v/>
      </c>
      <c r="L261" s="34" t="str">
        <f>IF(Data!$I260="","",Data!I260)</f>
        <v/>
      </c>
      <c r="M261" s="34" t="str">
        <f>IF(Data!$I260="","",IF(Data!J260=0,"dns",Data!J260))</f>
        <v/>
      </c>
      <c r="N261" s="34" t="str">
        <f>IF(Data!$I260="","","GP"&amp;Data!$B260&amp;", "&amp;Data!$J$1)</f>
        <v/>
      </c>
      <c r="O261" s="34" t="str">
        <f t="shared" si="43"/>
        <v/>
      </c>
      <c r="P261" s="34" t="str">
        <f>IF($L261="","",Data!B260)</f>
        <v/>
      </c>
      <c r="Q261" s="34" t="str">
        <f t="shared" si="44"/>
        <v/>
      </c>
      <c r="R261" s="34" t="str">
        <f t="shared" si="45"/>
        <v/>
      </c>
      <c r="S261" s="70" t="str">
        <f t="shared" si="46"/>
        <v/>
      </c>
    </row>
    <row r="262" spans="1:19" x14ac:dyDescent="0.25">
      <c r="A262" s="34">
        <f t="shared" ref="A262:A325" si="50">IFERROR(IF(A261+1&gt;MAX($K$3:$K$626),"",A261+1),"")</f>
        <v>258</v>
      </c>
      <c r="B262" s="34" t="str">
        <f t="shared" si="47"/>
        <v>Olli Kajava</v>
      </c>
      <c r="C262" s="34" t="str">
        <f t="shared" si="48"/>
        <v>dns</v>
      </c>
      <c r="D262" s="34" t="str">
        <f t="shared" si="49"/>
        <v>GP1, Sarja 1</v>
      </c>
      <c r="K262" s="34" t="str">
        <f t="shared" si="42"/>
        <v/>
      </c>
      <c r="L262" s="34" t="str">
        <f>IF(Data!$I261="","",Data!I261)</f>
        <v/>
      </c>
      <c r="M262" s="34" t="str">
        <f>IF(Data!$I261="","",IF(Data!J261=0,"dns",Data!J261))</f>
        <v/>
      </c>
      <c r="N262" s="34" t="str">
        <f>IF(Data!$I261="","","GP"&amp;Data!$B261&amp;", "&amp;Data!$J$1)</f>
        <v/>
      </c>
      <c r="O262" s="34" t="str">
        <f t="shared" si="43"/>
        <v/>
      </c>
      <c r="P262" s="34" t="str">
        <f>IF($L262="","",Data!B261)</f>
        <v/>
      </c>
      <c r="Q262" s="34" t="str">
        <f t="shared" si="44"/>
        <v/>
      </c>
      <c r="R262" s="34" t="str">
        <f t="shared" si="45"/>
        <v/>
      </c>
      <c r="S262" s="70" t="str">
        <f t="shared" si="46"/>
        <v/>
      </c>
    </row>
    <row r="263" spans="1:19" x14ac:dyDescent="0.25">
      <c r="A263" s="34">
        <f t="shared" si="50"/>
        <v>259</v>
      </c>
      <c r="B263" s="34" t="str">
        <f t="shared" si="47"/>
        <v>Mikko Mansikkamäki</v>
      </c>
      <c r="C263" s="34" t="str">
        <f t="shared" si="48"/>
        <v>dns</v>
      </c>
      <c r="D263" s="34" t="str">
        <f t="shared" si="49"/>
        <v>GP1, Sarja 1</v>
      </c>
      <c r="K263" s="34" t="str">
        <f t="shared" si="42"/>
        <v/>
      </c>
      <c r="L263" s="34" t="str">
        <f>IF(Data!$I262="","",Data!I262)</f>
        <v/>
      </c>
      <c r="M263" s="34" t="str">
        <f>IF(Data!$I262="","",IF(Data!J262=0,"dns",Data!J262))</f>
        <v/>
      </c>
      <c r="N263" s="34" t="str">
        <f>IF(Data!$I262="","","GP"&amp;Data!$B262&amp;", "&amp;Data!$J$1)</f>
        <v/>
      </c>
      <c r="O263" s="34" t="str">
        <f t="shared" si="43"/>
        <v/>
      </c>
      <c r="P263" s="34" t="str">
        <f>IF($L263="","",Data!B262)</f>
        <v/>
      </c>
      <c r="Q263" s="34" t="str">
        <f t="shared" si="44"/>
        <v/>
      </c>
      <c r="R263" s="34" t="str">
        <f t="shared" si="45"/>
        <v/>
      </c>
      <c r="S263" s="70" t="str">
        <f t="shared" si="46"/>
        <v/>
      </c>
    </row>
    <row r="264" spans="1:19" x14ac:dyDescent="0.25">
      <c r="A264" s="34">
        <f t="shared" si="50"/>
        <v>260</v>
      </c>
      <c r="B264" s="34" t="str">
        <f t="shared" si="47"/>
        <v>Joonas Ollonqvist</v>
      </c>
      <c r="C264" s="34" t="str">
        <f t="shared" si="48"/>
        <v>dns</v>
      </c>
      <c r="D264" s="34" t="str">
        <f t="shared" si="49"/>
        <v>GP1, Sarja 2</v>
      </c>
      <c r="K264" s="34" t="str">
        <f t="shared" si="42"/>
        <v/>
      </c>
      <c r="L264" s="34" t="str">
        <f>IF(Data!$I263="","",Data!I263)</f>
        <v/>
      </c>
      <c r="M264" s="34" t="str">
        <f>IF(Data!$I263="","",IF(Data!J263=0,"dns",Data!J263))</f>
        <v/>
      </c>
      <c r="N264" s="34" t="str">
        <f>IF(Data!$I263="","","GP"&amp;Data!$B263&amp;", "&amp;Data!$J$1)</f>
        <v/>
      </c>
      <c r="O264" s="34" t="str">
        <f t="shared" si="43"/>
        <v/>
      </c>
      <c r="P264" s="34" t="str">
        <f>IF($L264="","",Data!B263)</f>
        <v/>
      </c>
      <c r="Q264" s="34" t="str">
        <f t="shared" si="44"/>
        <v/>
      </c>
      <c r="R264" s="34" t="str">
        <f t="shared" si="45"/>
        <v/>
      </c>
      <c r="S264" s="70" t="str">
        <f t="shared" si="46"/>
        <v/>
      </c>
    </row>
    <row r="265" spans="1:19" x14ac:dyDescent="0.25">
      <c r="A265" s="34">
        <f t="shared" si="50"/>
        <v>261</v>
      </c>
      <c r="B265" s="34" t="str">
        <f t="shared" si="47"/>
        <v>Miika Nordblad</v>
      </c>
      <c r="C265" s="34" t="str">
        <f t="shared" si="48"/>
        <v>dns</v>
      </c>
      <c r="D265" s="34" t="str">
        <f t="shared" si="49"/>
        <v>GP1, Sarja 2</v>
      </c>
      <c r="K265" s="34" t="str">
        <f t="shared" si="42"/>
        <v/>
      </c>
      <c r="L265" s="34" t="str">
        <f>IF(Data!$I264="","",Data!I264)</f>
        <v/>
      </c>
      <c r="M265" s="34" t="str">
        <f>IF(Data!$I264="","",IF(Data!J264=0,"dns",Data!J264))</f>
        <v/>
      </c>
      <c r="N265" s="34" t="str">
        <f>IF(Data!$I264="","","GP"&amp;Data!$B264&amp;", "&amp;Data!$J$1)</f>
        <v/>
      </c>
      <c r="O265" s="34" t="str">
        <f t="shared" si="43"/>
        <v/>
      </c>
      <c r="P265" s="34" t="str">
        <f>IF($L265="","",Data!B264)</f>
        <v/>
      </c>
      <c r="Q265" s="34" t="str">
        <f t="shared" si="44"/>
        <v/>
      </c>
      <c r="R265" s="34" t="str">
        <f t="shared" si="45"/>
        <v/>
      </c>
      <c r="S265" s="70" t="str">
        <f t="shared" si="46"/>
        <v/>
      </c>
    </row>
    <row r="266" spans="1:19" x14ac:dyDescent="0.25">
      <c r="A266" s="34">
        <f t="shared" si="50"/>
        <v>262</v>
      </c>
      <c r="B266" s="34" t="str">
        <f t="shared" si="47"/>
        <v>Juho Korpi</v>
      </c>
      <c r="C266" s="34" t="str">
        <f t="shared" si="48"/>
        <v>dns</v>
      </c>
      <c r="D266" s="34" t="str">
        <f t="shared" si="49"/>
        <v>GP1, Sarja 2</v>
      </c>
      <c r="K266" s="34" t="str">
        <f t="shared" si="42"/>
        <v/>
      </c>
      <c r="L266" s="34" t="str">
        <f>IF(Data!$I265="","",Data!I265)</f>
        <v/>
      </c>
      <c r="M266" s="34" t="str">
        <f>IF(Data!$I265="","",IF(Data!J265=0,"dns",Data!J265))</f>
        <v/>
      </c>
      <c r="N266" s="34" t="str">
        <f>IF(Data!$I265="","","GP"&amp;Data!$B265&amp;", "&amp;Data!$J$1)</f>
        <v/>
      </c>
      <c r="O266" s="34" t="str">
        <f t="shared" si="43"/>
        <v/>
      </c>
      <c r="P266" s="34" t="str">
        <f>IF($L266="","",Data!B265)</f>
        <v/>
      </c>
      <c r="Q266" s="34" t="str">
        <f t="shared" si="44"/>
        <v/>
      </c>
      <c r="R266" s="34" t="str">
        <f t="shared" si="45"/>
        <v/>
      </c>
      <c r="S266" s="70" t="str">
        <f t="shared" si="46"/>
        <v/>
      </c>
    </row>
    <row r="267" spans="1:19" x14ac:dyDescent="0.25">
      <c r="A267" s="34">
        <f t="shared" si="50"/>
        <v>263</v>
      </c>
      <c r="B267" s="34" t="str">
        <f t="shared" si="47"/>
        <v>Asko Haaksi</v>
      </c>
      <c r="C267" s="34" t="str">
        <f t="shared" si="48"/>
        <v>dns</v>
      </c>
      <c r="D267" s="34" t="str">
        <f t="shared" si="49"/>
        <v>GP1, Sarja 2</v>
      </c>
      <c r="K267" s="34" t="str">
        <f t="shared" si="42"/>
        <v/>
      </c>
      <c r="L267" s="34" t="str">
        <f>IF(Data!$I266="","",Data!I266)</f>
        <v/>
      </c>
      <c r="M267" s="34" t="str">
        <f>IF(Data!$I266="","",IF(Data!J266=0,"dns",Data!J266))</f>
        <v/>
      </c>
      <c r="N267" s="34" t="str">
        <f>IF(Data!$I266="","","GP"&amp;Data!$B266&amp;", "&amp;Data!$J$1)</f>
        <v/>
      </c>
      <c r="O267" s="34" t="str">
        <f t="shared" si="43"/>
        <v/>
      </c>
      <c r="P267" s="34" t="str">
        <f>IF($L267="","",Data!B266)</f>
        <v/>
      </c>
      <c r="Q267" s="34" t="str">
        <f t="shared" si="44"/>
        <v/>
      </c>
      <c r="R267" s="34" t="str">
        <f t="shared" si="45"/>
        <v/>
      </c>
      <c r="S267" s="70" t="str">
        <f t="shared" si="46"/>
        <v/>
      </c>
    </row>
    <row r="268" spans="1:19" x14ac:dyDescent="0.25">
      <c r="A268" s="34">
        <f t="shared" si="50"/>
        <v>264</v>
      </c>
      <c r="B268" s="34" t="str">
        <f t="shared" si="47"/>
        <v>Iiro Riikonen</v>
      </c>
      <c r="C268" s="34" t="str">
        <f t="shared" si="48"/>
        <v>dns</v>
      </c>
      <c r="D268" s="34" t="str">
        <f t="shared" si="49"/>
        <v>GP1, Sarja 2</v>
      </c>
      <c r="K268" s="34" t="str">
        <f t="shared" si="42"/>
        <v/>
      </c>
      <c r="L268" s="34" t="str">
        <f>IF(Data!$I267="","",Data!I267)</f>
        <v/>
      </c>
      <c r="M268" s="34" t="str">
        <f>IF(Data!$I267="","",IF(Data!J267=0,"dns",Data!J267))</f>
        <v/>
      </c>
      <c r="N268" s="34" t="str">
        <f>IF(Data!$I267="","","GP"&amp;Data!$B267&amp;", "&amp;Data!$J$1)</f>
        <v/>
      </c>
      <c r="O268" s="34" t="str">
        <f t="shared" si="43"/>
        <v/>
      </c>
      <c r="P268" s="34" t="str">
        <f>IF($L268="","",Data!B267)</f>
        <v/>
      </c>
      <c r="Q268" s="34" t="str">
        <f t="shared" si="44"/>
        <v/>
      </c>
      <c r="R268" s="34" t="str">
        <f t="shared" si="45"/>
        <v/>
      </c>
      <c r="S268" s="70" t="str">
        <f t="shared" si="46"/>
        <v/>
      </c>
    </row>
    <row r="269" spans="1:19" x14ac:dyDescent="0.25">
      <c r="A269" s="34">
        <f t="shared" si="50"/>
        <v>265</v>
      </c>
      <c r="B269" s="34" t="str">
        <f t="shared" si="47"/>
        <v>Olli Kajava</v>
      </c>
      <c r="C269" s="34" t="str">
        <f t="shared" si="48"/>
        <v>dns</v>
      </c>
      <c r="D269" s="34" t="str">
        <f t="shared" si="49"/>
        <v>GP1, Sarja 2</v>
      </c>
      <c r="K269" s="34" t="str">
        <f t="shared" si="42"/>
        <v/>
      </c>
      <c r="L269" s="34" t="str">
        <f>IF(Data!$I268="","",Data!I268)</f>
        <v/>
      </c>
      <c r="M269" s="34" t="str">
        <f>IF(Data!$I268="","",IF(Data!J268=0,"dns",Data!J268))</f>
        <v/>
      </c>
      <c r="N269" s="34" t="str">
        <f>IF(Data!$I268="","","GP"&amp;Data!$B268&amp;", "&amp;Data!$J$1)</f>
        <v/>
      </c>
      <c r="O269" s="34" t="str">
        <f t="shared" si="43"/>
        <v/>
      </c>
      <c r="P269" s="34" t="str">
        <f>IF($L269="","",Data!B268)</f>
        <v/>
      </c>
      <c r="Q269" s="34" t="str">
        <f t="shared" si="44"/>
        <v/>
      </c>
      <c r="R269" s="34" t="str">
        <f t="shared" si="45"/>
        <v/>
      </c>
      <c r="S269" s="70" t="str">
        <f t="shared" si="46"/>
        <v/>
      </c>
    </row>
    <row r="270" spans="1:19" x14ac:dyDescent="0.25">
      <c r="A270" s="34">
        <f t="shared" si="50"/>
        <v>266</v>
      </c>
      <c r="B270" s="34" t="str">
        <f t="shared" si="47"/>
        <v>Mikko Mansikkamäki</v>
      </c>
      <c r="C270" s="34" t="str">
        <f t="shared" si="48"/>
        <v>dns</v>
      </c>
      <c r="D270" s="34" t="str">
        <f t="shared" si="49"/>
        <v>GP1, Sarja 2</v>
      </c>
      <c r="K270" s="34" t="str">
        <f t="shared" si="42"/>
        <v/>
      </c>
      <c r="L270" s="34" t="str">
        <f>IF(Data!$I269="","",Data!I269)</f>
        <v/>
      </c>
      <c r="M270" s="34" t="str">
        <f>IF(Data!$I269="","",IF(Data!J269=0,"dns",Data!J269))</f>
        <v/>
      </c>
      <c r="N270" s="34" t="str">
        <f>IF(Data!$I269="","","GP"&amp;Data!$B269&amp;", "&amp;Data!$J$1)</f>
        <v/>
      </c>
      <c r="O270" s="34" t="str">
        <f t="shared" si="43"/>
        <v/>
      </c>
      <c r="P270" s="34" t="str">
        <f>IF($L270="","",Data!B269)</f>
        <v/>
      </c>
      <c r="Q270" s="34" t="str">
        <f t="shared" si="44"/>
        <v/>
      </c>
      <c r="R270" s="34" t="str">
        <f t="shared" si="45"/>
        <v/>
      </c>
      <c r="S270" s="70" t="str">
        <f t="shared" si="46"/>
        <v/>
      </c>
    </row>
    <row r="271" spans="1:19" x14ac:dyDescent="0.25">
      <c r="A271" s="34">
        <f t="shared" si="50"/>
        <v>267</v>
      </c>
      <c r="B271" s="34" t="str">
        <f t="shared" si="47"/>
        <v>Niko Reunanen</v>
      </c>
      <c r="C271" s="34" t="str">
        <f t="shared" si="48"/>
        <v>dns</v>
      </c>
      <c r="D271" s="34" t="str">
        <f t="shared" si="49"/>
        <v>GP2, Sarja 1</v>
      </c>
      <c r="K271" s="34" t="str">
        <f t="shared" si="42"/>
        <v/>
      </c>
      <c r="L271" s="34" t="str">
        <f>IF(Data!$I270="","",Data!I270)</f>
        <v/>
      </c>
      <c r="M271" s="34" t="str">
        <f>IF(Data!$I270="","",IF(Data!J270=0,"dns",Data!J270))</f>
        <v/>
      </c>
      <c r="N271" s="34" t="str">
        <f>IF(Data!$I270="","","GP"&amp;Data!$B270&amp;", "&amp;Data!$J$1)</f>
        <v/>
      </c>
      <c r="O271" s="34" t="str">
        <f t="shared" si="43"/>
        <v/>
      </c>
      <c r="P271" s="34" t="str">
        <f>IF($L271="","",Data!B270)</f>
        <v/>
      </c>
      <c r="Q271" s="34" t="str">
        <f t="shared" si="44"/>
        <v/>
      </c>
      <c r="R271" s="34" t="str">
        <f t="shared" si="45"/>
        <v/>
      </c>
      <c r="S271" s="70" t="str">
        <f t="shared" si="46"/>
        <v/>
      </c>
    </row>
    <row r="272" spans="1:19" x14ac:dyDescent="0.25">
      <c r="A272" s="34">
        <f t="shared" si="50"/>
        <v>268</v>
      </c>
      <c r="B272" s="34" t="str">
        <f t="shared" si="47"/>
        <v>Mikko Mansikkamäki</v>
      </c>
      <c r="C272" s="34" t="str">
        <f t="shared" si="48"/>
        <v>dns</v>
      </c>
      <c r="D272" s="34" t="str">
        <f t="shared" si="49"/>
        <v>GP2, Sarja 1</v>
      </c>
      <c r="K272" s="34" t="str">
        <f t="shared" si="42"/>
        <v/>
      </c>
      <c r="L272" s="34" t="str">
        <f>IF(Data!$I271="","",Data!I271)</f>
        <v/>
      </c>
      <c r="M272" s="34" t="str">
        <f>IF(Data!$I271="","",IF(Data!J271=0,"dns",Data!J271))</f>
        <v/>
      </c>
      <c r="N272" s="34" t="str">
        <f>IF(Data!$I271="","","GP"&amp;Data!$B271&amp;", "&amp;Data!$J$1)</f>
        <v/>
      </c>
      <c r="O272" s="34" t="str">
        <f t="shared" si="43"/>
        <v/>
      </c>
      <c r="P272" s="34" t="str">
        <f>IF($L272="","",Data!B271)</f>
        <v/>
      </c>
      <c r="Q272" s="34" t="str">
        <f t="shared" si="44"/>
        <v/>
      </c>
      <c r="R272" s="34" t="str">
        <f t="shared" si="45"/>
        <v/>
      </c>
      <c r="S272" s="70" t="str">
        <f t="shared" si="46"/>
        <v/>
      </c>
    </row>
    <row r="273" spans="1:19" x14ac:dyDescent="0.25">
      <c r="A273" s="34">
        <f t="shared" si="50"/>
        <v>269</v>
      </c>
      <c r="B273" s="34" t="str">
        <f t="shared" si="47"/>
        <v>Roope Warro</v>
      </c>
      <c r="C273" s="34" t="str">
        <f t="shared" si="48"/>
        <v>dns</v>
      </c>
      <c r="D273" s="34" t="str">
        <f t="shared" si="49"/>
        <v>GP2, Sarja 1</v>
      </c>
      <c r="K273" s="34" t="str">
        <f t="shared" si="42"/>
        <v/>
      </c>
      <c r="L273" s="34" t="str">
        <f>IF(Data!$I272="","",Data!I272)</f>
        <v/>
      </c>
      <c r="M273" s="34" t="str">
        <f>IF(Data!$I272="","",IF(Data!J272=0,"dns",Data!J272))</f>
        <v/>
      </c>
      <c r="N273" s="34" t="str">
        <f>IF(Data!$I272="","","GP"&amp;Data!$B272&amp;", "&amp;Data!$J$1)</f>
        <v/>
      </c>
      <c r="O273" s="34" t="str">
        <f t="shared" si="43"/>
        <v/>
      </c>
      <c r="P273" s="34" t="str">
        <f>IF($L273="","",Data!B272)</f>
        <v/>
      </c>
      <c r="Q273" s="34" t="str">
        <f t="shared" si="44"/>
        <v/>
      </c>
      <c r="R273" s="34" t="str">
        <f t="shared" si="45"/>
        <v/>
      </c>
      <c r="S273" s="70" t="str">
        <f t="shared" si="46"/>
        <v/>
      </c>
    </row>
    <row r="274" spans="1:19" x14ac:dyDescent="0.25">
      <c r="A274" s="34">
        <f t="shared" si="50"/>
        <v>270</v>
      </c>
      <c r="B274" s="34" t="str">
        <f t="shared" si="47"/>
        <v>Niko Reunanen</v>
      </c>
      <c r="C274" s="34" t="str">
        <f t="shared" si="48"/>
        <v>dns</v>
      </c>
      <c r="D274" s="34" t="str">
        <f t="shared" si="49"/>
        <v>GP2, Sarja 2</v>
      </c>
      <c r="K274" s="34" t="str">
        <f t="shared" si="42"/>
        <v/>
      </c>
      <c r="L274" s="34" t="str">
        <f>IF(Data!$I273="","",Data!I273)</f>
        <v/>
      </c>
      <c r="M274" s="34" t="str">
        <f>IF(Data!$I273="","",IF(Data!J273=0,"dns",Data!J273))</f>
        <v/>
      </c>
      <c r="N274" s="34" t="str">
        <f>IF(Data!$I273="","","GP"&amp;Data!$B273&amp;", "&amp;Data!$J$1)</f>
        <v/>
      </c>
      <c r="O274" s="34" t="str">
        <f t="shared" si="43"/>
        <v/>
      </c>
      <c r="P274" s="34" t="str">
        <f>IF($L274="","",Data!B273)</f>
        <v/>
      </c>
      <c r="Q274" s="34" t="str">
        <f t="shared" si="44"/>
        <v/>
      </c>
      <c r="R274" s="34" t="str">
        <f t="shared" si="45"/>
        <v/>
      </c>
      <c r="S274" s="70" t="str">
        <f t="shared" si="46"/>
        <v/>
      </c>
    </row>
    <row r="275" spans="1:19" x14ac:dyDescent="0.25">
      <c r="A275" s="34">
        <f t="shared" si="50"/>
        <v>271</v>
      </c>
      <c r="B275" s="34" t="str">
        <f t="shared" si="47"/>
        <v>Mikko Mansikkamäki</v>
      </c>
      <c r="C275" s="34" t="str">
        <f t="shared" si="48"/>
        <v>dns</v>
      </c>
      <c r="D275" s="34" t="str">
        <f t="shared" si="49"/>
        <v>GP2, Sarja 2</v>
      </c>
      <c r="K275" s="34" t="str">
        <f t="shared" si="42"/>
        <v/>
      </c>
      <c r="L275" s="34" t="str">
        <f>IF(Data!$I274="","",Data!I274)</f>
        <v/>
      </c>
      <c r="M275" s="34" t="str">
        <f>IF(Data!$I274="","",IF(Data!J274=0,"dns",Data!J274))</f>
        <v/>
      </c>
      <c r="N275" s="34" t="str">
        <f>IF(Data!$I274="","","GP"&amp;Data!$B274&amp;", "&amp;Data!$J$1)</f>
        <v/>
      </c>
      <c r="O275" s="34" t="str">
        <f t="shared" si="43"/>
        <v/>
      </c>
      <c r="P275" s="34" t="str">
        <f>IF($L275="","",Data!B274)</f>
        <v/>
      </c>
      <c r="Q275" s="34" t="str">
        <f t="shared" si="44"/>
        <v/>
      </c>
      <c r="R275" s="34" t="str">
        <f t="shared" si="45"/>
        <v/>
      </c>
      <c r="S275" s="70" t="str">
        <f t="shared" si="46"/>
        <v/>
      </c>
    </row>
    <row r="276" spans="1:19" x14ac:dyDescent="0.25">
      <c r="A276" s="34">
        <f t="shared" si="50"/>
        <v>272</v>
      </c>
      <c r="B276" s="34" t="str">
        <f t="shared" si="47"/>
        <v>Roope Warro</v>
      </c>
      <c r="C276" s="34" t="str">
        <f t="shared" si="48"/>
        <v>dns</v>
      </c>
      <c r="D276" s="34" t="str">
        <f t="shared" si="49"/>
        <v>GP2, Sarja 2</v>
      </c>
      <c r="K276" s="34" t="str">
        <f t="shared" si="42"/>
        <v/>
      </c>
      <c r="L276" s="34" t="str">
        <f>IF(Data!$I275="","",Data!I275)</f>
        <v/>
      </c>
      <c r="M276" s="34" t="str">
        <f>IF(Data!$I275="","",IF(Data!J275=0,"dns",Data!J275))</f>
        <v/>
      </c>
      <c r="N276" s="34" t="str">
        <f>IF(Data!$I275="","","GP"&amp;Data!$B275&amp;", "&amp;Data!$J$1)</f>
        <v/>
      </c>
      <c r="O276" s="34" t="str">
        <f t="shared" si="43"/>
        <v/>
      </c>
      <c r="P276" s="34" t="str">
        <f>IF($L276="","",Data!B275)</f>
        <v/>
      </c>
      <c r="Q276" s="34" t="str">
        <f t="shared" si="44"/>
        <v/>
      </c>
      <c r="R276" s="34" t="str">
        <f t="shared" si="45"/>
        <v/>
      </c>
      <c r="S276" s="70" t="str">
        <f t="shared" si="46"/>
        <v/>
      </c>
    </row>
    <row r="277" spans="1:19" x14ac:dyDescent="0.25">
      <c r="A277" s="34">
        <f t="shared" si="50"/>
        <v>273</v>
      </c>
      <c r="B277" s="34" t="str">
        <f t="shared" si="47"/>
        <v>Joonas Ollonqvist</v>
      </c>
      <c r="C277" s="34" t="str">
        <f t="shared" si="48"/>
        <v>dns</v>
      </c>
      <c r="D277" s="34" t="str">
        <f t="shared" si="49"/>
        <v>GP3, Sarja 1</v>
      </c>
      <c r="K277" s="34" t="str">
        <f t="shared" si="42"/>
        <v/>
      </c>
      <c r="L277" s="34" t="str">
        <f>IF(Data!$I276="","",Data!I276)</f>
        <v/>
      </c>
      <c r="M277" s="34" t="str">
        <f>IF(Data!$I276="","",IF(Data!J276=0,"dns",Data!J276))</f>
        <v/>
      </c>
      <c r="N277" s="34" t="str">
        <f>IF(Data!$I276="","","GP"&amp;Data!$B276&amp;", "&amp;Data!$J$1)</f>
        <v/>
      </c>
      <c r="O277" s="34" t="str">
        <f t="shared" si="43"/>
        <v/>
      </c>
      <c r="P277" s="34" t="str">
        <f>IF($L277="","",Data!B276)</f>
        <v/>
      </c>
      <c r="Q277" s="34" t="str">
        <f t="shared" si="44"/>
        <v/>
      </c>
      <c r="R277" s="34" t="str">
        <f t="shared" si="45"/>
        <v/>
      </c>
      <c r="S277" s="70" t="str">
        <f t="shared" si="46"/>
        <v/>
      </c>
    </row>
    <row r="278" spans="1:19" x14ac:dyDescent="0.25">
      <c r="A278" s="34">
        <f t="shared" si="50"/>
        <v>274</v>
      </c>
      <c r="B278" s="34" t="str">
        <f t="shared" si="47"/>
        <v>Tatu Erlin</v>
      </c>
      <c r="C278" s="34" t="str">
        <f t="shared" si="48"/>
        <v>dns</v>
      </c>
      <c r="D278" s="34" t="str">
        <f t="shared" si="49"/>
        <v>GP3, Sarja 1</v>
      </c>
      <c r="K278" s="34" t="str">
        <f t="shared" si="42"/>
        <v/>
      </c>
      <c r="L278" s="34" t="str">
        <f>IF(Data!$I277="","",Data!I277)</f>
        <v/>
      </c>
      <c r="M278" s="34" t="str">
        <f>IF(Data!$I277="","",IF(Data!J277=0,"dns",Data!J277))</f>
        <v/>
      </c>
      <c r="N278" s="34" t="str">
        <f>IF(Data!$I277="","","GP"&amp;Data!$B277&amp;", "&amp;Data!$J$1)</f>
        <v/>
      </c>
      <c r="O278" s="34" t="str">
        <f t="shared" si="43"/>
        <v/>
      </c>
      <c r="P278" s="34" t="str">
        <f>IF($L278="","",Data!B277)</f>
        <v/>
      </c>
      <c r="Q278" s="34" t="str">
        <f t="shared" si="44"/>
        <v/>
      </c>
      <c r="R278" s="34" t="str">
        <f t="shared" si="45"/>
        <v/>
      </c>
      <c r="S278" s="70" t="str">
        <f t="shared" si="46"/>
        <v/>
      </c>
    </row>
    <row r="279" spans="1:19" x14ac:dyDescent="0.25">
      <c r="A279" s="34">
        <f t="shared" si="50"/>
        <v>275</v>
      </c>
      <c r="B279" s="34" t="str">
        <f t="shared" si="47"/>
        <v>Olli Kajava</v>
      </c>
      <c r="C279" s="34" t="str">
        <f t="shared" si="48"/>
        <v>dns</v>
      </c>
      <c r="D279" s="34" t="str">
        <f t="shared" si="49"/>
        <v>GP3, Sarja 1</v>
      </c>
      <c r="K279" s="34" t="str">
        <f t="shared" si="42"/>
        <v/>
      </c>
      <c r="L279" s="34" t="str">
        <f>IF(Data!$I278="","",Data!I278)</f>
        <v/>
      </c>
      <c r="M279" s="34" t="str">
        <f>IF(Data!$I278="","",IF(Data!J278=0,"dns",Data!J278))</f>
        <v/>
      </c>
      <c r="N279" s="34" t="str">
        <f>IF(Data!$I278="","","GP"&amp;Data!$B278&amp;", "&amp;Data!$J$1)</f>
        <v/>
      </c>
      <c r="O279" s="34" t="str">
        <f t="shared" si="43"/>
        <v/>
      </c>
      <c r="P279" s="34" t="str">
        <f>IF($L279="","",Data!B278)</f>
        <v/>
      </c>
      <c r="Q279" s="34" t="str">
        <f t="shared" si="44"/>
        <v/>
      </c>
      <c r="R279" s="34" t="str">
        <f t="shared" si="45"/>
        <v/>
      </c>
      <c r="S279" s="70" t="str">
        <f t="shared" si="46"/>
        <v/>
      </c>
    </row>
    <row r="280" spans="1:19" x14ac:dyDescent="0.25">
      <c r="A280" s="34">
        <f t="shared" si="50"/>
        <v>276</v>
      </c>
      <c r="B280" s="34" t="str">
        <f t="shared" si="47"/>
        <v>Iiro Riikonen</v>
      </c>
      <c r="C280" s="34" t="str">
        <f t="shared" si="48"/>
        <v>dns</v>
      </c>
      <c r="D280" s="34" t="str">
        <f t="shared" si="49"/>
        <v>GP3, Sarja 1</v>
      </c>
      <c r="K280" s="34" t="str">
        <f t="shared" si="42"/>
        <v/>
      </c>
      <c r="L280" s="34" t="str">
        <f>IF(Data!$I279="","",Data!I279)</f>
        <v/>
      </c>
      <c r="M280" s="34" t="str">
        <f>IF(Data!$I279="","",IF(Data!J279=0,"dns",Data!J279))</f>
        <v/>
      </c>
      <c r="N280" s="34" t="str">
        <f>IF(Data!$I279="","","GP"&amp;Data!$B279&amp;", "&amp;Data!$J$1)</f>
        <v/>
      </c>
      <c r="O280" s="34" t="str">
        <f t="shared" si="43"/>
        <v/>
      </c>
      <c r="P280" s="34" t="str">
        <f>IF($L280="","",Data!B279)</f>
        <v/>
      </c>
      <c r="Q280" s="34" t="str">
        <f t="shared" si="44"/>
        <v/>
      </c>
      <c r="R280" s="34" t="str">
        <f t="shared" si="45"/>
        <v/>
      </c>
      <c r="S280" s="70" t="str">
        <f t="shared" si="46"/>
        <v/>
      </c>
    </row>
    <row r="281" spans="1:19" x14ac:dyDescent="0.25">
      <c r="A281" s="34">
        <f t="shared" si="50"/>
        <v>277</v>
      </c>
      <c r="B281" s="34" t="str">
        <f t="shared" si="47"/>
        <v>Frans Hartman</v>
      </c>
      <c r="C281" s="34" t="str">
        <f t="shared" si="48"/>
        <v>dns</v>
      </c>
      <c r="D281" s="34" t="str">
        <f t="shared" si="49"/>
        <v>GP3, Sarja 1</v>
      </c>
      <c r="K281" s="34" t="str">
        <f t="shared" si="42"/>
        <v/>
      </c>
      <c r="L281" s="34" t="str">
        <f>IF(Data!$I280="","",Data!I280)</f>
        <v/>
      </c>
      <c r="M281" s="34" t="str">
        <f>IF(Data!$I280="","",IF(Data!J280=0,"dns",Data!J280))</f>
        <v/>
      </c>
      <c r="N281" s="34" t="str">
        <f>IF(Data!$I280="","","GP"&amp;Data!$B280&amp;", "&amp;Data!$J$1)</f>
        <v/>
      </c>
      <c r="O281" s="34" t="str">
        <f t="shared" si="43"/>
        <v/>
      </c>
      <c r="P281" s="34" t="str">
        <f>IF($L281="","",Data!B280)</f>
        <v/>
      </c>
      <c r="Q281" s="34" t="str">
        <f t="shared" si="44"/>
        <v/>
      </c>
      <c r="R281" s="34" t="str">
        <f t="shared" si="45"/>
        <v/>
      </c>
      <c r="S281" s="70" t="str">
        <f t="shared" si="46"/>
        <v/>
      </c>
    </row>
    <row r="282" spans="1:19" x14ac:dyDescent="0.25">
      <c r="A282" s="34">
        <f t="shared" si="50"/>
        <v>278</v>
      </c>
      <c r="B282" s="34" t="str">
        <f t="shared" si="47"/>
        <v>Asko Haaksi</v>
      </c>
      <c r="C282" s="34" t="str">
        <f t="shared" si="48"/>
        <v>dns</v>
      </c>
      <c r="D282" s="34" t="str">
        <f t="shared" si="49"/>
        <v>GP3, Sarja 1</v>
      </c>
      <c r="K282" s="34" t="str">
        <f t="shared" si="42"/>
        <v/>
      </c>
      <c r="L282" s="34" t="str">
        <f>IF(Data!$I281="","",Data!I281)</f>
        <v/>
      </c>
      <c r="M282" s="34" t="str">
        <f>IF(Data!$I281="","",IF(Data!J281=0,"dns",Data!J281))</f>
        <v/>
      </c>
      <c r="N282" s="34" t="str">
        <f>IF(Data!$I281="","","GP"&amp;Data!$B281&amp;", "&amp;Data!$J$1)</f>
        <v/>
      </c>
      <c r="O282" s="34" t="str">
        <f t="shared" si="43"/>
        <v/>
      </c>
      <c r="P282" s="34" t="str">
        <f>IF($L282="","",Data!B281)</f>
        <v/>
      </c>
      <c r="Q282" s="34" t="str">
        <f t="shared" si="44"/>
        <v/>
      </c>
      <c r="R282" s="34" t="str">
        <f t="shared" si="45"/>
        <v/>
      </c>
      <c r="S282" s="70" t="str">
        <f t="shared" si="46"/>
        <v/>
      </c>
    </row>
    <row r="283" spans="1:19" x14ac:dyDescent="0.25">
      <c r="A283" s="34">
        <f t="shared" si="50"/>
        <v>279</v>
      </c>
      <c r="B283" s="34" t="str">
        <f t="shared" si="47"/>
        <v>Roope Warro</v>
      </c>
      <c r="C283" s="34" t="str">
        <f t="shared" si="48"/>
        <v>dns</v>
      </c>
      <c r="D283" s="34" t="str">
        <f t="shared" si="49"/>
        <v>GP3, Sarja 1</v>
      </c>
      <c r="K283" s="34" t="str">
        <f t="shared" si="42"/>
        <v/>
      </c>
      <c r="L283" s="34" t="str">
        <f>IF(Data!$I282="","",Data!I282)</f>
        <v/>
      </c>
      <c r="M283" s="34" t="str">
        <f>IF(Data!$I282="","",IF(Data!J282=0,"dns",Data!J282))</f>
        <v/>
      </c>
      <c r="N283" s="34" t="str">
        <f>IF(Data!$I282="","","GP"&amp;Data!$B282&amp;", "&amp;Data!$J$1)</f>
        <v/>
      </c>
      <c r="O283" s="34" t="str">
        <f t="shared" si="43"/>
        <v/>
      </c>
      <c r="P283" s="34" t="str">
        <f>IF($L283="","",Data!B282)</f>
        <v/>
      </c>
      <c r="Q283" s="34" t="str">
        <f t="shared" si="44"/>
        <v/>
      </c>
      <c r="R283" s="34" t="str">
        <f t="shared" si="45"/>
        <v/>
      </c>
      <c r="S283" s="70" t="str">
        <f t="shared" si="46"/>
        <v/>
      </c>
    </row>
    <row r="284" spans="1:19" x14ac:dyDescent="0.25">
      <c r="A284" s="34">
        <f t="shared" si="50"/>
        <v>280</v>
      </c>
      <c r="B284" s="34" t="str">
        <f t="shared" si="47"/>
        <v>Joonas Ollonqvist</v>
      </c>
      <c r="C284" s="34" t="str">
        <f t="shared" si="48"/>
        <v>dns</v>
      </c>
      <c r="D284" s="34" t="str">
        <f t="shared" si="49"/>
        <v>GP3, Sarja 2</v>
      </c>
      <c r="K284" s="34" t="str">
        <f t="shared" si="42"/>
        <v/>
      </c>
      <c r="L284" s="34" t="str">
        <f>IF(Data!$I283="","",Data!I283)</f>
        <v/>
      </c>
      <c r="M284" s="34" t="str">
        <f>IF(Data!$I283="","",IF(Data!J283=0,"dns",Data!J283))</f>
        <v/>
      </c>
      <c r="N284" s="34" t="str">
        <f>IF(Data!$I283="","","GP"&amp;Data!$B283&amp;", "&amp;Data!$J$1)</f>
        <v/>
      </c>
      <c r="O284" s="34" t="str">
        <f t="shared" si="43"/>
        <v/>
      </c>
      <c r="P284" s="34" t="str">
        <f>IF($L284="","",Data!B283)</f>
        <v/>
      </c>
      <c r="Q284" s="34" t="str">
        <f t="shared" si="44"/>
        <v/>
      </c>
      <c r="R284" s="34" t="str">
        <f t="shared" si="45"/>
        <v/>
      </c>
      <c r="S284" s="70" t="str">
        <f t="shared" si="46"/>
        <v/>
      </c>
    </row>
    <row r="285" spans="1:19" x14ac:dyDescent="0.25">
      <c r="A285" s="34">
        <f t="shared" si="50"/>
        <v>281</v>
      </c>
      <c r="B285" s="34" t="str">
        <f t="shared" si="47"/>
        <v>Tatu Erlin</v>
      </c>
      <c r="C285" s="34" t="str">
        <f t="shared" si="48"/>
        <v>dns</v>
      </c>
      <c r="D285" s="34" t="str">
        <f t="shared" si="49"/>
        <v>GP3, Sarja 2</v>
      </c>
      <c r="K285" s="34" t="str">
        <f t="shared" si="42"/>
        <v/>
      </c>
      <c r="L285" s="34" t="str">
        <f>IF(Data!$I284="","",Data!I284)</f>
        <v/>
      </c>
      <c r="M285" s="34" t="str">
        <f>IF(Data!$I284="","",IF(Data!J284=0,"dns",Data!J284))</f>
        <v/>
      </c>
      <c r="N285" s="34" t="str">
        <f>IF(Data!$I284="","","GP"&amp;Data!$B284&amp;", "&amp;Data!$J$1)</f>
        <v/>
      </c>
      <c r="O285" s="34" t="str">
        <f t="shared" si="43"/>
        <v/>
      </c>
      <c r="P285" s="34" t="str">
        <f>IF($L285="","",Data!B284)</f>
        <v/>
      </c>
      <c r="Q285" s="34" t="str">
        <f t="shared" si="44"/>
        <v/>
      </c>
      <c r="R285" s="34" t="str">
        <f t="shared" si="45"/>
        <v/>
      </c>
      <c r="S285" s="70" t="str">
        <f t="shared" si="46"/>
        <v/>
      </c>
    </row>
    <row r="286" spans="1:19" x14ac:dyDescent="0.25">
      <c r="A286" s="34">
        <f t="shared" si="50"/>
        <v>282</v>
      </c>
      <c r="B286" s="34" t="str">
        <f t="shared" si="47"/>
        <v>Olli Kajava</v>
      </c>
      <c r="C286" s="34" t="str">
        <f t="shared" si="48"/>
        <v>dns</v>
      </c>
      <c r="D286" s="34" t="str">
        <f t="shared" si="49"/>
        <v>GP3, Sarja 2</v>
      </c>
      <c r="K286" s="34" t="str">
        <f t="shared" si="42"/>
        <v/>
      </c>
      <c r="L286" s="34" t="str">
        <f>IF(Data!$I285="","",Data!I285)</f>
        <v/>
      </c>
      <c r="M286" s="34" t="str">
        <f>IF(Data!$I285="","",IF(Data!J285=0,"dns",Data!J285))</f>
        <v/>
      </c>
      <c r="N286" s="34" t="str">
        <f>IF(Data!$I285="","","GP"&amp;Data!$B285&amp;", "&amp;Data!$J$1)</f>
        <v/>
      </c>
      <c r="O286" s="34" t="str">
        <f t="shared" si="43"/>
        <v/>
      </c>
      <c r="P286" s="34" t="str">
        <f>IF($L286="","",Data!B285)</f>
        <v/>
      </c>
      <c r="Q286" s="34" t="str">
        <f t="shared" si="44"/>
        <v/>
      </c>
      <c r="R286" s="34" t="str">
        <f t="shared" si="45"/>
        <v/>
      </c>
      <c r="S286" s="70" t="str">
        <f t="shared" si="46"/>
        <v/>
      </c>
    </row>
    <row r="287" spans="1:19" x14ac:dyDescent="0.25">
      <c r="A287" s="34">
        <f t="shared" si="50"/>
        <v>283</v>
      </c>
      <c r="B287" s="34" t="str">
        <f t="shared" si="47"/>
        <v>Iiro Riikonen</v>
      </c>
      <c r="C287" s="34" t="str">
        <f t="shared" si="48"/>
        <v>dns</v>
      </c>
      <c r="D287" s="34" t="str">
        <f t="shared" si="49"/>
        <v>GP3, Sarja 2</v>
      </c>
      <c r="K287" s="34" t="str">
        <f t="shared" si="42"/>
        <v/>
      </c>
      <c r="L287" s="34" t="str">
        <f>IF(Data!$I286="","",Data!I286)</f>
        <v/>
      </c>
      <c r="M287" s="34" t="str">
        <f>IF(Data!$I286="","",IF(Data!J286=0,"dns",Data!J286))</f>
        <v/>
      </c>
      <c r="N287" s="34" t="str">
        <f>IF(Data!$I286="","","GP"&amp;Data!$B286&amp;", "&amp;Data!$J$1)</f>
        <v/>
      </c>
      <c r="O287" s="34" t="str">
        <f t="shared" si="43"/>
        <v/>
      </c>
      <c r="P287" s="34" t="str">
        <f>IF($L287="","",Data!B286)</f>
        <v/>
      </c>
      <c r="Q287" s="34" t="str">
        <f t="shared" si="44"/>
        <v/>
      </c>
      <c r="R287" s="34" t="str">
        <f t="shared" si="45"/>
        <v/>
      </c>
      <c r="S287" s="70" t="str">
        <f t="shared" si="46"/>
        <v/>
      </c>
    </row>
    <row r="288" spans="1:19" x14ac:dyDescent="0.25">
      <c r="A288" s="34">
        <f t="shared" si="50"/>
        <v>284</v>
      </c>
      <c r="B288" s="34" t="str">
        <f t="shared" si="47"/>
        <v>Frans Hartman</v>
      </c>
      <c r="C288" s="34" t="str">
        <f t="shared" si="48"/>
        <v>dns</v>
      </c>
      <c r="D288" s="34" t="str">
        <f t="shared" si="49"/>
        <v>GP3, Sarja 2</v>
      </c>
      <c r="K288" s="34" t="str">
        <f t="shared" si="42"/>
        <v/>
      </c>
      <c r="L288" s="34" t="str">
        <f>IF(Data!$I287="","",Data!I287)</f>
        <v/>
      </c>
      <c r="M288" s="34" t="str">
        <f>IF(Data!$I287="","",IF(Data!J287=0,"dns",Data!J287))</f>
        <v/>
      </c>
      <c r="N288" s="34" t="str">
        <f>IF(Data!$I287="","","GP"&amp;Data!$B287&amp;", "&amp;Data!$J$1)</f>
        <v/>
      </c>
      <c r="O288" s="34" t="str">
        <f t="shared" si="43"/>
        <v/>
      </c>
      <c r="P288" s="34" t="str">
        <f>IF($L288="","",Data!B287)</f>
        <v/>
      </c>
      <c r="Q288" s="34" t="str">
        <f t="shared" si="44"/>
        <v/>
      </c>
      <c r="R288" s="34" t="str">
        <f t="shared" si="45"/>
        <v/>
      </c>
      <c r="S288" s="70" t="str">
        <f t="shared" si="46"/>
        <v/>
      </c>
    </row>
    <row r="289" spans="1:19" x14ac:dyDescent="0.25">
      <c r="A289" s="34">
        <f t="shared" si="50"/>
        <v>285</v>
      </c>
      <c r="B289" s="34" t="str">
        <f t="shared" si="47"/>
        <v>Asko Haaksi</v>
      </c>
      <c r="C289" s="34" t="str">
        <f t="shared" si="48"/>
        <v>dns</v>
      </c>
      <c r="D289" s="34" t="str">
        <f t="shared" si="49"/>
        <v>GP3, Sarja 2</v>
      </c>
      <c r="K289" s="34" t="str">
        <f t="shared" si="42"/>
        <v/>
      </c>
      <c r="L289" s="34" t="str">
        <f>IF(Data!$I288="","",Data!I288)</f>
        <v/>
      </c>
      <c r="M289" s="34" t="str">
        <f>IF(Data!$I288="","",IF(Data!J288=0,"dns",Data!J288))</f>
        <v/>
      </c>
      <c r="N289" s="34" t="str">
        <f>IF(Data!$I288="","","GP"&amp;Data!$B288&amp;", "&amp;Data!$J$1)</f>
        <v/>
      </c>
      <c r="O289" s="34" t="str">
        <f t="shared" si="43"/>
        <v/>
      </c>
      <c r="P289" s="34" t="str">
        <f>IF($L289="","",Data!B288)</f>
        <v/>
      </c>
      <c r="Q289" s="34" t="str">
        <f t="shared" si="44"/>
        <v/>
      </c>
      <c r="R289" s="34" t="str">
        <f t="shared" si="45"/>
        <v/>
      </c>
      <c r="S289" s="70" t="str">
        <f t="shared" si="46"/>
        <v/>
      </c>
    </row>
    <row r="290" spans="1:19" x14ac:dyDescent="0.25">
      <c r="A290" s="34">
        <f t="shared" si="50"/>
        <v>286</v>
      </c>
      <c r="B290" s="34" t="str">
        <f t="shared" si="47"/>
        <v>Roope Warro</v>
      </c>
      <c r="C290" s="34" t="str">
        <f t="shared" si="48"/>
        <v>dns</v>
      </c>
      <c r="D290" s="34" t="str">
        <f t="shared" si="49"/>
        <v>GP3, Sarja 2</v>
      </c>
      <c r="K290" s="34" t="str">
        <f t="shared" si="42"/>
        <v/>
      </c>
      <c r="L290" s="34" t="str">
        <f>IF(Data!$I289="","",Data!I289)</f>
        <v/>
      </c>
      <c r="M290" s="34" t="str">
        <f>IF(Data!$I289="","",IF(Data!J289=0,"dns",Data!J289))</f>
        <v/>
      </c>
      <c r="N290" s="34" t="str">
        <f>IF(Data!$I289="","","GP"&amp;Data!$B289&amp;", "&amp;Data!$J$1)</f>
        <v/>
      </c>
      <c r="O290" s="34" t="str">
        <f t="shared" si="43"/>
        <v/>
      </c>
      <c r="P290" s="34" t="str">
        <f>IF($L290="","",Data!B289)</f>
        <v/>
      </c>
      <c r="Q290" s="34" t="str">
        <f t="shared" si="44"/>
        <v/>
      </c>
      <c r="R290" s="34" t="str">
        <f t="shared" si="45"/>
        <v/>
      </c>
      <c r="S290" s="70" t="str">
        <f t="shared" si="46"/>
        <v/>
      </c>
    </row>
    <row r="291" spans="1:19" x14ac:dyDescent="0.25">
      <c r="A291" s="34">
        <f t="shared" si="50"/>
        <v>287</v>
      </c>
      <c r="B291" s="34" t="str">
        <f t="shared" si="47"/>
        <v>Ossi Oksa</v>
      </c>
      <c r="C291" s="34" t="str">
        <f t="shared" si="48"/>
        <v>dns</v>
      </c>
      <c r="D291" s="34" t="str">
        <f t="shared" si="49"/>
        <v>GP4, Sarja 1</v>
      </c>
      <c r="K291" s="34" t="str">
        <f t="shared" si="42"/>
        <v/>
      </c>
      <c r="L291" s="34" t="str">
        <f>IF(Data!$I290="","",Data!I290)</f>
        <v/>
      </c>
      <c r="M291" s="34" t="str">
        <f>IF(Data!$I290="","",IF(Data!J290=0,"dns",Data!J290))</f>
        <v/>
      </c>
      <c r="N291" s="34" t="str">
        <f>IF(Data!$I290="","","GP"&amp;Data!$B290&amp;", "&amp;Data!$J$1)</f>
        <v/>
      </c>
      <c r="O291" s="34" t="str">
        <f t="shared" si="43"/>
        <v/>
      </c>
      <c r="P291" s="34" t="str">
        <f>IF($L291="","",Data!B290)</f>
        <v/>
      </c>
      <c r="Q291" s="34" t="str">
        <f t="shared" si="44"/>
        <v/>
      </c>
      <c r="R291" s="34" t="str">
        <f t="shared" si="45"/>
        <v/>
      </c>
      <c r="S291" s="70" t="str">
        <f t="shared" si="46"/>
        <v/>
      </c>
    </row>
    <row r="292" spans="1:19" x14ac:dyDescent="0.25">
      <c r="A292" s="34">
        <f t="shared" si="50"/>
        <v>288</v>
      </c>
      <c r="B292" s="34" t="str">
        <f t="shared" si="47"/>
        <v>Sakari Leinonen</v>
      </c>
      <c r="C292" s="34" t="str">
        <f t="shared" si="48"/>
        <v>dns</v>
      </c>
      <c r="D292" s="34" t="str">
        <f t="shared" si="49"/>
        <v>GP4, Sarja 1</v>
      </c>
      <c r="K292" s="34" t="str">
        <f t="shared" si="42"/>
        <v/>
      </c>
      <c r="L292" s="34" t="str">
        <f>IF(Data!$I291="","",Data!I291)</f>
        <v/>
      </c>
      <c r="M292" s="34" t="str">
        <f>IF(Data!$I291="","",IF(Data!J291=0,"dns",Data!J291))</f>
        <v/>
      </c>
      <c r="N292" s="34" t="str">
        <f>IF(Data!$I291="","","GP"&amp;Data!$B291&amp;", "&amp;Data!$J$1)</f>
        <v/>
      </c>
      <c r="O292" s="34" t="str">
        <f t="shared" si="43"/>
        <v/>
      </c>
      <c r="P292" s="34" t="str">
        <f>IF($L292="","",Data!B291)</f>
        <v/>
      </c>
      <c r="Q292" s="34" t="str">
        <f t="shared" ref="Q292:Q315" si="51">IF($L292="","",RIGHT(N292,1))</f>
        <v/>
      </c>
      <c r="R292" s="34" t="str">
        <f t="shared" ref="R292:R323" si="52">IF($L292="","",ROW())</f>
        <v/>
      </c>
      <c r="S292" s="70" t="str">
        <f t="shared" ref="S292:S315" si="53">IF($L292="","",O292/1000+P292/100000+Q292/1000000+R292/1000000000)</f>
        <v/>
      </c>
    </row>
    <row r="293" spans="1:19" x14ac:dyDescent="0.25">
      <c r="A293" s="34">
        <f t="shared" si="50"/>
        <v>289</v>
      </c>
      <c r="B293" s="34" t="str">
        <f t="shared" si="47"/>
        <v>Tatu Erlin</v>
      </c>
      <c r="C293" s="34" t="str">
        <f t="shared" si="48"/>
        <v>dns</v>
      </c>
      <c r="D293" s="34" t="str">
        <f t="shared" si="49"/>
        <v>GP4, Sarja 1</v>
      </c>
      <c r="K293" s="34" t="str">
        <f t="shared" si="42"/>
        <v/>
      </c>
      <c r="L293" s="34" t="str">
        <f>IF(Data!$I292="","",Data!I292)</f>
        <v/>
      </c>
      <c r="M293" s="34" t="str">
        <f>IF(Data!$I292="","",IF(Data!J292=0,"dns",Data!J292))</f>
        <v/>
      </c>
      <c r="N293" s="34" t="str">
        <f>IF(Data!$I292="","","GP"&amp;Data!$B292&amp;", "&amp;Data!$J$1)</f>
        <v/>
      </c>
      <c r="O293" s="34" t="str">
        <f t="shared" si="43"/>
        <v/>
      </c>
      <c r="P293" s="34" t="str">
        <f>IF($L293="","",Data!B292)</f>
        <v/>
      </c>
      <c r="Q293" s="34" t="str">
        <f t="shared" si="51"/>
        <v/>
      </c>
      <c r="R293" s="34" t="str">
        <f t="shared" si="52"/>
        <v/>
      </c>
      <c r="S293" s="70" t="str">
        <f t="shared" si="53"/>
        <v/>
      </c>
    </row>
    <row r="294" spans="1:19" x14ac:dyDescent="0.25">
      <c r="A294" s="34">
        <f t="shared" si="50"/>
        <v>290</v>
      </c>
      <c r="B294" s="34" t="str">
        <f t="shared" si="47"/>
        <v>Frans Hartman</v>
      </c>
      <c r="C294" s="34" t="str">
        <f t="shared" si="48"/>
        <v>dns</v>
      </c>
      <c r="D294" s="34" t="str">
        <f t="shared" si="49"/>
        <v>GP4, Sarja 1</v>
      </c>
      <c r="K294" s="34" t="str">
        <f t="shared" si="42"/>
        <v/>
      </c>
      <c r="L294" s="34" t="str">
        <f>IF(Data!$I293="","",Data!I293)</f>
        <v/>
      </c>
      <c r="M294" s="34" t="str">
        <f>IF(Data!$I293="","",IF(Data!J293=0,"dns",Data!J293))</f>
        <v/>
      </c>
      <c r="N294" s="34" t="str">
        <f>IF(Data!$I293="","","GP"&amp;Data!$B293&amp;", "&amp;Data!$J$1)</f>
        <v/>
      </c>
      <c r="O294" s="34" t="str">
        <f t="shared" si="43"/>
        <v/>
      </c>
      <c r="P294" s="34" t="str">
        <f>IF($L294="","",Data!B293)</f>
        <v/>
      </c>
      <c r="Q294" s="34" t="str">
        <f t="shared" si="51"/>
        <v/>
      </c>
      <c r="R294" s="34" t="str">
        <f t="shared" si="52"/>
        <v/>
      </c>
      <c r="S294" s="70" t="str">
        <f t="shared" si="53"/>
        <v/>
      </c>
    </row>
    <row r="295" spans="1:19" x14ac:dyDescent="0.25">
      <c r="A295" s="34">
        <f t="shared" si="50"/>
        <v>291</v>
      </c>
      <c r="B295" s="34" t="str">
        <f t="shared" si="47"/>
        <v>Ossi Oksa</v>
      </c>
      <c r="C295" s="34" t="str">
        <f t="shared" si="48"/>
        <v>dns</v>
      </c>
      <c r="D295" s="34" t="str">
        <f t="shared" si="49"/>
        <v>GP4, Sarja 2</v>
      </c>
      <c r="K295" s="34" t="str">
        <f t="shared" si="42"/>
        <v/>
      </c>
      <c r="L295" s="34" t="str">
        <f>IF(Data!$I294="","",Data!I294)</f>
        <v/>
      </c>
      <c r="M295" s="34" t="str">
        <f>IF(Data!$I294="","",IF(Data!J294=0,"dns",Data!J294))</f>
        <v/>
      </c>
      <c r="N295" s="34" t="str">
        <f>IF(Data!$I294="","","GP"&amp;Data!$B294&amp;", "&amp;Data!$J$1)</f>
        <v/>
      </c>
      <c r="O295" s="34" t="str">
        <f t="shared" si="43"/>
        <v/>
      </c>
      <c r="P295" s="34" t="str">
        <f>IF($L295="","",Data!B294)</f>
        <v/>
      </c>
      <c r="Q295" s="34" t="str">
        <f t="shared" si="51"/>
        <v/>
      </c>
      <c r="R295" s="34" t="str">
        <f t="shared" si="52"/>
        <v/>
      </c>
      <c r="S295" s="70" t="str">
        <f t="shared" si="53"/>
        <v/>
      </c>
    </row>
    <row r="296" spans="1:19" x14ac:dyDescent="0.25">
      <c r="A296" s="34">
        <f t="shared" si="50"/>
        <v>292</v>
      </c>
      <c r="B296" s="34" t="str">
        <f t="shared" si="47"/>
        <v>Sakari Leinonen</v>
      </c>
      <c r="C296" s="34" t="str">
        <f t="shared" si="48"/>
        <v>dns</v>
      </c>
      <c r="D296" s="34" t="str">
        <f t="shared" si="49"/>
        <v>GP4, Sarja 2</v>
      </c>
      <c r="K296" s="34" t="str">
        <f t="shared" si="42"/>
        <v/>
      </c>
      <c r="L296" s="34" t="str">
        <f>IF(Data!$I295="","",Data!I295)</f>
        <v/>
      </c>
      <c r="M296" s="34" t="str">
        <f>IF(Data!$I295="","",IF(Data!J295=0,"dns",Data!J295))</f>
        <v/>
      </c>
      <c r="N296" s="34" t="str">
        <f>IF(Data!$I295="","","GP"&amp;Data!$B295&amp;", "&amp;Data!$J$1)</f>
        <v/>
      </c>
      <c r="O296" s="34" t="str">
        <f t="shared" si="43"/>
        <v/>
      </c>
      <c r="P296" s="34" t="str">
        <f>IF($L296="","",Data!B295)</f>
        <v/>
      </c>
      <c r="Q296" s="34" t="str">
        <f t="shared" si="51"/>
        <v/>
      </c>
      <c r="R296" s="34" t="str">
        <f t="shared" si="52"/>
        <v/>
      </c>
      <c r="S296" s="70" t="str">
        <f t="shared" si="53"/>
        <v/>
      </c>
    </row>
    <row r="297" spans="1:19" x14ac:dyDescent="0.25">
      <c r="A297" s="34">
        <f t="shared" si="50"/>
        <v>293</v>
      </c>
      <c r="B297" s="34" t="str">
        <f t="shared" si="47"/>
        <v>Tatu Erlin</v>
      </c>
      <c r="C297" s="34" t="str">
        <f t="shared" si="48"/>
        <v>dns</v>
      </c>
      <c r="D297" s="34" t="str">
        <f t="shared" si="49"/>
        <v>GP4, Sarja 2</v>
      </c>
      <c r="K297" s="34" t="str">
        <f t="shared" si="42"/>
        <v/>
      </c>
      <c r="L297" s="34" t="str">
        <f>IF(Data!$I296="","",Data!I296)</f>
        <v/>
      </c>
      <c r="M297" s="34" t="str">
        <f>IF(Data!$I296="","",IF(Data!J296=0,"dns",Data!J296))</f>
        <v/>
      </c>
      <c r="N297" s="34" t="str">
        <f>IF(Data!$I296="","","GP"&amp;Data!$B296&amp;", "&amp;Data!$J$1)</f>
        <v/>
      </c>
      <c r="O297" s="34" t="str">
        <f t="shared" si="43"/>
        <v/>
      </c>
      <c r="P297" s="34" t="str">
        <f>IF($L297="","",Data!B296)</f>
        <v/>
      </c>
      <c r="Q297" s="34" t="str">
        <f t="shared" si="51"/>
        <v/>
      </c>
      <c r="R297" s="34" t="str">
        <f t="shared" si="52"/>
        <v/>
      </c>
      <c r="S297" s="70" t="str">
        <f t="shared" si="53"/>
        <v/>
      </c>
    </row>
    <row r="298" spans="1:19" x14ac:dyDescent="0.25">
      <c r="A298" s="34">
        <f t="shared" si="50"/>
        <v>294</v>
      </c>
      <c r="B298" s="34" t="str">
        <f t="shared" si="47"/>
        <v>Frans Hartman</v>
      </c>
      <c r="C298" s="34" t="str">
        <f t="shared" si="48"/>
        <v>dns</v>
      </c>
      <c r="D298" s="34" t="str">
        <f t="shared" si="49"/>
        <v>GP4, Sarja 2</v>
      </c>
      <c r="K298" s="34" t="str">
        <f t="shared" si="42"/>
        <v/>
      </c>
      <c r="L298" s="34" t="str">
        <f>IF(Data!$I297="","",Data!I297)</f>
        <v/>
      </c>
      <c r="M298" s="34" t="str">
        <f>IF(Data!$I297="","",IF(Data!J297=0,"dns",Data!J297))</f>
        <v/>
      </c>
      <c r="N298" s="34" t="str">
        <f>IF(Data!$I297="","","GP"&amp;Data!$B297&amp;", "&amp;Data!$J$1)</f>
        <v/>
      </c>
      <c r="O298" s="34" t="str">
        <f t="shared" si="43"/>
        <v/>
      </c>
      <c r="P298" s="34" t="str">
        <f>IF($L298="","",Data!B297)</f>
        <v/>
      </c>
      <c r="Q298" s="34" t="str">
        <f t="shared" si="51"/>
        <v/>
      </c>
      <c r="R298" s="34" t="str">
        <f t="shared" si="52"/>
        <v/>
      </c>
      <c r="S298" s="70" t="str">
        <f t="shared" si="53"/>
        <v/>
      </c>
    </row>
    <row r="299" spans="1:19" x14ac:dyDescent="0.25">
      <c r="A299" s="34">
        <f t="shared" si="50"/>
        <v>295</v>
      </c>
      <c r="B299" s="34" t="str">
        <f t="shared" si="47"/>
        <v>Roope Warro</v>
      </c>
      <c r="C299" s="34" t="str">
        <f t="shared" si="48"/>
        <v>dns</v>
      </c>
      <c r="D299" s="34" t="str">
        <f t="shared" si="49"/>
        <v>GP5, Sarja 1</v>
      </c>
      <c r="K299" s="34" t="str">
        <f t="shared" si="42"/>
        <v/>
      </c>
      <c r="L299" s="34" t="str">
        <f>IF(Data!$I298="","",Data!I298)</f>
        <v/>
      </c>
      <c r="M299" s="34" t="str">
        <f>IF(Data!$I298="","",IF(Data!J298=0,"dns",Data!J298))</f>
        <v/>
      </c>
      <c r="N299" s="34" t="str">
        <f>IF(Data!$I298="","","GP"&amp;Data!$B298&amp;", "&amp;Data!$J$1)</f>
        <v/>
      </c>
      <c r="O299" s="34" t="str">
        <f t="shared" si="43"/>
        <v/>
      </c>
      <c r="P299" s="34" t="str">
        <f>IF($L299="","",Data!B298)</f>
        <v/>
      </c>
      <c r="Q299" s="34" t="str">
        <f t="shared" si="51"/>
        <v/>
      </c>
      <c r="R299" s="34" t="str">
        <f t="shared" si="52"/>
        <v/>
      </c>
      <c r="S299" s="70" t="str">
        <f t="shared" si="53"/>
        <v/>
      </c>
    </row>
    <row r="300" spans="1:19" x14ac:dyDescent="0.25">
      <c r="A300" s="34">
        <f t="shared" si="50"/>
        <v>296</v>
      </c>
      <c r="B300" s="34" t="str">
        <f t="shared" si="47"/>
        <v>Iiro Riikonen</v>
      </c>
      <c r="C300" s="34" t="str">
        <f t="shared" si="48"/>
        <v>dns</v>
      </c>
      <c r="D300" s="34" t="str">
        <f t="shared" si="49"/>
        <v>GP5, Sarja 1</v>
      </c>
      <c r="K300" s="34" t="str">
        <f t="shared" si="42"/>
        <v/>
      </c>
      <c r="L300" s="34" t="str">
        <f>IF(Data!$I299="","",Data!I299)</f>
        <v/>
      </c>
      <c r="M300" s="34" t="str">
        <f>IF(Data!$I299="","",IF(Data!J299=0,"dns",Data!J299))</f>
        <v/>
      </c>
      <c r="N300" s="34" t="str">
        <f>IF(Data!$I299="","","GP"&amp;Data!$B299&amp;", "&amp;Data!$J$1)</f>
        <v/>
      </c>
      <c r="O300" s="34" t="str">
        <f t="shared" si="43"/>
        <v/>
      </c>
      <c r="P300" s="34" t="str">
        <f>IF($L300="","",Data!B299)</f>
        <v/>
      </c>
      <c r="Q300" s="34" t="str">
        <f t="shared" si="51"/>
        <v/>
      </c>
      <c r="R300" s="34" t="str">
        <f t="shared" si="52"/>
        <v/>
      </c>
      <c r="S300" s="70" t="str">
        <f t="shared" si="53"/>
        <v/>
      </c>
    </row>
    <row r="301" spans="1:19" x14ac:dyDescent="0.25">
      <c r="A301" s="34">
        <f t="shared" si="50"/>
        <v>297</v>
      </c>
      <c r="B301" s="34" t="str">
        <f t="shared" si="47"/>
        <v>Kaleva Latvala</v>
      </c>
      <c r="C301" s="34" t="str">
        <f t="shared" si="48"/>
        <v>dns</v>
      </c>
      <c r="D301" s="34" t="str">
        <f t="shared" si="49"/>
        <v>GP5, Sarja 1</v>
      </c>
      <c r="K301" s="34" t="str">
        <f t="shared" si="42"/>
        <v/>
      </c>
      <c r="L301" s="34" t="str">
        <f>IF(Data!$I300="","",Data!I300)</f>
        <v/>
      </c>
      <c r="M301" s="34" t="str">
        <f>IF(Data!$I300="","",IF(Data!J300=0,"dns",Data!J300))</f>
        <v/>
      </c>
      <c r="N301" s="34" t="str">
        <f>IF(Data!$I300="","","GP"&amp;Data!$B300&amp;", "&amp;Data!$J$1)</f>
        <v/>
      </c>
      <c r="O301" s="34" t="str">
        <f t="shared" si="43"/>
        <v/>
      </c>
      <c r="P301" s="34" t="str">
        <f>IF($L301="","",Data!B300)</f>
        <v/>
      </c>
      <c r="Q301" s="34" t="str">
        <f t="shared" si="51"/>
        <v/>
      </c>
      <c r="R301" s="34" t="str">
        <f t="shared" si="52"/>
        <v/>
      </c>
      <c r="S301" s="70" t="str">
        <f t="shared" si="53"/>
        <v/>
      </c>
    </row>
    <row r="302" spans="1:19" x14ac:dyDescent="0.25">
      <c r="A302" s="34">
        <f t="shared" si="50"/>
        <v>298</v>
      </c>
      <c r="B302" s="34" t="str">
        <f t="shared" si="47"/>
        <v>Mikko Mansikkamäki</v>
      </c>
      <c r="C302" s="34" t="str">
        <f t="shared" si="48"/>
        <v>dns</v>
      </c>
      <c r="D302" s="34" t="str">
        <f t="shared" si="49"/>
        <v>GP5, Sarja 1</v>
      </c>
      <c r="K302" s="34" t="str">
        <f t="shared" si="42"/>
        <v/>
      </c>
      <c r="L302" s="34" t="str">
        <f>IF(Data!$I301="","",Data!I301)</f>
        <v/>
      </c>
      <c r="M302" s="34" t="str">
        <f>IF(Data!$I301="","",IF(Data!J301=0,"dns",Data!J301))</f>
        <v/>
      </c>
      <c r="N302" s="34" t="str">
        <f>IF(Data!$I301="","","GP"&amp;Data!$B301&amp;", "&amp;Data!$J$1)</f>
        <v/>
      </c>
      <c r="O302" s="34" t="str">
        <f t="shared" si="43"/>
        <v/>
      </c>
      <c r="P302" s="34" t="str">
        <f>IF($L302="","",Data!B301)</f>
        <v/>
      </c>
      <c r="Q302" s="34" t="str">
        <f t="shared" si="51"/>
        <v/>
      </c>
      <c r="R302" s="34" t="str">
        <f t="shared" si="52"/>
        <v/>
      </c>
      <c r="S302" s="70" t="str">
        <f t="shared" si="53"/>
        <v/>
      </c>
    </row>
    <row r="303" spans="1:19" x14ac:dyDescent="0.25">
      <c r="A303" s="34">
        <f t="shared" si="50"/>
        <v>299</v>
      </c>
      <c r="B303" s="34" t="str">
        <f t="shared" si="47"/>
        <v>Tatu Erlin</v>
      </c>
      <c r="C303" s="34" t="str">
        <f t="shared" si="48"/>
        <v>dns</v>
      </c>
      <c r="D303" s="34" t="str">
        <f t="shared" si="49"/>
        <v>GP5, Sarja 1</v>
      </c>
      <c r="K303" s="34" t="str">
        <f t="shared" si="42"/>
        <v/>
      </c>
      <c r="L303" s="34" t="str">
        <f>IF(Data!$I302="","",Data!I302)</f>
        <v/>
      </c>
      <c r="M303" s="34" t="str">
        <f>IF(Data!$I302="","",IF(Data!J302=0,"dns",Data!J302))</f>
        <v/>
      </c>
      <c r="N303" s="34" t="str">
        <f>IF(Data!$I302="","","GP"&amp;Data!$B302&amp;", "&amp;Data!$J$1)</f>
        <v/>
      </c>
      <c r="O303" s="34" t="str">
        <f t="shared" si="43"/>
        <v/>
      </c>
      <c r="P303" s="34" t="str">
        <f>IF($L303="","",Data!B302)</f>
        <v/>
      </c>
      <c r="Q303" s="34" t="str">
        <f t="shared" si="51"/>
        <v/>
      </c>
      <c r="R303" s="34" t="str">
        <f t="shared" si="52"/>
        <v/>
      </c>
      <c r="S303" s="70" t="str">
        <f t="shared" si="53"/>
        <v/>
      </c>
    </row>
    <row r="304" spans="1:19" x14ac:dyDescent="0.25">
      <c r="A304" s="34">
        <f t="shared" si="50"/>
        <v>300</v>
      </c>
      <c r="B304" s="34" t="str">
        <f t="shared" si="47"/>
        <v>Frans Hartman</v>
      </c>
      <c r="C304" s="34" t="str">
        <f t="shared" si="48"/>
        <v>dns</v>
      </c>
      <c r="D304" s="34" t="str">
        <f t="shared" si="49"/>
        <v>GP5, Sarja 1</v>
      </c>
      <c r="K304" s="34" t="str">
        <f t="shared" si="42"/>
        <v/>
      </c>
      <c r="L304" s="34" t="str">
        <f>IF(Data!$I303="","",Data!I303)</f>
        <v/>
      </c>
      <c r="M304" s="34" t="str">
        <f>IF(Data!$I303="","",IF(Data!J303=0,"dns",Data!J303))</f>
        <v/>
      </c>
      <c r="N304" s="34" t="str">
        <f>IF(Data!$I303="","","GP"&amp;Data!$B303&amp;", "&amp;Data!$J$1)</f>
        <v/>
      </c>
      <c r="O304" s="34" t="str">
        <f t="shared" si="43"/>
        <v/>
      </c>
      <c r="P304" s="34" t="str">
        <f>IF($L304="","",Data!B303)</f>
        <v/>
      </c>
      <c r="Q304" s="34" t="str">
        <f t="shared" si="51"/>
        <v/>
      </c>
      <c r="R304" s="34" t="str">
        <f t="shared" si="52"/>
        <v/>
      </c>
      <c r="S304" s="70" t="str">
        <f t="shared" si="53"/>
        <v/>
      </c>
    </row>
    <row r="305" spans="1:19" x14ac:dyDescent="0.25">
      <c r="A305" s="34">
        <f t="shared" si="50"/>
        <v>301</v>
      </c>
      <c r="B305" s="34" t="str">
        <f t="shared" si="47"/>
        <v>Roope Warro</v>
      </c>
      <c r="C305" s="34" t="str">
        <f t="shared" si="48"/>
        <v>dns</v>
      </c>
      <c r="D305" s="34" t="str">
        <f t="shared" si="49"/>
        <v>GP5, Sarja 2</v>
      </c>
      <c r="K305" s="34" t="str">
        <f t="shared" si="42"/>
        <v/>
      </c>
      <c r="L305" s="34" t="str">
        <f>IF(Data!$I304="","",Data!I304)</f>
        <v/>
      </c>
      <c r="M305" s="34" t="str">
        <f>IF(Data!$I304="","",IF(Data!J304=0,"dns",Data!J304))</f>
        <v/>
      </c>
      <c r="N305" s="34" t="str">
        <f>IF(Data!$I304="","","GP"&amp;Data!$B304&amp;", "&amp;Data!$J$1)</f>
        <v/>
      </c>
      <c r="O305" s="34" t="str">
        <f t="shared" si="43"/>
        <v/>
      </c>
      <c r="P305" s="34" t="str">
        <f>IF($L305="","",Data!B304)</f>
        <v/>
      </c>
      <c r="Q305" s="34" t="str">
        <f t="shared" si="51"/>
        <v/>
      </c>
      <c r="R305" s="34" t="str">
        <f t="shared" si="52"/>
        <v/>
      </c>
      <c r="S305" s="70" t="str">
        <f t="shared" si="53"/>
        <v/>
      </c>
    </row>
    <row r="306" spans="1:19" x14ac:dyDescent="0.25">
      <c r="A306" s="34">
        <f t="shared" si="50"/>
        <v>302</v>
      </c>
      <c r="B306" s="34" t="str">
        <f t="shared" si="47"/>
        <v>Iiro Riikonen</v>
      </c>
      <c r="C306" s="34" t="str">
        <f t="shared" si="48"/>
        <v>dns</v>
      </c>
      <c r="D306" s="34" t="str">
        <f t="shared" si="49"/>
        <v>GP5, Sarja 2</v>
      </c>
      <c r="K306" s="34" t="str">
        <f t="shared" si="42"/>
        <v/>
      </c>
      <c r="L306" s="34" t="str">
        <f>IF(Data!$I305="","",Data!I305)</f>
        <v/>
      </c>
      <c r="M306" s="34" t="str">
        <f>IF(Data!$I305="","",IF(Data!J305=0,"dns",Data!J305))</f>
        <v/>
      </c>
      <c r="N306" s="34" t="str">
        <f>IF(Data!$I305="","","GP"&amp;Data!$B305&amp;", "&amp;Data!$J$1)</f>
        <v/>
      </c>
      <c r="O306" s="34" t="str">
        <f t="shared" si="43"/>
        <v/>
      </c>
      <c r="P306" s="34" t="str">
        <f>IF($L306="","",Data!B305)</f>
        <v/>
      </c>
      <c r="Q306" s="34" t="str">
        <f t="shared" si="51"/>
        <v/>
      </c>
      <c r="R306" s="34" t="str">
        <f t="shared" si="52"/>
        <v/>
      </c>
      <c r="S306" s="70" t="str">
        <f t="shared" si="53"/>
        <v/>
      </c>
    </row>
    <row r="307" spans="1:19" x14ac:dyDescent="0.25">
      <c r="A307" s="34">
        <f t="shared" si="50"/>
        <v>303</v>
      </c>
      <c r="B307" s="34" t="str">
        <f t="shared" si="47"/>
        <v>Kaleva Latvala</v>
      </c>
      <c r="C307" s="34" t="str">
        <f t="shared" si="48"/>
        <v>dns</v>
      </c>
      <c r="D307" s="34" t="str">
        <f t="shared" si="49"/>
        <v>GP5, Sarja 2</v>
      </c>
      <c r="K307" s="34" t="str">
        <f t="shared" si="42"/>
        <v/>
      </c>
      <c r="L307" s="34" t="str">
        <f>IF(Data!$I306="","",Data!I306)</f>
        <v/>
      </c>
      <c r="M307" s="34" t="str">
        <f>IF(Data!$I306="","",IF(Data!J306=0,"dns",Data!J306))</f>
        <v/>
      </c>
      <c r="N307" s="34" t="str">
        <f>IF(Data!$I306="","","GP"&amp;Data!$B306&amp;", "&amp;Data!$J$1)</f>
        <v/>
      </c>
      <c r="O307" s="34" t="str">
        <f t="shared" si="43"/>
        <v/>
      </c>
      <c r="P307" s="34" t="str">
        <f>IF($L307="","",Data!B306)</f>
        <v/>
      </c>
      <c r="Q307" s="34" t="str">
        <f t="shared" si="51"/>
        <v/>
      </c>
      <c r="R307" s="34" t="str">
        <f t="shared" si="52"/>
        <v/>
      </c>
      <c r="S307" s="70" t="str">
        <f t="shared" si="53"/>
        <v/>
      </c>
    </row>
    <row r="308" spans="1:19" x14ac:dyDescent="0.25">
      <c r="A308" s="34">
        <f t="shared" si="50"/>
        <v>304</v>
      </c>
      <c r="B308" s="34" t="str">
        <f t="shared" si="47"/>
        <v>Mikko Mansikkamäki</v>
      </c>
      <c r="C308" s="34" t="str">
        <f t="shared" si="48"/>
        <v>dns</v>
      </c>
      <c r="D308" s="34" t="str">
        <f t="shared" si="49"/>
        <v>GP5, Sarja 2</v>
      </c>
      <c r="K308" s="34" t="str">
        <f t="shared" si="42"/>
        <v/>
      </c>
      <c r="L308" s="34" t="str">
        <f>IF(Data!$I307="","",Data!I307)</f>
        <v/>
      </c>
      <c r="M308" s="34" t="str">
        <f>IF(Data!$I307="","",IF(Data!J307=0,"dns",Data!J307))</f>
        <v/>
      </c>
      <c r="N308" s="34" t="str">
        <f>IF(Data!$I307="","","GP"&amp;Data!$B307&amp;", "&amp;Data!$J$1)</f>
        <v/>
      </c>
      <c r="O308" s="34" t="str">
        <f t="shared" si="43"/>
        <v/>
      </c>
      <c r="P308" s="34" t="str">
        <f>IF($L308="","",Data!B307)</f>
        <v/>
      </c>
      <c r="Q308" s="34" t="str">
        <f t="shared" si="51"/>
        <v/>
      </c>
      <c r="R308" s="34" t="str">
        <f t="shared" si="52"/>
        <v/>
      </c>
      <c r="S308" s="70" t="str">
        <f t="shared" si="53"/>
        <v/>
      </c>
    </row>
    <row r="309" spans="1:19" x14ac:dyDescent="0.25">
      <c r="A309" s="34">
        <f t="shared" si="50"/>
        <v>305</v>
      </c>
      <c r="B309" s="34" t="str">
        <f t="shared" si="47"/>
        <v>Tatu Erlin</v>
      </c>
      <c r="C309" s="34" t="str">
        <f t="shared" si="48"/>
        <v>dns</v>
      </c>
      <c r="D309" s="34" t="str">
        <f t="shared" si="49"/>
        <v>GP5, Sarja 2</v>
      </c>
      <c r="K309" s="34" t="str">
        <f t="shared" si="42"/>
        <v/>
      </c>
      <c r="L309" s="34" t="str">
        <f>IF(Data!$I308="","",Data!I308)</f>
        <v/>
      </c>
      <c r="M309" s="34" t="str">
        <f>IF(Data!$I308="","",IF(Data!J308=0,"dns",Data!J308))</f>
        <v/>
      </c>
      <c r="N309" s="34" t="str">
        <f>IF(Data!$I308="","","GP"&amp;Data!$B308&amp;", "&amp;Data!$J$1)</f>
        <v/>
      </c>
      <c r="O309" s="34" t="str">
        <f t="shared" si="43"/>
        <v/>
      </c>
      <c r="P309" s="34" t="str">
        <f>IF($L309="","",Data!B308)</f>
        <v/>
      </c>
      <c r="Q309" s="34" t="str">
        <f t="shared" si="51"/>
        <v/>
      </c>
      <c r="R309" s="34" t="str">
        <f t="shared" si="52"/>
        <v/>
      </c>
      <c r="S309" s="70" t="str">
        <f t="shared" si="53"/>
        <v/>
      </c>
    </row>
    <row r="310" spans="1:19" x14ac:dyDescent="0.25">
      <c r="A310" s="34">
        <f t="shared" si="50"/>
        <v>306</v>
      </c>
      <c r="B310" s="34" t="str">
        <f t="shared" si="47"/>
        <v>Frans Hartman</v>
      </c>
      <c r="C310" s="34" t="str">
        <f t="shared" si="48"/>
        <v>dns</v>
      </c>
      <c r="D310" s="34" t="str">
        <f t="shared" si="49"/>
        <v>GP5, Sarja 2</v>
      </c>
      <c r="K310" s="34" t="str">
        <f t="shared" si="42"/>
        <v/>
      </c>
      <c r="L310" s="34" t="str">
        <f>IF(Data!$I309="","",Data!I309)</f>
        <v/>
      </c>
      <c r="M310" s="34" t="str">
        <f>IF(Data!$I309="","",IF(Data!J309=0,"dns",Data!J309))</f>
        <v/>
      </c>
      <c r="N310" s="34" t="str">
        <f>IF(Data!$I309="","","GP"&amp;Data!$B309&amp;", "&amp;Data!$J$1)</f>
        <v/>
      </c>
      <c r="O310" s="34" t="str">
        <f t="shared" si="43"/>
        <v/>
      </c>
      <c r="P310" s="34" t="str">
        <f>IF($L310="","",Data!B309)</f>
        <v/>
      </c>
      <c r="Q310" s="34" t="str">
        <f t="shared" si="51"/>
        <v/>
      </c>
      <c r="R310" s="34" t="str">
        <f t="shared" si="52"/>
        <v/>
      </c>
      <c r="S310" s="70" t="str">
        <f t="shared" si="53"/>
        <v/>
      </c>
    </row>
    <row r="311" spans="1:19" x14ac:dyDescent="0.25">
      <c r="A311" s="34">
        <f t="shared" si="50"/>
        <v>307</v>
      </c>
      <c r="B311" s="34" t="str">
        <f t="shared" si="47"/>
        <v>Ossi Oksa</v>
      </c>
      <c r="C311" s="34" t="str">
        <f t="shared" si="48"/>
        <v>dns</v>
      </c>
      <c r="D311" s="34" t="str">
        <f t="shared" si="49"/>
        <v>GP6, Sarja 1</v>
      </c>
      <c r="K311" s="34" t="str">
        <f t="shared" si="42"/>
        <v/>
      </c>
      <c r="L311" s="34" t="str">
        <f>IF(Data!$I310="","",Data!I310)</f>
        <v/>
      </c>
      <c r="M311" s="34" t="str">
        <f>IF(Data!$I310="","",IF(Data!J310=0,"dns",Data!J310))</f>
        <v/>
      </c>
      <c r="N311" s="34" t="str">
        <f>IF(Data!$I310="","","GP"&amp;Data!$B310&amp;", "&amp;Data!$J$1)</f>
        <v/>
      </c>
      <c r="O311" s="34" t="str">
        <f t="shared" si="43"/>
        <v/>
      </c>
      <c r="P311" s="34" t="str">
        <f>IF($L311="","",Data!B310)</f>
        <v/>
      </c>
      <c r="Q311" s="34" t="str">
        <f t="shared" si="51"/>
        <v/>
      </c>
      <c r="R311" s="34" t="str">
        <f t="shared" si="52"/>
        <v/>
      </c>
      <c r="S311" s="70" t="str">
        <f t="shared" si="53"/>
        <v/>
      </c>
    </row>
    <row r="312" spans="1:19" x14ac:dyDescent="0.25">
      <c r="A312" s="34">
        <f t="shared" si="50"/>
        <v>308</v>
      </c>
      <c r="B312" s="34" t="str">
        <f t="shared" si="47"/>
        <v>Roope Warro</v>
      </c>
      <c r="C312" s="34" t="str">
        <f t="shared" si="48"/>
        <v>dns</v>
      </c>
      <c r="D312" s="34" t="str">
        <f t="shared" si="49"/>
        <v>GP6, Sarja 1</v>
      </c>
      <c r="K312" s="34" t="str">
        <f t="shared" si="42"/>
        <v/>
      </c>
      <c r="L312" s="34" t="str">
        <f>IF(Data!$I311="","",Data!I311)</f>
        <v/>
      </c>
      <c r="M312" s="34" t="str">
        <f>IF(Data!$I311="","",IF(Data!J311=0,"dns",Data!J311))</f>
        <v/>
      </c>
      <c r="N312" s="34" t="str">
        <f>IF(Data!$I311="","","GP"&amp;Data!$B311&amp;", "&amp;Data!$J$1)</f>
        <v/>
      </c>
      <c r="O312" s="34" t="str">
        <f t="shared" si="43"/>
        <v/>
      </c>
      <c r="P312" s="34" t="str">
        <f>IF($L312="","",Data!B311)</f>
        <v/>
      </c>
      <c r="Q312" s="34" t="str">
        <f t="shared" si="51"/>
        <v/>
      </c>
      <c r="R312" s="34" t="str">
        <f t="shared" si="52"/>
        <v/>
      </c>
      <c r="S312" s="70" t="str">
        <f t="shared" si="53"/>
        <v/>
      </c>
    </row>
    <row r="313" spans="1:19" x14ac:dyDescent="0.25">
      <c r="A313" s="34">
        <f t="shared" si="50"/>
        <v>309</v>
      </c>
      <c r="B313" s="34" t="str">
        <f t="shared" si="47"/>
        <v>Miikka Korventausta</v>
      </c>
      <c r="C313" s="34" t="str">
        <f t="shared" si="48"/>
        <v>dns</v>
      </c>
      <c r="D313" s="34" t="str">
        <f t="shared" si="49"/>
        <v>GP6, Sarja 1</v>
      </c>
      <c r="K313" s="34" t="str">
        <f t="shared" si="42"/>
        <v/>
      </c>
      <c r="L313" s="34" t="str">
        <f>IF(Data!$I312="","",Data!I312)</f>
        <v/>
      </c>
      <c r="M313" s="34" t="str">
        <f>IF(Data!$I312="","",IF(Data!J312=0,"dns",Data!J312))</f>
        <v/>
      </c>
      <c r="N313" s="34" t="str">
        <f>IF(Data!$I312="","","GP"&amp;Data!$B312&amp;", "&amp;Data!$J$1)</f>
        <v/>
      </c>
      <c r="O313" s="34" t="str">
        <f t="shared" si="43"/>
        <v/>
      </c>
      <c r="P313" s="34" t="str">
        <f>IF($L313="","",Data!B312)</f>
        <v/>
      </c>
      <c r="Q313" s="34" t="str">
        <f t="shared" si="51"/>
        <v/>
      </c>
      <c r="R313" s="34" t="str">
        <f t="shared" si="52"/>
        <v/>
      </c>
      <c r="S313" s="70" t="str">
        <f t="shared" si="53"/>
        <v/>
      </c>
    </row>
    <row r="314" spans="1:19" x14ac:dyDescent="0.25">
      <c r="A314" s="34">
        <f t="shared" si="50"/>
        <v>310</v>
      </c>
      <c r="B314" s="34" t="str">
        <f t="shared" si="47"/>
        <v>Ossi Oksa</v>
      </c>
      <c r="C314" s="34" t="str">
        <f t="shared" si="48"/>
        <v>dns</v>
      </c>
      <c r="D314" s="34" t="str">
        <f t="shared" si="49"/>
        <v>GP6, Sarja 2</v>
      </c>
      <c r="K314" s="34" t="str">
        <f t="shared" si="42"/>
        <v/>
      </c>
      <c r="L314" s="34" t="str">
        <f>IF(Data!$I313="","",Data!I313)</f>
        <v/>
      </c>
      <c r="M314" s="34" t="str">
        <f>IF(Data!$I313="","",IF(Data!J313=0,"dns",Data!J313))</f>
        <v/>
      </c>
      <c r="N314" s="34" t="str">
        <f>IF(Data!$I313="","","GP"&amp;Data!$B313&amp;", "&amp;Data!$J$1)</f>
        <v/>
      </c>
      <c r="O314" s="34" t="str">
        <f t="shared" si="43"/>
        <v/>
      </c>
      <c r="P314" s="34" t="str">
        <f>IF($L314="","",Data!B313)</f>
        <v/>
      </c>
      <c r="Q314" s="34" t="str">
        <f t="shared" si="51"/>
        <v/>
      </c>
      <c r="R314" s="34" t="str">
        <f t="shared" si="52"/>
        <v/>
      </c>
      <c r="S314" s="70" t="str">
        <f t="shared" si="53"/>
        <v/>
      </c>
    </row>
    <row r="315" spans="1:19" x14ac:dyDescent="0.25">
      <c r="A315" s="34">
        <f t="shared" si="50"/>
        <v>311</v>
      </c>
      <c r="B315" s="34" t="str">
        <f t="shared" si="47"/>
        <v>Roope Warro</v>
      </c>
      <c r="C315" s="34" t="str">
        <f t="shared" si="48"/>
        <v>dns</v>
      </c>
      <c r="D315" s="34" t="str">
        <f t="shared" si="49"/>
        <v>GP6, Sarja 2</v>
      </c>
      <c r="K315" s="34">
        <f t="shared" si="42"/>
        <v>201</v>
      </c>
      <c r="L315" s="34" t="str">
        <f>IF(Data!$I2="","",Data!I2)</f>
        <v>Henri Verho</v>
      </c>
      <c r="M315" s="34">
        <f>IF(Data!$I2="","",IF(Data!K2=0,"dns",Data!K2))</f>
        <v>111</v>
      </c>
      <c r="N315" s="34" t="str">
        <f>IF(Data!$I2="","","GP"&amp;Data!$B2&amp;", "&amp;Data!$K$1)</f>
        <v>GP1, Sarja 2</v>
      </c>
      <c r="O315" s="34">
        <f t="shared" si="43"/>
        <v>201</v>
      </c>
      <c r="P315" s="34">
        <f>IF($L315="","",Data!B2)</f>
        <v>1</v>
      </c>
      <c r="Q315" s="34" t="str">
        <f t="shared" si="51"/>
        <v>2</v>
      </c>
      <c r="R315" s="34">
        <f t="shared" si="52"/>
        <v>315</v>
      </c>
      <c r="S315" s="70">
        <f t="shared" si="53"/>
        <v>0.20101231500000002</v>
      </c>
    </row>
    <row r="316" spans="1:19" x14ac:dyDescent="0.25">
      <c r="A316" s="34">
        <f t="shared" si="50"/>
        <v>312</v>
      </c>
      <c r="B316" s="34" t="str">
        <f t="shared" si="47"/>
        <v>Miikka Korventausta</v>
      </c>
      <c r="C316" s="34" t="str">
        <f t="shared" si="48"/>
        <v>dns</v>
      </c>
      <c r="D316" s="34" t="str">
        <f t="shared" si="49"/>
        <v>GP6, Sarja 2</v>
      </c>
      <c r="K316" s="34">
        <f t="shared" si="42"/>
        <v>243</v>
      </c>
      <c r="L316" s="34" t="str">
        <f>IF(Data!$I3="","",Data!I3)</f>
        <v>Niko Reunanen</v>
      </c>
      <c r="M316" s="34">
        <f>IF(Data!$I3="","",IF(Data!K3=0,"dns",Data!K3))</f>
        <v>87</v>
      </c>
      <c r="N316" s="34" t="str">
        <f>IF(Data!$I3="","","GP"&amp;Data!$B3&amp;", "&amp;Data!$K$1)</f>
        <v>GP1, Sarja 2</v>
      </c>
      <c r="O316" s="34">
        <f t="shared" si="43"/>
        <v>243</v>
      </c>
      <c r="P316" s="34">
        <f>IF($L316="","",Data!B3)</f>
        <v>1</v>
      </c>
      <c r="Q316" s="34" t="str">
        <f t="shared" ref="Q316:Q379" si="54">IF($L316="","",RIGHT(N316,1))</f>
        <v>2</v>
      </c>
      <c r="R316" s="34">
        <f t="shared" si="52"/>
        <v>316</v>
      </c>
      <c r="S316" s="70">
        <f t="shared" ref="S316:S379" si="55">IF($L316="","",O316/1000+P316/100000+Q316/1000000+R316/1000000000)</f>
        <v>0.24301231600000001</v>
      </c>
    </row>
    <row r="317" spans="1:19" x14ac:dyDescent="0.25">
      <c r="A317" s="34">
        <f t="shared" si="50"/>
        <v>313</v>
      </c>
      <c r="B317" s="34" t="str">
        <f t="shared" si="47"/>
        <v>Iiro Riikonen</v>
      </c>
      <c r="C317" s="34" t="str">
        <f t="shared" si="48"/>
        <v>dns</v>
      </c>
      <c r="D317" s="34" t="str">
        <f t="shared" si="49"/>
        <v>GP7, Sarja 1</v>
      </c>
      <c r="K317" s="34">
        <f t="shared" si="42"/>
        <v>132</v>
      </c>
      <c r="L317" s="34" t="str">
        <f>IF(Data!$I4="","",Data!I4)</f>
        <v>Tatu Erlin</v>
      </c>
      <c r="M317" s="34">
        <f>IF(Data!$I4="","",IF(Data!K4=0,"dns",Data!K4))</f>
        <v>129</v>
      </c>
      <c r="N317" s="34" t="str">
        <f>IF(Data!$I4="","","GP"&amp;Data!$B4&amp;", "&amp;Data!$K$1)</f>
        <v>GP1, Sarja 2</v>
      </c>
      <c r="O317" s="34">
        <f t="shared" si="43"/>
        <v>132</v>
      </c>
      <c r="P317" s="34">
        <f>IF($L317="","",Data!B4)</f>
        <v>1</v>
      </c>
      <c r="Q317" s="34" t="str">
        <f t="shared" si="54"/>
        <v>2</v>
      </c>
      <c r="R317" s="34">
        <f t="shared" si="52"/>
        <v>317</v>
      </c>
      <c r="S317" s="70">
        <f t="shared" si="55"/>
        <v>0.13201231700000002</v>
      </c>
    </row>
    <row r="318" spans="1:19" x14ac:dyDescent="0.25">
      <c r="A318" s="34">
        <f t="shared" si="50"/>
        <v>314</v>
      </c>
      <c r="B318" s="34" t="str">
        <f t="shared" si="47"/>
        <v>Frans Hartman</v>
      </c>
      <c r="C318" s="34" t="str">
        <f t="shared" si="48"/>
        <v>dns</v>
      </c>
      <c r="D318" s="34" t="str">
        <f t="shared" si="49"/>
        <v>GP7, Sarja 1</v>
      </c>
      <c r="K318" s="34">
        <f t="shared" si="42"/>
        <v>94</v>
      </c>
      <c r="L318" s="34" t="str">
        <f>IF(Data!$I5="","",Data!I5)</f>
        <v>Kaleva Latvala</v>
      </c>
      <c r="M318" s="34">
        <f>IF(Data!$I5="","",IF(Data!K5=0,"dns",Data!K5))</f>
        <v>141</v>
      </c>
      <c r="N318" s="34" t="str">
        <f>IF(Data!$I5="","","GP"&amp;Data!$B5&amp;", "&amp;Data!$K$1)</f>
        <v>GP1, Sarja 2</v>
      </c>
      <c r="O318" s="34">
        <f t="shared" si="43"/>
        <v>94</v>
      </c>
      <c r="P318" s="34">
        <f>IF($L318="","",Data!B5)</f>
        <v>1</v>
      </c>
      <c r="Q318" s="34" t="str">
        <f t="shared" si="54"/>
        <v>2</v>
      </c>
      <c r="R318" s="34">
        <f t="shared" si="52"/>
        <v>318</v>
      </c>
      <c r="S318" s="70">
        <f t="shared" si="55"/>
        <v>9.4012317999999997E-2</v>
      </c>
    </row>
    <row r="319" spans="1:19" x14ac:dyDescent="0.25">
      <c r="A319" s="34">
        <f t="shared" si="50"/>
        <v>315</v>
      </c>
      <c r="B319" s="34" t="str">
        <f t="shared" si="47"/>
        <v>Kaleva Latvala</v>
      </c>
      <c r="C319" s="34" t="str">
        <f t="shared" si="48"/>
        <v>dns</v>
      </c>
      <c r="D319" s="34" t="str">
        <f t="shared" si="49"/>
        <v>GP7, Sarja 1</v>
      </c>
      <c r="K319" s="34">
        <f t="shared" si="42"/>
        <v>250</v>
      </c>
      <c r="L319" s="34" t="str">
        <f>IF(Data!$I6="","",Data!I6)</f>
        <v>Miikka Korventausta</v>
      </c>
      <c r="M319" s="34">
        <f>IF(Data!$I6="","",IF(Data!K6=0,"dns",Data!K6))</f>
        <v>73</v>
      </c>
      <c r="N319" s="34" t="str">
        <f>IF(Data!$I6="","","GP"&amp;Data!$B6&amp;", "&amp;Data!$K$1)</f>
        <v>GP1, Sarja 2</v>
      </c>
      <c r="O319" s="34">
        <f t="shared" si="43"/>
        <v>249</v>
      </c>
      <c r="P319" s="34">
        <f>IF($L319="","",Data!B6)</f>
        <v>1</v>
      </c>
      <c r="Q319" s="34" t="str">
        <f t="shared" si="54"/>
        <v>2</v>
      </c>
      <c r="R319" s="34">
        <f t="shared" si="52"/>
        <v>319</v>
      </c>
      <c r="S319" s="70">
        <f t="shared" si="55"/>
        <v>0.24901231900000001</v>
      </c>
    </row>
    <row r="320" spans="1:19" x14ac:dyDescent="0.25">
      <c r="A320" s="34">
        <f t="shared" si="50"/>
        <v>316</v>
      </c>
      <c r="B320" s="34" t="str">
        <f t="shared" si="47"/>
        <v>Mikko Mansikkamäki</v>
      </c>
      <c r="C320" s="34" t="str">
        <f t="shared" si="48"/>
        <v>dns</v>
      </c>
      <c r="D320" s="34" t="str">
        <f t="shared" si="49"/>
        <v>GP7, Sarja 1</v>
      </c>
      <c r="K320" s="34">
        <f t="shared" si="42"/>
        <v>206</v>
      </c>
      <c r="L320" s="34" t="str">
        <f>IF(Data!$I7="","",Data!I7)</f>
        <v>Sakari Leinonen</v>
      </c>
      <c r="M320" s="34">
        <f>IF(Data!$I7="","",IF(Data!K7=0,"dns",Data!K7))</f>
        <v>110</v>
      </c>
      <c r="N320" s="34" t="str">
        <f>IF(Data!$I7="","","GP"&amp;Data!$B7&amp;", "&amp;Data!$K$1)</f>
        <v>GP1, Sarja 2</v>
      </c>
      <c r="O320" s="34">
        <f t="shared" si="43"/>
        <v>206</v>
      </c>
      <c r="P320" s="34">
        <f>IF($L320="","",Data!B7)</f>
        <v>1</v>
      </c>
      <c r="Q320" s="34" t="str">
        <f t="shared" si="54"/>
        <v>2</v>
      </c>
      <c r="R320" s="34">
        <f t="shared" si="52"/>
        <v>320</v>
      </c>
      <c r="S320" s="70">
        <f t="shared" si="55"/>
        <v>0.20601232</v>
      </c>
    </row>
    <row r="321" spans="1:19" x14ac:dyDescent="0.25">
      <c r="A321" s="34">
        <f t="shared" si="50"/>
        <v>317</v>
      </c>
      <c r="B321" s="34" t="str">
        <f t="shared" si="47"/>
        <v>Sakari Leinonen</v>
      </c>
      <c r="C321" s="34" t="str">
        <f t="shared" si="48"/>
        <v>dns</v>
      </c>
      <c r="D321" s="34" t="str">
        <f t="shared" si="49"/>
        <v>GP7, Sarja 1</v>
      </c>
      <c r="K321" s="34">
        <f t="shared" si="42"/>
        <v>202</v>
      </c>
      <c r="L321" s="34" t="str">
        <f>IF(Data!$I8="","",Data!I8)</f>
        <v>Frans Hartman</v>
      </c>
      <c r="M321" s="34">
        <f>IF(Data!$I8="","",IF(Data!K8=0,"dns",Data!K8))</f>
        <v>111</v>
      </c>
      <c r="N321" s="34" t="str">
        <f>IF(Data!$I8="","","GP"&amp;Data!$B8&amp;", "&amp;Data!$K$1)</f>
        <v>GP1, Sarja 2</v>
      </c>
      <c r="O321" s="34">
        <f t="shared" si="43"/>
        <v>201</v>
      </c>
      <c r="P321" s="34">
        <f>IF($L321="","",Data!B8)</f>
        <v>1</v>
      </c>
      <c r="Q321" s="34" t="str">
        <f t="shared" si="54"/>
        <v>2</v>
      </c>
      <c r="R321" s="34">
        <f t="shared" si="52"/>
        <v>321</v>
      </c>
      <c r="S321" s="70">
        <f t="shared" si="55"/>
        <v>0.20101232100000002</v>
      </c>
    </row>
    <row r="322" spans="1:19" x14ac:dyDescent="0.25">
      <c r="A322" s="34">
        <f t="shared" si="50"/>
        <v>318</v>
      </c>
      <c r="B322" s="34" t="str">
        <f t="shared" si="47"/>
        <v>Roope Warro</v>
      </c>
      <c r="C322" s="34" t="str">
        <f t="shared" si="48"/>
        <v>dns</v>
      </c>
      <c r="D322" s="34" t="str">
        <f t="shared" si="49"/>
        <v>GP7, Sarja 1</v>
      </c>
      <c r="K322" s="34">
        <f t="shared" si="42"/>
        <v>233</v>
      </c>
      <c r="L322" s="34" t="str">
        <f>IF(Data!$I9="","",Data!I9)</f>
        <v>Jami Kallio</v>
      </c>
      <c r="M322" s="34">
        <f>IF(Data!$I9="","",IF(Data!K9=0,"dns",Data!K9))</f>
        <v>97</v>
      </c>
      <c r="N322" s="34" t="str">
        <f>IF(Data!$I9="","","GP"&amp;Data!$B9&amp;", "&amp;Data!$K$1)</f>
        <v>GP1, Sarja 2</v>
      </c>
      <c r="O322" s="34">
        <f t="shared" si="43"/>
        <v>233</v>
      </c>
      <c r="P322" s="34">
        <f>IF($L322="","",Data!B9)</f>
        <v>1</v>
      </c>
      <c r="Q322" s="34" t="str">
        <f t="shared" si="54"/>
        <v>2</v>
      </c>
      <c r="R322" s="34">
        <f t="shared" si="52"/>
        <v>322</v>
      </c>
      <c r="S322" s="70">
        <f t="shared" si="55"/>
        <v>0.23301232200000002</v>
      </c>
    </row>
    <row r="323" spans="1:19" x14ac:dyDescent="0.25">
      <c r="A323" s="34">
        <f t="shared" si="50"/>
        <v>319</v>
      </c>
      <c r="B323" s="34" t="str">
        <f t="shared" si="47"/>
        <v>Tatu Erlin</v>
      </c>
      <c r="C323" s="34" t="str">
        <f t="shared" si="48"/>
        <v>dns</v>
      </c>
      <c r="D323" s="34" t="str">
        <f t="shared" si="49"/>
        <v>GP7, Sarja 1</v>
      </c>
      <c r="K323" s="34">
        <f t="shared" si="42"/>
        <v>203</v>
      </c>
      <c r="L323" s="34" t="str">
        <f>IF(Data!$I10="","",Data!I10)</f>
        <v>Ossi Oksa</v>
      </c>
      <c r="M323" s="34">
        <f>IF(Data!$I10="","",IF(Data!K10=0,"dns",Data!K10))</f>
        <v>111</v>
      </c>
      <c r="N323" s="34" t="str">
        <f>IF(Data!$I10="","","GP"&amp;Data!$B10&amp;", "&amp;Data!$K$1)</f>
        <v>GP1, Sarja 2</v>
      </c>
      <c r="O323" s="34">
        <f t="shared" si="43"/>
        <v>201</v>
      </c>
      <c r="P323" s="34">
        <f>IF($L323="","",Data!B10)</f>
        <v>1</v>
      </c>
      <c r="Q323" s="34" t="str">
        <f t="shared" si="54"/>
        <v>2</v>
      </c>
      <c r="R323" s="34">
        <f t="shared" si="52"/>
        <v>323</v>
      </c>
      <c r="S323" s="70">
        <f t="shared" si="55"/>
        <v>0.20101232300000002</v>
      </c>
    </row>
    <row r="324" spans="1:19" x14ac:dyDescent="0.25">
      <c r="A324" s="34">
        <f t="shared" si="50"/>
        <v>320</v>
      </c>
      <c r="B324" s="34" t="str">
        <f t="shared" si="47"/>
        <v>Iiro Riikonen</v>
      </c>
      <c r="C324" s="34" t="str">
        <f t="shared" si="48"/>
        <v>dns</v>
      </c>
      <c r="D324" s="34" t="str">
        <f t="shared" si="49"/>
        <v>GP7, Sarja 2</v>
      </c>
      <c r="K324" s="34">
        <f t="shared" ref="K324:K387" si="56">IF($L324="","",_xlfn.RANK.EQ($S324,$S$3:$S$626,1))</f>
        <v>141</v>
      </c>
      <c r="L324" s="34" t="str">
        <f>IF(Data!$I11="","",Data!I11)</f>
        <v>Mika Sola</v>
      </c>
      <c r="M324" s="34">
        <f>IF(Data!$I11="","",IF(Data!K11=0,"dns",Data!K11))</f>
        <v>127</v>
      </c>
      <c r="N324" s="34" t="str">
        <f>IF(Data!$I11="","","GP"&amp;Data!$B11&amp;", "&amp;Data!$K$1)</f>
        <v>GP1, Sarja 2</v>
      </c>
      <c r="O324" s="34">
        <f t="shared" ref="O324:O387" si="57">IF(L324="","",IFERROR(_xlfn.RANK.EQ($M324,$M$3:$M$626,0),COUNTA($L$3:$L$626)+1))</f>
        <v>141</v>
      </c>
      <c r="P324" s="34">
        <f>IF($L324="","",Data!B11)</f>
        <v>1</v>
      </c>
      <c r="Q324" s="34" t="str">
        <f t="shared" si="54"/>
        <v>2</v>
      </c>
      <c r="R324" s="34">
        <f t="shared" ref="R324:R387" si="58">IF($L324="","",ROW())</f>
        <v>324</v>
      </c>
      <c r="S324" s="70">
        <f t="shared" si="55"/>
        <v>0.14101232399999999</v>
      </c>
    </row>
    <row r="325" spans="1:19" x14ac:dyDescent="0.25">
      <c r="A325" s="34">
        <f t="shared" si="50"/>
        <v>321</v>
      </c>
      <c r="B325" s="34" t="str">
        <f t="shared" ref="B325:B388" si="59">IF($A325="","",VLOOKUP($A325,$K$3:$N$626,L$1,0))</f>
        <v>Frans Hartman</v>
      </c>
      <c r="C325" s="34" t="str">
        <f t="shared" ref="C325:C388" si="60">IF($A325="","",VLOOKUP($A325,$K$3:$N$626,M$1,0))</f>
        <v>dns</v>
      </c>
      <c r="D325" s="34" t="str">
        <f t="shared" ref="D325:D388" si="61">IF($A325="","",VLOOKUP($A325,$K$3:$N$626,N$1,0))</f>
        <v>GP7, Sarja 2</v>
      </c>
      <c r="K325" s="34">
        <f t="shared" si="56"/>
        <v>121</v>
      </c>
      <c r="L325" s="34" t="str">
        <f>IF(Data!$I12="","",Data!I12)</f>
        <v>Roope Warro</v>
      </c>
      <c r="M325" s="34">
        <f>IF(Data!$I12="","",IF(Data!K12=0,"dns",Data!K12))</f>
        <v>131</v>
      </c>
      <c r="N325" s="34" t="str">
        <f>IF(Data!$I12="","","GP"&amp;Data!$B12&amp;", "&amp;Data!$K$1)</f>
        <v>GP1, Sarja 2</v>
      </c>
      <c r="O325" s="34">
        <f t="shared" si="57"/>
        <v>121</v>
      </c>
      <c r="P325" s="34">
        <f>IF($L325="","",Data!B12)</f>
        <v>1</v>
      </c>
      <c r="Q325" s="34" t="str">
        <f t="shared" si="54"/>
        <v>2</v>
      </c>
      <c r="R325" s="34">
        <f t="shared" si="58"/>
        <v>325</v>
      </c>
      <c r="S325" s="70">
        <f t="shared" si="55"/>
        <v>0.12101232499999999</v>
      </c>
    </row>
    <row r="326" spans="1:19" x14ac:dyDescent="0.25">
      <c r="A326" s="34">
        <f t="shared" ref="A326:A389" si="62">IFERROR(IF(A325+1&gt;MAX($K$3:$K$626),"",A325+1),"")</f>
        <v>322</v>
      </c>
      <c r="B326" s="34" t="str">
        <f t="shared" si="59"/>
        <v>Kaleva Latvala</v>
      </c>
      <c r="C326" s="34" t="str">
        <f t="shared" si="60"/>
        <v>dns</v>
      </c>
      <c r="D326" s="34" t="str">
        <f t="shared" si="61"/>
        <v>GP7, Sarja 2</v>
      </c>
      <c r="K326" s="34">
        <f t="shared" si="56"/>
        <v>260</v>
      </c>
      <c r="L326" s="34" t="str">
        <f>IF(Data!$I13="","",Data!I13)</f>
        <v>Joonas Ollonqvist</v>
      </c>
      <c r="M326" s="34" t="str">
        <f>IF(Data!$I13="","",IF(Data!K13=0,"dns",Data!K13))</f>
        <v>dns</v>
      </c>
      <c r="N326" s="34" t="str">
        <f>IF(Data!$I13="","","GP"&amp;Data!$B13&amp;", "&amp;Data!$K$1)</f>
        <v>GP1, Sarja 2</v>
      </c>
      <c r="O326" s="34">
        <f t="shared" si="57"/>
        <v>625</v>
      </c>
      <c r="P326" s="34">
        <f>IF($L326="","",Data!B13)</f>
        <v>1</v>
      </c>
      <c r="Q326" s="34" t="str">
        <f t="shared" si="54"/>
        <v>2</v>
      </c>
      <c r="R326" s="34">
        <f t="shared" si="58"/>
        <v>326</v>
      </c>
      <c r="S326" s="70">
        <f t="shared" si="55"/>
        <v>0.6250123259999999</v>
      </c>
    </row>
    <row r="327" spans="1:19" x14ac:dyDescent="0.25">
      <c r="A327" s="34">
        <f t="shared" si="62"/>
        <v>323</v>
      </c>
      <c r="B327" s="34" t="str">
        <f t="shared" si="59"/>
        <v>Mikko Mansikkamäki</v>
      </c>
      <c r="C327" s="34" t="str">
        <f t="shared" si="60"/>
        <v>dns</v>
      </c>
      <c r="D327" s="34" t="str">
        <f t="shared" si="61"/>
        <v>GP7, Sarja 2</v>
      </c>
      <c r="K327" s="34">
        <f t="shared" si="56"/>
        <v>261</v>
      </c>
      <c r="L327" s="34" t="str">
        <f>IF(Data!$I14="","",Data!I14)</f>
        <v>Miika Nordblad</v>
      </c>
      <c r="M327" s="34" t="str">
        <f>IF(Data!$I14="","",IF(Data!K14=0,"dns",Data!K14))</f>
        <v>dns</v>
      </c>
      <c r="N327" s="34" t="str">
        <f>IF(Data!$I14="","","GP"&amp;Data!$B14&amp;", "&amp;Data!$K$1)</f>
        <v>GP1, Sarja 2</v>
      </c>
      <c r="O327" s="34">
        <f t="shared" si="57"/>
        <v>625</v>
      </c>
      <c r="P327" s="34">
        <f>IF($L327="","",Data!B14)</f>
        <v>1</v>
      </c>
      <c r="Q327" s="34" t="str">
        <f t="shared" si="54"/>
        <v>2</v>
      </c>
      <c r="R327" s="34">
        <f t="shared" si="58"/>
        <v>327</v>
      </c>
      <c r="S327" s="70">
        <f t="shared" si="55"/>
        <v>0.62501232699999987</v>
      </c>
    </row>
    <row r="328" spans="1:19" x14ac:dyDescent="0.25">
      <c r="A328" s="34">
        <f t="shared" si="62"/>
        <v>324</v>
      </c>
      <c r="B328" s="34" t="str">
        <f t="shared" si="59"/>
        <v>Sakari Leinonen</v>
      </c>
      <c r="C328" s="34" t="str">
        <f t="shared" si="60"/>
        <v>dns</v>
      </c>
      <c r="D328" s="34" t="str">
        <f t="shared" si="61"/>
        <v>GP7, Sarja 2</v>
      </c>
      <c r="K328" s="34">
        <f t="shared" si="56"/>
        <v>262</v>
      </c>
      <c r="L328" s="34" t="str">
        <f>IF(Data!$I15="","",Data!I15)</f>
        <v>Juho Korpi</v>
      </c>
      <c r="M328" s="34" t="str">
        <f>IF(Data!$I15="","",IF(Data!K15=0,"dns",Data!K15))</f>
        <v>dns</v>
      </c>
      <c r="N328" s="34" t="str">
        <f>IF(Data!$I15="","","GP"&amp;Data!$B15&amp;", "&amp;Data!$K$1)</f>
        <v>GP1, Sarja 2</v>
      </c>
      <c r="O328" s="34">
        <f t="shared" si="57"/>
        <v>625</v>
      </c>
      <c r="P328" s="34">
        <f>IF($L328="","",Data!B15)</f>
        <v>1</v>
      </c>
      <c r="Q328" s="34" t="str">
        <f t="shared" si="54"/>
        <v>2</v>
      </c>
      <c r="R328" s="34">
        <f t="shared" si="58"/>
        <v>328</v>
      </c>
      <c r="S328" s="70">
        <f t="shared" si="55"/>
        <v>0.62501232799999995</v>
      </c>
    </row>
    <row r="329" spans="1:19" x14ac:dyDescent="0.25">
      <c r="A329" s="34">
        <f t="shared" si="62"/>
        <v>325</v>
      </c>
      <c r="B329" s="34" t="str">
        <f t="shared" si="59"/>
        <v>Roope Warro</v>
      </c>
      <c r="C329" s="34" t="str">
        <f t="shared" si="60"/>
        <v>dns</v>
      </c>
      <c r="D329" s="34" t="str">
        <f t="shared" si="61"/>
        <v>GP7, Sarja 2</v>
      </c>
      <c r="K329" s="34">
        <f t="shared" si="56"/>
        <v>263</v>
      </c>
      <c r="L329" s="34" t="str">
        <f>IF(Data!$I16="","",Data!I16)</f>
        <v>Asko Haaksi</v>
      </c>
      <c r="M329" s="34" t="str">
        <f>IF(Data!$I16="","",IF(Data!K16=0,"dns",Data!K16))</f>
        <v>dns</v>
      </c>
      <c r="N329" s="34" t="str">
        <f>IF(Data!$I16="","","GP"&amp;Data!$B16&amp;", "&amp;Data!$K$1)</f>
        <v>GP1, Sarja 2</v>
      </c>
      <c r="O329" s="34">
        <f t="shared" si="57"/>
        <v>625</v>
      </c>
      <c r="P329" s="34">
        <f>IF($L329="","",Data!B16)</f>
        <v>1</v>
      </c>
      <c r="Q329" s="34" t="str">
        <f t="shared" si="54"/>
        <v>2</v>
      </c>
      <c r="R329" s="34">
        <f t="shared" si="58"/>
        <v>329</v>
      </c>
      <c r="S329" s="70">
        <f t="shared" si="55"/>
        <v>0.62501232899999992</v>
      </c>
    </row>
    <row r="330" spans="1:19" x14ac:dyDescent="0.25">
      <c r="A330" s="34">
        <f t="shared" si="62"/>
        <v>326</v>
      </c>
      <c r="B330" s="34" t="str">
        <f t="shared" si="59"/>
        <v>Tatu Erlin</v>
      </c>
      <c r="C330" s="34" t="str">
        <f t="shared" si="60"/>
        <v>dns</v>
      </c>
      <c r="D330" s="34" t="str">
        <f t="shared" si="61"/>
        <v>GP7, Sarja 2</v>
      </c>
      <c r="K330" s="34">
        <f t="shared" si="56"/>
        <v>264</v>
      </c>
      <c r="L330" s="34" t="str">
        <f>IF(Data!$I17="","",Data!I17)</f>
        <v>Iiro Riikonen</v>
      </c>
      <c r="M330" s="34" t="str">
        <f>IF(Data!$I17="","",IF(Data!K17=0,"dns",Data!K17))</f>
        <v>dns</v>
      </c>
      <c r="N330" s="34" t="str">
        <f>IF(Data!$I17="","","GP"&amp;Data!$B17&amp;", "&amp;Data!$K$1)</f>
        <v>GP1, Sarja 2</v>
      </c>
      <c r="O330" s="34">
        <f t="shared" si="57"/>
        <v>625</v>
      </c>
      <c r="P330" s="34">
        <f>IF($L330="","",Data!B17)</f>
        <v>1</v>
      </c>
      <c r="Q330" s="34" t="str">
        <f t="shared" si="54"/>
        <v>2</v>
      </c>
      <c r="R330" s="34">
        <f t="shared" si="58"/>
        <v>330</v>
      </c>
      <c r="S330" s="70">
        <f t="shared" si="55"/>
        <v>0.62501232999999989</v>
      </c>
    </row>
    <row r="331" spans="1:19" x14ac:dyDescent="0.25">
      <c r="A331" s="34">
        <f t="shared" si="62"/>
        <v>327</v>
      </c>
      <c r="B331" s="34" t="str">
        <f t="shared" si="59"/>
        <v>Olli Kajava</v>
      </c>
      <c r="C331" s="34" t="str">
        <f t="shared" si="60"/>
        <v>dns</v>
      </c>
      <c r="D331" s="34" t="str">
        <f t="shared" si="61"/>
        <v>GP8, Sarja 1</v>
      </c>
      <c r="K331" s="34">
        <f t="shared" si="56"/>
        <v>265</v>
      </c>
      <c r="L331" s="34" t="str">
        <f>IF(Data!$I18="","",Data!I18)</f>
        <v>Olli Kajava</v>
      </c>
      <c r="M331" s="34" t="str">
        <f>IF(Data!$I18="","",IF(Data!K18=0,"dns",Data!K18))</f>
        <v>dns</v>
      </c>
      <c r="N331" s="34" t="str">
        <f>IF(Data!$I18="","","GP"&amp;Data!$B18&amp;", "&amp;Data!$K$1)</f>
        <v>GP1, Sarja 2</v>
      </c>
      <c r="O331" s="34">
        <f t="shared" si="57"/>
        <v>625</v>
      </c>
      <c r="P331" s="34">
        <f>IF($L331="","",Data!B18)</f>
        <v>1</v>
      </c>
      <c r="Q331" s="34" t="str">
        <f t="shared" si="54"/>
        <v>2</v>
      </c>
      <c r="R331" s="34">
        <f t="shared" si="58"/>
        <v>331</v>
      </c>
      <c r="S331" s="70">
        <f t="shared" si="55"/>
        <v>0.62501233099999987</v>
      </c>
    </row>
    <row r="332" spans="1:19" x14ac:dyDescent="0.25">
      <c r="A332" s="34">
        <f t="shared" si="62"/>
        <v>328</v>
      </c>
      <c r="B332" s="34" t="str">
        <f t="shared" si="59"/>
        <v>Frans Hartman</v>
      </c>
      <c r="C332" s="34" t="str">
        <f t="shared" si="60"/>
        <v>dns</v>
      </c>
      <c r="D332" s="34" t="str">
        <f t="shared" si="61"/>
        <v>GP8, Sarja 1</v>
      </c>
      <c r="K332" s="34">
        <f t="shared" si="56"/>
        <v>266</v>
      </c>
      <c r="L332" s="34" t="str">
        <f>IF(Data!$I19="","",Data!I19)</f>
        <v>Mikko Mansikkamäki</v>
      </c>
      <c r="M332" s="34" t="str">
        <f>IF(Data!$I19="","",IF(Data!K19=0,"dns",Data!K19))</f>
        <v>dns</v>
      </c>
      <c r="N332" s="34" t="str">
        <f>IF(Data!$I19="","","GP"&amp;Data!$B19&amp;", "&amp;Data!$K$1)</f>
        <v>GP1, Sarja 2</v>
      </c>
      <c r="O332" s="34">
        <f t="shared" si="57"/>
        <v>625</v>
      </c>
      <c r="P332" s="34">
        <f>IF($L332="","",Data!B19)</f>
        <v>1</v>
      </c>
      <c r="Q332" s="34" t="str">
        <f t="shared" si="54"/>
        <v>2</v>
      </c>
      <c r="R332" s="34">
        <f t="shared" si="58"/>
        <v>332</v>
      </c>
      <c r="S332" s="70">
        <f t="shared" si="55"/>
        <v>0.62501233199999995</v>
      </c>
    </row>
    <row r="333" spans="1:19" x14ac:dyDescent="0.25">
      <c r="A333" s="34">
        <f t="shared" si="62"/>
        <v>329</v>
      </c>
      <c r="B333" s="34" t="str">
        <f t="shared" si="59"/>
        <v>Sakari Leinonen</v>
      </c>
      <c r="C333" s="34" t="str">
        <f t="shared" si="60"/>
        <v>dns</v>
      </c>
      <c r="D333" s="34" t="str">
        <f t="shared" si="61"/>
        <v>GP8, Sarja 1</v>
      </c>
      <c r="K333" s="34">
        <f t="shared" si="56"/>
        <v>172</v>
      </c>
      <c r="L333" s="34" t="str">
        <f>IF(Data!$I20="","",Data!I20)</f>
        <v>Joonas Ollonqvist</v>
      </c>
      <c r="M333" s="34">
        <f>IF(Data!$I20="","",IF(Data!K20=0,"dns",Data!K20))</f>
        <v>121</v>
      </c>
      <c r="N333" s="34" t="str">
        <f>IF(Data!$I20="","","GP"&amp;Data!$B20&amp;", "&amp;Data!$K$1)</f>
        <v>GP2, Sarja 2</v>
      </c>
      <c r="O333" s="34">
        <f t="shared" si="57"/>
        <v>171</v>
      </c>
      <c r="P333" s="34">
        <f>IF($L333="","",Data!B20)</f>
        <v>2</v>
      </c>
      <c r="Q333" s="34" t="str">
        <f t="shared" si="54"/>
        <v>2</v>
      </c>
      <c r="R333" s="34">
        <f t="shared" si="58"/>
        <v>333</v>
      </c>
      <c r="S333" s="70">
        <f t="shared" si="55"/>
        <v>0.171022333</v>
      </c>
    </row>
    <row r="334" spans="1:19" x14ac:dyDescent="0.25">
      <c r="A334" s="34">
        <f t="shared" si="62"/>
        <v>330</v>
      </c>
      <c r="B334" s="34" t="str">
        <f t="shared" si="59"/>
        <v>Tatu Erlin</v>
      </c>
      <c r="C334" s="34" t="str">
        <f t="shared" si="60"/>
        <v>dns</v>
      </c>
      <c r="D334" s="34" t="str">
        <f t="shared" si="61"/>
        <v>GP8, Sarja 1</v>
      </c>
      <c r="K334" s="34">
        <f t="shared" si="56"/>
        <v>179</v>
      </c>
      <c r="L334" s="34" t="str">
        <f>IF(Data!$I21="","",Data!I21)</f>
        <v>Tatu Erlin</v>
      </c>
      <c r="M334" s="34">
        <f>IF(Data!$I21="","",IF(Data!K21=0,"dns",Data!K21))</f>
        <v>119</v>
      </c>
      <c r="N334" s="34" t="str">
        <f>IF(Data!$I21="","","GP"&amp;Data!$B21&amp;", "&amp;Data!$K$1)</f>
        <v>GP2, Sarja 2</v>
      </c>
      <c r="O334" s="34">
        <f t="shared" si="57"/>
        <v>179</v>
      </c>
      <c r="P334" s="34">
        <f>IF($L334="","",Data!B21)</f>
        <v>2</v>
      </c>
      <c r="Q334" s="34" t="str">
        <f t="shared" si="54"/>
        <v>2</v>
      </c>
      <c r="R334" s="34">
        <f t="shared" si="58"/>
        <v>334</v>
      </c>
      <c r="S334" s="70">
        <f t="shared" si="55"/>
        <v>0.17902233399999998</v>
      </c>
    </row>
    <row r="335" spans="1:19" x14ac:dyDescent="0.25">
      <c r="A335" s="34">
        <f t="shared" si="62"/>
        <v>331</v>
      </c>
      <c r="B335" s="34" t="str">
        <f t="shared" si="59"/>
        <v>Olli Kajava</v>
      </c>
      <c r="C335" s="34" t="str">
        <f t="shared" si="60"/>
        <v>dns</v>
      </c>
      <c r="D335" s="34" t="str">
        <f t="shared" si="61"/>
        <v>GP8, Sarja 2</v>
      </c>
      <c r="K335" s="34">
        <f t="shared" si="56"/>
        <v>100</v>
      </c>
      <c r="L335" s="34" t="str">
        <f>IF(Data!$I22="","",Data!I22)</f>
        <v>Juho Korpi</v>
      </c>
      <c r="M335" s="34">
        <f>IF(Data!$I22="","",IF(Data!K22=0,"dns",Data!K22))</f>
        <v>139</v>
      </c>
      <c r="N335" s="34" t="str">
        <f>IF(Data!$I22="","","GP"&amp;Data!$B22&amp;", "&amp;Data!$K$1)</f>
        <v>GP2, Sarja 2</v>
      </c>
      <c r="O335" s="34">
        <f t="shared" si="57"/>
        <v>99</v>
      </c>
      <c r="P335" s="34">
        <f>IF($L335="","",Data!B22)</f>
        <v>2</v>
      </c>
      <c r="Q335" s="34" t="str">
        <f t="shared" si="54"/>
        <v>2</v>
      </c>
      <c r="R335" s="34">
        <f t="shared" si="58"/>
        <v>335</v>
      </c>
      <c r="S335" s="70">
        <f t="shared" si="55"/>
        <v>9.9022335000000017E-2</v>
      </c>
    </row>
    <row r="336" spans="1:19" x14ac:dyDescent="0.25">
      <c r="A336" s="34">
        <f t="shared" si="62"/>
        <v>332</v>
      </c>
      <c r="B336" s="34" t="str">
        <f t="shared" si="59"/>
        <v>Frans Hartman</v>
      </c>
      <c r="C336" s="34" t="str">
        <f t="shared" si="60"/>
        <v>dns</v>
      </c>
      <c r="D336" s="34" t="str">
        <f t="shared" si="61"/>
        <v>GP8, Sarja 2</v>
      </c>
      <c r="K336" s="34">
        <f t="shared" si="56"/>
        <v>13</v>
      </c>
      <c r="L336" s="34" t="str">
        <f>IF(Data!$I23="","",Data!I23)</f>
        <v>Ossi Oksa</v>
      </c>
      <c r="M336" s="34">
        <f>IF(Data!$I23="","",IF(Data!K23=0,"dns",Data!K23))</f>
        <v>182</v>
      </c>
      <c r="N336" s="34" t="str">
        <f>IF(Data!$I23="","","GP"&amp;Data!$B23&amp;", "&amp;Data!$K$1)</f>
        <v>GP2, Sarja 2</v>
      </c>
      <c r="O336" s="34">
        <f t="shared" si="57"/>
        <v>13</v>
      </c>
      <c r="P336" s="34">
        <f>IF($L336="","",Data!B23)</f>
        <v>2</v>
      </c>
      <c r="Q336" s="34" t="str">
        <f t="shared" si="54"/>
        <v>2</v>
      </c>
      <c r="R336" s="34">
        <f t="shared" si="58"/>
        <v>336</v>
      </c>
      <c r="S336" s="70">
        <f t="shared" si="55"/>
        <v>1.3022335999999999E-2</v>
      </c>
    </row>
    <row r="337" spans="1:19" x14ac:dyDescent="0.25">
      <c r="A337" s="34">
        <f t="shared" si="62"/>
        <v>333</v>
      </c>
      <c r="B337" s="34" t="str">
        <f t="shared" si="59"/>
        <v>Sakari Leinonen</v>
      </c>
      <c r="C337" s="34" t="str">
        <f t="shared" si="60"/>
        <v>dns</v>
      </c>
      <c r="D337" s="34" t="str">
        <f t="shared" si="61"/>
        <v>GP8, Sarja 2</v>
      </c>
      <c r="K337" s="34">
        <f t="shared" si="56"/>
        <v>153</v>
      </c>
      <c r="L337" s="34" t="str">
        <f>IF(Data!$I24="","",Data!I24)</f>
        <v>Kaleva Latvala</v>
      </c>
      <c r="M337" s="34">
        <f>IF(Data!$I24="","",IF(Data!K24=0,"dns",Data!K24))</f>
        <v>125</v>
      </c>
      <c r="N337" s="34" t="str">
        <f>IF(Data!$I24="","","GP"&amp;Data!$B24&amp;", "&amp;Data!$K$1)</f>
        <v>GP2, Sarja 2</v>
      </c>
      <c r="O337" s="34">
        <f t="shared" si="57"/>
        <v>153</v>
      </c>
      <c r="P337" s="34">
        <f>IF($L337="","",Data!B24)</f>
        <v>2</v>
      </c>
      <c r="Q337" s="34" t="str">
        <f t="shared" si="54"/>
        <v>2</v>
      </c>
      <c r="R337" s="34">
        <f t="shared" si="58"/>
        <v>337</v>
      </c>
      <c r="S337" s="70">
        <f t="shared" si="55"/>
        <v>0.15302233699999998</v>
      </c>
    </row>
    <row r="338" spans="1:19" x14ac:dyDescent="0.25">
      <c r="A338" s="34">
        <f t="shared" si="62"/>
        <v>334</v>
      </c>
      <c r="B338" s="34" t="str">
        <f t="shared" si="59"/>
        <v>Tatu Erlin</v>
      </c>
      <c r="C338" s="34" t="str">
        <f t="shared" si="60"/>
        <v>dns</v>
      </c>
      <c r="D338" s="34" t="str">
        <f t="shared" si="61"/>
        <v>GP8, Sarja 2</v>
      </c>
      <c r="K338" s="34">
        <f t="shared" si="56"/>
        <v>26</v>
      </c>
      <c r="L338" s="34" t="str">
        <f>IF(Data!$I25="","",Data!I25)</f>
        <v>Henri Verho</v>
      </c>
      <c r="M338" s="34">
        <f>IF(Data!$I25="","",IF(Data!K25=0,"dns",Data!K25))</f>
        <v>170</v>
      </c>
      <c r="N338" s="34" t="str">
        <f>IF(Data!$I25="","","GP"&amp;Data!$B25&amp;", "&amp;Data!$K$1)</f>
        <v>GP2, Sarja 2</v>
      </c>
      <c r="O338" s="34">
        <f t="shared" si="57"/>
        <v>26</v>
      </c>
      <c r="P338" s="34">
        <f>IF($L338="","",Data!B25)</f>
        <v>2</v>
      </c>
      <c r="Q338" s="34" t="str">
        <f t="shared" si="54"/>
        <v>2</v>
      </c>
      <c r="R338" s="34">
        <f t="shared" si="58"/>
        <v>338</v>
      </c>
      <c r="S338" s="70">
        <f t="shared" si="55"/>
        <v>2.6022337999999996E-2</v>
      </c>
    </row>
    <row r="339" spans="1:19" x14ac:dyDescent="0.25">
      <c r="A339" s="34">
        <f t="shared" si="62"/>
        <v>335</v>
      </c>
      <c r="B339" s="34" t="str">
        <f t="shared" si="59"/>
        <v>Juho Korpi</v>
      </c>
      <c r="C339" s="34" t="str">
        <f t="shared" si="60"/>
        <v>dns</v>
      </c>
      <c r="D339" s="34" t="str">
        <f t="shared" si="61"/>
        <v>GP9, Sarja 1</v>
      </c>
      <c r="K339" s="34">
        <f t="shared" si="56"/>
        <v>142</v>
      </c>
      <c r="L339" s="34" t="str">
        <f>IF(Data!$I26="","",Data!I26)</f>
        <v>Olli Kajava</v>
      </c>
      <c r="M339" s="34">
        <f>IF(Data!$I26="","",IF(Data!K26=0,"dns",Data!K26))</f>
        <v>127</v>
      </c>
      <c r="N339" s="34" t="str">
        <f>IF(Data!$I26="","","GP"&amp;Data!$B26&amp;", "&amp;Data!$K$1)</f>
        <v>GP2, Sarja 2</v>
      </c>
      <c r="O339" s="34">
        <f t="shared" si="57"/>
        <v>141</v>
      </c>
      <c r="P339" s="34">
        <f>IF($L339="","",Data!B26)</f>
        <v>2</v>
      </c>
      <c r="Q339" s="34" t="str">
        <f t="shared" si="54"/>
        <v>2</v>
      </c>
      <c r="R339" s="34">
        <f t="shared" si="58"/>
        <v>339</v>
      </c>
      <c r="S339" s="70">
        <f t="shared" si="55"/>
        <v>0.14102233899999997</v>
      </c>
    </row>
    <row r="340" spans="1:19" x14ac:dyDescent="0.25">
      <c r="A340" s="34">
        <f t="shared" si="62"/>
        <v>336</v>
      </c>
      <c r="B340" s="34" t="str">
        <f t="shared" si="59"/>
        <v>Roope Warro</v>
      </c>
      <c r="C340" s="34" t="str">
        <f t="shared" si="60"/>
        <v>dns</v>
      </c>
      <c r="D340" s="34" t="str">
        <f t="shared" si="61"/>
        <v>GP9, Sarja 1</v>
      </c>
      <c r="K340" s="34">
        <f t="shared" si="56"/>
        <v>27</v>
      </c>
      <c r="L340" s="34" t="str">
        <f>IF(Data!$I27="","",Data!I27)</f>
        <v>Jami Kallio</v>
      </c>
      <c r="M340" s="34">
        <f>IF(Data!$I27="","",IF(Data!K27=0,"dns",Data!K27))</f>
        <v>170</v>
      </c>
      <c r="N340" s="34" t="str">
        <f>IF(Data!$I27="","","GP"&amp;Data!$B27&amp;", "&amp;Data!$K$1)</f>
        <v>GP2, Sarja 2</v>
      </c>
      <c r="O340" s="34">
        <f t="shared" si="57"/>
        <v>26</v>
      </c>
      <c r="P340" s="34">
        <f>IF($L340="","",Data!B27)</f>
        <v>2</v>
      </c>
      <c r="Q340" s="34" t="str">
        <f t="shared" si="54"/>
        <v>2</v>
      </c>
      <c r="R340" s="34">
        <f t="shared" si="58"/>
        <v>340</v>
      </c>
      <c r="S340" s="70">
        <f t="shared" si="55"/>
        <v>2.6022339999999998E-2</v>
      </c>
    </row>
    <row r="341" spans="1:19" x14ac:dyDescent="0.25">
      <c r="A341" s="34">
        <f t="shared" si="62"/>
        <v>337</v>
      </c>
      <c r="B341" s="34" t="str">
        <f t="shared" si="59"/>
        <v>Iiro Riikonen</v>
      </c>
      <c r="C341" s="34" t="str">
        <f t="shared" si="60"/>
        <v>dns</v>
      </c>
      <c r="D341" s="34" t="str">
        <f t="shared" si="61"/>
        <v>GP9, Sarja 1</v>
      </c>
      <c r="K341" s="34">
        <f t="shared" si="56"/>
        <v>34</v>
      </c>
      <c r="L341" s="34" t="str">
        <f>IF(Data!$I28="","",Data!I28)</f>
        <v>Iiro Riikonen</v>
      </c>
      <c r="M341" s="34">
        <f>IF(Data!$I28="","",IF(Data!K28=0,"dns",Data!K28))</f>
        <v>165</v>
      </c>
      <c r="N341" s="34" t="str">
        <f>IF(Data!$I28="","","GP"&amp;Data!$B28&amp;", "&amp;Data!$K$1)</f>
        <v>GP2, Sarja 2</v>
      </c>
      <c r="O341" s="34">
        <f t="shared" si="57"/>
        <v>34</v>
      </c>
      <c r="P341" s="34">
        <f>IF($L341="","",Data!B28)</f>
        <v>2</v>
      </c>
      <c r="Q341" s="34" t="str">
        <f t="shared" si="54"/>
        <v>2</v>
      </c>
      <c r="R341" s="34">
        <f t="shared" si="58"/>
        <v>341</v>
      </c>
      <c r="S341" s="70">
        <f t="shared" si="55"/>
        <v>3.4022341000000005E-2</v>
      </c>
    </row>
    <row r="342" spans="1:19" x14ac:dyDescent="0.25">
      <c r="A342" s="34">
        <f t="shared" si="62"/>
        <v>338</v>
      </c>
      <c r="B342" s="34" t="str">
        <f t="shared" si="59"/>
        <v>Sakari Leinonen</v>
      </c>
      <c r="C342" s="34" t="str">
        <f t="shared" si="60"/>
        <v>dns</v>
      </c>
      <c r="D342" s="34" t="str">
        <f t="shared" si="61"/>
        <v>GP9, Sarja 1</v>
      </c>
      <c r="K342" s="34">
        <f t="shared" si="56"/>
        <v>212</v>
      </c>
      <c r="L342" s="34" t="str">
        <f>IF(Data!$I29="","",Data!I29)</f>
        <v>Miikka Korventausta</v>
      </c>
      <c r="M342" s="34">
        <f>IF(Data!$I29="","",IF(Data!K29=0,"dns",Data!K29))</f>
        <v>107</v>
      </c>
      <c r="N342" s="34" t="str">
        <f>IF(Data!$I29="","","GP"&amp;Data!$B29&amp;", "&amp;Data!$K$1)</f>
        <v>GP2, Sarja 2</v>
      </c>
      <c r="O342" s="34">
        <f t="shared" si="57"/>
        <v>211</v>
      </c>
      <c r="P342" s="34">
        <f>IF($L342="","",Data!B29)</f>
        <v>2</v>
      </c>
      <c r="Q342" s="34" t="str">
        <f t="shared" si="54"/>
        <v>2</v>
      </c>
      <c r="R342" s="34">
        <f t="shared" si="58"/>
        <v>342</v>
      </c>
      <c r="S342" s="70">
        <f t="shared" si="55"/>
        <v>0.21102234199999997</v>
      </c>
    </row>
    <row r="343" spans="1:19" x14ac:dyDescent="0.25">
      <c r="A343" s="34">
        <f t="shared" si="62"/>
        <v>339</v>
      </c>
      <c r="B343" s="34" t="str">
        <f t="shared" si="59"/>
        <v>Tatu Erlin</v>
      </c>
      <c r="C343" s="34" t="str">
        <f t="shared" si="60"/>
        <v>dns</v>
      </c>
      <c r="D343" s="34" t="str">
        <f t="shared" si="61"/>
        <v>GP9, Sarja 1</v>
      </c>
      <c r="K343" s="34">
        <f t="shared" si="56"/>
        <v>6</v>
      </c>
      <c r="L343" s="34" t="str">
        <f>IF(Data!$I30="","",Data!I30)</f>
        <v>Sakari Leinonen</v>
      </c>
      <c r="M343" s="34">
        <f>IF(Data!$I30="","",IF(Data!K30=0,"dns",Data!K30))</f>
        <v>193</v>
      </c>
      <c r="N343" s="34" t="str">
        <f>IF(Data!$I30="","","GP"&amp;Data!$B30&amp;", "&amp;Data!$K$1)</f>
        <v>GP2, Sarja 2</v>
      </c>
      <c r="O343" s="34">
        <f t="shared" si="57"/>
        <v>6</v>
      </c>
      <c r="P343" s="34">
        <f>IF($L343="","",Data!B30)</f>
        <v>2</v>
      </c>
      <c r="Q343" s="34" t="str">
        <f t="shared" si="54"/>
        <v>2</v>
      </c>
      <c r="R343" s="34">
        <f t="shared" si="58"/>
        <v>343</v>
      </c>
      <c r="S343" s="70">
        <f t="shared" si="55"/>
        <v>6.0223430000000003E-3</v>
      </c>
    </row>
    <row r="344" spans="1:19" x14ac:dyDescent="0.25">
      <c r="A344" s="34">
        <f t="shared" si="62"/>
        <v>340</v>
      </c>
      <c r="B344" s="34" t="str">
        <f t="shared" si="59"/>
        <v>Juho Korpi</v>
      </c>
      <c r="C344" s="34" t="str">
        <f t="shared" si="60"/>
        <v>dns</v>
      </c>
      <c r="D344" s="34" t="str">
        <f t="shared" si="61"/>
        <v>GP9, Sarja 2</v>
      </c>
      <c r="K344" s="34">
        <f t="shared" si="56"/>
        <v>81</v>
      </c>
      <c r="L344" s="34" t="str">
        <f>IF(Data!$I31="","",Data!I31)</f>
        <v>Frans Hartman</v>
      </c>
      <c r="M344" s="34">
        <f>IF(Data!$I31="","",IF(Data!K31=0,"dns",Data!K31))</f>
        <v>146</v>
      </c>
      <c r="N344" s="34" t="str">
        <f>IF(Data!$I31="","","GP"&amp;Data!$B31&amp;", "&amp;Data!$K$1)</f>
        <v>GP2, Sarja 2</v>
      </c>
      <c r="O344" s="34">
        <f t="shared" si="57"/>
        <v>81</v>
      </c>
      <c r="P344" s="34">
        <f>IF($L344="","",Data!B31)</f>
        <v>2</v>
      </c>
      <c r="Q344" s="34" t="str">
        <f t="shared" si="54"/>
        <v>2</v>
      </c>
      <c r="R344" s="34">
        <f t="shared" si="58"/>
        <v>344</v>
      </c>
      <c r="S344" s="70">
        <f t="shared" si="55"/>
        <v>8.102234400000001E-2</v>
      </c>
    </row>
    <row r="345" spans="1:19" x14ac:dyDescent="0.25">
      <c r="A345" s="34">
        <f t="shared" si="62"/>
        <v>341</v>
      </c>
      <c r="B345" s="34" t="str">
        <f t="shared" si="59"/>
        <v>Roope Warro</v>
      </c>
      <c r="C345" s="34" t="str">
        <f t="shared" si="60"/>
        <v>dns</v>
      </c>
      <c r="D345" s="34" t="str">
        <f t="shared" si="61"/>
        <v>GP9, Sarja 2</v>
      </c>
      <c r="K345" s="34">
        <f t="shared" si="56"/>
        <v>19</v>
      </c>
      <c r="L345" s="34" t="str">
        <f>IF(Data!$I32="","",Data!I32)</f>
        <v>Asko Haaksi</v>
      </c>
      <c r="M345" s="34">
        <f>IF(Data!$I32="","",IF(Data!K32=0,"dns",Data!K32))</f>
        <v>176</v>
      </c>
      <c r="N345" s="34" t="str">
        <f>IF(Data!$I32="","","GP"&amp;Data!$B32&amp;", "&amp;Data!$K$1)</f>
        <v>GP2, Sarja 2</v>
      </c>
      <c r="O345" s="34">
        <f t="shared" si="57"/>
        <v>19</v>
      </c>
      <c r="P345" s="34">
        <f>IF($L345="","",Data!B32)</f>
        <v>2</v>
      </c>
      <c r="Q345" s="34" t="str">
        <f t="shared" si="54"/>
        <v>2</v>
      </c>
      <c r="R345" s="34">
        <f t="shared" si="58"/>
        <v>345</v>
      </c>
      <c r="S345" s="70">
        <f t="shared" si="55"/>
        <v>1.9022344999999996E-2</v>
      </c>
    </row>
    <row r="346" spans="1:19" x14ac:dyDescent="0.25">
      <c r="A346" s="34">
        <f t="shared" si="62"/>
        <v>342</v>
      </c>
      <c r="B346" s="34" t="str">
        <f t="shared" si="59"/>
        <v>Iiro Riikonen</v>
      </c>
      <c r="C346" s="34" t="str">
        <f t="shared" si="60"/>
        <v>dns</v>
      </c>
      <c r="D346" s="34" t="str">
        <f t="shared" si="61"/>
        <v>GP9, Sarja 2</v>
      </c>
      <c r="K346" s="34">
        <f t="shared" si="56"/>
        <v>20</v>
      </c>
      <c r="L346" s="34" t="str">
        <f>IF(Data!$I33="","",Data!I33)</f>
        <v>Miika Nordblad</v>
      </c>
      <c r="M346" s="34">
        <f>IF(Data!$I33="","",IF(Data!K33=0,"dns",Data!K33))</f>
        <v>176</v>
      </c>
      <c r="N346" s="34" t="str">
        <f>IF(Data!$I33="","","GP"&amp;Data!$B33&amp;", "&amp;Data!$K$1)</f>
        <v>GP2, Sarja 2</v>
      </c>
      <c r="O346" s="34">
        <f t="shared" si="57"/>
        <v>19</v>
      </c>
      <c r="P346" s="34">
        <f>IF($L346="","",Data!B33)</f>
        <v>2</v>
      </c>
      <c r="Q346" s="34" t="str">
        <f t="shared" si="54"/>
        <v>2</v>
      </c>
      <c r="R346" s="34">
        <f t="shared" si="58"/>
        <v>346</v>
      </c>
      <c r="S346" s="70">
        <f t="shared" si="55"/>
        <v>1.9022345999999996E-2</v>
      </c>
    </row>
    <row r="347" spans="1:19" x14ac:dyDescent="0.25">
      <c r="A347" s="34">
        <f t="shared" si="62"/>
        <v>343</v>
      </c>
      <c r="B347" s="34" t="str">
        <f t="shared" si="59"/>
        <v>Sakari Leinonen</v>
      </c>
      <c r="C347" s="34" t="str">
        <f t="shared" si="60"/>
        <v>dns</v>
      </c>
      <c r="D347" s="34" t="str">
        <f t="shared" si="61"/>
        <v>GP9, Sarja 2</v>
      </c>
      <c r="K347" s="34">
        <f t="shared" si="56"/>
        <v>101</v>
      </c>
      <c r="L347" s="34" t="str">
        <f>IF(Data!$I34="","",Data!I34)</f>
        <v>Mika Sola</v>
      </c>
      <c r="M347" s="34">
        <f>IF(Data!$I34="","",IF(Data!K34=0,"dns",Data!K34))</f>
        <v>139</v>
      </c>
      <c r="N347" s="34" t="str">
        <f>IF(Data!$I34="","","GP"&amp;Data!$B34&amp;", "&amp;Data!$K$1)</f>
        <v>GP2, Sarja 2</v>
      </c>
      <c r="O347" s="34">
        <f t="shared" si="57"/>
        <v>99</v>
      </c>
      <c r="P347" s="34">
        <f>IF($L347="","",Data!B34)</f>
        <v>2</v>
      </c>
      <c r="Q347" s="34" t="str">
        <f t="shared" si="54"/>
        <v>2</v>
      </c>
      <c r="R347" s="34">
        <f t="shared" si="58"/>
        <v>347</v>
      </c>
      <c r="S347" s="70">
        <f t="shared" si="55"/>
        <v>9.9022347000000011E-2</v>
      </c>
    </row>
    <row r="348" spans="1:19" x14ac:dyDescent="0.25">
      <c r="A348" s="34">
        <f t="shared" si="62"/>
        <v>344</v>
      </c>
      <c r="B348" s="34" t="str">
        <f t="shared" si="59"/>
        <v>Tatu Erlin</v>
      </c>
      <c r="C348" s="34" t="str">
        <f t="shared" si="60"/>
        <v>dns</v>
      </c>
      <c r="D348" s="34" t="str">
        <f t="shared" si="61"/>
        <v>GP9, Sarja 2</v>
      </c>
      <c r="K348" s="34">
        <f t="shared" si="56"/>
        <v>270</v>
      </c>
      <c r="L348" s="34" t="str">
        <f>IF(Data!$I35="","",Data!I35)</f>
        <v>Niko Reunanen</v>
      </c>
      <c r="M348" s="34" t="str">
        <f>IF(Data!$I35="","",IF(Data!K35=0,"dns",Data!K35))</f>
        <v>dns</v>
      </c>
      <c r="N348" s="34" t="str">
        <f>IF(Data!$I35="","","GP"&amp;Data!$B35&amp;", "&amp;Data!$K$1)</f>
        <v>GP2, Sarja 2</v>
      </c>
      <c r="O348" s="34">
        <f t="shared" si="57"/>
        <v>625</v>
      </c>
      <c r="P348" s="34">
        <f>IF($L348="","",Data!B35)</f>
        <v>2</v>
      </c>
      <c r="Q348" s="34" t="str">
        <f t="shared" si="54"/>
        <v>2</v>
      </c>
      <c r="R348" s="34">
        <f t="shared" si="58"/>
        <v>348</v>
      </c>
      <c r="S348" s="70">
        <f t="shared" si="55"/>
        <v>0.62502234800000001</v>
      </c>
    </row>
    <row r="349" spans="1:19" x14ac:dyDescent="0.25">
      <c r="A349" s="34">
        <f t="shared" si="62"/>
        <v>345</v>
      </c>
      <c r="B349" s="34" t="str">
        <f t="shared" si="59"/>
        <v>Frans Hartman</v>
      </c>
      <c r="C349" s="34" t="str">
        <f t="shared" si="60"/>
        <v>dns</v>
      </c>
      <c r="D349" s="34" t="str">
        <f t="shared" si="61"/>
        <v>GP10, Sarja 1</v>
      </c>
      <c r="K349" s="34">
        <f t="shared" si="56"/>
        <v>271</v>
      </c>
      <c r="L349" s="34" t="str">
        <f>IF(Data!$I36="","",Data!I36)</f>
        <v>Mikko Mansikkamäki</v>
      </c>
      <c r="M349" s="34" t="str">
        <f>IF(Data!$I36="","",IF(Data!K36=0,"dns",Data!K36))</f>
        <v>dns</v>
      </c>
      <c r="N349" s="34" t="str">
        <f>IF(Data!$I36="","","GP"&amp;Data!$B36&amp;", "&amp;Data!$K$1)</f>
        <v>GP2, Sarja 2</v>
      </c>
      <c r="O349" s="34">
        <f t="shared" si="57"/>
        <v>625</v>
      </c>
      <c r="P349" s="34">
        <f>IF($L349="","",Data!B36)</f>
        <v>2</v>
      </c>
      <c r="Q349" s="34" t="str">
        <f t="shared" si="54"/>
        <v>2</v>
      </c>
      <c r="R349" s="34">
        <f t="shared" si="58"/>
        <v>349</v>
      </c>
      <c r="S349" s="70">
        <f t="shared" si="55"/>
        <v>0.62502234899999998</v>
      </c>
    </row>
    <row r="350" spans="1:19" x14ac:dyDescent="0.25">
      <c r="A350" s="34">
        <f t="shared" si="62"/>
        <v>346</v>
      </c>
      <c r="B350" s="34" t="str">
        <f t="shared" si="59"/>
        <v>Kaleva Latvala</v>
      </c>
      <c r="C350" s="34" t="str">
        <f t="shared" si="60"/>
        <v>dns</v>
      </c>
      <c r="D350" s="34" t="str">
        <f t="shared" si="61"/>
        <v>GP10, Sarja 1</v>
      </c>
      <c r="K350" s="34">
        <f t="shared" si="56"/>
        <v>272</v>
      </c>
      <c r="L350" s="34" t="str">
        <f>IF(Data!$I37="","",Data!I37)</f>
        <v>Roope Warro</v>
      </c>
      <c r="M350" s="34" t="str">
        <f>IF(Data!$I37="","",IF(Data!K37=0,"dns",Data!K37))</f>
        <v>dns</v>
      </c>
      <c r="N350" s="34" t="str">
        <f>IF(Data!$I37="","","GP"&amp;Data!$B37&amp;", "&amp;Data!$K$1)</f>
        <v>GP2, Sarja 2</v>
      </c>
      <c r="O350" s="34">
        <f t="shared" si="57"/>
        <v>625</v>
      </c>
      <c r="P350" s="34">
        <f>IF($L350="","",Data!B37)</f>
        <v>2</v>
      </c>
      <c r="Q350" s="34" t="str">
        <f t="shared" si="54"/>
        <v>2</v>
      </c>
      <c r="R350" s="34">
        <f t="shared" si="58"/>
        <v>350</v>
      </c>
      <c r="S350" s="70">
        <f t="shared" si="55"/>
        <v>0.62502234999999995</v>
      </c>
    </row>
    <row r="351" spans="1:19" x14ac:dyDescent="0.25">
      <c r="A351" s="34">
        <f t="shared" si="62"/>
        <v>347</v>
      </c>
      <c r="B351" s="34" t="str">
        <f t="shared" si="59"/>
        <v>Asko Haaksi</v>
      </c>
      <c r="C351" s="34" t="str">
        <f t="shared" si="60"/>
        <v>dns</v>
      </c>
      <c r="D351" s="34" t="str">
        <f t="shared" si="61"/>
        <v>GP10, Sarja 1</v>
      </c>
      <c r="K351" s="34">
        <f t="shared" si="56"/>
        <v>237</v>
      </c>
      <c r="L351" s="34" t="str">
        <f>IF(Data!$I38="","",Data!I38)</f>
        <v>Mikko Mansikkamäki</v>
      </c>
      <c r="M351" s="34">
        <f>IF(Data!$I38="","",IF(Data!K38=0,"dns",Data!K38))</f>
        <v>92</v>
      </c>
      <c r="N351" s="34" t="str">
        <f>IF(Data!$I38="","","GP"&amp;Data!$B38&amp;", "&amp;Data!$K$1)</f>
        <v>GP3, Sarja 2</v>
      </c>
      <c r="O351" s="34">
        <f t="shared" si="57"/>
        <v>237</v>
      </c>
      <c r="P351" s="34">
        <f>IF($L351="","",Data!B38)</f>
        <v>3</v>
      </c>
      <c r="Q351" s="34" t="str">
        <f t="shared" si="54"/>
        <v>2</v>
      </c>
      <c r="R351" s="34">
        <f t="shared" si="58"/>
        <v>351</v>
      </c>
      <c r="S351" s="70">
        <f t="shared" si="55"/>
        <v>0.237032351</v>
      </c>
    </row>
    <row r="352" spans="1:19" x14ac:dyDescent="0.25">
      <c r="A352" s="34">
        <f t="shared" si="62"/>
        <v>348</v>
      </c>
      <c r="B352" s="34" t="str">
        <f t="shared" si="59"/>
        <v>Joonas Ollonqvist</v>
      </c>
      <c r="C352" s="34" t="str">
        <f t="shared" si="60"/>
        <v>dns</v>
      </c>
      <c r="D352" s="34" t="str">
        <f t="shared" si="61"/>
        <v>GP10, Sarja 1</v>
      </c>
      <c r="K352" s="34">
        <f t="shared" si="56"/>
        <v>143</v>
      </c>
      <c r="L352" s="34" t="str">
        <f>IF(Data!$I39="","",Data!I39)</f>
        <v>Niko Reunanen</v>
      </c>
      <c r="M352" s="34">
        <f>IF(Data!$I39="","",IF(Data!K39=0,"dns",Data!K39))</f>
        <v>127</v>
      </c>
      <c r="N352" s="34" t="str">
        <f>IF(Data!$I39="","","GP"&amp;Data!$B39&amp;", "&amp;Data!$K$1)</f>
        <v>GP3, Sarja 2</v>
      </c>
      <c r="O352" s="34">
        <f t="shared" si="57"/>
        <v>141</v>
      </c>
      <c r="P352" s="34">
        <f>IF($L352="","",Data!B39)</f>
        <v>3</v>
      </c>
      <c r="Q352" s="34" t="str">
        <f t="shared" si="54"/>
        <v>2</v>
      </c>
      <c r="R352" s="34">
        <f t="shared" si="58"/>
        <v>352</v>
      </c>
      <c r="S352" s="70">
        <f t="shared" si="55"/>
        <v>0.141032352</v>
      </c>
    </row>
    <row r="353" spans="1:19" x14ac:dyDescent="0.25">
      <c r="A353" s="34">
        <f t="shared" si="62"/>
        <v>349</v>
      </c>
      <c r="B353" s="34" t="str">
        <f t="shared" si="59"/>
        <v>Miikka Korventausta</v>
      </c>
      <c r="C353" s="34" t="str">
        <f t="shared" si="60"/>
        <v>dns</v>
      </c>
      <c r="D353" s="34" t="str">
        <f t="shared" si="61"/>
        <v>GP10, Sarja 1</v>
      </c>
      <c r="K353" s="34">
        <f t="shared" si="56"/>
        <v>48</v>
      </c>
      <c r="L353" s="34" t="str">
        <f>IF(Data!$I40="","",Data!I40)</f>
        <v>Miika Nordblad</v>
      </c>
      <c r="M353" s="34">
        <f>IF(Data!$I40="","",IF(Data!K40=0,"dns",Data!K40))</f>
        <v>159</v>
      </c>
      <c r="N353" s="34" t="str">
        <f>IF(Data!$I40="","","GP"&amp;Data!$B40&amp;", "&amp;Data!$K$1)</f>
        <v>GP3, Sarja 2</v>
      </c>
      <c r="O353" s="34">
        <f t="shared" si="57"/>
        <v>48</v>
      </c>
      <c r="P353" s="34">
        <f>IF($L353="","",Data!B40)</f>
        <v>3</v>
      </c>
      <c r="Q353" s="34" t="str">
        <f t="shared" si="54"/>
        <v>2</v>
      </c>
      <c r="R353" s="34">
        <f t="shared" si="58"/>
        <v>353</v>
      </c>
      <c r="S353" s="70">
        <f t="shared" si="55"/>
        <v>4.8032353000000007E-2</v>
      </c>
    </row>
    <row r="354" spans="1:19" x14ac:dyDescent="0.25">
      <c r="A354" s="34">
        <f t="shared" si="62"/>
        <v>350</v>
      </c>
      <c r="B354" s="34" t="str">
        <f t="shared" si="59"/>
        <v>Roope Warro</v>
      </c>
      <c r="C354" s="34" t="str">
        <f t="shared" si="60"/>
        <v>dns</v>
      </c>
      <c r="D354" s="34" t="str">
        <f t="shared" si="61"/>
        <v>GP10, Sarja 1</v>
      </c>
      <c r="K354" s="34">
        <f t="shared" si="56"/>
        <v>1</v>
      </c>
      <c r="L354" s="34" t="str">
        <f>IF(Data!$I41="","",Data!I41)</f>
        <v>Ossi Oksa</v>
      </c>
      <c r="M354" s="34">
        <f>IF(Data!$I41="","",IF(Data!K41=0,"dns",Data!K41))</f>
        <v>209</v>
      </c>
      <c r="N354" s="34" t="str">
        <f>IF(Data!$I41="","","GP"&amp;Data!$B41&amp;", "&amp;Data!$K$1)</f>
        <v>GP3, Sarja 2</v>
      </c>
      <c r="O354" s="34">
        <f t="shared" si="57"/>
        <v>1</v>
      </c>
      <c r="P354" s="34">
        <f>IF($L354="","",Data!B41)</f>
        <v>3</v>
      </c>
      <c r="Q354" s="34" t="str">
        <f t="shared" si="54"/>
        <v>2</v>
      </c>
      <c r="R354" s="34">
        <f t="shared" si="58"/>
        <v>354</v>
      </c>
      <c r="S354" s="70">
        <f t="shared" si="55"/>
        <v>1.0323540000000001E-3</v>
      </c>
    </row>
    <row r="355" spans="1:19" x14ac:dyDescent="0.25">
      <c r="A355" s="34">
        <f t="shared" si="62"/>
        <v>351</v>
      </c>
      <c r="B355" s="34" t="str">
        <f t="shared" si="59"/>
        <v>Iiro Riikonen</v>
      </c>
      <c r="C355" s="34" t="str">
        <f t="shared" si="60"/>
        <v>dns</v>
      </c>
      <c r="D355" s="34" t="str">
        <f t="shared" si="61"/>
        <v>GP10, Sarja 1</v>
      </c>
      <c r="K355" s="34">
        <f t="shared" si="56"/>
        <v>221</v>
      </c>
      <c r="L355" s="34" t="str">
        <f>IF(Data!$I42="","",Data!I42)</f>
        <v>Henri Verho</v>
      </c>
      <c r="M355" s="34">
        <f>IF(Data!$I42="","",IF(Data!K42=0,"dns",Data!K42))</f>
        <v>104</v>
      </c>
      <c r="N355" s="34" t="str">
        <f>IF(Data!$I42="","","GP"&amp;Data!$B42&amp;", "&amp;Data!$K$1)</f>
        <v>GP3, Sarja 2</v>
      </c>
      <c r="O355" s="34">
        <f t="shared" si="57"/>
        <v>220</v>
      </c>
      <c r="P355" s="34">
        <f>IF($L355="","",Data!B42)</f>
        <v>3</v>
      </c>
      <c r="Q355" s="34" t="str">
        <f t="shared" si="54"/>
        <v>2</v>
      </c>
      <c r="R355" s="34">
        <f t="shared" si="58"/>
        <v>355</v>
      </c>
      <c r="S355" s="70">
        <f t="shared" si="55"/>
        <v>0.22003235500000001</v>
      </c>
    </row>
    <row r="356" spans="1:19" x14ac:dyDescent="0.25">
      <c r="A356" s="34">
        <f t="shared" si="62"/>
        <v>352</v>
      </c>
      <c r="B356" s="34" t="str">
        <f t="shared" si="59"/>
        <v>Tatu Erlin</v>
      </c>
      <c r="C356" s="34" t="str">
        <f t="shared" si="60"/>
        <v>dns</v>
      </c>
      <c r="D356" s="34" t="str">
        <f t="shared" si="61"/>
        <v>GP10, Sarja 1</v>
      </c>
      <c r="K356" s="34">
        <f t="shared" si="56"/>
        <v>15</v>
      </c>
      <c r="L356" s="34" t="str">
        <f>IF(Data!$I43="","",Data!I43)</f>
        <v>Mika Sola</v>
      </c>
      <c r="M356" s="34">
        <f>IF(Data!$I43="","",IF(Data!K43=0,"dns",Data!K43))</f>
        <v>178</v>
      </c>
      <c r="N356" s="34" t="str">
        <f>IF(Data!$I43="","","GP"&amp;Data!$B43&amp;", "&amp;Data!$K$1)</f>
        <v>GP3, Sarja 2</v>
      </c>
      <c r="O356" s="34">
        <f t="shared" si="57"/>
        <v>15</v>
      </c>
      <c r="P356" s="34">
        <f>IF($L356="","",Data!B43)</f>
        <v>3</v>
      </c>
      <c r="Q356" s="34" t="str">
        <f t="shared" si="54"/>
        <v>2</v>
      </c>
      <c r="R356" s="34">
        <f t="shared" si="58"/>
        <v>356</v>
      </c>
      <c r="S356" s="70">
        <f t="shared" si="55"/>
        <v>1.5032356E-2</v>
      </c>
    </row>
    <row r="357" spans="1:19" x14ac:dyDescent="0.25">
      <c r="A357" s="34">
        <f t="shared" si="62"/>
        <v>353</v>
      </c>
      <c r="B357" s="34" t="str">
        <f t="shared" si="59"/>
        <v>Frans Hartman</v>
      </c>
      <c r="C357" s="34" t="str">
        <f t="shared" si="60"/>
        <v>dns</v>
      </c>
      <c r="D357" s="34" t="str">
        <f t="shared" si="61"/>
        <v>GP10, Sarja 2</v>
      </c>
      <c r="K357" s="34">
        <f t="shared" si="56"/>
        <v>173</v>
      </c>
      <c r="L357" s="34" t="str">
        <f>IF(Data!$I44="","",Data!I44)</f>
        <v>Sakari Leinonen</v>
      </c>
      <c r="M357" s="34">
        <f>IF(Data!$I44="","",IF(Data!K44=0,"dns",Data!K44))</f>
        <v>121</v>
      </c>
      <c r="N357" s="34" t="str">
        <f>IF(Data!$I44="","","GP"&amp;Data!$B44&amp;", "&amp;Data!$K$1)</f>
        <v>GP3, Sarja 2</v>
      </c>
      <c r="O357" s="34">
        <f t="shared" si="57"/>
        <v>171</v>
      </c>
      <c r="P357" s="34">
        <f>IF($L357="","",Data!B44)</f>
        <v>3</v>
      </c>
      <c r="Q357" s="34" t="str">
        <f t="shared" si="54"/>
        <v>2</v>
      </c>
      <c r="R357" s="34">
        <f t="shared" si="58"/>
        <v>357</v>
      </c>
      <c r="S357" s="70">
        <f t="shared" si="55"/>
        <v>0.17103235700000002</v>
      </c>
    </row>
    <row r="358" spans="1:19" x14ac:dyDescent="0.25">
      <c r="A358" s="34">
        <f t="shared" si="62"/>
        <v>354</v>
      </c>
      <c r="B358" s="34" t="str">
        <f t="shared" si="59"/>
        <v>Kaleva Latvala</v>
      </c>
      <c r="C358" s="34" t="str">
        <f t="shared" si="60"/>
        <v>dns</v>
      </c>
      <c r="D358" s="34" t="str">
        <f t="shared" si="61"/>
        <v>GP10, Sarja 2</v>
      </c>
      <c r="K358" s="34">
        <f t="shared" si="56"/>
        <v>72</v>
      </c>
      <c r="L358" s="34" t="str">
        <f>IF(Data!$I45="","",Data!I45)</f>
        <v>Jami Kallio</v>
      </c>
      <c r="M358" s="34">
        <f>IF(Data!$I45="","",IF(Data!K45=0,"dns",Data!K45))</f>
        <v>148</v>
      </c>
      <c r="N358" s="34" t="str">
        <f>IF(Data!$I45="","","GP"&amp;Data!$B45&amp;", "&amp;Data!$K$1)</f>
        <v>GP3, Sarja 2</v>
      </c>
      <c r="O358" s="34">
        <f t="shared" si="57"/>
        <v>71</v>
      </c>
      <c r="P358" s="34">
        <f>IF($L358="","",Data!B45)</f>
        <v>3</v>
      </c>
      <c r="Q358" s="34" t="str">
        <f t="shared" si="54"/>
        <v>2</v>
      </c>
      <c r="R358" s="34">
        <f t="shared" si="58"/>
        <v>358</v>
      </c>
      <c r="S358" s="70">
        <f t="shared" si="55"/>
        <v>7.1032358000000004E-2</v>
      </c>
    </row>
    <row r="359" spans="1:19" x14ac:dyDescent="0.25">
      <c r="A359" s="34">
        <f t="shared" si="62"/>
        <v>355</v>
      </c>
      <c r="B359" s="34" t="str">
        <f t="shared" si="59"/>
        <v>Asko Haaksi</v>
      </c>
      <c r="C359" s="34" t="str">
        <f t="shared" si="60"/>
        <v>dns</v>
      </c>
      <c r="D359" s="34" t="str">
        <f t="shared" si="61"/>
        <v>GP10, Sarja 2</v>
      </c>
      <c r="K359" s="34">
        <f t="shared" si="56"/>
        <v>174</v>
      </c>
      <c r="L359" s="34" t="str">
        <f>IF(Data!$I46="","",Data!I46)</f>
        <v>Juho Korpi</v>
      </c>
      <c r="M359" s="34">
        <f>IF(Data!$I46="","",IF(Data!K46=0,"dns",Data!K46))</f>
        <v>120</v>
      </c>
      <c r="N359" s="34" t="str">
        <f>IF(Data!$I46="","","GP"&amp;Data!$B46&amp;", "&amp;Data!$K$1)</f>
        <v>GP3, Sarja 2</v>
      </c>
      <c r="O359" s="34">
        <f t="shared" si="57"/>
        <v>174</v>
      </c>
      <c r="P359" s="34">
        <f>IF($L359="","",Data!B46)</f>
        <v>3</v>
      </c>
      <c r="Q359" s="34" t="str">
        <f t="shared" si="54"/>
        <v>2</v>
      </c>
      <c r="R359" s="34">
        <f t="shared" si="58"/>
        <v>359</v>
      </c>
      <c r="S359" s="70">
        <f t="shared" si="55"/>
        <v>0.174032359</v>
      </c>
    </row>
    <row r="360" spans="1:19" x14ac:dyDescent="0.25">
      <c r="A360" s="34">
        <f t="shared" si="62"/>
        <v>356</v>
      </c>
      <c r="B360" s="34" t="str">
        <f t="shared" si="59"/>
        <v>Joonas Ollonqvist</v>
      </c>
      <c r="C360" s="34" t="str">
        <f t="shared" si="60"/>
        <v>dns</v>
      </c>
      <c r="D360" s="34" t="str">
        <f t="shared" si="61"/>
        <v>GP10, Sarja 2</v>
      </c>
      <c r="K360" s="34">
        <f t="shared" si="56"/>
        <v>185</v>
      </c>
      <c r="L360" s="34" t="str">
        <f>IF(Data!$I47="","",Data!I47)</f>
        <v>Kaleva Latvala</v>
      </c>
      <c r="M360" s="34">
        <f>IF(Data!$I47="","",IF(Data!K47=0,"dns",Data!K47))</f>
        <v>118</v>
      </c>
      <c r="N360" s="34" t="str">
        <f>IF(Data!$I47="","","GP"&amp;Data!$B47&amp;", "&amp;Data!$K$1)</f>
        <v>GP3, Sarja 2</v>
      </c>
      <c r="O360" s="34">
        <f t="shared" si="57"/>
        <v>184</v>
      </c>
      <c r="P360" s="34">
        <f>IF($L360="","",Data!B47)</f>
        <v>3</v>
      </c>
      <c r="Q360" s="34" t="str">
        <f t="shared" si="54"/>
        <v>2</v>
      </c>
      <c r="R360" s="34">
        <f t="shared" si="58"/>
        <v>360</v>
      </c>
      <c r="S360" s="70">
        <f t="shared" si="55"/>
        <v>0.18403236000000001</v>
      </c>
    </row>
    <row r="361" spans="1:19" x14ac:dyDescent="0.25">
      <c r="A361" s="34">
        <f t="shared" si="62"/>
        <v>357</v>
      </c>
      <c r="B361" s="34" t="str">
        <f t="shared" si="59"/>
        <v>Miikka Korventausta</v>
      </c>
      <c r="C361" s="34" t="str">
        <f t="shared" si="60"/>
        <v>dns</v>
      </c>
      <c r="D361" s="34" t="str">
        <f t="shared" si="61"/>
        <v>GP10, Sarja 2</v>
      </c>
      <c r="K361" s="34">
        <f t="shared" si="56"/>
        <v>168</v>
      </c>
      <c r="L361" s="34" t="str">
        <f>IF(Data!$I48="","",Data!I48)</f>
        <v>Miikka Korventausta</v>
      </c>
      <c r="M361" s="34">
        <f>IF(Data!$I48="","",IF(Data!K48=0,"dns",Data!K48))</f>
        <v>122</v>
      </c>
      <c r="N361" s="34" t="str">
        <f>IF(Data!$I48="","","GP"&amp;Data!$B48&amp;", "&amp;Data!$K$1)</f>
        <v>GP3, Sarja 2</v>
      </c>
      <c r="O361" s="34">
        <f t="shared" si="57"/>
        <v>168</v>
      </c>
      <c r="P361" s="34">
        <f>IF($L361="","",Data!B48)</f>
        <v>3</v>
      </c>
      <c r="Q361" s="34" t="str">
        <f t="shared" si="54"/>
        <v>2</v>
      </c>
      <c r="R361" s="34">
        <f t="shared" si="58"/>
        <v>361</v>
      </c>
      <c r="S361" s="70">
        <f t="shared" si="55"/>
        <v>0.16803236100000002</v>
      </c>
    </row>
    <row r="362" spans="1:19" x14ac:dyDescent="0.25">
      <c r="A362" s="34">
        <f t="shared" si="62"/>
        <v>358</v>
      </c>
      <c r="B362" s="34" t="str">
        <f t="shared" si="59"/>
        <v>Roope Warro</v>
      </c>
      <c r="C362" s="34" t="str">
        <f t="shared" si="60"/>
        <v>dns</v>
      </c>
      <c r="D362" s="34" t="str">
        <f t="shared" si="61"/>
        <v>GP10, Sarja 2</v>
      </c>
      <c r="K362" s="34">
        <f t="shared" si="56"/>
        <v>280</v>
      </c>
      <c r="L362" s="34" t="str">
        <f>IF(Data!$I49="","",Data!I49)</f>
        <v>Joonas Ollonqvist</v>
      </c>
      <c r="M362" s="34" t="str">
        <f>IF(Data!$I49="","",IF(Data!K49=0,"dns",Data!K49))</f>
        <v>dns</v>
      </c>
      <c r="N362" s="34" t="str">
        <f>IF(Data!$I49="","","GP"&amp;Data!$B49&amp;", "&amp;Data!$K$1)</f>
        <v>GP3, Sarja 2</v>
      </c>
      <c r="O362" s="34">
        <f t="shared" si="57"/>
        <v>625</v>
      </c>
      <c r="P362" s="34">
        <f>IF($L362="","",Data!B49)</f>
        <v>3</v>
      </c>
      <c r="Q362" s="34" t="str">
        <f t="shared" si="54"/>
        <v>2</v>
      </c>
      <c r="R362" s="34">
        <f t="shared" si="58"/>
        <v>362</v>
      </c>
      <c r="S362" s="70">
        <f t="shared" si="55"/>
        <v>0.6250323619999999</v>
      </c>
    </row>
    <row r="363" spans="1:19" x14ac:dyDescent="0.25">
      <c r="A363" s="34">
        <f t="shared" si="62"/>
        <v>359</v>
      </c>
      <c r="B363" s="34" t="str">
        <f t="shared" si="59"/>
        <v>Iiro Riikonen</v>
      </c>
      <c r="C363" s="34" t="str">
        <f t="shared" si="60"/>
        <v>dns</v>
      </c>
      <c r="D363" s="34" t="str">
        <f t="shared" si="61"/>
        <v>GP10, Sarja 2</v>
      </c>
      <c r="K363" s="34">
        <f t="shared" si="56"/>
        <v>281</v>
      </c>
      <c r="L363" s="34" t="str">
        <f>IF(Data!$I50="","",Data!I50)</f>
        <v>Tatu Erlin</v>
      </c>
      <c r="M363" s="34" t="str">
        <f>IF(Data!$I50="","",IF(Data!K50=0,"dns",Data!K50))</f>
        <v>dns</v>
      </c>
      <c r="N363" s="34" t="str">
        <f>IF(Data!$I50="","","GP"&amp;Data!$B50&amp;", "&amp;Data!$K$1)</f>
        <v>GP3, Sarja 2</v>
      </c>
      <c r="O363" s="34">
        <f t="shared" si="57"/>
        <v>625</v>
      </c>
      <c r="P363" s="34">
        <f>IF($L363="","",Data!B50)</f>
        <v>3</v>
      </c>
      <c r="Q363" s="34" t="str">
        <f t="shared" si="54"/>
        <v>2</v>
      </c>
      <c r="R363" s="34">
        <f t="shared" si="58"/>
        <v>363</v>
      </c>
      <c r="S363" s="70">
        <f t="shared" si="55"/>
        <v>0.62503236299999987</v>
      </c>
    </row>
    <row r="364" spans="1:19" x14ac:dyDescent="0.25">
      <c r="A364" s="34">
        <f t="shared" si="62"/>
        <v>360</v>
      </c>
      <c r="B364" s="34" t="str">
        <f t="shared" si="59"/>
        <v>Tatu Erlin</v>
      </c>
      <c r="C364" s="34" t="str">
        <f t="shared" si="60"/>
        <v>dns</v>
      </c>
      <c r="D364" s="34" t="str">
        <f t="shared" si="61"/>
        <v>GP10, Sarja 2</v>
      </c>
      <c r="K364" s="34">
        <f t="shared" si="56"/>
        <v>282</v>
      </c>
      <c r="L364" s="34" t="str">
        <f>IF(Data!$I51="","",Data!I51)</f>
        <v>Olli Kajava</v>
      </c>
      <c r="M364" s="34" t="str">
        <f>IF(Data!$I51="","",IF(Data!K51=0,"dns",Data!K51))</f>
        <v>dns</v>
      </c>
      <c r="N364" s="34" t="str">
        <f>IF(Data!$I51="","","GP"&amp;Data!$B51&amp;", "&amp;Data!$K$1)</f>
        <v>GP3, Sarja 2</v>
      </c>
      <c r="O364" s="34">
        <f t="shared" si="57"/>
        <v>625</v>
      </c>
      <c r="P364" s="34">
        <f>IF($L364="","",Data!B51)</f>
        <v>3</v>
      </c>
      <c r="Q364" s="34" t="str">
        <f t="shared" si="54"/>
        <v>2</v>
      </c>
      <c r="R364" s="34">
        <f t="shared" si="58"/>
        <v>364</v>
      </c>
      <c r="S364" s="70">
        <f t="shared" si="55"/>
        <v>0.62503236399999995</v>
      </c>
    </row>
    <row r="365" spans="1:19" x14ac:dyDescent="0.25">
      <c r="A365" s="34" t="str">
        <f t="shared" si="62"/>
        <v/>
      </c>
      <c r="B365" s="34" t="str">
        <f t="shared" si="59"/>
        <v/>
      </c>
      <c r="C365" s="34" t="str">
        <f t="shared" si="60"/>
        <v/>
      </c>
      <c r="D365" s="34" t="str">
        <f t="shared" si="61"/>
        <v/>
      </c>
      <c r="K365" s="34">
        <f t="shared" si="56"/>
        <v>283</v>
      </c>
      <c r="L365" s="34" t="str">
        <f>IF(Data!$I52="","",Data!I52)</f>
        <v>Iiro Riikonen</v>
      </c>
      <c r="M365" s="34" t="str">
        <f>IF(Data!$I52="","",IF(Data!K52=0,"dns",Data!K52))</f>
        <v>dns</v>
      </c>
      <c r="N365" s="34" t="str">
        <f>IF(Data!$I52="","","GP"&amp;Data!$B52&amp;", "&amp;Data!$K$1)</f>
        <v>GP3, Sarja 2</v>
      </c>
      <c r="O365" s="34">
        <f t="shared" si="57"/>
        <v>625</v>
      </c>
      <c r="P365" s="34">
        <f>IF($L365="","",Data!B52)</f>
        <v>3</v>
      </c>
      <c r="Q365" s="34" t="str">
        <f t="shared" si="54"/>
        <v>2</v>
      </c>
      <c r="R365" s="34">
        <f t="shared" si="58"/>
        <v>365</v>
      </c>
      <c r="S365" s="70">
        <f t="shared" si="55"/>
        <v>0.62503236499999992</v>
      </c>
    </row>
    <row r="366" spans="1:19" x14ac:dyDescent="0.25">
      <c r="A366" s="34" t="str">
        <f t="shared" si="62"/>
        <v/>
      </c>
      <c r="B366" s="34" t="str">
        <f t="shared" si="59"/>
        <v/>
      </c>
      <c r="C366" s="34" t="str">
        <f t="shared" si="60"/>
        <v/>
      </c>
      <c r="D366" s="34" t="str">
        <f t="shared" si="61"/>
        <v/>
      </c>
      <c r="K366" s="34">
        <f t="shared" si="56"/>
        <v>284</v>
      </c>
      <c r="L366" s="34" t="str">
        <f>IF(Data!$I53="","",Data!I53)</f>
        <v>Frans Hartman</v>
      </c>
      <c r="M366" s="34" t="str">
        <f>IF(Data!$I53="","",IF(Data!K53=0,"dns",Data!K53))</f>
        <v>dns</v>
      </c>
      <c r="N366" s="34" t="str">
        <f>IF(Data!$I53="","","GP"&amp;Data!$B53&amp;", "&amp;Data!$K$1)</f>
        <v>GP3, Sarja 2</v>
      </c>
      <c r="O366" s="34">
        <f t="shared" si="57"/>
        <v>625</v>
      </c>
      <c r="P366" s="34">
        <f>IF($L366="","",Data!B53)</f>
        <v>3</v>
      </c>
      <c r="Q366" s="34" t="str">
        <f t="shared" si="54"/>
        <v>2</v>
      </c>
      <c r="R366" s="34">
        <f t="shared" si="58"/>
        <v>366</v>
      </c>
      <c r="S366" s="70">
        <f t="shared" si="55"/>
        <v>0.62503236599999989</v>
      </c>
    </row>
    <row r="367" spans="1:19" x14ac:dyDescent="0.25">
      <c r="A367" s="34" t="str">
        <f t="shared" si="62"/>
        <v/>
      </c>
      <c r="B367" s="34" t="str">
        <f t="shared" si="59"/>
        <v/>
      </c>
      <c r="C367" s="34" t="str">
        <f t="shared" si="60"/>
        <v/>
      </c>
      <c r="D367" s="34" t="str">
        <f t="shared" si="61"/>
        <v/>
      </c>
      <c r="K367" s="34">
        <f t="shared" si="56"/>
        <v>285</v>
      </c>
      <c r="L367" s="34" t="str">
        <f>IF(Data!$I54="","",Data!I54)</f>
        <v>Asko Haaksi</v>
      </c>
      <c r="M367" s="34" t="str">
        <f>IF(Data!$I54="","",IF(Data!K54=0,"dns",Data!K54))</f>
        <v>dns</v>
      </c>
      <c r="N367" s="34" t="str">
        <f>IF(Data!$I54="","","GP"&amp;Data!$B54&amp;", "&amp;Data!$K$1)</f>
        <v>GP3, Sarja 2</v>
      </c>
      <c r="O367" s="34">
        <f t="shared" si="57"/>
        <v>625</v>
      </c>
      <c r="P367" s="34">
        <f>IF($L367="","",Data!B54)</f>
        <v>3</v>
      </c>
      <c r="Q367" s="34" t="str">
        <f t="shared" si="54"/>
        <v>2</v>
      </c>
      <c r="R367" s="34">
        <f t="shared" si="58"/>
        <v>367</v>
      </c>
      <c r="S367" s="70">
        <f t="shared" si="55"/>
        <v>0.62503236699999987</v>
      </c>
    </row>
    <row r="368" spans="1:19" x14ac:dyDescent="0.25">
      <c r="A368" s="34" t="str">
        <f t="shared" si="62"/>
        <v/>
      </c>
      <c r="B368" s="34" t="str">
        <f t="shared" si="59"/>
        <v/>
      </c>
      <c r="C368" s="34" t="str">
        <f t="shared" si="60"/>
        <v/>
      </c>
      <c r="D368" s="34" t="str">
        <f t="shared" si="61"/>
        <v/>
      </c>
      <c r="K368" s="34">
        <f t="shared" si="56"/>
        <v>286</v>
      </c>
      <c r="L368" s="34" t="str">
        <f>IF(Data!$I55="","",Data!I55)</f>
        <v>Roope Warro</v>
      </c>
      <c r="M368" s="34" t="str">
        <f>IF(Data!$I55="","",IF(Data!K55=0,"dns",Data!K55))</f>
        <v>dns</v>
      </c>
      <c r="N368" s="34" t="str">
        <f>IF(Data!$I55="","","GP"&amp;Data!$B55&amp;", "&amp;Data!$K$1)</f>
        <v>GP3, Sarja 2</v>
      </c>
      <c r="O368" s="34">
        <f t="shared" si="57"/>
        <v>625</v>
      </c>
      <c r="P368" s="34">
        <f>IF($L368="","",Data!B55)</f>
        <v>3</v>
      </c>
      <c r="Q368" s="34" t="str">
        <f t="shared" si="54"/>
        <v>2</v>
      </c>
      <c r="R368" s="34">
        <f t="shared" si="58"/>
        <v>368</v>
      </c>
      <c r="S368" s="70">
        <f t="shared" si="55"/>
        <v>0.62503236799999995</v>
      </c>
    </row>
    <row r="369" spans="1:19" x14ac:dyDescent="0.25">
      <c r="A369" s="34" t="str">
        <f t="shared" si="62"/>
        <v/>
      </c>
      <c r="B369" s="34" t="str">
        <f t="shared" si="59"/>
        <v/>
      </c>
      <c r="C369" s="34" t="str">
        <f t="shared" si="60"/>
        <v/>
      </c>
      <c r="D369" s="34" t="str">
        <f t="shared" si="61"/>
        <v/>
      </c>
      <c r="K369" s="34">
        <f t="shared" si="56"/>
        <v>59</v>
      </c>
      <c r="L369" s="34" t="str">
        <f>IF(Data!$I56="","",Data!I56)</f>
        <v>Niko Reunanen</v>
      </c>
      <c r="M369" s="34">
        <f>IF(Data!$I56="","",IF(Data!K56=0,"dns",Data!K56))</f>
        <v>155</v>
      </c>
      <c r="N369" s="34" t="str">
        <f>IF(Data!$I56="","","GP"&amp;Data!$B56&amp;", "&amp;Data!$K$1)</f>
        <v>GP4, Sarja 2</v>
      </c>
      <c r="O369" s="34">
        <f t="shared" si="57"/>
        <v>59</v>
      </c>
      <c r="P369" s="34">
        <f>IF($L369="","",Data!B56)</f>
        <v>4</v>
      </c>
      <c r="Q369" s="34" t="str">
        <f t="shared" si="54"/>
        <v>2</v>
      </c>
      <c r="R369" s="34">
        <f t="shared" si="58"/>
        <v>369</v>
      </c>
      <c r="S369" s="70">
        <f t="shared" si="55"/>
        <v>5.9042368999999997E-2</v>
      </c>
    </row>
    <row r="370" spans="1:19" x14ac:dyDescent="0.25">
      <c r="A370" s="34" t="str">
        <f t="shared" si="62"/>
        <v/>
      </c>
      <c r="B370" s="34" t="str">
        <f t="shared" si="59"/>
        <v/>
      </c>
      <c r="C370" s="34" t="str">
        <f t="shared" si="60"/>
        <v/>
      </c>
      <c r="D370" s="34" t="str">
        <f t="shared" si="61"/>
        <v/>
      </c>
      <c r="K370" s="34">
        <f t="shared" si="56"/>
        <v>169</v>
      </c>
      <c r="L370" s="34" t="str">
        <f>IF(Data!$I57="","",Data!I57)</f>
        <v>Roope Warro</v>
      </c>
      <c r="M370" s="34">
        <f>IF(Data!$I57="","",IF(Data!K57=0,"dns",Data!K57))</f>
        <v>122</v>
      </c>
      <c r="N370" s="34" t="str">
        <f>IF(Data!$I57="","","GP"&amp;Data!$B57&amp;", "&amp;Data!$K$1)</f>
        <v>GP4, Sarja 2</v>
      </c>
      <c r="O370" s="34">
        <f t="shared" si="57"/>
        <v>168</v>
      </c>
      <c r="P370" s="34">
        <f>IF($L370="","",Data!B57)</f>
        <v>4</v>
      </c>
      <c r="Q370" s="34" t="str">
        <f t="shared" si="54"/>
        <v>2</v>
      </c>
      <c r="R370" s="34">
        <f t="shared" si="58"/>
        <v>370</v>
      </c>
      <c r="S370" s="70">
        <f t="shared" si="55"/>
        <v>0.16804237000000002</v>
      </c>
    </row>
    <row r="371" spans="1:19" x14ac:dyDescent="0.25">
      <c r="A371" s="34" t="str">
        <f t="shared" si="62"/>
        <v/>
      </c>
      <c r="B371" s="34" t="str">
        <f t="shared" si="59"/>
        <v/>
      </c>
      <c r="C371" s="34" t="str">
        <f t="shared" si="60"/>
        <v/>
      </c>
      <c r="D371" s="34" t="str">
        <f t="shared" si="61"/>
        <v/>
      </c>
      <c r="K371" s="34">
        <f t="shared" si="56"/>
        <v>170</v>
      </c>
      <c r="L371" s="34" t="str">
        <f>IF(Data!$I58="","",Data!I58)</f>
        <v>Miikka Korventausta</v>
      </c>
      <c r="M371" s="34">
        <f>IF(Data!$I58="","",IF(Data!K58=0,"dns",Data!K58))</f>
        <v>122</v>
      </c>
      <c r="N371" s="34" t="str">
        <f>IF(Data!$I58="","","GP"&amp;Data!$B58&amp;", "&amp;Data!$K$1)</f>
        <v>GP4, Sarja 2</v>
      </c>
      <c r="O371" s="34">
        <f t="shared" si="57"/>
        <v>168</v>
      </c>
      <c r="P371" s="34">
        <f>IF($L371="","",Data!B58)</f>
        <v>4</v>
      </c>
      <c r="Q371" s="34" t="str">
        <f t="shared" si="54"/>
        <v>2</v>
      </c>
      <c r="R371" s="34">
        <f t="shared" si="58"/>
        <v>371</v>
      </c>
      <c r="S371" s="70">
        <f t="shared" si="55"/>
        <v>0.16804237100000002</v>
      </c>
    </row>
    <row r="372" spans="1:19" x14ac:dyDescent="0.25">
      <c r="A372" s="34" t="str">
        <f t="shared" si="62"/>
        <v/>
      </c>
      <c r="B372" s="34" t="str">
        <f t="shared" si="59"/>
        <v/>
      </c>
      <c r="C372" s="34" t="str">
        <f t="shared" si="60"/>
        <v/>
      </c>
      <c r="D372" s="34" t="str">
        <f t="shared" si="61"/>
        <v/>
      </c>
      <c r="K372" s="34">
        <f t="shared" si="56"/>
        <v>210</v>
      </c>
      <c r="L372" s="34" t="str">
        <f>IF(Data!$I59="","",Data!I59)</f>
        <v>Joonas Ollonqvist</v>
      </c>
      <c r="M372" s="34">
        <f>IF(Data!$I59="","",IF(Data!K59=0,"dns",Data!K59))</f>
        <v>108</v>
      </c>
      <c r="N372" s="34" t="str">
        <f>IF(Data!$I59="","","GP"&amp;Data!$B59&amp;", "&amp;Data!$K$1)</f>
        <v>GP4, Sarja 2</v>
      </c>
      <c r="O372" s="34">
        <f t="shared" si="57"/>
        <v>210</v>
      </c>
      <c r="P372" s="34">
        <f>IF($L372="","",Data!B59)</f>
        <v>4</v>
      </c>
      <c r="Q372" s="34" t="str">
        <f t="shared" si="54"/>
        <v>2</v>
      </c>
      <c r="R372" s="34">
        <f t="shared" si="58"/>
        <v>372</v>
      </c>
      <c r="S372" s="70">
        <f t="shared" si="55"/>
        <v>0.210042372</v>
      </c>
    </row>
    <row r="373" spans="1:19" x14ac:dyDescent="0.25">
      <c r="A373" s="34" t="str">
        <f t="shared" si="62"/>
        <v/>
      </c>
      <c r="B373" s="34" t="str">
        <f t="shared" si="59"/>
        <v/>
      </c>
      <c r="C373" s="34" t="str">
        <f t="shared" si="60"/>
        <v/>
      </c>
      <c r="D373" s="34" t="str">
        <f t="shared" si="61"/>
        <v/>
      </c>
      <c r="K373" s="34">
        <f t="shared" si="56"/>
        <v>144</v>
      </c>
      <c r="L373" s="34" t="str">
        <f>IF(Data!$I60="","",Data!I60)</f>
        <v>Iiro Riikonen</v>
      </c>
      <c r="M373" s="34">
        <f>IF(Data!$I60="","",IF(Data!K60=0,"dns",Data!K60))</f>
        <v>127</v>
      </c>
      <c r="N373" s="34" t="str">
        <f>IF(Data!$I60="","","GP"&amp;Data!$B60&amp;", "&amp;Data!$K$1)</f>
        <v>GP4, Sarja 2</v>
      </c>
      <c r="O373" s="34">
        <f t="shared" si="57"/>
        <v>141</v>
      </c>
      <c r="P373" s="34">
        <f>IF($L373="","",Data!B60)</f>
        <v>4</v>
      </c>
      <c r="Q373" s="34" t="str">
        <f t="shared" si="54"/>
        <v>2</v>
      </c>
      <c r="R373" s="34">
        <f t="shared" si="58"/>
        <v>373</v>
      </c>
      <c r="S373" s="70">
        <f t="shared" si="55"/>
        <v>0.141042373</v>
      </c>
    </row>
    <row r="374" spans="1:19" x14ac:dyDescent="0.25">
      <c r="A374" s="34" t="str">
        <f t="shared" si="62"/>
        <v/>
      </c>
      <c r="B374" s="34" t="str">
        <f t="shared" si="59"/>
        <v/>
      </c>
      <c r="C374" s="34" t="str">
        <f t="shared" si="60"/>
        <v/>
      </c>
      <c r="D374" s="34" t="str">
        <f t="shared" si="61"/>
        <v/>
      </c>
      <c r="K374" s="34">
        <f t="shared" si="56"/>
        <v>175</v>
      </c>
      <c r="L374" s="34" t="str">
        <f>IF(Data!$I61="","",Data!I61)</f>
        <v>Juho Korpi</v>
      </c>
      <c r="M374" s="34">
        <f>IF(Data!$I61="","",IF(Data!K61=0,"dns",Data!K61))</f>
        <v>120</v>
      </c>
      <c r="N374" s="34" t="str">
        <f>IF(Data!$I61="","","GP"&amp;Data!$B61&amp;", "&amp;Data!$K$1)</f>
        <v>GP4, Sarja 2</v>
      </c>
      <c r="O374" s="34">
        <f t="shared" si="57"/>
        <v>174</v>
      </c>
      <c r="P374" s="34">
        <f>IF($L374="","",Data!B61)</f>
        <v>4</v>
      </c>
      <c r="Q374" s="34" t="str">
        <f t="shared" si="54"/>
        <v>2</v>
      </c>
      <c r="R374" s="34">
        <f t="shared" si="58"/>
        <v>374</v>
      </c>
      <c r="S374" s="70">
        <f t="shared" si="55"/>
        <v>0.174042374</v>
      </c>
    </row>
    <row r="375" spans="1:19" x14ac:dyDescent="0.25">
      <c r="A375" s="34" t="str">
        <f t="shared" si="62"/>
        <v/>
      </c>
      <c r="B375" s="34" t="str">
        <f t="shared" si="59"/>
        <v/>
      </c>
      <c r="C375" s="34" t="str">
        <f t="shared" si="60"/>
        <v/>
      </c>
      <c r="D375" s="34" t="str">
        <f t="shared" si="61"/>
        <v/>
      </c>
      <c r="K375" s="34">
        <f t="shared" si="56"/>
        <v>83</v>
      </c>
      <c r="L375" s="34" t="str">
        <f>IF(Data!$I62="","",Data!I62)</f>
        <v>Asko Haaksi</v>
      </c>
      <c r="M375" s="34">
        <f>IF(Data!$I62="","",IF(Data!K62=0,"dns",Data!K62))</f>
        <v>145</v>
      </c>
      <c r="N375" s="34" t="str">
        <f>IF(Data!$I62="","","GP"&amp;Data!$B62&amp;", "&amp;Data!$K$1)</f>
        <v>GP4, Sarja 2</v>
      </c>
      <c r="O375" s="34">
        <f t="shared" si="57"/>
        <v>83</v>
      </c>
      <c r="P375" s="34">
        <f>IF($L375="","",Data!B62)</f>
        <v>4</v>
      </c>
      <c r="Q375" s="34" t="str">
        <f t="shared" si="54"/>
        <v>2</v>
      </c>
      <c r="R375" s="34">
        <f t="shared" si="58"/>
        <v>375</v>
      </c>
      <c r="S375" s="70">
        <f t="shared" si="55"/>
        <v>8.3042375000000002E-2</v>
      </c>
    </row>
    <row r="376" spans="1:19" x14ac:dyDescent="0.25">
      <c r="A376" s="34" t="str">
        <f t="shared" si="62"/>
        <v/>
      </c>
      <c r="B376" s="34" t="str">
        <f t="shared" si="59"/>
        <v/>
      </c>
      <c r="C376" s="34" t="str">
        <f t="shared" si="60"/>
        <v/>
      </c>
      <c r="D376" s="34" t="str">
        <f t="shared" si="61"/>
        <v/>
      </c>
      <c r="K376" s="34">
        <f t="shared" si="56"/>
        <v>65</v>
      </c>
      <c r="L376" s="34" t="str">
        <f>IF(Data!$I63="","",Data!I63)</f>
        <v>Henri Verho</v>
      </c>
      <c r="M376" s="34">
        <f>IF(Data!$I63="","",IF(Data!K63=0,"dns",Data!K63))</f>
        <v>151</v>
      </c>
      <c r="N376" s="34" t="str">
        <f>IF(Data!$I63="","","GP"&amp;Data!$B63&amp;", "&amp;Data!$K$1)</f>
        <v>GP4, Sarja 2</v>
      </c>
      <c r="O376" s="34">
        <f t="shared" si="57"/>
        <v>65</v>
      </c>
      <c r="P376" s="34">
        <f>IF($L376="","",Data!B63)</f>
        <v>4</v>
      </c>
      <c r="Q376" s="34" t="str">
        <f t="shared" si="54"/>
        <v>2</v>
      </c>
      <c r="R376" s="34">
        <f t="shared" si="58"/>
        <v>376</v>
      </c>
      <c r="S376" s="70">
        <f t="shared" si="55"/>
        <v>6.5042375999999999E-2</v>
      </c>
    </row>
    <row r="377" spans="1:19" x14ac:dyDescent="0.25">
      <c r="A377" s="34" t="str">
        <f t="shared" si="62"/>
        <v/>
      </c>
      <c r="B377" s="34" t="str">
        <f t="shared" si="59"/>
        <v/>
      </c>
      <c r="C377" s="34" t="str">
        <f t="shared" si="60"/>
        <v/>
      </c>
      <c r="D377" s="34" t="str">
        <f t="shared" si="61"/>
        <v/>
      </c>
      <c r="K377" s="34">
        <f t="shared" si="56"/>
        <v>193</v>
      </c>
      <c r="L377" s="34" t="str">
        <f>IF(Data!$I64="","",Data!I64)</f>
        <v>Kaleva Latvala</v>
      </c>
      <c r="M377" s="34">
        <f>IF(Data!$I64="","",IF(Data!K64=0,"dns",Data!K64))</f>
        <v>115</v>
      </c>
      <c r="N377" s="34" t="str">
        <f>IF(Data!$I64="","","GP"&amp;Data!$B64&amp;", "&amp;Data!$K$1)</f>
        <v>GP4, Sarja 2</v>
      </c>
      <c r="O377" s="34">
        <f t="shared" si="57"/>
        <v>193</v>
      </c>
      <c r="P377" s="34">
        <f>IF($L377="","",Data!B64)</f>
        <v>4</v>
      </c>
      <c r="Q377" s="34" t="str">
        <f t="shared" si="54"/>
        <v>2</v>
      </c>
      <c r="R377" s="34">
        <f t="shared" si="58"/>
        <v>377</v>
      </c>
      <c r="S377" s="70">
        <f t="shared" si="55"/>
        <v>0.19304237700000001</v>
      </c>
    </row>
    <row r="378" spans="1:19" x14ac:dyDescent="0.25">
      <c r="A378" s="34" t="str">
        <f t="shared" si="62"/>
        <v/>
      </c>
      <c r="B378" s="34" t="str">
        <f t="shared" si="59"/>
        <v/>
      </c>
      <c r="C378" s="34" t="str">
        <f t="shared" si="60"/>
        <v/>
      </c>
      <c r="D378" s="34" t="str">
        <f t="shared" si="61"/>
        <v/>
      </c>
      <c r="K378" s="34">
        <f t="shared" si="56"/>
        <v>8</v>
      </c>
      <c r="L378" s="34" t="str">
        <f>IF(Data!$I65="","",Data!I65)</f>
        <v>Jami Kallio</v>
      </c>
      <c r="M378" s="34">
        <f>IF(Data!$I65="","",IF(Data!K65=0,"dns",Data!K65))</f>
        <v>190</v>
      </c>
      <c r="N378" s="34" t="str">
        <f>IF(Data!$I65="","","GP"&amp;Data!$B65&amp;", "&amp;Data!$K$1)</f>
        <v>GP4, Sarja 2</v>
      </c>
      <c r="O378" s="34">
        <f t="shared" si="57"/>
        <v>8</v>
      </c>
      <c r="P378" s="34">
        <f>IF($L378="","",Data!B65)</f>
        <v>4</v>
      </c>
      <c r="Q378" s="34" t="str">
        <f t="shared" si="54"/>
        <v>2</v>
      </c>
      <c r="R378" s="34">
        <f t="shared" si="58"/>
        <v>378</v>
      </c>
      <c r="S378" s="70">
        <f t="shared" si="55"/>
        <v>8.0423780000000011E-3</v>
      </c>
    </row>
    <row r="379" spans="1:19" x14ac:dyDescent="0.25">
      <c r="A379" s="34" t="str">
        <f t="shared" si="62"/>
        <v/>
      </c>
      <c r="B379" s="34" t="str">
        <f t="shared" si="59"/>
        <v/>
      </c>
      <c r="C379" s="34" t="str">
        <f t="shared" si="60"/>
        <v/>
      </c>
      <c r="D379" s="34" t="str">
        <f t="shared" si="61"/>
        <v/>
      </c>
      <c r="K379" s="34">
        <f t="shared" si="56"/>
        <v>162</v>
      </c>
      <c r="L379" s="34" t="str">
        <f>IF(Data!$I66="","",Data!I66)</f>
        <v>Miika Nordblad</v>
      </c>
      <c r="M379" s="34">
        <f>IF(Data!$I66="","",IF(Data!K66=0,"dns",Data!K66))</f>
        <v>123</v>
      </c>
      <c r="N379" s="34" t="str">
        <f>IF(Data!$I66="","","GP"&amp;Data!$B66&amp;", "&amp;Data!$K$1)</f>
        <v>GP4, Sarja 2</v>
      </c>
      <c r="O379" s="34">
        <f t="shared" si="57"/>
        <v>162</v>
      </c>
      <c r="P379" s="34">
        <f>IF($L379="","",Data!B66)</f>
        <v>4</v>
      </c>
      <c r="Q379" s="34" t="str">
        <f t="shared" si="54"/>
        <v>2</v>
      </c>
      <c r="R379" s="34">
        <f t="shared" si="58"/>
        <v>379</v>
      </c>
      <c r="S379" s="70">
        <f t="shared" si="55"/>
        <v>0.16204237900000001</v>
      </c>
    </row>
    <row r="380" spans="1:19" x14ac:dyDescent="0.25">
      <c r="A380" s="34" t="str">
        <f t="shared" si="62"/>
        <v/>
      </c>
      <c r="B380" s="34" t="str">
        <f t="shared" si="59"/>
        <v/>
      </c>
      <c r="C380" s="34" t="str">
        <f t="shared" si="60"/>
        <v/>
      </c>
      <c r="D380" s="34" t="str">
        <f t="shared" si="61"/>
        <v/>
      </c>
      <c r="K380" s="34">
        <f t="shared" si="56"/>
        <v>251</v>
      </c>
      <c r="L380" s="34" t="str">
        <f>IF(Data!$I67="","",Data!I67)</f>
        <v>Mikko Mansikkamäki</v>
      </c>
      <c r="M380" s="34">
        <f>IF(Data!$I67="","",IF(Data!K67=0,"dns",Data!K67))</f>
        <v>72</v>
      </c>
      <c r="N380" s="34" t="str">
        <f>IF(Data!$I67="","","GP"&amp;Data!$B67&amp;", "&amp;Data!$K$1)</f>
        <v>GP4, Sarja 2</v>
      </c>
      <c r="O380" s="34">
        <f t="shared" si="57"/>
        <v>251</v>
      </c>
      <c r="P380" s="34">
        <f>IF($L380="","",Data!B67)</f>
        <v>4</v>
      </c>
      <c r="Q380" s="34" t="str">
        <f t="shared" ref="Q380:Q443" si="63">IF($L380="","",RIGHT(N380,1))</f>
        <v>2</v>
      </c>
      <c r="R380" s="34">
        <f t="shared" si="58"/>
        <v>380</v>
      </c>
      <c r="S380" s="70">
        <f t="shared" ref="S380:S443" si="64">IF($L380="","",O380/1000+P380/100000+Q380/1000000+R380/1000000000)</f>
        <v>0.25104238000000001</v>
      </c>
    </row>
    <row r="381" spans="1:19" x14ac:dyDescent="0.25">
      <c r="A381" s="34" t="str">
        <f t="shared" si="62"/>
        <v/>
      </c>
      <c r="B381" s="34" t="str">
        <f t="shared" si="59"/>
        <v/>
      </c>
      <c r="C381" s="34" t="str">
        <f t="shared" si="60"/>
        <v/>
      </c>
      <c r="D381" s="34" t="str">
        <f t="shared" si="61"/>
        <v/>
      </c>
      <c r="K381" s="34">
        <f t="shared" si="56"/>
        <v>155</v>
      </c>
      <c r="L381" s="34" t="str">
        <f>IF(Data!$I68="","",Data!I68)</f>
        <v>Olli Kajava</v>
      </c>
      <c r="M381" s="34">
        <f>IF(Data!$I68="","",IF(Data!K68=0,"dns",Data!K68))</f>
        <v>124</v>
      </c>
      <c r="N381" s="34" t="str">
        <f>IF(Data!$I68="","","GP"&amp;Data!$B68&amp;", "&amp;Data!$K$1)</f>
        <v>GP4, Sarja 2</v>
      </c>
      <c r="O381" s="34">
        <f t="shared" si="57"/>
        <v>155</v>
      </c>
      <c r="P381" s="34">
        <f>IF($L381="","",Data!B68)</f>
        <v>4</v>
      </c>
      <c r="Q381" s="34" t="str">
        <f t="shared" si="63"/>
        <v>2</v>
      </c>
      <c r="R381" s="34">
        <f t="shared" si="58"/>
        <v>381</v>
      </c>
      <c r="S381" s="70">
        <f t="shared" si="64"/>
        <v>0.15504238100000001</v>
      </c>
    </row>
    <row r="382" spans="1:19" x14ac:dyDescent="0.25">
      <c r="A382" s="34" t="str">
        <f t="shared" si="62"/>
        <v/>
      </c>
      <c r="B382" s="34" t="str">
        <f t="shared" si="59"/>
        <v/>
      </c>
      <c r="C382" s="34" t="str">
        <f t="shared" si="60"/>
        <v/>
      </c>
      <c r="D382" s="34" t="str">
        <f t="shared" si="61"/>
        <v/>
      </c>
      <c r="K382" s="34">
        <f t="shared" si="56"/>
        <v>145</v>
      </c>
      <c r="L382" s="34" t="str">
        <f>IF(Data!$I69="","",Data!I69)</f>
        <v>Mika Sola</v>
      </c>
      <c r="M382" s="34">
        <f>IF(Data!$I69="","",IF(Data!K69=0,"dns",Data!K69))</f>
        <v>127</v>
      </c>
      <c r="N382" s="34" t="str">
        <f>IF(Data!$I69="","","GP"&amp;Data!$B69&amp;", "&amp;Data!$K$1)</f>
        <v>GP4, Sarja 2</v>
      </c>
      <c r="O382" s="34">
        <f t="shared" si="57"/>
        <v>141</v>
      </c>
      <c r="P382" s="34">
        <f>IF($L382="","",Data!B69)</f>
        <v>4</v>
      </c>
      <c r="Q382" s="34" t="str">
        <f t="shared" si="63"/>
        <v>2</v>
      </c>
      <c r="R382" s="34">
        <f t="shared" si="58"/>
        <v>382</v>
      </c>
      <c r="S382" s="70">
        <f t="shared" si="64"/>
        <v>0.14104238199999999</v>
      </c>
    </row>
    <row r="383" spans="1:19" x14ac:dyDescent="0.25">
      <c r="A383" s="34" t="str">
        <f t="shared" si="62"/>
        <v/>
      </c>
      <c r="B383" s="34" t="str">
        <f t="shared" si="59"/>
        <v/>
      </c>
      <c r="C383" s="34" t="str">
        <f t="shared" si="60"/>
        <v/>
      </c>
      <c r="D383" s="34" t="str">
        <f t="shared" si="61"/>
        <v/>
      </c>
      <c r="K383" s="34">
        <f t="shared" si="56"/>
        <v>291</v>
      </c>
      <c r="L383" s="34" t="str">
        <f>IF(Data!$I70="","",Data!I70)</f>
        <v>Ossi Oksa</v>
      </c>
      <c r="M383" s="34" t="str">
        <f>IF(Data!$I70="","",IF(Data!K70=0,"dns",Data!K70))</f>
        <v>dns</v>
      </c>
      <c r="N383" s="34" t="str">
        <f>IF(Data!$I70="","","GP"&amp;Data!$B70&amp;", "&amp;Data!$K$1)</f>
        <v>GP4, Sarja 2</v>
      </c>
      <c r="O383" s="34">
        <f t="shared" si="57"/>
        <v>625</v>
      </c>
      <c r="P383" s="34">
        <f>IF($L383="","",Data!B70)</f>
        <v>4</v>
      </c>
      <c r="Q383" s="34" t="str">
        <f t="shared" si="63"/>
        <v>2</v>
      </c>
      <c r="R383" s="34">
        <f t="shared" si="58"/>
        <v>383</v>
      </c>
      <c r="S383" s="70">
        <f t="shared" si="64"/>
        <v>0.62504238300000003</v>
      </c>
    </row>
    <row r="384" spans="1:19" x14ac:dyDescent="0.25">
      <c r="A384" s="34" t="str">
        <f t="shared" si="62"/>
        <v/>
      </c>
      <c r="B384" s="34" t="str">
        <f t="shared" si="59"/>
        <v/>
      </c>
      <c r="C384" s="34" t="str">
        <f t="shared" si="60"/>
        <v/>
      </c>
      <c r="D384" s="34" t="str">
        <f t="shared" si="61"/>
        <v/>
      </c>
      <c r="K384" s="34">
        <f t="shared" si="56"/>
        <v>292</v>
      </c>
      <c r="L384" s="34" t="str">
        <f>IF(Data!$I71="","",Data!I71)</f>
        <v>Sakari Leinonen</v>
      </c>
      <c r="M384" s="34" t="str">
        <f>IF(Data!$I71="","",IF(Data!K71=0,"dns",Data!K71))</f>
        <v>dns</v>
      </c>
      <c r="N384" s="34" t="str">
        <f>IF(Data!$I71="","","GP"&amp;Data!$B71&amp;", "&amp;Data!$K$1)</f>
        <v>GP4, Sarja 2</v>
      </c>
      <c r="O384" s="34">
        <f t="shared" si="57"/>
        <v>625</v>
      </c>
      <c r="P384" s="34">
        <f>IF($L384="","",Data!B71)</f>
        <v>4</v>
      </c>
      <c r="Q384" s="34" t="str">
        <f t="shared" si="63"/>
        <v>2</v>
      </c>
      <c r="R384" s="34">
        <f t="shared" si="58"/>
        <v>384</v>
      </c>
      <c r="S384" s="70">
        <f t="shared" si="64"/>
        <v>0.62504238400000001</v>
      </c>
    </row>
    <row r="385" spans="1:19" x14ac:dyDescent="0.25">
      <c r="A385" s="34" t="str">
        <f t="shared" si="62"/>
        <v/>
      </c>
      <c r="B385" s="34" t="str">
        <f t="shared" si="59"/>
        <v/>
      </c>
      <c r="C385" s="34" t="str">
        <f t="shared" si="60"/>
        <v/>
      </c>
      <c r="D385" s="34" t="str">
        <f t="shared" si="61"/>
        <v/>
      </c>
      <c r="K385" s="34">
        <f t="shared" si="56"/>
        <v>293</v>
      </c>
      <c r="L385" s="34" t="str">
        <f>IF(Data!$I72="","",Data!I72)</f>
        <v>Tatu Erlin</v>
      </c>
      <c r="M385" s="34" t="str">
        <f>IF(Data!$I72="","",IF(Data!K72=0,"dns",Data!K72))</f>
        <v>dns</v>
      </c>
      <c r="N385" s="34" t="str">
        <f>IF(Data!$I72="","","GP"&amp;Data!$B72&amp;", "&amp;Data!$K$1)</f>
        <v>GP4, Sarja 2</v>
      </c>
      <c r="O385" s="34">
        <f t="shared" si="57"/>
        <v>625</v>
      </c>
      <c r="P385" s="34">
        <f>IF($L385="","",Data!B72)</f>
        <v>4</v>
      </c>
      <c r="Q385" s="34" t="str">
        <f t="shared" si="63"/>
        <v>2</v>
      </c>
      <c r="R385" s="34">
        <f t="shared" si="58"/>
        <v>385</v>
      </c>
      <c r="S385" s="70">
        <f t="shared" si="64"/>
        <v>0.62504238499999998</v>
      </c>
    </row>
    <row r="386" spans="1:19" x14ac:dyDescent="0.25">
      <c r="A386" s="34" t="str">
        <f t="shared" si="62"/>
        <v/>
      </c>
      <c r="B386" s="34" t="str">
        <f t="shared" si="59"/>
        <v/>
      </c>
      <c r="C386" s="34" t="str">
        <f t="shared" si="60"/>
        <v/>
      </c>
      <c r="D386" s="34" t="str">
        <f t="shared" si="61"/>
        <v/>
      </c>
      <c r="K386" s="34">
        <f t="shared" si="56"/>
        <v>294</v>
      </c>
      <c r="L386" s="34" t="str">
        <f>IF(Data!$I73="","",Data!I73)</f>
        <v>Frans Hartman</v>
      </c>
      <c r="M386" s="34" t="str">
        <f>IF(Data!$I73="","",IF(Data!K73=0,"dns",Data!K73))</f>
        <v>dns</v>
      </c>
      <c r="N386" s="34" t="str">
        <f>IF(Data!$I73="","","GP"&amp;Data!$B73&amp;", "&amp;Data!$K$1)</f>
        <v>GP4, Sarja 2</v>
      </c>
      <c r="O386" s="34">
        <f t="shared" si="57"/>
        <v>625</v>
      </c>
      <c r="P386" s="34">
        <f>IF($L386="","",Data!B73)</f>
        <v>4</v>
      </c>
      <c r="Q386" s="34" t="str">
        <f t="shared" si="63"/>
        <v>2</v>
      </c>
      <c r="R386" s="34">
        <f t="shared" si="58"/>
        <v>386</v>
      </c>
      <c r="S386" s="70">
        <f t="shared" si="64"/>
        <v>0.62504238599999995</v>
      </c>
    </row>
    <row r="387" spans="1:19" x14ac:dyDescent="0.25">
      <c r="A387" s="34" t="str">
        <f t="shared" si="62"/>
        <v/>
      </c>
      <c r="B387" s="34" t="str">
        <f t="shared" si="59"/>
        <v/>
      </c>
      <c r="C387" s="34" t="str">
        <f t="shared" si="60"/>
        <v/>
      </c>
      <c r="D387" s="34" t="str">
        <f t="shared" si="61"/>
        <v/>
      </c>
      <c r="K387" s="34">
        <f t="shared" si="56"/>
        <v>31</v>
      </c>
      <c r="L387" s="34" t="str">
        <f>IF(Data!$I74="","",Data!I74)</f>
        <v>Asko Haaksi</v>
      </c>
      <c r="M387" s="34">
        <f>IF(Data!$I74="","",IF(Data!K74=0,"dns",Data!K74))</f>
        <v>168</v>
      </c>
      <c r="N387" s="34" t="str">
        <f>IF(Data!$I74="","","GP"&amp;Data!$B74&amp;", "&amp;Data!$K$1)</f>
        <v>GP5, Sarja 2</v>
      </c>
      <c r="O387" s="34">
        <f t="shared" si="57"/>
        <v>30</v>
      </c>
      <c r="P387" s="34">
        <f>IF($L387="","",Data!B74)</f>
        <v>5</v>
      </c>
      <c r="Q387" s="34" t="str">
        <f t="shared" si="63"/>
        <v>2</v>
      </c>
      <c r="R387" s="34">
        <f t="shared" si="58"/>
        <v>387</v>
      </c>
      <c r="S387" s="70">
        <f t="shared" si="64"/>
        <v>3.0052387E-2</v>
      </c>
    </row>
    <row r="388" spans="1:19" x14ac:dyDescent="0.25">
      <c r="A388" s="34" t="str">
        <f t="shared" si="62"/>
        <v/>
      </c>
      <c r="B388" s="34" t="str">
        <f t="shared" si="59"/>
        <v/>
      </c>
      <c r="C388" s="34" t="str">
        <f t="shared" si="60"/>
        <v/>
      </c>
      <c r="D388" s="34" t="str">
        <f t="shared" si="61"/>
        <v/>
      </c>
      <c r="K388" s="34">
        <f t="shared" ref="K388:K451" si="65">IF($L388="","",_xlfn.RANK.EQ($S388,$S$3:$S$626,1))</f>
        <v>137</v>
      </c>
      <c r="L388" s="34" t="str">
        <f>IF(Data!$I75="","",Data!I75)</f>
        <v>Juho Korpi</v>
      </c>
      <c r="M388" s="34">
        <f>IF(Data!$I75="","",IF(Data!K75=0,"dns",Data!K75))</f>
        <v>128</v>
      </c>
      <c r="N388" s="34" t="str">
        <f>IF(Data!$I75="","","GP"&amp;Data!$B75&amp;", "&amp;Data!$K$1)</f>
        <v>GP5, Sarja 2</v>
      </c>
      <c r="O388" s="34">
        <f t="shared" ref="O388:O451" si="66">IF(L388="","",IFERROR(_xlfn.RANK.EQ($M388,$M$3:$M$626,0),COUNTA($L$3:$L$626)+1))</f>
        <v>137</v>
      </c>
      <c r="P388" s="34">
        <f>IF($L388="","",Data!B75)</f>
        <v>5</v>
      </c>
      <c r="Q388" s="34" t="str">
        <f t="shared" si="63"/>
        <v>2</v>
      </c>
      <c r="R388" s="34">
        <f t="shared" ref="R388:R451" si="67">IF($L388="","",ROW())</f>
        <v>388</v>
      </c>
      <c r="S388" s="70">
        <f t="shared" si="64"/>
        <v>0.137052388</v>
      </c>
    </row>
    <row r="389" spans="1:19" x14ac:dyDescent="0.25">
      <c r="A389" s="34" t="str">
        <f t="shared" si="62"/>
        <v/>
      </c>
      <c r="B389" s="34" t="str">
        <f t="shared" ref="B389:B452" si="68">IF($A389="","",VLOOKUP($A389,$K$3:$N$626,L$1,0))</f>
        <v/>
      </c>
      <c r="C389" s="34" t="str">
        <f t="shared" ref="C389:C452" si="69">IF($A389="","",VLOOKUP($A389,$K$3:$N$626,M$1,0))</f>
        <v/>
      </c>
      <c r="D389" s="34" t="str">
        <f t="shared" ref="D389:D452" si="70">IF($A389="","",VLOOKUP($A389,$K$3:$N$626,N$1,0))</f>
        <v/>
      </c>
      <c r="K389" s="34">
        <f t="shared" si="65"/>
        <v>37</v>
      </c>
      <c r="L389" s="34" t="str">
        <f>IF(Data!$I76="","",Data!I76)</f>
        <v>Ossi Oksa</v>
      </c>
      <c r="M389" s="34">
        <f>IF(Data!$I76="","",IF(Data!K76=0,"dns",Data!K76))</f>
        <v>164</v>
      </c>
      <c r="N389" s="34" t="str">
        <f>IF(Data!$I76="","","GP"&amp;Data!$B76&amp;", "&amp;Data!$K$1)</f>
        <v>GP5, Sarja 2</v>
      </c>
      <c r="O389" s="34">
        <f t="shared" si="66"/>
        <v>36</v>
      </c>
      <c r="P389" s="34">
        <f>IF($L389="","",Data!B76)</f>
        <v>5</v>
      </c>
      <c r="Q389" s="34" t="str">
        <f t="shared" si="63"/>
        <v>2</v>
      </c>
      <c r="R389" s="34">
        <f t="shared" si="67"/>
        <v>389</v>
      </c>
      <c r="S389" s="70">
        <f t="shared" si="64"/>
        <v>3.6052389000000004E-2</v>
      </c>
    </row>
    <row r="390" spans="1:19" x14ac:dyDescent="0.25">
      <c r="A390" s="34" t="str">
        <f t="shared" ref="A390:A453" si="71">IFERROR(IF(A389+1&gt;MAX($K$3:$K$626),"",A389+1),"")</f>
        <v/>
      </c>
      <c r="B390" s="34" t="str">
        <f t="shared" si="68"/>
        <v/>
      </c>
      <c r="C390" s="34" t="str">
        <f t="shared" si="69"/>
        <v/>
      </c>
      <c r="D390" s="34" t="str">
        <f t="shared" si="70"/>
        <v/>
      </c>
      <c r="K390" s="34">
        <f t="shared" si="65"/>
        <v>22</v>
      </c>
      <c r="L390" s="34" t="str">
        <f>IF(Data!$I77="","",Data!I77)</f>
        <v>Jami Kallio</v>
      </c>
      <c r="M390" s="34">
        <f>IF(Data!$I77="","",IF(Data!K77=0,"dns",Data!K77))</f>
        <v>174</v>
      </c>
      <c r="N390" s="34" t="str">
        <f>IF(Data!$I77="","","GP"&amp;Data!$B77&amp;", "&amp;Data!$K$1)</f>
        <v>GP5, Sarja 2</v>
      </c>
      <c r="O390" s="34">
        <f t="shared" si="66"/>
        <v>22</v>
      </c>
      <c r="P390" s="34">
        <f>IF($L390="","",Data!B77)</f>
        <v>5</v>
      </c>
      <c r="Q390" s="34" t="str">
        <f t="shared" si="63"/>
        <v>2</v>
      </c>
      <c r="R390" s="34">
        <f t="shared" si="67"/>
        <v>390</v>
      </c>
      <c r="S390" s="70">
        <f t="shared" si="64"/>
        <v>2.2052389999999998E-2</v>
      </c>
    </row>
    <row r="391" spans="1:19" x14ac:dyDescent="0.25">
      <c r="A391" s="34" t="str">
        <f t="shared" si="71"/>
        <v/>
      </c>
      <c r="B391" s="34" t="str">
        <f t="shared" si="68"/>
        <v/>
      </c>
      <c r="C391" s="34" t="str">
        <f t="shared" si="69"/>
        <v/>
      </c>
      <c r="D391" s="34" t="str">
        <f t="shared" si="70"/>
        <v/>
      </c>
      <c r="K391" s="34">
        <f t="shared" si="65"/>
        <v>69</v>
      </c>
      <c r="L391" s="34" t="str">
        <f>IF(Data!$I78="","",Data!I78)</f>
        <v>Miika Nordblad</v>
      </c>
      <c r="M391" s="34">
        <f>IF(Data!$I78="","",IF(Data!K78=0,"dns",Data!K78))</f>
        <v>149</v>
      </c>
      <c r="N391" s="34" t="str">
        <f>IF(Data!$I78="","","GP"&amp;Data!$B78&amp;", "&amp;Data!$K$1)</f>
        <v>GP5, Sarja 2</v>
      </c>
      <c r="O391" s="34">
        <f t="shared" si="66"/>
        <v>69</v>
      </c>
      <c r="P391" s="34">
        <f>IF($L391="","",Data!B78)</f>
        <v>5</v>
      </c>
      <c r="Q391" s="34" t="str">
        <f t="shared" si="63"/>
        <v>2</v>
      </c>
      <c r="R391" s="34">
        <f t="shared" si="67"/>
        <v>391</v>
      </c>
      <c r="S391" s="70">
        <f t="shared" si="64"/>
        <v>6.9052391000000005E-2</v>
      </c>
    </row>
    <row r="392" spans="1:19" x14ac:dyDescent="0.25">
      <c r="A392" s="34" t="str">
        <f t="shared" si="71"/>
        <v/>
      </c>
      <c r="B392" s="34" t="str">
        <f t="shared" si="68"/>
        <v/>
      </c>
      <c r="C392" s="34" t="str">
        <f t="shared" si="69"/>
        <v/>
      </c>
      <c r="D392" s="34" t="str">
        <f t="shared" si="70"/>
        <v/>
      </c>
      <c r="K392" s="34">
        <f t="shared" si="65"/>
        <v>39</v>
      </c>
      <c r="L392" s="34" t="str">
        <f>IF(Data!$I79="","",Data!I79)</f>
        <v>Henri Verho</v>
      </c>
      <c r="M392" s="34">
        <f>IF(Data!$I79="","",IF(Data!K79=0,"dns",Data!K79))</f>
        <v>163</v>
      </c>
      <c r="N392" s="34" t="str">
        <f>IF(Data!$I79="","","GP"&amp;Data!$B79&amp;", "&amp;Data!$K$1)</f>
        <v>GP5, Sarja 2</v>
      </c>
      <c r="O392" s="34">
        <f t="shared" si="66"/>
        <v>39</v>
      </c>
      <c r="P392" s="34">
        <f>IF($L392="","",Data!B79)</f>
        <v>5</v>
      </c>
      <c r="Q392" s="34" t="str">
        <f t="shared" si="63"/>
        <v>2</v>
      </c>
      <c r="R392" s="34">
        <f t="shared" si="67"/>
        <v>392</v>
      </c>
      <c r="S392" s="70">
        <f t="shared" si="64"/>
        <v>3.9052392000000005E-2</v>
      </c>
    </row>
    <row r="393" spans="1:19" x14ac:dyDescent="0.25">
      <c r="A393" s="34" t="str">
        <f t="shared" si="71"/>
        <v/>
      </c>
      <c r="B393" s="34" t="str">
        <f t="shared" si="68"/>
        <v/>
      </c>
      <c r="C393" s="34" t="str">
        <f t="shared" si="69"/>
        <v/>
      </c>
      <c r="D393" s="34" t="str">
        <f t="shared" si="70"/>
        <v/>
      </c>
      <c r="K393" s="34">
        <f t="shared" si="65"/>
        <v>154</v>
      </c>
      <c r="L393" s="34" t="str">
        <f>IF(Data!$I80="","",Data!I80)</f>
        <v>Joonas Ollonqvist</v>
      </c>
      <c r="M393" s="34">
        <f>IF(Data!$I80="","",IF(Data!K80=0,"dns",Data!K80))</f>
        <v>125</v>
      </c>
      <c r="N393" s="34" t="str">
        <f>IF(Data!$I80="","","GP"&amp;Data!$B80&amp;", "&amp;Data!$K$1)</f>
        <v>GP5, Sarja 2</v>
      </c>
      <c r="O393" s="34">
        <f t="shared" si="66"/>
        <v>153</v>
      </c>
      <c r="P393" s="34">
        <f>IF($L393="","",Data!B80)</f>
        <v>5</v>
      </c>
      <c r="Q393" s="34" t="str">
        <f t="shared" si="63"/>
        <v>2</v>
      </c>
      <c r="R393" s="34">
        <f t="shared" si="67"/>
        <v>393</v>
      </c>
      <c r="S393" s="70">
        <f t="shared" si="64"/>
        <v>0.15305239299999998</v>
      </c>
    </row>
    <row r="394" spans="1:19" x14ac:dyDescent="0.25">
      <c r="A394" s="34" t="str">
        <f t="shared" si="71"/>
        <v/>
      </c>
      <c r="B394" s="34" t="str">
        <f t="shared" si="68"/>
        <v/>
      </c>
      <c r="C394" s="34" t="str">
        <f t="shared" si="69"/>
        <v/>
      </c>
      <c r="D394" s="34" t="str">
        <f t="shared" si="70"/>
        <v/>
      </c>
      <c r="K394" s="34">
        <f t="shared" si="65"/>
        <v>177</v>
      </c>
      <c r="L394" s="34" t="str">
        <f>IF(Data!$I81="","",Data!I81)</f>
        <v>Niko Reunanen</v>
      </c>
      <c r="M394" s="34">
        <f>IF(Data!$I81="","",IF(Data!K81=0,"dns",Data!K81))</f>
        <v>120</v>
      </c>
      <c r="N394" s="34" t="str">
        <f>IF(Data!$I81="","","GP"&amp;Data!$B81&amp;", "&amp;Data!$K$1)</f>
        <v>GP5, Sarja 2</v>
      </c>
      <c r="O394" s="34">
        <f t="shared" si="66"/>
        <v>174</v>
      </c>
      <c r="P394" s="34">
        <f>IF($L394="","",Data!B81)</f>
        <v>5</v>
      </c>
      <c r="Q394" s="34" t="str">
        <f t="shared" si="63"/>
        <v>2</v>
      </c>
      <c r="R394" s="34">
        <f t="shared" si="67"/>
        <v>394</v>
      </c>
      <c r="S394" s="70">
        <f t="shared" si="64"/>
        <v>0.17405239399999997</v>
      </c>
    </row>
    <row r="395" spans="1:19" x14ac:dyDescent="0.25">
      <c r="A395" s="34" t="str">
        <f t="shared" si="71"/>
        <v/>
      </c>
      <c r="B395" s="34" t="str">
        <f t="shared" si="68"/>
        <v/>
      </c>
      <c r="C395" s="34" t="str">
        <f t="shared" si="69"/>
        <v/>
      </c>
      <c r="D395" s="34" t="str">
        <f t="shared" si="70"/>
        <v/>
      </c>
      <c r="K395" s="34">
        <f t="shared" si="65"/>
        <v>52</v>
      </c>
      <c r="L395" s="34" t="str">
        <f>IF(Data!$I82="","",Data!I82)</f>
        <v>Olli Kajava</v>
      </c>
      <c r="M395" s="34">
        <f>IF(Data!$I82="","",IF(Data!K82=0,"dns",Data!K82))</f>
        <v>157</v>
      </c>
      <c r="N395" s="34" t="str">
        <f>IF(Data!$I82="","","GP"&amp;Data!$B82&amp;", "&amp;Data!$K$1)</f>
        <v>GP5, Sarja 2</v>
      </c>
      <c r="O395" s="34">
        <f t="shared" si="66"/>
        <v>51</v>
      </c>
      <c r="P395" s="34">
        <f>IF($L395="","",Data!B82)</f>
        <v>5</v>
      </c>
      <c r="Q395" s="34" t="str">
        <f t="shared" si="63"/>
        <v>2</v>
      </c>
      <c r="R395" s="34">
        <f t="shared" si="67"/>
        <v>395</v>
      </c>
      <c r="S395" s="70">
        <f t="shared" si="64"/>
        <v>5.1052395E-2</v>
      </c>
    </row>
    <row r="396" spans="1:19" x14ac:dyDescent="0.25">
      <c r="A396" s="34" t="str">
        <f t="shared" si="71"/>
        <v/>
      </c>
      <c r="B396" s="34" t="str">
        <f t="shared" si="68"/>
        <v/>
      </c>
      <c r="C396" s="34" t="str">
        <f t="shared" si="69"/>
        <v/>
      </c>
      <c r="D396" s="34" t="str">
        <f t="shared" si="70"/>
        <v/>
      </c>
      <c r="K396" s="34">
        <f t="shared" si="65"/>
        <v>104</v>
      </c>
      <c r="L396" s="34" t="str">
        <f>IF(Data!$I83="","",Data!I83)</f>
        <v>Mika Sola</v>
      </c>
      <c r="M396" s="34">
        <f>IF(Data!$I83="","",IF(Data!K83=0,"dns",Data!K83))</f>
        <v>137</v>
      </c>
      <c r="N396" s="34" t="str">
        <f>IF(Data!$I83="","","GP"&amp;Data!$B83&amp;", "&amp;Data!$K$1)</f>
        <v>GP5, Sarja 2</v>
      </c>
      <c r="O396" s="34">
        <f t="shared" si="66"/>
        <v>104</v>
      </c>
      <c r="P396" s="34">
        <f>IF($L396="","",Data!B83)</f>
        <v>5</v>
      </c>
      <c r="Q396" s="34" t="str">
        <f t="shared" si="63"/>
        <v>2</v>
      </c>
      <c r="R396" s="34">
        <f t="shared" si="67"/>
        <v>396</v>
      </c>
      <c r="S396" s="70">
        <f t="shared" si="64"/>
        <v>0.10405239599999999</v>
      </c>
    </row>
    <row r="397" spans="1:19" x14ac:dyDescent="0.25">
      <c r="A397" s="34" t="str">
        <f t="shared" si="71"/>
        <v/>
      </c>
      <c r="B397" s="34" t="str">
        <f t="shared" si="68"/>
        <v/>
      </c>
      <c r="C397" s="34" t="str">
        <f t="shared" si="69"/>
        <v/>
      </c>
      <c r="D397" s="34" t="str">
        <f t="shared" si="70"/>
        <v/>
      </c>
      <c r="K397" s="34">
        <f t="shared" si="65"/>
        <v>102</v>
      </c>
      <c r="L397" s="34" t="str">
        <f>IF(Data!$I84="","",Data!I84)</f>
        <v>Sakari Leinonen</v>
      </c>
      <c r="M397" s="34">
        <f>IF(Data!$I84="","",IF(Data!K84=0,"dns",Data!K84))</f>
        <v>139</v>
      </c>
      <c r="N397" s="34" t="str">
        <f>IF(Data!$I84="","","GP"&amp;Data!$B84&amp;", "&amp;Data!$K$1)</f>
        <v>GP5, Sarja 2</v>
      </c>
      <c r="O397" s="34">
        <f t="shared" si="66"/>
        <v>99</v>
      </c>
      <c r="P397" s="34">
        <f>IF($L397="","",Data!B84)</f>
        <v>5</v>
      </c>
      <c r="Q397" s="34" t="str">
        <f t="shared" si="63"/>
        <v>2</v>
      </c>
      <c r="R397" s="34">
        <f t="shared" si="67"/>
        <v>397</v>
      </c>
      <c r="S397" s="70">
        <f t="shared" si="64"/>
        <v>9.9052397E-2</v>
      </c>
    </row>
    <row r="398" spans="1:19" x14ac:dyDescent="0.25">
      <c r="A398" s="34" t="str">
        <f t="shared" si="71"/>
        <v/>
      </c>
      <c r="B398" s="34" t="str">
        <f t="shared" si="68"/>
        <v/>
      </c>
      <c r="C398" s="34" t="str">
        <f t="shared" si="69"/>
        <v/>
      </c>
      <c r="D398" s="34" t="str">
        <f t="shared" si="70"/>
        <v/>
      </c>
      <c r="K398" s="34">
        <f t="shared" si="65"/>
        <v>12</v>
      </c>
      <c r="L398" s="34" t="str">
        <f>IF(Data!$I85="","",Data!I85)</f>
        <v>Miikka Korventausta</v>
      </c>
      <c r="M398" s="34">
        <f>IF(Data!$I85="","",IF(Data!K85=0,"dns",Data!K85))</f>
        <v>183</v>
      </c>
      <c r="N398" s="34" t="str">
        <f>IF(Data!$I85="","","GP"&amp;Data!$B85&amp;", "&amp;Data!$K$1)</f>
        <v>GP5, Sarja 2</v>
      </c>
      <c r="O398" s="34">
        <f t="shared" si="66"/>
        <v>12</v>
      </c>
      <c r="P398" s="34">
        <f>IF($L398="","",Data!B85)</f>
        <v>5</v>
      </c>
      <c r="Q398" s="34" t="str">
        <f t="shared" si="63"/>
        <v>2</v>
      </c>
      <c r="R398" s="34">
        <f t="shared" si="67"/>
        <v>398</v>
      </c>
      <c r="S398" s="70">
        <f t="shared" si="64"/>
        <v>1.2052398000000001E-2</v>
      </c>
    </row>
    <row r="399" spans="1:19" x14ac:dyDescent="0.25">
      <c r="A399" s="34" t="str">
        <f t="shared" si="71"/>
        <v/>
      </c>
      <c r="B399" s="34" t="str">
        <f t="shared" si="68"/>
        <v/>
      </c>
      <c r="C399" s="34" t="str">
        <f t="shared" si="69"/>
        <v/>
      </c>
      <c r="D399" s="34" t="str">
        <f t="shared" si="70"/>
        <v/>
      </c>
      <c r="K399" s="34">
        <f t="shared" si="65"/>
        <v>301</v>
      </c>
      <c r="L399" s="34" t="str">
        <f>IF(Data!$I86="","",Data!I86)</f>
        <v>Roope Warro</v>
      </c>
      <c r="M399" s="34" t="str">
        <f>IF(Data!$I86="","",IF(Data!K86=0,"dns",Data!K86))</f>
        <v>dns</v>
      </c>
      <c r="N399" s="34" t="str">
        <f>IF(Data!$I86="","","GP"&amp;Data!$B86&amp;", "&amp;Data!$K$1)</f>
        <v>GP5, Sarja 2</v>
      </c>
      <c r="O399" s="34">
        <f t="shared" si="66"/>
        <v>625</v>
      </c>
      <c r="P399" s="34">
        <f>IF($L399="","",Data!B86)</f>
        <v>5</v>
      </c>
      <c r="Q399" s="34" t="str">
        <f t="shared" si="63"/>
        <v>2</v>
      </c>
      <c r="R399" s="34">
        <f t="shared" si="67"/>
        <v>399</v>
      </c>
      <c r="S399" s="70">
        <f t="shared" si="64"/>
        <v>0.62505239899999998</v>
      </c>
    </row>
    <row r="400" spans="1:19" x14ac:dyDescent="0.25">
      <c r="A400" s="34" t="str">
        <f t="shared" si="71"/>
        <v/>
      </c>
      <c r="B400" s="34" t="str">
        <f t="shared" si="68"/>
        <v/>
      </c>
      <c r="C400" s="34" t="str">
        <f t="shared" si="69"/>
        <v/>
      </c>
      <c r="D400" s="34" t="str">
        <f t="shared" si="70"/>
        <v/>
      </c>
      <c r="K400" s="34">
        <f t="shared" si="65"/>
        <v>302</v>
      </c>
      <c r="L400" s="34" t="str">
        <f>IF(Data!$I87="","",Data!I87)</f>
        <v>Iiro Riikonen</v>
      </c>
      <c r="M400" s="34" t="str">
        <f>IF(Data!$I87="","",IF(Data!K87=0,"dns",Data!K87))</f>
        <v>dns</v>
      </c>
      <c r="N400" s="34" t="str">
        <f>IF(Data!$I87="","","GP"&amp;Data!$B87&amp;", "&amp;Data!$K$1)</f>
        <v>GP5, Sarja 2</v>
      </c>
      <c r="O400" s="34">
        <f t="shared" si="66"/>
        <v>625</v>
      </c>
      <c r="P400" s="34">
        <f>IF($L400="","",Data!B87)</f>
        <v>5</v>
      </c>
      <c r="Q400" s="34" t="str">
        <f t="shared" si="63"/>
        <v>2</v>
      </c>
      <c r="R400" s="34">
        <f t="shared" si="67"/>
        <v>400</v>
      </c>
      <c r="S400" s="70">
        <f t="shared" si="64"/>
        <v>0.62505239999999995</v>
      </c>
    </row>
    <row r="401" spans="1:19" x14ac:dyDescent="0.25">
      <c r="A401" s="34" t="str">
        <f t="shared" si="71"/>
        <v/>
      </c>
      <c r="B401" s="34" t="str">
        <f t="shared" si="68"/>
        <v/>
      </c>
      <c r="C401" s="34" t="str">
        <f t="shared" si="69"/>
        <v/>
      </c>
      <c r="D401" s="34" t="str">
        <f t="shared" si="70"/>
        <v/>
      </c>
      <c r="K401" s="34">
        <f t="shared" si="65"/>
        <v>303</v>
      </c>
      <c r="L401" s="34" t="str">
        <f>IF(Data!$I88="","",Data!I88)</f>
        <v>Kaleva Latvala</v>
      </c>
      <c r="M401" s="34" t="str">
        <f>IF(Data!$I88="","",IF(Data!K88=0,"dns",Data!K88))</f>
        <v>dns</v>
      </c>
      <c r="N401" s="34" t="str">
        <f>IF(Data!$I88="","","GP"&amp;Data!$B88&amp;", "&amp;Data!$K$1)</f>
        <v>GP5, Sarja 2</v>
      </c>
      <c r="O401" s="34">
        <f t="shared" si="66"/>
        <v>625</v>
      </c>
      <c r="P401" s="34">
        <f>IF($L401="","",Data!B88)</f>
        <v>5</v>
      </c>
      <c r="Q401" s="34" t="str">
        <f t="shared" si="63"/>
        <v>2</v>
      </c>
      <c r="R401" s="34">
        <f t="shared" si="67"/>
        <v>401</v>
      </c>
      <c r="S401" s="70">
        <f t="shared" si="64"/>
        <v>0.62505240099999992</v>
      </c>
    </row>
    <row r="402" spans="1:19" x14ac:dyDescent="0.25">
      <c r="A402" s="34" t="str">
        <f t="shared" si="71"/>
        <v/>
      </c>
      <c r="B402" s="34" t="str">
        <f t="shared" si="68"/>
        <v/>
      </c>
      <c r="C402" s="34" t="str">
        <f t="shared" si="69"/>
        <v/>
      </c>
      <c r="D402" s="34" t="str">
        <f t="shared" si="70"/>
        <v/>
      </c>
      <c r="K402" s="34">
        <f t="shared" si="65"/>
        <v>304</v>
      </c>
      <c r="L402" s="34" t="str">
        <f>IF(Data!$I89="","",Data!I89)</f>
        <v>Mikko Mansikkamäki</v>
      </c>
      <c r="M402" s="34" t="str">
        <f>IF(Data!$I89="","",IF(Data!K89=0,"dns",Data!K89))</f>
        <v>dns</v>
      </c>
      <c r="N402" s="34" t="str">
        <f>IF(Data!$I89="","","GP"&amp;Data!$B89&amp;", "&amp;Data!$K$1)</f>
        <v>GP5, Sarja 2</v>
      </c>
      <c r="O402" s="34">
        <f t="shared" si="66"/>
        <v>625</v>
      </c>
      <c r="P402" s="34">
        <f>IF($L402="","",Data!B89)</f>
        <v>5</v>
      </c>
      <c r="Q402" s="34" t="str">
        <f t="shared" si="63"/>
        <v>2</v>
      </c>
      <c r="R402" s="34">
        <f t="shared" si="67"/>
        <v>402</v>
      </c>
      <c r="S402" s="70">
        <f t="shared" si="64"/>
        <v>0.6250524019999999</v>
      </c>
    </row>
    <row r="403" spans="1:19" x14ac:dyDescent="0.25">
      <c r="A403" s="34" t="str">
        <f t="shared" si="71"/>
        <v/>
      </c>
      <c r="B403" s="34" t="str">
        <f t="shared" si="68"/>
        <v/>
      </c>
      <c r="C403" s="34" t="str">
        <f t="shared" si="69"/>
        <v/>
      </c>
      <c r="D403" s="34" t="str">
        <f t="shared" si="70"/>
        <v/>
      </c>
      <c r="K403" s="34">
        <f t="shared" si="65"/>
        <v>305</v>
      </c>
      <c r="L403" s="34" t="str">
        <f>IF(Data!$I90="","",Data!I90)</f>
        <v>Tatu Erlin</v>
      </c>
      <c r="M403" s="34" t="str">
        <f>IF(Data!$I90="","",IF(Data!K90=0,"dns",Data!K90))</f>
        <v>dns</v>
      </c>
      <c r="N403" s="34" t="str">
        <f>IF(Data!$I90="","","GP"&amp;Data!$B90&amp;", "&amp;Data!$K$1)</f>
        <v>GP5, Sarja 2</v>
      </c>
      <c r="O403" s="34">
        <f t="shared" si="66"/>
        <v>625</v>
      </c>
      <c r="P403" s="34">
        <f>IF($L403="","",Data!B90)</f>
        <v>5</v>
      </c>
      <c r="Q403" s="34" t="str">
        <f t="shared" si="63"/>
        <v>2</v>
      </c>
      <c r="R403" s="34">
        <f t="shared" si="67"/>
        <v>403</v>
      </c>
      <c r="S403" s="70">
        <f t="shared" si="64"/>
        <v>0.62505240299999998</v>
      </c>
    </row>
    <row r="404" spans="1:19" x14ac:dyDescent="0.25">
      <c r="A404" s="34" t="str">
        <f t="shared" si="71"/>
        <v/>
      </c>
      <c r="B404" s="34" t="str">
        <f t="shared" si="68"/>
        <v/>
      </c>
      <c r="C404" s="34" t="str">
        <f t="shared" si="69"/>
        <v/>
      </c>
      <c r="D404" s="34" t="str">
        <f t="shared" si="70"/>
        <v/>
      </c>
      <c r="K404" s="34">
        <f t="shared" si="65"/>
        <v>306</v>
      </c>
      <c r="L404" s="34" t="str">
        <f>IF(Data!$I91="","",Data!I91)</f>
        <v>Frans Hartman</v>
      </c>
      <c r="M404" s="34" t="str">
        <f>IF(Data!$I91="","",IF(Data!K91=0,"dns",Data!K91))</f>
        <v>dns</v>
      </c>
      <c r="N404" s="34" t="str">
        <f>IF(Data!$I91="","","GP"&amp;Data!$B91&amp;", "&amp;Data!$K$1)</f>
        <v>GP5, Sarja 2</v>
      </c>
      <c r="O404" s="34">
        <f t="shared" si="66"/>
        <v>625</v>
      </c>
      <c r="P404" s="34">
        <f>IF($L404="","",Data!B91)</f>
        <v>5</v>
      </c>
      <c r="Q404" s="34" t="str">
        <f t="shared" si="63"/>
        <v>2</v>
      </c>
      <c r="R404" s="34">
        <f t="shared" si="67"/>
        <v>404</v>
      </c>
      <c r="S404" s="70">
        <f t="shared" si="64"/>
        <v>0.62505240399999995</v>
      </c>
    </row>
    <row r="405" spans="1:19" x14ac:dyDescent="0.25">
      <c r="A405" s="34" t="str">
        <f t="shared" si="71"/>
        <v/>
      </c>
      <c r="B405" s="34" t="str">
        <f t="shared" si="68"/>
        <v/>
      </c>
      <c r="C405" s="34" t="str">
        <f t="shared" si="69"/>
        <v/>
      </c>
      <c r="D405" s="34" t="str">
        <f t="shared" si="70"/>
        <v/>
      </c>
      <c r="K405" s="34">
        <f t="shared" si="65"/>
        <v>156</v>
      </c>
      <c r="L405" s="34" t="str">
        <f>IF(Data!$I92="","",Data!I92)</f>
        <v>Joonas Ollonqvist</v>
      </c>
      <c r="M405" s="34">
        <f>IF(Data!$I92="","",IF(Data!K92=0,"dns",Data!K92))</f>
        <v>124</v>
      </c>
      <c r="N405" s="34" t="str">
        <f>IF(Data!$I92="","","GP"&amp;Data!$B92&amp;", "&amp;Data!$K$1)</f>
        <v>GP6, Sarja 2</v>
      </c>
      <c r="O405" s="34">
        <f t="shared" si="66"/>
        <v>155</v>
      </c>
      <c r="P405" s="34">
        <f>IF($L405="","",Data!B92)</f>
        <v>6</v>
      </c>
      <c r="Q405" s="34" t="str">
        <f t="shared" si="63"/>
        <v>2</v>
      </c>
      <c r="R405" s="34">
        <f t="shared" si="67"/>
        <v>405</v>
      </c>
      <c r="S405" s="70">
        <f t="shared" si="64"/>
        <v>0.15506240500000001</v>
      </c>
    </row>
    <row r="406" spans="1:19" x14ac:dyDescent="0.25">
      <c r="A406" s="34" t="str">
        <f t="shared" si="71"/>
        <v/>
      </c>
      <c r="B406" s="34" t="str">
        <f t="shared" si="68"/>
        <v/>
      </c>
      <c r="C406" s="34" t="str">
        <f t="shared" si="69"/>
        <v/>
      </c>
      <c r="D406" s="34" t="str">
        <f t="shared" si="70"/>
        <v/>
      </c>
      <c r="K406" s="34">
        <f t="shared" si="65"/>
        <v>157</v>
      </c>
      <c r="L406" s="34" t="str">
        <f>IF(Data!$I93="","",Data!I93)</f>
        <v>Niko Reunanen</v>
      </c>
      <c r="M406" s="34">
        <f>IF(Data!$I93="","",IF(Data!K93=0,"dns",Data!K93))</f>
        <v>124</v>
      </c>
      <c r="N406" s="34" t="str">
        <f>IF(Data!$I93="","","GP"&amp;Data!$B93&amp;", "&amp;Data!$K$1)</f>
        <v>GP6, Sarja 2</v>
      </c>
      <c r="O406" s="34">
        <f t="shared" si="66"/>
        <v>155</v>
      </c>
      <c r="P406" s="34">
        <f>IF($L406="","",Data!B93)</f>
        <v>6</v>
      </c>
      <c r="Q406" s="34" t="str">
        <f t="shared" si="63"/>
        <v>2</v>
      </c>
      <c r="R406" s="34">
        <f t="shared" si="67"/>
        <v>406</v>
      </c>
      <c r="S406" s="70">
        <f t="shared" si="64"/>
        <v>0.15506240600000001</v>
      </c>
    </row>
    <row r="407" spans="1:19" x14ac:dyDescent="0.25">
      <c r="A407" s="34" t="str">
        <f t="shared" si="71"/>
        <v/>
      </c>
      <c r="B407" s="34" t="str">
        <f t="shared" si="68"/>
        <v/>
      </c>
      <c r="C407" s="34" t="str">
        <f t="shared" si="69"/>
        <v/>
      </c>
      <c r="D407" s="34" t="str">
        <f t="shared" si="70"/>
        <v/>
      </c>
      <c r="K407" s="34">
        <f t="shared" si="65"/>
        <v>78</v>
      </c>
      <c r="L407" s="34" t="str">
        <f>IF(Data!$I94="","",Data!I94)</f>
        <v>Henri Verho</v>
      </c>
      <c r="M407" s="34">
        <f>IF(Data!$I94="","",IF(Data!K94=0,"dns",Data!K94))</f>
        <v>147</v>
      </c>
      <c r="N407" s="34" t="str">
        <f>IF(Data!$I94="","","GP"&amp;Data!$B94&amp;", "&amp;Data!$K$1)</f>
        <v>GP6, Sarja 2</v>
      </c>
      <c r="O407" s="34">
        <f t="shared" si="66"/>
        <v>77</v>
      </c>
      <c r="P407" s="34">
        <f>IF($L407="","",Data!B94)</f>
        <v>6</v>
      </c>
      <c r="Q407" s="34" t="str">
        <f t="shared" si="63"/>
        <v>2</v>
      </c>
      <c r="R407" s="34">
        <f t="shared" si="67"/>
        <v>407</v>
      </c>
      <c r="S407" s="70">
        <f t="shared" si="64"/>
        <v>7.7062406999999999E-2</v>
      </c>
    </row>
    <row r="408" spans="1:19" x14ac:dyDescent="0.25">
      <c r="A408" s="34" t="str">
        <f t="shared" si="71"/>
        <v/>
      </c>
      <c r="B408" s="34" t="str">
        <f t="shared" si="68"/>
        <v/>
      </c>
      <c r="C408" s="34" t="str">
        <f t="shared" si="69"/>
        <v/>
      </c>
      <c r="D408" s="34" t="str">
        <f t="shared" si="70"/>
        <v/>
      </c>
      <c r="K408" s="34">
        <f t="shared" si="65"/>
        <v>11</v>
      </c>
      <c r="L408" s="34" t="str">
        <f>IF(Data!$I95="","",Data!I95)</f>
        <v>Juho Korpi</v>
      </c>
      <c r="M408" s="34">
        <f>IF(Data!$I95="","",IF(Data!K95=0,"dns",Data!K95))</f>
        <v>184</v>
      </c>
      <c r="N408" s="34" t="str">
        <f>IF(Data!$I95="","","GP"&amp;Data!$B95&amp;", "&amp;Data!$K$1)</f>
        <v>GP6, Sarja 2</v>
      </c>
      <c r="O408" s="34">
        <f t="shared" si="66"/>
        <v>10</v>
      </c>
      <c r="P408" s="34">
        <f>IF($L408="","",Data!B95)</f>
        <v>6</v>
      </c>
      <c r="Q408" s="34" t="str">
        <f t="shared" si="63"/>
        <v>2</v>
      </c>
      <c r="R408" s="34">
        <f t="shared" si="67"/>
        <v>408</v>
      </c>
      <c r="S408" s="70">
        <f t="shared" si="64"/>
        <v>1.0062408E-2</v>
      </c>
    </row>
    <row r="409" spans="1:19" x14ac:dyDescent="0.25">
      <c r="A409" s="34" t="str">
        <f t="shared" si="71"/>
        <v/>
      </c>
      <c r="B409" s="34" t="str">
        <f t="shared" si="68"/>
        <v/>
      </c>
      <c r="C409" s="34" t="str">
        <f t="shared" si="69"/>
        <v/>
      </c>
      <c r="D409" s="34" t="str">
        <f t="shared" si="70"/>
        <v/>
      </c>
      <c r="K409" s="34">
        <f t="shared" si="65"/>
        <v>70</v>
      </c>
      <c r="L409" s="34" t="str">
        <f>IF(Data!$I96="","",Data!I96)</f>
        <v>Jami Kallio</v>
      </c>
      <c r="M409" s="34">
        <f>IF(Data!$I96="","",IF(Data!K96=0,"dns",Data!K96))</f>
        <v>149</v>
      </c>
      <c r="N409" s="34" t="str">
        <f>IF(Data!$I96="","","GP"&amp;Data!$B96&amp;", "&amp;Data!$K$1)</f>
        <v>GP6, Sarja 2</v>
      </c>
      <c r="O409" s="34">
        <f t="shared" si="66"/>
        <v>69</v>
      </c>
      <c r="P409" s="34">
        <f>IF($L409="","",Data!B96)</f>
        <v>6</v>
      </c>
      <c r="Q409" s="34" t="str">
        <f t="shared" si="63"/>
        <v>2</v>
      </c>
      <c r="R409" s="34">
        <f t="shared" si="67"/>
        <v>409</v>
      </c>
      <c r="S409" s="70">
        <f t="shared" si="64"/>
        <v>6.9062409000000019E-2</v>
      </c>
    </row>
    <row r="410" spans="1:19" x14ac:dyDescent="0.25">
      <c r="A410" s="34" t="str">
        <f t="shared" si="71"/>
        <v/>
      </c>
      <c r="B410" s="34" t="str">
        <f t="shared" si="68"/>
        <v/>
      </c>
      <c r="C410" s="34" t="str">
        <f t="shared" si="69"/>
        <v/>
      </c>
      <c r="D410" s="34" t="str">
        <f t="shared" si="70"/>
        <v/>
      </c>
      <c r="K410" s="34">
        <f t="shared" si="65"/>
        <v>242</v>
      </c>
      <c r="L410" s="34" t="str">
        <f>IF(Data!$I97="","",Data!I97)</f>
        <v>Tatu Erlin</v>
      </c>
      <c r="M410" s="34">
        <f>IF(Data!$I97="","",IF(Data!K97=0,"dns",Data!K97))</f>
        <v>89</v>
      </c>
      <c r="N410" s="34" t="str">
        <f>IF(Data!$I97="","","GP"&amp;Data!$B97&amp;", "&amp;Data!$K$1)</f>
        <v>GP6, Sarja 2</v>
      </c>
      <c r="O410" s="34">
        <f t="shared" si="66"/>
        <v>242</v>
      </c>
      <c r="P410" s="34">
        <f>IF($L410="","",Data!B97)</f>
        <v>6</v>
      </c>
      <c r="Q410" s="34" t="str">
        <f t="shared" si="63"/>
        <v>2</v>
      </c>
      <c r="R410" s="34">
        <f t="shared" si="67"/>
        <v>410</v>
      </c>
      <c r="S410" s="70">
        <f t="shared" si="64"/>
        <v>0.24206241000000001</v>
      </c>
    </row>
    <row r="411" spans="1:19" x14ac:dyDescent="0.25">
      <c r="A411" s="34" t="str">
        <f t="shared" si="71"/>
        <v/>
      </c>
      <c r="B411" s="34" t="str">
        <f t="shared" si="68"/>
        <v/>
      </c>
      <c r="C411" s="34" t="str">
        <f t="shared" si="69"/>
        <v/>
      </c>
      <c r="D411" s="34" t="str">
        <f t="shared" si="70"/>
        <v/>
      </c>
      <c r="K411" s="34">
        <f t="shared" si="65"/>
        <v>105</v>
      </c>
      <c r="L411" s="34" t="str">
        <f>IF(Data!$I98="","",Data!I98)</f>
        <v>Mika Sola</v>
      </c>
      <c r="M411" s="34">
        <f>IF(Data!$I98="","",IF(Data!K98=0,"dns",Data!K98))</f>
        <v>137</v>
      </c>
      <c r="N411" s="34" t="str">
        <f>IF(Data!$I98="","","GP"&amp;Data!$B98&amp;", "&amp;Data!$K$1)</f>
        <v>GP6, Sarja 2</v>
      </c>
      <c r="O411" s="34">
        <f t="shared" si="66"/>
        <v>104</v>
      </c>
      <c r="P411" s="34">
        <f>IF($L411="","",Data!B98)</f>
        <v>6</v>
      </c>
      <c r="Q411" s="34" t="str">
        <f t="shared" si="63"/>
        <v>2</v>
      </c>
      <c r="R411" s="34">
        <f t="shared" si="67"/>
        <v>411</v>
      </c>
      <c r="S411" s="70">
        <f t="shared" si="64"/>
        <v>0.10406241100000001</v>
      </c>
    </row>
    <row r="412" spans="1:19" x14ac:dyDescent="0.25">
      <c r="A412" s="34" t="str">
        <f t="shared" si="71"/>
        <v/>
      </c>
      <c r="B412" s="34" t="str">
        <f t="shared" si="68"/>
        <v/>
      </c>
      <c r="C412" s="34" t="str">
        <f t="shared" si="69"/>
        <v/>
      </c>
      <c r="D412" s="34" t="str">
        <f t="shared" si="70"/>
        <v/>
      </c>
      <c r="K412" s="34">
        <f t="shared" si="65"/>
        <v>21</v>
      </c>
      <c r="L412" s="34" t="str">
        <f>IF(Data!$I99="","",Data!I99)</f>
        <v>Olli Kajava</v>
      </c>
      <c r="M412" s="34">
        <f>IF(Data!$I99="","",IF(Data!K99=0,"dns",Data!K99))</f>
        <v>175</v>
      </c>
      <c r="N412" s="34" t="str">
        <f>IF(Data!$I99="","","GP"&amp;Data!$B99&amp;", "&amp;Data!$K$1)</f>
        <v>GP6, Sarja 2</v>
      </c>
      <c r="O412" s="34">
        <f t="shared" si="66"/>
        <v>21</v>
      </c>
      <c r="P412" s="34">
        <f>IF($L412="","",Data!B99)</f>
        <v>6</v>
      </c>
      <c r="Q412" s="34" t="str">
        <f t="shared" si="63"/>
        <v>2</v>
      </c>
      <c r="R412" s="34">
        <f t="shared" si="67"/>
        <v>412</v>
      </c>
      <c r="S412" s="70">
        <f t="shared" si="64"/>
        <v>2.1062412000000003E-2</v>
      </c>
    </row>
    <row r="413" spans="1:19" x14ac:dyDescent="0.25">
      <c r="A413" s="34" t="str">
        <f t="shared" si="71"/>
        <v/>
      </c>
      <c r="B413" s="34" t="str">
        <f t="shared" si="68"/>
        <v/>
      </c>
      <c r="C413" s="34" t="str">
        <f t="shared" si="69"/>
        <v/>
      </c>
      <c r="D413" s="34" t="str">
        <f t="shared" si="70"/>
        <v/>
      </c>
      <c r="K413" s="34">
        <f t="shared" si="65"/>
        <v>49</v>
      </c>
      <c r="L413" s="34" t="str">
        <f>IF(Data!$I100="","",Data!I100)</f>
        <v>Iiro Riikonen</v>
      </c>
      <c r="M413" s="34">
        <f>IF(Data!$I100="","",IF(Data!K100=0,"dns",Data!K100))</f>
        <v>159</v>
      </c>
      <c r="N413" s="34" t="str">
        <f>IF(Data!$I100="","","GP"&amp;Data!$B100&amp;", "&amp;Data!$K$1)</f>
        <v>GP6, Sarja 2</v>
      </c>
      <c r="O413" s="34">
        <f t="shared" si="66"/>
        <v>48</v>
      </c>
      <c r="P413" s="34">
        <f>IF($L413="","",Data!B100)</f>
        <v>6</v>
      </c>
      <c r="Q413" s="34" t="str">
        <f t="shared" si="63"/>
        <v>2</v>
      </c>
      <c r="R413" s="34">
        <f t="shared" si="67"/>
        <v>413</v>
      </c>
      <c r="S413" s="70">
        <f t="shared" si="64"/>
        <v>4.8062412999999998E-2</v>
      </c>
    </row>
    <row r="414" spans="1:19" x14ac:dyDescent="0.25">
      <c r="A414" s="34" t="str">
        <f t="shared" si="71"/>
        <v/>
      </c>
      <c r="B414" s="34" t="str">
        <f t="shared" si="68"/>
        <v/>
      </c>
      <c r="C414" s="34" t="str">
        <f t="shared" si="69"/>
        <v/>
      </c>
      <c r="D414" s="34" t="str">
        <f t="shared" si="70"/>
        <v/>
      </c>
      <c r="K414" s="34">
        <f t="shared" si="65"/>
        <v>2</v>
      </c>
      <c r="L414" s="34" t="str">
        <f>IF(Data!$I101="","",Data!I101)</f>
        <v>Frans Hartman</v>
      </c>
      <c r="M414" s="34">
        <f>IF(Data!$I101="","",IF(Data!K101=0,"dns",Data!K101))</f>
        <v>204</v>
      </c>
      <c r="N414" s="34" t="str">
        <f>IF(Data!$I101="","","GP"&amp;Data!$B101&amp;", "&amp;Data!$K$1)</f>
        <v>GP6, Sarja 2</v>
      </c>
      <c r="O414" s="34">
        <f t="shared" si="66"/>
        <v>2</v>
      </c>
      <c r="P414" s="34">
        <f>IF($L414="","",Data!B101)</f>
        <v>6</v>
      </c>
      <c r="Q414" s="34" t="str">
        <f t="shared" si="63"/>
        <v>2</v>
      </c>
      <c r="R414" s="34">
        <f t="shared" si="67"/>
        <v>414</v>
      </c>
      <c r="S414" s="70">
        <f t="shared" si="64"/>
        <v>2.0624139999999998E-3</v>
      </c>
    </row>
    <row r="415" spans="1:19" x14ac:dyDescent="0.25">
      <c r="A415" s="34" t="str">
        <f t="shared" si="71"/>
        <v/>
      </c>
      <c r="B415" s="34" t="str">
        <f t="shared" si="68"/>
        <v/>
      </c>
      <c r="C415" s="34" t="str">
        <f t="shared" si="69"/>
        <v/>
      </c>
      <c r="D415" s="34" t="str">
        <f t="shared" si="70"/>
        <v/>
      </c>
      <c r="K415" s="34">
        <f t="shared" si="65"/>
        <v>152</v>
      </c>
      <c r="L415" s="34" t="str">
        <f>IF(Data!$I102="","",Data!I102)</f>
        <v>Kaleva Latvala</v>
      </c>
      <c r="M415" s="34">
        <f>IF(Data!$I102="","",IF(Data!K102=0,"dns",Data!K102))</f>
        <v>126</v>
      </c>
      <c r="N415" s="34" t="str">
        <f>IF(Data!$I102="","","GP"&amp;Data!$B102&amp;", "&amp;Data!$K$1)</f>
        <v>GP6, Sarja 2</v>
      </c>
      <c r="O415" s="34">
        <f t="shared" si="66"/>
        <v>149</v>
      </c>
      <c r="P415" s="34">
        <f>IF($L415="","",Data!B102)</f>
        <v>6</v>
      </c>
      <c r="Q415" s="34" t="str">
        <f t="shared" si="63"/>
        <v>2</v>
      </c>
      <c r="R415" s="34">
        <f t="shared" si="67"/>
        <v>415</v>
      </c>
      <c r="S415" s="70">
        <f t="shared" si="64"/>
        <v>0.149062415</v>
      </c>
    </row>
    <row r="416" spans="1:19" x14ac:dyDescent="0.25">
      <c r="A416" s="34" t="str">
        <f t="shared" si="71"/>
        <v/>
      </c>
      <c r="B416" s="34" t="str">
        <f t="shared" si="68"/>
        <v/>
      </c>
      <c r="C416" s="34" t="str">
        <f t="shared" si="69"/>
        <v/>
      </c>
      <c r="D416" s="34" t="str">
        <f t="shared" si="70"/>
        <v/>
      </c>
      <c r="K416" s="34">
        <f t="shared" si="65"/>
        <v>180</v>
      </c>
      <c r="L416" s="34" t="str">
        <f>IF(Data!$I103="","",Data!I103)</f>
        <v>Mikko Mansikkamäki</v>
      </c>
      <c r="M416" s="34">
        <f>IF(Data!$I103="","",IF(Data!K103=0,"dns",Data!K103))</f>
        <v>119</v>
      </c>
      <c r="N416" s="34" t="str">
        <f>IF(Data!$I103="","","GP"&amp;Data!$B103&amp;", "&amp;Data!$K$1)</f>
        <v>GP6, Sarja 2</v>
      </c>
      <c r="O416" s="34">
        <f t="shared" si="66"/>
        <v>179</v>
      </c>
      <c r="P416" s="34">
        <f>IF($L416="","",Data!B103)</f>
        <v>6</v>
      </c>
      <c r="Q416" s="34" t="str">
        <f t="shared" si="63"/>
        <v>2</v>
      </c>
      <c r="R416" s="34">
        <f t="shared" si="67"/>
        <v>416</v>
      </c>
      <c r="S416" s="70">
        <f t="shared" si="64"/>
        <v>0.179062416</v>
      </c>
    </row>
    <row r="417" spans="1:19" x14ac:dyDescent="0.25">
      <c r="A417" s="34" t="str">
        <f t="shared" si="71"/>
        <v/>
      </c>
      <c r="B417" s="34" t="str">
        <f t="shared" si="68"/>
        <v/>
      </c>
      <c r="C417" s="34" t="str">
        <f t="shared" si="69"/>
        <v/>
      </c>
      <c r="D417" s="34" t="str">
        <f t="shared" si="70"/>
        <v/>
      </c>
      <c r="K417" s="34">
        <f t="shared" si="65"/>
        <v>147</v>
      </c>
      <c r="L417" s="34" t="str">
        <f>IF(Data!$I104="","",Data!I104)</f>
        <v>Asko Haaksi</v>
      </c>
      <c r="M417" s="34">
        <f>IF(Data!$I104="","",IF(Data!K104=0,"dns",Data!K104))</f>
        <v>127</v>
      </c>
      <c r="N417" s="34" t="str">
        <f>IF(Data!$I104="","","GP"&amp;Data!$B104&amp;", "&amp;Data!$K$1)</f>
        <v>GP6, Sarja 2</v>
      </c>
      <c r="O417" s="34">
        <f t="shared" si="66"/>
        <v>141</v>
      </c>
      <c r="P417" s="34">
        <f>IF($L417="","",Data!B104)</f>
        <v>6</v>
      </c>
      <c r="Q417" s="34" t="str">
        <f t="shared" si="63"/>
        <v>2</v>
      </c>
      <c r="R417" s="34">
        <f t="shared" si="67"/>
        <v>417</v>
      </c>
      <c r="S417" s="70">
        <f t="shared" si="64"/>
        <v>0.141062417</v>
      </c>
    </row>
    <row r="418" spans="1:19" x14ac:dyDescent="0.25">
      <c r="A418" s="34" t="str">
        <f t="shared" si="71"/>
        <v/>
      </c>
      <c r="B418" s="34" t="str">
        <f t="shared" si="68"/>
        <v/>
      </c>
      <c r="C418" s="34" t="str">
        <f t="shared" si="69"/>
        <v/>
      </c>
      <c r="D418" s="34" t="str">
        <f t="shared" si="70"/>
        <v/>
      </c>
      <c r="K418" s="34">
        <f t="shared" si="65"/>
        <v>164</v>
      </c>
      <c r="L418" s="34" t="str">
        <f>IF(Data!$I105="","",Data!I105)</f>
        <v>Miika Nordblad</v>
      </c>
      <c r="M418" s="34">
        <f>IF(Data!$I105="","",IF(Data!K105=0,"dns",Data!K105))</f>
        <v>123</v>
      </c>
      <c r="N418" s="34" t="str">
        <f>IF(Data!$I105="","","GP"&amp;Data!$B105&amp;", "&amp;Data!$K$1)</f>
        <v>GP6, Sarja 2</v>
      </c>
      <c r="O418" s="34">
        <f t="shared" si="66"/>
        <v>162</v>
      </c>
      <c r="P418" s="34">
        <f>IF($L418="","",Data!B105)</f>
        <v>6</v>
      </c>
      <c r="Q418" s="34" t="str">
        <f t="shared" si="63"/>
        <v>2</v>
      </c>
      <c r="R418" s="34">
        <f t="shared" si="67"/>
        <v>418</v>
      </c>
      <c r="S418" s="70">
        <f t="shared" si="64"/>
        <v>0.16206241800000001</v>
      </c>
    </row>
    <row r="419" spans="1:19" x14ac:dyDescent="0.25">
      <c r="A419" s="34" t="str">
        <f t="shared" si="71"/>
        <v/>
      </c>
      <c r="B419" s="34" t="str">
        <f t="shared" si="68"/>
        <v/>
      </c>
      <c r="C419" s="34" t="str">
        <f t="shared" si="69"/>
        <v/>
      </c>
      <c r="D419" s="34" t="str">
        <f t="shared" si="70"/>
        <v/>
      </c>
      <c r="K419" s="34">
        <f t="shared" si="65"/>
        <v>112</v>
      </c>
      <c r="L419" s="34" t="str">
        <f>IF(Data!$I106="","",Data!I106)</f>
        <v>Sakari Leinonen</v>
      </c>
      <c r="M419" s="34">
        <f>IF(Data!$I106="","",IF(Data!K106=0,"dns",Data!K106))</f>
        <v>134</v>
      </c>
      <c r="N419" s="34" t="str">
        <f>IF(Data!$I106="","","GP"&amp;Data!$B106&amp;", "&amp;Data!$K$1)</f>
        <v>GP6, Sarja 2</v>
      </c>
      <c r="O419" s="34">
        <f t="shared" si="66"/>
        <v>111</v>
      </c>
      <c r="P419" s="34">
        <f>IF($L419="","",Data!B106)</f>
        <v>6</v>
      </c>
      <c r="Q419" s="34" t="str">
        <f t="shared" si="63"/>
        <v>2</v>
      </c>
      <c r="R419" s="34">
        <f t="shared" si="67"/>
        <v>419</v>
      </c>
      <c r="S419" s="70">
        <f t="shared" si="64"/>
        <v>0.11106241900000001</v>
      </c>
    </row>
    <row r="420" spans="1:19" x14ac:dyDescent="0.25">
      <c r="A420" s="34" t="str">
        <f t="shared" si="71"/>
        <v/>
      </c>
      <c r="B420" s="34" t="str">
        <f t="shared" si="68"/>
        <v/>
      </c>
      <c r="C420" s="34" t="str">
        <f t="shared" si="69"/>
        <v/>
      </c>
      <c r="D420" s="34" t="str">
        <f t="shared" si="70"/>
        <v/>
      </c>
      <c r="K420" s="34">
        <f t="shared" si="65"/>
        <v>310</v>
      </c>
      <c r="L420" s="34" t="str">
        <f>IF(Data!$I107="","",Data!I107)</f>
        <v>Ossi Oksa</v>
      </c>
      <c r="M420" s="34" t="str">
        <f>IF(Data!$I107="","",IF(Data!K107=0,"dns",Data!K107))</f>
        <v>dns</v>
      </c>
      <c r="N420" s="34" t="str">
        <f>IF(Data!$I107="","","GP"&amp;Data!$B107&amp;", "&amp;Data!$K$1)</f>
        <v>GP6, Sarja 2</v>
      </c>
      <c r="O420" s="34">
        <f t="shared" si="66"/>
        <v>625</v>
      </c>
      <c r="P420" s="34">
        <f>IF($L420="","",Data!B107)</f>
        <v>6</v>
      </c>
      <c r="Q420" s="34" t="str">
        <f t="shared" si="63"/>
        <v>2</v>
      </c>
      <c r="R420" s="34">
        <f t="shared" si="67"/>
        <v>420</v>
      </c>
      <c r="S420" s="70">
        <f t="shared" si="64"/>
        <v>0.6250624199999999</v>
      </c>
    </row>
    <row r="421" spans="1:19" x14ac:dyDescent="0.25">
      <c r="A421" s="34" t="str">
        <f t="shared" si="71"/>
        <v/>
      </c>
      <c r="B421" s="34" t="str">
        <f t="shared" si="68"/>
        <v/>
      </c>
      <c r="C421" s="34" t="str">
        <f t="shared" si="69"/>
        <v/>
      </c>
      <c r="D421" s="34" t="str">
        <f t="shared" si="70"/>
        <v/>
      </c>
      <c r="K421" s="34">
        <f t="shared" si="65"/>
        <v>311</v>
      </c>
      <c r="L421" s="34" t="str">
        <f>IF(Data!$I108="","",Data!I108)</f>
        <v>Roope Warro</v>
      </c>
      <c r="M421" s="34" t="str">
        <f>IF(Data!$I108="","",IF(Data!K108=0,"dns",Data!K108))</f>
        <v>dns</v>
      </c>
      <c r="N421" s="34" t="str">
        <f>IF(Data!$I108="","","GP"&amp;Data!$B108&amp;", "&amp;Data!$K$1)</f>
        <v>GP6, Sarja 2</v>
      </c>
      <c r="O421" s="34">
        <f t="shared" si="66"/>
        <v>625</v>
      </c>
      <c r="P421" s="34">
        <f>IF($L421="","",Data!B108)</f>
        <v>6</v>
      </c>
      <c r="Q421" s="34" t="str">
        <f t="shared" si="63"/>
        <v>2</v>
      </c>
      <c r="R421" s="34">
        <f t="shared" si="67"/>
        <v>421</v>
      </c>
      <c r="S421" s="70">
        <f t="shared" si="64"/>
        <v>0.62506242099999987</v>
      </c>
    </row>
    <row r="422" spans="1:19" x14ac:dyDescent="0.25">
      <c r="A422" s="34" t="str">
        <f t="shared" si="71"/>
        <v/>
      </c>
      <c r="B422" s="34" t="str">
        <f t="shared" si="68"/>
        <v/>
      </c>
      <c r="C422" s="34" t="str">
        <f t="shared" si="69"/>
        <v/>
      </c>
      <c r="D422" s="34" t="str">
        <f t="shared" si="70"/>
        <v/>
      </c>
      <c r="K422" s="34">
        <f t="shared" si="65"/>
        <v>312</v>
      </c>
      <c r="L422" s="34" t="str">
        <f>IF(Data!$I109="","",Data!I109)</f>
        <v>Miikka Korventausta</v>
      </c>
      <c r="M422" s="34" t="str">
        <f>IF(Data!$I109="","",IF(Data!K109=0,"dns",Data!K109))</f>
        <v>dns</v>
      </c>
      <c r="N422" s="34" t="str">
        <f>IF(Data!$I109="","","GP"&amp;Data!$B109&amp;", "&amp;Data!$K$1)</f>
        <v>GP6, Sarja 2</v>
      </c>
      <c r="O422" s="34">
        <f t="shared" si="66"/>
        <v>625</v>
      </c>
      <c r="P422" s="34">
        <f>IF($L422="","",Data!B109)</f>
        <v>6</v>
      </c>
      <c r="Q422" s="34" t="str">
        <f t="shared" si="63"/>
        <v>2</v>
      </c>
      <c r="R422" s="34">
        <f t="shared" si="67"/>
        <v>422</v>
      </c>
      <c r="S422" s="70">
        <f t="shared" si="64"/>
        <v>0.62506242199999995</v>
      </c>
    </row>
    <row r="423" spans="1:19" x14ac:dyDescent="0.25">
      <c r="A423" s="34" t="str">
        <f t="shared" si="71"/>
        <v/>
      </c>
      <c r="B423" s="34" t="str">
        <f t="shared" si="68"/>
        <v/>
      </c>
      <c r="C423" s="34" t="str">
        <f t="shared" si="69"/>
        <v/>
      </c>
      <c r="D423" s="34" t="str">
        <f t="shared" si="70"/>
        <v/>
      </c>
      <c r="K423" s="34">
        <f t="shared" si="65"/>
        <v>64</v>
      </c>
      <c r="L423" s="34" t="str">
        <f>IF(Data!$I110="","",Data!I110)</f>
        <v>Miikka Korventausta</v>
      </c>
      <c r="M423" s="34">
        <f>IF(Data!$I110="","",IF(Data!K110=0,"dns",Data!K110))</f>
        <v>153</v>
      </c>
      <c r="N423" s="34" t="str">
        <f>IF(Data!$I110="","","GP"&amp;Data!$B110&amp;", "&amp;Data!$K$1)</f>
        <v>GP7, Sarja 2</v>
      </c>
      <c r="O423" s="34">
        <f t="shared" si="66"/>
        <v>63</v>
      </c>
      <c r="P423" s="34">
        <f>IF($L423="","",Data!B110)</f>
        <v>7</v>
      </c>
      <c r="Q423" s="34" t="str">
        <f t="shared" si="63"/>
        <v>2</v>
      </c>
      <c r="R423" s="34">
        <f t="shared" si="67"/>
        <v>423</v>
      </c>
      <c r="S423" s="70">
        <f t="shared" si="64"/>
        <v>6.3072423000000002E-2</v>
      </c>
    </row>
    <row r="424" spans="1:19" x14ac:dyDescent="0.25">
      <c r="A424" s="34" t="str">
        <f t="shared" si="71"/>
        <v/>
      </c>
      <c r="B424" s="34" t="str">
        <f t="shared" si="68"/>
        <v/>
      </c>
      <c r="C424" s="34" t="str">
        <f t="shared" si="69"/>
        <v/>
      </c>
      <c r="D424" s="34" t="str">
        <f t="shared" si="70"/>
        <v/>
      </c>
      <c r="K424" s="34">
        <f t="shared" si="65"/>
        <v>139</v>
      </c>
      <c r="L424" s="34" t="str">
        <f>IF(Data!$I111="","",Data!I111)</f>
        <v>Joonas Ollonqvist</v>
      </c>
      <c r="M424" s="34">
        <f>IF(Data!$I111="","",IF(Data!K111=0,"dns",Data!K111))</f>
        <v>128</v>
      </c>
      <c r="N424" s="34" t="str">
        <f>IF(Data!$I111="","","GP"&amp;Data!$B111&amp;", "&amp;Data!$K$1)</f>
        <v>GP7, Sarja 2</v>
      </c>
      <c r="O424" s="34">
        <f t="shared" si="66"/>
        <v>137</v>
      </c>
      <c r="P424" s="34">
        <f>IF($L424="","",Data!B111)</f>
        <v>7</v>
      </c>
      <c r="Q424" s="34" t="str">
        <f t="shared" si="63"/>
        <v>2</v>
      </c>
      <c r="R424" s="34">
        <f t="shared" si="67"/>
        <v>424</v>
      </c>
      <c r="S424" s="70">
        <f t="shared" si="64"/>
        <v>0.137072424</v>
      </c>
    </row>
    <row r="425" spans="1:19" x14ac:dyDescent="0.25">
      <c r="A425" s="34" t="str">
        <f t="shared" si="71"/>
        <v/>
      </c>
      <c r="B425" s="34" t="str">
        <f t="shared" si="68"/>
        <v/>
      </c>
      <c r="C425" s="34" t="str">
        <f t="shared" si="69"/>
        <v/>
      </c>
      <c r="D425" s="34" t="str">
        <f t="shared" si="70"/>
        <v/>
      </c>
      <c r="K425" s="34">
        <f t="shared" si="65"/>
        <v>62</v>
      </c>
      <c r="L425" s="34" t="str">
        <f>IF(Data!$I112="","",Data!I112)</f>
        <v>Asko Haaksi</v>
      </c>
      <c r="M425" s="34">
        <f>IF(Data!$I112="","",IF(Data!K112=0,"dns",Data!K112))</f>
        <v>155</v>
      </c>
      <c r="N425" s="34" t="str">
        <f>IF(Data!$I112="","","GP"&amp;Data!$B112&amp;", "&amp;Data!$K$1)</f>
        <v>GP7, Sarja 2</v>
      </c>
      <c r="O425" s="34">
        <f t="shared" si="66"/>
        <v>59</v>
      </c>
      <c r="P425" s="34">
        <f>IF($L425="","",Data!B112)</f>
        <v>7</v>
      </c>
      <c r="Q425" s="34" t="str">
        <f t="shared" si="63"/>
        <v>2</v>
      </c>
      <c r="R425" s="34">
        <f t="shared" si="67"/>
        <v>425</v>
      </c>
      <c r="S425" s="70">
        <f t="shared" si="64"/>
        <v>5.9072424999999998E-2</v>
      </c>
    </row>
    <row r="426" spans="1:19" x14ac:dyDescent="0.25">
      <c r="A426" s="34" t="str">
        <f t="shared" si="71"/>
        <v/>
      </c>
      <c r="B426" s="34" t="str">
        <f t="shared" si="68"/>
        <v/>
      </c>
      <c r="C426" s="34" t="str">
        <f t="shared" si="69"/>
        <v/>
      </c>
      <c r="D426" s="34" t="str">
        <f t="shared" si="70"/>
        <v/>
      </c>
      <c r="K426" s="34">
        <f t="shared" si="65"/>
        <v>56</v>
      </c>
      <c r="L426" s="34" t="str">
        <f>IF(Data!$I113="","",Data!I113)</f>
        <v>Henri Verho</v>
      </c>
      <c r="M426" s="34">
        <f>IF(Data!$I113="","",IF(Data!K113=0,"dns",Data!K113))</f>
        <v>156</v>
      </c>
      <c r="N426" s="34" t="str">
        <f>IF(Data!$I113="","","GP"&amp;Data!$B113&amp;", "&amp;Data!$K$1)</f>
        <v>GP7, Sarja 2</v>
      </c>
      <c r="O426" s="34">
        <f t="shared" si="66"/>
        <v>54</v>
      </c>
      <c r="P426" s="34">
        <f>IF($L426="","",Data!B113)</f>
        <v>7</v>
      </c>
      <c r="Q426" s="34" t="str">
        <f t="shared" si="63"/>
        <v>2</v>
      </c>
      <c r="R426" s="34">
        <f t="shared" si="67"/>
        <v>426</v>
      </c>
      <c r="S426" s="70">
        <f t="shared" si="64"/>
        <v>5.4072426E-2</v>
      </c>
    </row>
    <row r="427" spans="1:19" x14ac:dyDescent="0.25">
      <c r="A427" s="34" t="str">
        <f t="shared" si="71"/>
        <v/>
      </c>
      <c r="B427" s="34" t="str">
        <f t="shared" si="68"/>
        <v/>
      </c>
      <c r="C427" s="34" t="str">
        <f t="shared" si="69"/>
        <v/>
      </c>
      <c r="D427" s="34" t="str">
        <f t="shared" si="70"/>
        <v/>
      </c>
      <c r="K427" s="34">
        <f t="shared" si="65"/>
        <v>92</v>
      </c>
      <c r="L427" s="34" t="str">
        <f>IF(Data!$I114="","",Data!I114)</f>
        <v>Juho Korpi</v>
      </c>
      <c r="M427" s="34">
        <f>IF(Data!$I114="","",IF(Data!K114=0,"dns",Data!K114))</f>
        <v>142</v>
      </c>
      <c r="N427" s="34" t="str">
        <f>IF(Data!$I114="","","GP"&amp;Data!$B114&amp;", "&amp;Data!$K$1)</f>
        <v>GP7, Sarja 2</v>
      </c>
      <c r="O427" s="34">
        <f t="shared" si="66"/>
        <v>91</v>
      </c>
      <c r="P427" s="34">
        <f>IF($L427="","",Data!B114)</f>
        <v>7</v>
      </c>
      <c r="Q427" s="34" t="str">
        <f t="shared" si="63"/>
        <v>2</v>
      </c>
      <c r="R427" s="34">
        <f t="shared" si="67"/>
        <v>427</v>
      </c>
      <c r="S427" s="70">
        <f t="shared" si="64"/>
        <v>9.1072426999999997E-2</v>
      </c>
    </row>
    <row r="428" spans="1:19" x14ac:dyDescent="0.25">
      <c r="A428" s="34" t="str">
        <f t="shared" si="71"/>
        <v/>
      </c>
      <c r="B428" s="34" t="str">
        <f t="shared" si="68"/>
        <v/>
      </c>
      <c r="C428" s="34" t="str">
        <f t="shared" si="69"/>
        <v/>
      </c>
      <c r="D428" s="34" t="str">
        <f t="shared" si="70"/>
        <v/>
      </c>
      <c r="K428" s="34">
        <f t="shared" si="65"/>
        <v>53</v>
      </c>
      <c r="L428" s="34" t="str">
        <f>IF(Data!$I115="","",Data!I115)</f>
        <v>Jami Kallio</v>
      </c>
      <c r="M428" s="34">
        <f>IF(Data!$I115="","",IF(Data!K115=0,"dns",Data!K115))</f>
        <v>157</v>
      </c>
      <c r="N428" s="34" t="str">
        <f>IF(Data!$I115="","","GP"&amp;Data!$B115&amp;", "&amp;Data!$K$1)</f>
        <v>GP7, Sarja 2</v>
      </c>
      <c r="O428" s="34">
        <f t="shared" si="66"/>
        <v>51</v>
      </c>
      <c r="P428" s="34">
        <f>IF($L428="","",Data!B115)</f>
        <v>7</v>
      </c>
      <c r="Q428" s="34" t="str">
        <f t="shared" si="63"/>
        <v>2</v>
      </c>
      <c r="R428" s="34">
        <f t="shared" si="67"/>
        <v>428</v>
      </c>
      <c r="S428" s="70">
        <f t="shared" si="64"/>
        <v>5.1072427999999996E-2</v>
      </c>
    </row>
    <row r="429" spans="1:19" x14ac:dyDescent="0.25">
      <c r="A429" s="34" t="str">
        <f t="shared" si="71"/>
        <v/>
      </c>
      <c r="B429" s="34" t="str">
        <f t="shared" si="68"/>
        <v/>
      </c>
      <c r="C429" s="34" t="str">
        <f t="shared" si="69"/>
        <v/>
      </c>
      <c r="D429" s="34" t="str">
        <f t="shared" si="70"/>
        <v/>
      </c>
      <c r="K429" s="34">
        <f t="shared" si="65"/>
        <v>133</v>
      </c>
      <c r="L429" s="34" t="str">
        <f>IF(Data!$I116="","",Data!I116)</f>
        <v>Olli Kajava</v>
      </c>
      <c r="M429" s="34">
        <f>IF(Data!$I116="","",IF(Data!K116=0,"dns",Data!K116))</f>
        <v>129</v>
      </c>
      <c r="N429" s="34" t="str">
        <f>IF(Data!$I116="","","GP"&amp;Data!$B116&amp;", "&amp;Data!$K$1)</f>
        <v>GP7, Sarja 2</v>
      </c>
      <c r="O429" s="34">
        <f t="shared" si="66"/>
        <v>132</v>
      </c>
      <c r="P429" s="34">
        <f>IF($L429="","",Data!B116)</f>
        <v>7</v>
      </c>
      <c r="Q429" s="34" t="str">
        <f t="shared" si="63"/>
        <v>2</v>
      </c>
      <c r="R429" s="34">
        <f t="shared" si="67"/>
        <v>429</v>
      </c>
      <c r="S429" s="70">
        <f t="shared" si="64"/>
        <v>0.13207242899999999</v>
      </c>
    </row>
    <row r="430" spans="1:19" x14ac:dyDescent="0.25">
      <c r="A430" s="34" t="str">
        <f t="shared" si="71"/>
        <v/>
      </c>
      <c r="B430" s="34" t="str">
        <f t="shared" si="68"/>
        <v/>
      </c>
      <c r="C430" s="34" t="str">
        <f t="shared" si="69"/>
        <v/>
      </c>
      <c r="D430" s="34" t="str">
        <f t="shared" si="70"/>
        <v/>
      </c>
      <c r="K430" s="34">
        <f t="shared" si="65"/>
        <v>41</v>
      </c>
      <c r="L430" s="34" t="str">
        <f>IF(Data!$I117="","",Data!I117)</f>
        <v>Mika Sola</v>
      </c>
      <c r="M430" s="34">
        <f>IF(Data!$I117="","",IF(Data!K117=0,"dns",Data!K117))</f>
        <v>162</v>
      </c>
      <c r="N430" s="34" t="str">
        <f>IF(Data!$I117="","","GP"&amp;Data!$B117&amp;", "&amp;Data!$K$1)</f>
        <v>GP7, Sarja 2</v>
      </c>
      <c r="O430" s="34">
        <f t="shared" si="66"/>
        <v>41</v>
      </c>
      <c r="P430" s="34">
        <f>IF($L430="","",Data!B117)</f>
        <v>7</v>
      </c>
      <c r="Q430" s="34" t="str">
        <f t="shared" si="63"/>
        <v>2</v>
      </c>
      <c r="R430" s="34">
        <f t="shared" si="67"/>
        <v>430</v>
      </c>
      <c r="S430" s="70">
        <f t="shared" si="64"/>
        <v>4.1072430000000007E-2</v>
      </c>
    </row>
    <row r="431" spans="1:19" x14ac:dyDescent="0.25">
      <c r="A431" s="34" t="str">
        <f t="shared" si="71"/>
        <v/>
      </c>
      <c r="B431" s="34" t="str">
        <f t="shared" si="68"/>
        <v/>
      </c>
      <c r="C431" s="34" t="str">
        <f t="shared" si="69"/>
        <v/>
      </c>
      <c r="D431" s="34" t="str">
        <f t="shared" si="70"/>
        <v/>
      </c>
      <c r="K431" s="34">
        <f t="shared" si="65"/>
        <v>216</v>
      </c>
      <c r="L431" s="34" t="str">
        <f>IF(Data!$I118="","",Data!I118)</f>
        <v>Niko Reunanen</v>
      </c>
      <c r="M431" s="34">
        <f>IF(Data!$I118="","",IF(Data!K118=0,"dns",Data!K118))</f>
        <v>106</v>
      </c>
      <c r="N431" s="34" t="str">
        <f>IF(Data!$I118="","","GP"&amp;Data!$B118&amp;", "&amp;Data!$K$1)</f>
        <v>GP7, Sarja 2</v>
      </c>
      <c r="O431" s="34">
        <f t="shared" si="66"/>
        <v>215</v>
      </c>
      <c r="P431" s="34">
        <f>IF($L431="","",Data!B118)</f>
        <v>7</v>
      </c>
      <c r="Q431" s="34" t="str">
        <f t="shared" si="63"/>
        <v>2</v>
      </c>
      <c r="R431" s="34">
        <f t="shared" si="67"/>
        <v>431</v>
      </c>
      <c r="S431" s="70">
        <f t="shared" si="64"/>
        <v>0.21507243099999998</v>
      </c>
    </row>
    <row r="432" spans="1:19" x14ac:dyDescent="0.25">
      <c r="A432" s="34" t="str">
        <f t="shared" si="71"/>
        <v/>
      </c>
      <c r="B432" s="34" t="str">
        <f t="shared" si="68"/>
        <v/>
      </c>
      <c r="C432" s="34" t="str">
        <f t="shared" si="69"/>
        <v/>
      </c>
      <c r="D432" s="34" t="str">
        <f t="shared" si="70"/>
        <v/>
      </c>
      <c r="K432" s="34">
        <f t="shared" si="65"/>
        <v>43</v>
      </c>
      <c r="L432" s="34" t="str">
        <f>IF(Data!$I119="","",Data!I119)</f>
        <v>Miika Nordblad</v>
      </c>
      <c r="M432" s="34">
        <f>IF(Data!$I119="","",IF(Data!K119=0,"dns",Data!K119))</f>
        <v>161</v>
      </c>
      <c r="N432" s="34" t="str">
        <f>IF(Data!$I119="","","GP"&amp;Data!$B119&amp;", "&amp;Data!$K$1)</f>
        <v>GP7, Sarja 2</v>
      </c>
      <c r="O432" s="34">
        <f t="shared" si="66"/>
        <v>42</v>
      </c>
      <c r="P432" s="34">
        <f>IF($L432="","",Data!B119)</f>
        <v>7</v>
      </c>
      <c r="Q432" s="34" t="str">
        <f t="shared" si="63"/>
        <v>2</v>
      </c>
      <c r="R432" s="34">
        <f t="shared" si="67"/>
        <v>432</v>
      </c>
      <c r="S432" s="70">
        <f t="shared" si="64"/>
        <v>4.2072432000000007E-2</v>
      </c>
    </row>
    <row r="433" spans="1:19" x14ac:dyDescent="0.25">
      <c r="A433" s="34" t="str">
        <f t="shared" si="71"/>
        <v/>
      </c>
      <c r="B433" s="34" t="str">
        <f t="shared" si="68"/>
        <v/>
      </c>
      <c r="C433" s="34" t="str">
        <f t="shared" si="69"/>
        <v/>
      </c>
      <c r="D433" s="34" t="str">
        <f t="shared" si="70"/>
        <v/>
      </c>
      <c r="K433" s="34">
        <f t="shared" si="65"/>
        <v>47</v>
      </c>
      <c r="L433" s="34" t="str">
        <f>IF(Data!$I120="","",Data!I120)</f>
        <v>Ossi Oksa</v>
      </c>
      <c r="M433" s="34">
        <f>IF(Data!$I120="","",IF(Data!K120=0,"dns",Data!K120))</f>
        <v>160</v>
      </c>
      <c r="N433" s="34" t="str">
        <f>IF(Data!$I120="","","GP"&amp;Data!$B120&amp;", "&amp;Data!$K$1)</f>
        <v>GP7, Sarja 2</v>
      </c>
      <c r="O433" s="34">
        <f t="shared" si="66"/>
        <v>46</v>
      </c>
      <c r="P433" s="34">
        <f>IF($L433="","",Data!B120)</f>
        <v>7</v>
      </c>
      <c r="Q433" s="34" t="str">
        <f t="shared" si="63"/>
        <v>2</v>
      </c>
      <c r="R433" s="34">
        <f t="shared" si="67"/>
        <v>433</v>
      </c>
      <c r="S433" s="70">
        <f t="shared" si="64"/>
        <v>4.6072433000000003E-2</v>
      </c>
    </row>
    <row r="434" spans="1:19" x14ac:dyDescent="0.25">
      <c r="A434" s="34" t="str">
        <f t="shared" si="71"/>
        <v/>
      </c>
      <c r="B434" s="34" t="str">
        <f t="shared" si="68"/>
        <v/>
      </c>
      <c r="C434" s="34" t="str">
        <f t="shared" si="69"/>
        <v/>
      </c>
      <c r="D434" s="34" t="str">
        <f t="shared" si="70"/>
        <v/>
      </c>
      <c r="K434" s="34">
        <f t="shared" si="65"/>
        <v>320</v>
      </c>
      <c r="L434" s="34" t="str">
        <f>IF(Data!$I121="","",Data!I121)</f>
        <v>Iiro Riikonen</v>
      </c>
      <c r="M434" s="34" t="str">
        <f>IF(Data!$I121="","",IF(Data!K121=0,"dns",Data!K121))</f>
        <v>dns</v>
      </c>
      <c r="N434" s="34" t="str">
        <f>IF(Data!$I121="","","GP"&amp;Data!$B121&amp;", "&amp;Data!$K$1)</f>
        <v>GP7, Sarja 2</v>
      </c>
      <c r="O434" s="34">
        <f t="shared" si="66"/>
        <v>625</v>
      </c>
      <c r="P434" s="34">
        <f>IF($L434="","",Data!B121)</f>
        <v>7</v>
      </c>
      <c r="Q434" s="34" t="str">
        <f t="shared" si="63"/>
        <v>2</v>
      </c>
      <c r="R434" s="34">
        <f t="shared" si="67"/>
        <v>434</v>
      </c>
      <c r="S434" s="70">
        <f t="shared" si="64"/>
        <v>0.62507243400000001</v>
      </c>
    </row>
    <row r="435" spans="1:19" x14ac:dyDescent="0.25">
      <c r="A435" s="34" t="str">
        <f t="shared" si="71"/>
        <v/>
      </c>
      <c r="B435" s="34" t="str">
        <f t="shared" si="68"/>
        <v/>
      </c>
      <c r="C435" s="34" t="str">
        <f t="shared" si="69"/>
        <v/>
      </c>
      <c r="D435" s="34" t="str">
        <f t="shared" si="70"/>
        <v/>
      </c>
      <c r="K435" s="34">
        <f t="shared" si="65"/>
        <v>321</v>
      </c>
      <c r="L435" s="34" t="str">
        <f>IF(Data!$I122="","",Data!I122)</f>
        <v>Frans Hartman</v>
      </c>
      <c r="M435" s="34" t="str">
        <f>IF(Data!$I122="","",IF(Data!K122=0,"dns",Data!K122))</f>
        <v>dns</v>
      </c>
      <c r="N435" s="34" t="str">
        <f>IF(Data!$I122="","","GP"&amp;Data!$B122&amp;", "&amp;Data!$K$1)</f>
        <v>GP7, Sarja 2</v>
      </c>
      <c r="O435" s="34">
        <f t="shared" si="66"/>
        <v>625</v>
      </c>
      <c r="P435" s="34">
        <f>IF($L435="","",Data!B122)</f>
        <v>7</v>
      </c>
      <c r="Q435" s="34" t="str">
        <f t="shared" si="63"/>
        <v>2</v>
      </c>
      <c r="R435" s="34">
        <f t="shared" si="67"/>
        <v>435</v>
      </c>
      <c r="S435" s="70">
        <f t="shared" si="64"/>
        <v>0.62507243499999998</v>
      </c>
    </row>
    <row r="436" spans="1:19" x14ac:dyDescent="0.25">
      <c r="A436" s="34" t="str">
        <f t="shared" si="71"/>
        <v/>
      </c>
      <c r="B436" s="34" t="str">
        <f t="shared" si="68"/>
        <v/>
      </c>
      <c r="C436" s="34" t="str">
        <f t="shared" si="69"/>
        <v/>
      </c>
      <c r="D436" s="34" t="str">
        <f t="shared" si="70"/>
        <v/>
      </c>
      <c r="K436" s="34">
        <f t="shared" si="65"/>
        <v>322</v>
      </c>
      <c r="L436" s="34" t="str">
        <f>IF(Data!$I123="","",Data!I123)</f>
        <v>Kaleva Latvala</v>
      </c>
      <c r="M436" s="34" t="str">
        <f>IF(Data!$I123="","",IF(Data!K123=0,"dns",Data!K123))</f>
        <v>dns</v>
      </c>
      <c r="N436" s="34" t="str">
        <f>IF(Data!$I123="","","GP"&amp;Data!$B123&amp;", "&amp;Data!$K$1)</f>
        <v>GP7, Sarja 2</v>
      </c>
      <c r="O436" s="34">
        <f t="shared" si="66"/>
        <v>625</v>
      </c>
      <c r="P436" s="34">
        <f>IF($L436="","",Data!B123)</f>
        <v>7</v>
      </c>
      <c r="Q436" s="34" t="str">
        <f t="shared" si="63"/>
        <v>2</v>
      </c>
      <c r="R436" s="34">
        <f t="shared" si="67"/>
        <v>436</v>
      </c>
      <c r="S436" s="70">
        <f t="shared" si="64"/>
        <v>0.62507243599999995</v>
      </c>
    </row>
    <row r="437" spans="1:19" x14ac:dyDescent="0.25">
      <c r="A437" s="34" t="str">
        <f t="shared" si="71"/>
        <v/>
      </c>
      <c r="B437" s="34" t="str">
        <f t="shared" si="68"/>
        <v/>
      </c>
      <c r="C437" s="34" t="str">
        <f t="shared" si="69"/>
        <v/>
      </c>
      <c r="D437" s="34" t="str">
        <f t="shared" si="70"/>
        <v/>
      </c>
      <c r="K437" s="34">
        <f t="shared" si="65"/>
        <v>323</v>
      </c>
      <c r="L437" s="34" t="str">
        <f>IF(Data!$I124="","",Data!I124)</f>
        <v>Mikko Mansikkamäki</v>
      </c>
      <c r="M437" s="34" t="str">
        <f>IF(Data!$I124="","",IF(Data!K124=0,"dns",Data!K124))</f>
        <v>dns</v>
      </c>
      <c r="N437" s="34" t="str">
        <f>IF(Data!$I124="","","GP"&amp;Data!$B124&amp;", "&amp;Data!$K$1)</f>
        <v>GP7, Sarja 2</v>
      </c>
      <c r="O437" s="34">
        <f t="shared" si="66"/>
        <v>625</v>
      </c>
      <c r="P437" s="34">
        <f>IF($L437="","",Data!B124)</f>
        <v>7</v>
      </c>
      <c r="Q437" s="34" t="str">
        <f t="shared" si="63"/>
        <v>2</v>
      </c>
      <c r="R437" s="34">
        <f t="shared" si="67"/>
        <v>437</v>
      </c>
      <c r="S437" s="70">
        <f t="shared" si="64"/>
        <v>0.62507243699999993</v>
      </c>
    </row>
    <row r="438" spans="1:19" x14ac:dyDescent="0.25">
      <c r="A438" s="34" t="str">
        <f t="shared" si="71"/>
        <v/>
      </c>
      <c r="B438" s="34" t="str">
        <f t="shared" si="68"/>
        <v/>
      </c>
      <c r="C438" s="34" t="str">
        <f t="shared" si="69"/>
        <v/>
      </c>
      <c r="D438" s="34" t="str">
        <f t="shared" si="70"/>
        <v/>
      </c>
      <c r="K438" s="34">
        <f t="shared" si="65"/>
        <v>324</v>
      </c>
      <c r="L438" s="34" t="str">
        <f>IF(Data!$I125="","",Data!I125)</f>
        <v>Sakari Leinonen</v>
      </c>
      <c r="M438" s="34" t="str">
        <f>IF(Data!$I125="","",IF(Data!K125=0,"dns",Data!K125))</f>
        <v>dns</v>
      </c>
      <c r="N438" s="34" t="str">
        <f>IF(Data!$I125="","","GP"&amp;Data!$B125&amp;", "&amp;Data!$K$1)</f>
        <v>GP7, Sarja 2</v>
      </c>
      <c r="O438" s="34">
        <f t="shared" si="66"/>
        <v>625</v>
      </c>
      <c r="P438" s="34">
        <f>IF($L438="","",Data!B125)</f>
        <v>7</v>
      </c>
      <c r="Q438" s="34" t="str">
        <f t="shared" si="63"/>
        <v>2</v>
      </c>
      <c r="R438" s="34">
        <f t="shared" si="67"/>
        <v>438</v>
      </c>
      <c r="S438" s="70">
        <f t="shared" si="64"/>
        <v>0.62507243800000001</v>
      </c>
    </row>
    <row r="439" spans="1:19" x14ac:dyDescent="0.25">
      <c r="A439" s="34" t="str">
        <f t="shared" si="71"/>
        <v/>
      </c>
      <c r="B439" s="34" t="str">
        <f t="shared" si="68"/>
        <v/>
      </c>
      <c r="C439" s="34" t="str">
        <f t="shared" si="69"/>
        <v/>
      </c>
      <c r="D439" s="34" t="str">
        <f t="shared" si="70"/>
        <v/>
      </c>
      <c r="K439" s="34">
        <f t="shared" si="65"/>
        <v>325</v>
      </c>
      <c r="L439" s="34" t="str">
        <f>IF(Data!$I126="","",Data!I126)</f>
        <v>Roope Warro</v>
      </c>
      <c r="M439" s="34" t="str">
        <f>IF(Data!$I126="","",IF(Data!K126=0,"dns",Data!K126))</f>
        <v>dns</v>
      </c>
      <c r="N439" s="34" t="str">
        <f>IF(Data!$I126="","","GP"&amp;Data!$B126&amp;", "&amp;Data!$K$1)</f>
        <v>GP7, Sarja 2</v>
      </c>
      <c r="O439" s="34">
        <f t="shared" si="66"/>
        <v>625</v>
      </c>
      <c r="P439" s="34">
        <f>IF($L439="","",Data!B126)</f>
        <v>7</v>
      </c>
      <c r="Q439" s="34" t="str">
        <f t="shared" si="63"/>
        <v>2</v>
      </c>
      <c r="R439" s="34">
        <f t="shared" si="67"/>
        <v>439</v>
      </c>
      <c r="S439" s="70">
        <f t="shared" si="64"/>
        <v>0.62507243899999998</v>
      </c>
    </row>
    <row r="440" spans="1:19" x14ac:dyDescent="0.25">
      <c r="A440" s="34" t="str">
        <f t="shared" si="71"/>
        <v/>
      </c>
      <c r="B440" s="34" t="str">
        <f t="shared" si="68"/>
        <v/>
      </c>
      <c r="C440" s="34" t="str">
        <f t="shared" si="69"/>
        <v/>
      </c>
      <c r="D440" s="34" t="str">
        <f t="shared" si="70"/>
        <v/>
      </c>
      <c r="K440" s="34">
        <f t="shared" si="65"/>
        <v>326</v>
      </c>
      <c r="L440" s="34" t="str">
        <f>IF(Data!$I127="","",Data!I127)</f>
        <v>Tatu Erlin</v>
      </c>
      <c r="M440" s="34" t="str">
        <f>IF(Data!$I127="","",IF(Data!K127=0,"dns",Data!K127))</f>
        <v>dns</v>
      </c>
      <c r="N440" s="34" t="str">
        <f>IF(Data!$I127="","","GP"&amp;Data!$B127&amp;", "&amp;Data!$K$1)</f>
        <v>GP7, Sarja 2</v>
      </c>
      <c r="O440" s="34">
        <f t="shared" si="66"/>
        <v>625</v>
      </c>
      <c r="P440" s="34">
        <f>IF($L440="","",Data!B127)</f>
        <v>7</v>
      </c>
      <c r="Q440" s="34" t="str">
        <f t="shared" si="63"/>
        <v>2</v>
      </c>
      <c r="R440" s="34">
        <f t="shared" si="67"/>
        <v>440</v>
      </c>
      <c r="S440" s="70">
        <f t="shared" si="64"/>
        <v>0.62507243999999995</v>
      </c>
    </row>
    <row r="441" spans="1:19" x14ac:dyDescent="0.25">
      <c r="A441" s="34" t="str">
        <f t="shared" si="71"/>
        <v/>
      </c>
      <c r="B441" s="34" t="str">
        <f t="shared" si="68"/>
        <v/>
      </c>
      <c r="C441" s="34" t="str">
        <f t="shared" si="69"/>
        <v/>
      </c>
      <c r="D441" s="34" t="str">
        <f t="shared" si="70"/>
        <v/>
      </c>
      <c r="K441" s="34">
        <f t="shared" si="65"/>
        <v>213</v>
      </c>
      <c r="L441" s="34" t="str">
        <f>IF(Data!$I128="","",Data!I128)</f>
        <v>Juho Korpi</v>
      </c>
      <c r="M441" s="34">
        <f>IF(Data!$I128="","",IF(Data!K128=0,"dns",Data!K128))</f>
        <v>107</v>
      </c>
      <c r="N441" s="34" t="str">
        <f>IF(Data!$I128="","","GP"&amp;Data!$B128&amp;", "&amp;Data!$K$1)</f>
        <v>GP8, Sarja 2</v>
      </c>
      <c r="O441" s="34">
        <f t="shared" si="66"/>
        <v>211</v>
      </c>
      <c r="P441" s="34">
        <f>IF($L441="","",Data!B128)</f>
        <v>8</v>
      </c>
      <c r="Q441" s="34" t="str">
        <f t="shared" si="63"/>
        <v>2</v>
      </c>
      <c r="R441" s="34">
        <f t="shared" si="67"/>
        <v>441</v>
      </c>
      <c r="S441" s="70">
        <f t="shared" si="64"/>
        <v>0.21108244099999998</v>
      </c>
    </row>
    <row r="442" spans="1:19" x14ac:dyDescent="0.25">
      <c r="A442" s="34" t="str">
        <f t="shared" si="71"/>
        <v/>
      </c>
      <c r="B442" s="34" t="str">
        <f t="shared" si="68"/>
        <v/>
      </c>
      <c r="C442" s="34" t="str">
        <f t="shared" si="69"/>
        <v/>
      </c>
      <c r="D442" s="34" t="str">
        <f t="shared" si="70"/>
        <v/>
      </c>
      <c r="K442" s="34">
        <f t="shared" si="65"/>
        <v>223</v>
      </c>
      <c r="L442" s="34" t="str">
        <f>IF(Data!$I129="","",Data!I129)</f>
        <v>Miikka Korventausta</v>
      </c>
      <c r="M442" s="34">
        <f>IF(Data!$I129="","",IF(Data!K129=0,"dns",Data!K129))</f>
        <v>104</v>
      </c>
      <c r="N442" s="34" t="str">
        <f>IF(Data!$I129="","","GP"&amp;Data!$B129&amp;", "&amp;Data!$K$1)</f>
        <v>GP8, Sarja 2</v>
      </c>
      <c r="O442" s="34">
        <f t="shared" si="66"/>
        <v>220</v>
      </c>
      <c r="P442" s="34">
        <f>IF($L442="","",Data!B129)</f>
        <v>8</v>
      </c>
      <c r="Q442" s="34" t="str">
        <f t="shared" si="63"/>
        <v>2</v>
      </c>
      <c r="R442" s="34">
        <f t="shared" si="67"/>
        <v>442</v>
      </c>
      <c r="S442" s="70">
        <f t="shared" si="64"/>
        <v>0.22008244199999999</v>
      </c>
    </row>
    <row r="443" spans="1:19" x14ac:dyDescent="0.25">
      <c r="A443" s="34" t="str">
        <f t="shared" si="71"/>
        <v/>
      </c>
      <c r="B443" s="34" t="str">
        <f t="shared" si="68"/>
        <v/>
      </c>
      <c r="C443" s="34" t="str">
        <f t="shared" si="69"/>
        <v/>
      </c>
      <c r="D443" s="34" t="str">
        <f t="shared" si="70"/>
        <v/>
      </c>
      <c r="K443" s="34">
        <f t="shared" si="65"/>
        <v>67</v>
      </c>
      <c r="L443" s="34" t="str">
        <f>IF(Data!$I130="","",Data!I130)</f>
        <v>Roope Warro</v>
      </c>
      <c r="M443" s="34">
        <f>IF(Data!$I130="","",IF(Data!K130=0,"dns",Data!K130))</f>
        <v>151</v>
      </c>
      <c r="N443" s="34" t="str">
        <f>IF(Data!$I130="","","GP"&amp;Data!$B130&amp;", "&amp;Data!$K$1)</f>
        <v>GP8, Sarja 2</v>
      </c>
      <c r="O443" s="34">
        <f t="shared" si="66"/>
        <v>65</v>
      </c>
      <c r="P443" s="34">
        <f>IF($L443="","",Data!B130)</f>
        <v>8</v>
      </c>
      <c r="Q443" s="34" t="str">
        <f t="shared" si="63"/>
        <v>2</v>
      </c>
      <c r="R443" s="34">
        <f t="shared" si="67"/>
        <v>443</v>
      </c>
      <c r="S443" s="70">
        <f t="shared" si="64"/>
        <v>6.5082443000000004E-2</v>
      </c>
    </row>
    <row r="444" spans="1:19" x14ac:dyDescent="0.25">
      <c r="A444" s="34" t="str">
        <f t="shared" si="71"/>
        <v/>
      </c>
      <c r="B444" s="34" t="str">
        <f t="shared" si="68"/>
        <v/>
      </c>
      <c r="C444" s="34" t="str">
        <f t="shared" si="69"/>
        <v/>
      </c>
      <c r="D444" s="34" t="str">
        <f t="shared" si="70"/>
        <v/>
      </c>
      <c r="K444" s="34">
        <f t="shared" si="65"/>
        <v>205</v>
      </c>
      <c r="L444" s="34" t="str">
        <f>IF(Data!$I131="","",Data!I131)</f>
        <v>Kaleva Latvala</v>
      </c>
      <c r="M444" s="34">
        <f>IF(Data!$I131="","",IF(Data!K131=0,"dns",Data!K131))</f>
        <v>111</v>
      </c>
      <c r="N444" s="34" t="str">
        <f>IF(Data!$I131="","","GP"&amp;Data!$B131&amp;", "&amp;Data!$K$1)</f>
        <v>GP8, Sarja 2</v>
      </c>
      <c r="O444" s="34">
        <f t="shared" si="66"/>
        <v>201</v>
      </c>
      <c r="P444" s="34">
        <f>IF($L444="","",Data!B131)</f>
        <v>8</v>
      </c>
      <c r="Q444" s="34" t="str">
        <f t="shared" ref="Q444:Q507" si="72">IF($L444="","",RIGHT(N444,1))</f>
        <v>2</v>
      </c>
      <c r="R444" s="34">
        <f t="shared" si="67"/>
        <v>444</v>
      </c>
      <c r="S444" s="70">
        <f t="shared" ref="S444:S507" si="73">IF($L444="","",O444/1000+P444/100000+Q444/1000000+R444/1000000000)</f>
        <v>0.201082444</v>
      </c>
    </row>
    <row r="445" spans="1:19" x14ac:dyDescent="0.25">
      <c r="A445" s="34" t="str">
        <f t="shared" si="71"/>
        <v/>
      </c>
      <c r="B445" s="34" t="str">
        <f t="shared" si="68"/>
        <v/>
      </c>
      <c r="C445" s="34" t="str">
        <f t="shared" si="69"/>
        <v/>
      </c>
      <c r="D445" s="34" t="str">
        <f t="shared" si="70"/>
        <v/>
      </c>
      <c r="K445" s="34">
        <f t="shared" si="65"/>
        <v>25</v>
      </c>
      <c r="L445" s="34" t="str">
        <f>IF(Data!$I132="","",Data!I132)</f>
        <v>Jami Kallio</v>
      </c>
      <c r="M445" s="34">
        <f>IF(Data!$I132="","",IF(Data!K132=0,"dns",Data!K132))</f>
        <v>171</v>
      </c>
      <c r="N445" s="34" t="str">
        <f>IF(Data!$I132="","","GP"&amp;Data!$B132&amp;", "&amp;Data!$K$1)</f>
        <v>GP8, Sarja 2</v>
      </c>
      <c r="O445" s="34">
        <f t="shared" si="66"/>
        <v>24</v>
      </c>
      <c r="P445" s="34">
        <f>IF($L445="","",Data!B132)</f>
        <v>8</v>
      </c>
      <c r="Q445" s="34" t="str">
        <f t="shared" si="72"/>
        <v>2</v>
      </c>
      <c r="R445" s="34">
        <f t="shared" si="67"/>
        <v>445</v>
      </c>
      <c r="S445" s="70">
        <f t="shared" si="73"/>
        <v>2.4082445000000001E-2</v>
      </c>
    </row>
    <row r="446" spans="1:19" x14ac:dyDescent="0.25">
      <c r="A446" s="34" t="str">
        <f t="shared" si="71"/>
        <v/>
      </c>
      <c r="B446" s="34" t="str">
        <f t="shared" si="68"/>
        <v/>
      </c>
      <c r="C446" s="34" t="str">
        <f t="shared" si="69"/>
        <v/>
      </c>
      <c r="D446" s="34" t="str">
        <f t="shared" si="70"/>
        <v/>
      </c>
      <c r="K446" s="34">
        <f t="shared" si="65"/>
        <v>135</v>
      </c>
      <c r="L446" s="34" t="str">
        <f>IF(Data!$I133="","",Data!I133)</f>
        <v>Asko Haaksi</v>
      </c>
      <c r="M446" s="34">
        <f>IF(Data!$I133="","",IF(Data!K133=0,"dns",Data!K133))</f>
        <v>129</v>
      </c>
      <c r="N446" s="34" t="str">
        <f>IF(Data!$I133="","","GP"&amp;Data!$B133&amp;", "&amp;Data!$K$1)</f>
        <v>GP8, Sarja 2</v>
      </c>
      <c r="O446" s="34">
        <f t="shared" si="66"/>
        <v>132</v>
      </c>
      <c r="P446" s="34">
        <f>IF($L446="","",Data!B133)</f>
        <v>8</v>
      </c>
      <c r="Q446" s="34" t="str">
        <f t="shared" si="72"/>
        <v>2</v>
      </c>
      <c r="R446" s="34">
        <f t="shared" si="67"/>
        <v>446</v>
      </c>
      <c r="S446" s="70">
        <f t="shared" si="73"/>
        <v>0.13208244599999999</v>
      </c>
    </row>
    <row r="447" spans="1:19" x14ac:dyDescent="0.25">
      <c r="A447" s="34" t="str">
        <f t="shared" si="71"/>
        <v/>
      </c>
      <c r="B447" s="34" t="str">
        <f t="shared" si="68"/>
        <v/>
      </c>
      <c r="C447" s="34" t="str">
        <f t="shared" si="69"/>
        <v/>
      </c>
      <c r="D447" s="34" t="str">
        <f t="shared" si="70"/>
        <v/>
      </c>
      <c r="K447" s="34">
        <f t="shared" si="65"/>
        <v>58</v>
      </c>
      <c r="L447" s="34" t="str">
        <f>IF(Data!$I134="","",Data!I134)</f>
        <v>Joonas Ollonqvist</v>
      </c>
      <c r="M447" s="34">
        <f>IF(Data!$I134="","",IF(Data!K134=0,"dns",Data!K134))</f>
        <v>156</v>
      </c>
      <c r="N447" s="34" t="str">
        <f>IF(Data!$I134="","","GP"&amp;Data!$B134&amp;", "&amp;Data!$K$1)</f>
        <v>GP8, Sarja 2</v>
      </c>
      <c r="O447" s="34">
        <f t="shared" si="66"/>
        <v>54</v>
      </c>
      <c r="P447" s="34">
        <f>IF($L447="","",Data!B134)</f>
        <v>8</v>
      </c>
      <c r="Q447" s="34" t="str">
        <f t="shared" si="72"/>
        <v>2</v>
      </c>
      <c r="R447" s="34">
        <f t="shared" si="67"/>
        <v>447</v>
      </c>
      <c r="S447" s="70">
        <f t="shared" si="73"/>
        <v>5.4082446999999999E-2</v>
      </c>
    </row>
    <row r="448" spans="1:19" x14ac:dyDescent="0.25">
      <c r="A448" s="34" t="str">
        <f t="shared" si="71"/>
        <v/>
      </c>
      <c r="B448" s="34" t="str">
        <f t="shared" si="68"/>
        <v/>
      </c>
      <c r="C448" s="34" t="str">
        <f t="shared" si="69"/>
        <v/>
      </c>
      <c r="D448" s="34" t="str">
        <f t="shared" si="70"/>
        <v/>
      </c>
      <c r="K448" s="34">
        <f t="shared" si="65"/>
        <v>158</v>
      </c>
      <c r="L448" s="34" t="str">
        <f>IF(Data!$I135="","",Data!I135)</f>
        <v>Niko Reunanen</v>
      </c>
      <c r="M448" s="34">
        <f>IF(Data!$I135="","",IF(Data!K135=0,"dns",Data!K135))</f>
        <v>124</v>
      </c>
      <c r="N448" s="34" t="str">
        <f>IF(Data!$I135="","","GP"&amp;Data!$B135&amp;", "&amp;Data!$K$1)</f>
        <v>GP8, Sarja 2</v>
      </c>
      <c r="O448" s="34">
        <f t="shared" si="66"/>
        <v>155</v>
      </c>
      <c r="P448" s="34">
        <f>IF($L448="","",Data!B135)</f>
        <v>8</v>
      </c>
      <c r="Q448" s="34" t="str">
        <f t="shared" si="72"/>
        <v>2</v>
      </c>
      <c r="R448" s="34">
        <f t="shared" si="67"/>
        <v>448</v>
      </c>
      <c r="S448" s="70">
        <f t="shared" si="73"/>
        <v>0.15508244799999998</v>
      </c>
    </row>
    <row r="449" spans="1:19" x14ac:dyDescent="0.25">
      <c r="A449" s="34" t="str">
        <f t="shared" si="71"/>
        <v/>
      </c>
      <c r="B449" s="34" t="str">
        <f t="shared" si="68"/>
        <v/>
      </c>
      <c r="C449" s="34" t="str">
        <f t="shared" si="69"/>
        <v/>
      </c>
      <c r="D449" s="34" t="str">
        <f t="shared" si="70"/>
        <v/>
      </c>
      <c r="K449" s="34">
        <f t="shared" si="65"/>
        <v>75</v>
      </c>
      <c r="L449" s="34" t="str">
        <f>IF(Data!$I136="","",Data!I136)</f>
        <v>Ossi Oksa</v>
      </c>
      <c r="M449" s="34">
        <f>IF(Data!$I136="","",IF(Data!K136=0,"dns",Data!K136))</f>
        <v>148</v>
      </c>
      <c r="N449" s="34" t="str">
        <f>IF(Data!$I136="","","GP"&amp;Data!$B136&amp;", "&amp;Data!$K$1)</f>
        <v>GP8, Sarja 2</v>
      </c>
      <c r="O449" s="34">
        <f t="shared" si="66"/>
        <v>71</v>
      </c>
      <c r="P449" s="34">
        <f>IF($L449="","",Data!B136)</f>
        <v>8</v>
      </c>
      <c r="Q449" s="34" t="str">
        <f t="shared" si="72"/>
        <v>2</v>
      </c>
      <c r="R449" s="34">
        <f t="shared" si="67"/>
        <v>449</v>
      </c>
      <c r="S449" s="70">
        <f t="shared" si="73"/>
        <v>7.1082448999999992E-2</v>
      </c>
    </row>
    <row r="450" spans="1:19" x14ac:dyDescent="0.25">
      <c r="A450" s="34" t="str">
        <f t="shared" si="71"/>
        <v/>
      </c>
      <c r="B450" s="34" t="str">
        <f t="shared" si="68"/>
        <v/>
      </c>
      <c r="C450" s="34" t="str">
        <f t="shared" si="69"/>
        <v/>
      </c>
      <c r="D450" s="34" t="str">
        <f t="shared" si="70"/>
        <v/>
      </c>
      <c r="K450" s="34">
        <f t="shared" si="65"/>
        <v>140</v>
      </c>
      <c r="L450" s="34" t="str">
        <f>IF(Data!$I137="","",Data!I137)</f>
        <v>Iiro Riikonen</v>
      </c>
      <c r="M450" s="34">
        <f>IF(Data!$I137="","",IF(Data!K137=0,"dns",Data!K137))</f>
        <v>128</v>
      </c>
      <c r="N450" s="34" t="str">
        <f>IF(Data!$I137="","","GP"&amp;Data!$B137&amp;", "&amp;Data!$K$1)</f>
        <v>GP8, Sarja 2</v>
      </c>
      <c r="O450" s="34">
        <f t="shared" si="66"/>
        <v>137</v>
      </c>
      <c r="P450" s="34">
        <f>IF($L450="","",Data!B137)</f>
        <v>8</v>
      </c>
      <c r="Q450" s="34" t="str">
        <f t="shared" si="72"/>
        <v>2</v>
      </c>
      <c r="R450" s="34">
        <f t="shared" si="67"/>
        <v>450</v>
      </c>
      <c r="S450" s="70">
        <f t="shared" si="73"/>
        <v>0.13708245000000002</v>
      </c>
    </row>
    <row r="451" spans="1:19" x14ac:dyDescent="0.25">
      <c r="A451" s="34" t="str">
        <f t="shared" si="71"/>
        <v/>
      </c>
      <c r="B451" s="34" t="str">
        <f t="shared" si="68"/>
        <v/>
      </c>
      <c r="C451" s="34" t="str">
        <f t="shared" si="69"/>
        <v/>
      </c>
      <c r="D451" s="34" t="str">
        <f t="shared" si="70"/>
        <v/>
      </c>
      <c r="K451" s="34">
        <f t="shared" si="65"/>
        <v>159</v>
      </c>
      <c r="L451" s="34" t="str">
        <f>IF(Data!$I138="","",Data!I138)</f>
        <v>Mikko Mansikkamäki</v>
      </c>
      <c r="M451" s="34">
        <f>IF(Data!$I138="","",IF(Data!K138=0,"dns",Data!K138))</f>
        <v>124</v>
      </c>
      <c r="N451" s="34" t="str">
        <f>IF(Data!$I138="","","GP"&amp;Data!$B138&amp;", "&amp;Data!$K$1)</f>
        <v>GP8, Sarja 2</v>
      </c>
      <c r="O451" s="34">
        <f t="shared" si="66"/>
        <v>155</v>
      </c>
      <c r="P451" s="34">
        <f>IF($L451="","",Data!B138)</f>
        <v>8</v>
      </c>
      <c r="Q451" s="34" t="str">
        <f t="shared" si="72"/>
        <v>2</v>
      </c>
      <c r="R451" s="34">
        <f t="shared" si="67"/>
        <v>451</v>
      </c>
      <c r="S451" s="70">
        <f t="shared" si="73"/>
        <v>0.15508245100000001</v>
      </c>
    </row>
    <row r="452" spans="1:19" x14ac:dyDescent="0.25">
      <c r="A452" s="34" t="str">
        <f t="shared" si="71"/>
        <v/>
      </c>
      <c r="B452" s="34" t="str">
        <f t="shared" si="68"/>
        <v/>
      </c>
      <c r="C452" s="34" t="str">
        <f t="shared" si="69"/>
        <v/>
      </c>
      <c r="D452" s="34" t="str">
        <f t="shared" si="70"/>
        <v/>
      </c>
      <c r="K452" s="34">
        <f t="shared" ref="K452:K515" si="74">IF($L452="","",_xlfn.RANK.EQ($S452,$S$3:$S$626,1))</f>
        <v>14</v>
      </c>
      <c r="L452" s="34" t="str">
        <f>IF(Data!$I139="","",Data!I139)</f>
        <v>Miika Nordblad</v>
      </c>
      <c r="M452" s="34">
        <f>IF(Data!$I139="","",IF(Data!K139=0,"dns",Data!K139))</f>
        <v>182</v>
      </c>
      <c r="N452" s="34" t="str">
        <f>IF(Data!$I139="","","GP"&amp;Data!$B139&amp;", "&amp;Data!$K$1)</f>
        <v>GP8, Sarja 2</v>
      </c>
      <c r="O452" s="34">
        <f t="shared" ref="O452:O515" si="75">IF(L452="","",IFERROR(_xlfn.RANK.EQ($M452,$M$3:$M$626,0),COUNTA($L$3:$L$626)+1))</f>
        <v>13</v>
      </c>
      <c r="P452" s="34">
        <f>IF($L452="","",Data!B139)</f>
        <v>8</v>
      </c>
      <c r="Q452" s="34" t="str">
        <f t="shared" si="72"/>
        <v>2</v>
      </c>
      <c r="R452" s="34">
        <f t="shared" ref="R452:R515" si="76">IF($L452="","",ROW())</f>
        <v>452</v>
      </c>
      <c r="S452" s="70">
        <f t="shared" si="73"/>
        <v>1.3082452E-2</v>
      </c>
    </row>
    <row r="453" spans="1:19" x14ac:dyDescent="0.25">
      <c r="A453" s="34" t="str">
        <f t="shared" si="71"/>
        <v/>
      </c>
      <c r="B453" s="34" t="str">
        <f t="shared" ref="B453:B516" si="77">IF($A453="","",VLOOKUP($A453,$K$3:$N$626,L$1,0))</f>
        <v/>
      </c>
      <c r="C453" s="34" t="str">
        <f t="shared" ref="C453:C516" si="78">IF($A453="","",VLOOKUP($A453,$K$3:$N$626,M$1,0))</f>
        <v/>
      </c>
      <c r="D453" s="34" t="str">
        <f t="shared" ref="D453:D516" si="79">IF($A453="","",VLOOKUP($A453,$K$3:$N$626,N$1,0))</f>
        <v/>
      </c>
      <c r="K453" s="34">
        <f t="shared" si="74"/>
        <v>3</v>
      </c>
      <c r="L453" s="34" t="str">
        <f>IF(Data!$I140="","",Data!I140)</f>
        <v>Mika Sola</v>
      </c>
      <c r="M453" s="34">
        <f>IF(Data!$I140="","",IF(Data!K140=0,"dns",Data!K140))</f>
        <v>203</v>
      </c>
      <c r="N453" s="34" t="str">
        <f>IF(Data!$I140="","","GP"&amp;Data!$B140&amp;", "&amp;Data!$K$1)</f>
        <v>GP8, Sarja 2</v>
      </c>
      <c r="O453" s="34">
        <f t="shared" si="75"/>
        <v>3</v>
      </c>
      <c r="P453" s="34">
        <f>IF($L453="","",Data!B140)</f>
        <v>8</v>
      </c>
      <c r="Q453" s="34" t="str">
        <f t="shared" si="72"/>
        <v>2</v>
      </c>
      <c r="R453" s="34">
        <f t="shared" si="76"/>
        <v>453</v>
      </c>
      <c r="S453" s="70">
        <f t="shared" si="73"/>
        <v>3.0824530000000002E-3</v>
      </c>
    </row>
    <row r="454" spans="1:19" x14ac:dyDescent="0.25">
      <c r="A454" s="34" t="str">
        <f t="shared" ref="A454:A517" si="80">IFERROR(IF(A453+1&gt;MAX($K$3:$K$626),"",A453+1),"")</f>
        <v/>
      </c>
      <c r="B454" s="34" t="str">
        <f t="shared" si="77"/>
        <v/>
      </c>
      <c r="C454" s="34" t="str">
        <f t="shared" si="78"/>
        <v/>
      </c>
      <c r="D454" s="34" t="str">
        <f t="shared" si="79"/>
        <v/>
      </c>
      <c r="K454" s="34">
        <f t="shared" si="74"/>
        <v>93</v>
      </c>
      <c r="L454" s="34" t="str">
        <f>IF(Data!$I141="","",Data!I141)</f>
        <v>Henri Verho</v>
      </c>
      <c r="M454" s="34">
        <f>IF(Data!$I141="","",IF(Data!K141=0,"dns",Data!K141))</f>
        <v>142</v>
      </c>
      <c r="N454" s="34" t="str">
        <f>IF(Data!$I141="","","GP"&amp;Data!$B141&amp;", "&amp;Data!$K$1)</f>
        <v>GP8, Sarja 2</v>
      </c>
      <c r="O454" s="34">
        <f t="shared" si="75"/>
        <v>91</v>
      </c>
      <c r="P454" s="34">
        <f>IF($L454="","",Data!B141)</f>
        <v>8</v>
      </c>
      <c r="Q454" s="34" t="str">
        <f t="shared" si="72"/>
        <v>2</v>
      </c>
      <c r="R454" s="34">
        <f t="shared" si="76"/>
        <v>454</v>
      </c>
      <c r="S454" s="70">
        <f t="shared" si="73"/>
        <v>9.1082453999999993E-2</v>
      </c>
    </row>
    <row r="455" spans="1:19" x14ac:dyDescent="0.25">
      <c r="A455" s="34" t="str">
        <f t="shared" si="80"/>
        <v/>
      </c>
      <c r="B455" s="34" t="str">
        <f t="shared" si="77"/>
        <v/>
      </c>
      <c r="C455" s="34" t="str">
        <f t="shared" si="78"/>
        <v/>
      </c>
      <c r="D455" s="34" t="str">
        <f t="shared" si="79"/>
        <v/>
      </c>
      <c r="K455" s="34">
        <f t="shared" si="74"/>
        <v>331</v>
      </c>
      <c r="L455" s="34" t="str">
        <f>IF(Data!$I142="","",Data!I142)</f>
        <v>Olli Kajava</v>
      </c>
      <c r="M455" s="34" t="str">
        <f>IF(Data!$I142="","",IF(Data!K142=0,"dns",Data!K142))</f>
        <v>dns</v>
      </c>
      <c r="N455" s="34" t="str">
        <f>IF(Data!$I142="","","GP"&amp;Data!$B142&amp;", "&amp;Data!$K$1)</f>
        <v>GP8, Sarja 2</v>
      </c>
      <c r="O455" s="34">
        <f t="shared" si="75"/>
        <v>625</v>
      </c>
      <c r="P455" s="34">
        <f>IF($L455="","",Data!B142)</f>
        <v>8</v>
      </c>
      <c r="Q455" s="34" t="str">
        <f t="shared" si="72"/>
        <v>2</v>
      </c>
      <c r="R455" s="34">
        <f t="shared" si="76"/>
        <v>455</v>
      </c>
      <c r="S455" s="70">
        <f t="shared" si="73"/>
        <v>0.62508245499999993</v>
      </c>
    </row>
    <row r="456" spans="1:19" x14ac:dyDescent="0.25">
      <c r="A456" s="34" t="str">
        <f t="shared" si="80"/>
        <v/>
      </c>
      <c r="B456" s="34" t="str">
        <f t="shared" si="77"/>
        <v/>
      </c>
      <c r="C456" s="34" t="str">
        <f t="shared" si="78"/>
        <v/>
      </c>
      <c r="D456" s="34" t="str">
        <f t="shared" si="79"/>
        <v/>
      </c>
      <c r="K456" s="34">
        <f t="shared" si="74"/>
        <v>332</v>
      </c>
      <c r="L456" s="34" t="str">
        <f>IF(Data!$I143="","",Data!I143)</f>
        <v>Frans Hartman</v>
      </c>
      <c r="M456" s="34" t="str">
        <f>IF(Data!$I143="","",IF(Data!K143=0,"dns",Data!K143))</f>
        <v>dns</v>
      </c>
      <c r="N456" s="34" t="str">
        <f>IF(Data!$I143="","","GP"&amp;Data!$B143&amp;", "&amp;Data!$K$1)</f>
        <v>GP8, Sarja 2</v>
      </c>
      <c r="O456" s="34">
        <f t="shared" si="75"/>
        <v>625</v>
      </c>
      <c r="P456" s="34">
        <f>IF($L456="","",Data!B143)</f>
        <v>8</v>
      </c>
      <c r="Q456" s="34" t="str">
        <f t="shared" si="72"/>
        <v>2</v>
      </c>
      <c r="R456" s="34">
        <f t="shared" si="76"/>
        <v>456</v>
      </c>
      <c r="S456" s="70">
        <f t="shared" si="73"/>
        <v>0.6250824559999999</v>
      </c>
    </row>
    <row r="457" spans="1:19" x14ac:dyDescent="0.25">
      <c r="A457" s="34" t="str">
        <f t="shared" si="80"/>
        <v/>
      </c>
      <c r="B457" s="34" t="str">
        <f t="shared" si="77"/>
        <v/>
      </c>
      <c r="C457" s="34" t="str">
        <f t="shared" si="78"/>
        <v/>
      </c>
      <c r="D457" s="34" t="str">
        <f t="shared" si="79"/>
        <v/>
      </c>
      <c r="K457" s="34">
        <f t="shared" si="74"/>
        <v>333</v>
      </c>
      <c r="L457" s="34" t="str">
        <f>IF(Data!$I144="","",Data!I144)</f>
        <v>Sakari Leinonen</v>
      </c>
      <c r="M457" s="34" t="str">
        <f>IF(Data!$I144="","",IF(Data!K144=0,"dns",Data!K144))</f>
        <v>dns</v>
      </c>
      <c r="N457" s="34" t="str">
        <f>IF(Data!$I144="","","GP"&amp;Data!$B144&amp;", "&amp;Data!$K$1)</f>
        <v>GP8, Sarja 2</v>
      </c>
      <c r="O457" s="34">
        <f t="shared" si="75"/>
        <v>625</v>
      </c>
      <c r="P457" s="34">
        <f>IF($L457="","",Data!B144)</f>
        <v>8</v>
      </c>
      <c r="Q457" s="34" t="str">
        <f t="shared" si="72"/>
        <v>2</v>
      </c>
      <c r="R457" s="34">
        <f t="shared" si="76"/>
        <v>457</v>
      </c>
      <c r="S457" s="70">
        <f t="shared" si="73"/>
        <v>0.62508245699999987</v>
      </c>
    </row>
    <row r="458" spans="1:19" x14ac:dyDescent="0.25">
      <c r="A458" s="34" t="str">
        <f t="shared" si="80"/>
        <v/>
      </c>
      <c r="B458" s="34" t="str">
        <f t="shared" si="77"/>
        <v/>
      </c>
      <c r="C458" s="34" t="str">
        <f t="shared" si="78"/>
        <v/>
      </c>
      <c r="D458" s="34" t="str">
        <f t="shared" si="79"/>
        <v/>
      </c>
      <c r="K458" s="34">
        <f t="shared" si="74"/>
        <v>334</v>
      </c>
      <c r="L458" s="34" t="str">
        <f>IF(Data!$I145="","",Data!I145)</f>
        <v>Tatu Erlin</v>
      </c>
      <c r="M458" s="34" t="str">
        <f>IF(Data!$I145="","",IF(Data!K145=0,"dns",Data!K145))</f>
        <v>dns</v>
      </c>
      <c r="N458" s="34" t="str">
        <f>IF(Data!$I145="","","GP"&amp;Data!$B145&amp;", "&amp;Data!$K$1)</f>
        <v>GP8, Sarja 2</v>
      </c>
      <c r="O458" s="34">
        <f t="shared" si="75"/>
        <v>625</v>
      </c>
      <c r="P458" s="34">
        <f>IF($L458="","",Data!B145)</f>
        <v>8</v>
      </c>
      <c r="Q458" s="34" t="str">
        <f t="shared" si="72"/>
        <v>2</v>
      </c>
      <c r="R458" s="34">
        <f t="shared" si="76"/>
        <v>458</v>
      </c>
      <c r="S458" s="70">
        <f t="shared" si="73"/>
        <v>0.62508245799999995</v>
      </c>
    </row>
    <row r="459" spans="1:19" x14ac:dyDescent="0.25">
      <c r="A459" s="34" t="str">
        <f t="shared" si="80"/>
        <v/>
      </c>
      <c r="B459" s="34" t="str">
        <f t="shared" si="77"/>
        <v/>
      </c>
      <c r="C459" s="34" t="str">
        <f t="shared" si="78"/>
        <v/>
      </c>
      <c r="D459" s="34" t="str">
        <f t="shared" si="79"/>
        <v/>
      </c>
      <c r="K459" s="34">
        <f t="shared" si="74"/>
        <v>5</v>
      </c>
      <c r="L459" s="34" t="str">
        <f>IF(Data!$I146="","",Data!I146)</f>
        <v>Jami Kallio</v>
      </c>
      <c r="M459" s="34">
        <f>IF(Data!$I146="","",IF(Data!K146=0,"dns",Data!K146))</f>
        <v>195</v>
      </c>
      <c r="N459" s="34" t="str">
        <f>IF(Data!$I146="","","GP"&amp;Data!$B146&amp;", "&amp;Data!$K$1)</f>
        <v>GP9, Sarja 2</v>
      </c>
      <c r="O459" s="34">
        <f t="shared" si="75"/>
        <v>5</v>
      </c>
      <c r="P459" s="34">
        <f>IF($L459="","",Data!B146)</f>
        <v>9</v>
      </c>
      <c r="Q459" s="34" t="str">
        <f t="shared" si="72"/>
        <v>2</v>
      </c>
      <c r="R459" s="34">
        <f t="shared" si="76"/>
        <v>459</v>
      </c>
      <c r="S459" s="70">
        <f t="shared" si="73"/>
        <v>5.0924590000000006E-3</v>
      </c>
    </row>
    <row r="460" spans="1:19" x14ac:dyDescent="0.25">
      <c r="A460" s="34" t="str">
        <f t="shared" si="80"/>
        <v/>
      </c>
      <c r="B460" s="34" t="str">
        <f t="shared" si="77"/>
        <v/>
      </c>
      <c r="C460" s="34" t="str">
        <f t="shared" si="78"/>
        <v/>
      </c>
      <c r="D460" s="34" t="str">
        <f t="shared" si="79"/>
        <v/>
      </c>
      <c r="K460" s="34">
        <f t="shared" si="74"/>
        <v>23</v>
      </c>
      <c r="L460" s="34" t="str">
        <f>IF(Data!$I147="","",Data!I147)</f>
        <v>Niko Reunanen</v>
      </c>
      <c r="M460" s="34">
        <f>IF(Data!$I147="","",IF(Data!K147=0,"dns",Data!K147))</f>
        <v>172</v>
      </c>
      <c r="N460" s="34" t="str">
        <f>IF(Data!$I147="","","GP"&amp;Data!$B147&amp;", "&amp;Data!$K$1)</f>
        <v>GP9, Sarja 2</v>
      </c>
      <c r="O460" s="34">
        <f t="shared" si="75"/>
        <v>23</v>
      </c>
      <c r="P460" s="34">
        <f>IF($L460="","",Data!B147)</f>
        <v>9</v>
      </c>
      <c r="Q460" s="34" t="str">
        <f t="shared" si="72"/>
        <v>2</v>
      </c>
      <c r="R460" s="34">
        <f t="shared" si="76"/>
        <v>460</v>
      </c>
      <c r="S460" s="70">
        <f t="shared" si="73"/>
        <v>2.3092459999999999E-2</v>
      </c>
    </row>
    <row r="461" spans="1:19" x14ac:dyDescent="0.25">
      <c r="A461" s="34" t="str">
        <f t="shared" si="80"/>
        <v/>
      </c>
      <c r="B461" s="34" t="str">
        <f t="shared" si="77"/>
        <v/>
      </c>
      <c r="C461" s="34" t="str">
        <f t="shared" si="78"/>
        <v/>
      </c>
      <c r="D461" s="34" t="str">
        <f t="shared" si="79"/>
        <v/>
      </c>
      <c r="K461" s="34">
        <f t="shared" si="74"/>
        <v>29</v>
      </c>
      <c r="L461" s="34" t="str">
        <f>IF(Data!$I148="","",Data!I148)</f>
        <v>Frans Hartman</v>
      </c>
      <c r="M461" s="34">
        <f>IF(Data!$I148="","",IF(Data!K148=0,"dns",Data!K148))</f>
        <v>169</v>
      </c>
      <c r="N461" s="34" t="str">
        <f>IF(Data!$I148="","","GP"&amp;Data!$B148&amp;", "&amp;Data!$K$1)</f>
        <v>GP9, Sarja 2</v>
      </c>
      <c r="O461" s="34">
        <f t="shared" si="75"/>
        <v>28</v>
      </c>
      <c r="P461" s="34">
        <f>IF($L461="","",Data!B148)</f>
        <v>9</v>
      </c>
      <c r="Q461" s="34" t="str">
        <f t="shared" si="72"/>
        <v>2</v>
      </c>
      <c r="R461" s="34">
        <f t="shared" si="76"/>
        <v>461</v>
      </c>
      <c r="S461" s="70">
        <f t="shared" si="73"/>
        <v>2.8092460999999999E-2</v>
      </c>
    </row>
    <row r="462" spans="1:19" x14ac:dyDescent="0.25">
      <c r="A462" s="34" t="str">
        <f t="shared" si="80"/>
        <v/>
      </c>
      <c r="B462" s="34" t="str">
        <f t="shared" si="77"/>
        <v/>
      </c>
      <c r="C462" s="34" t="str">
        <f t="shared" si="78"/>
        <v/>
      </c>
      <c r="D462" s="34" t="str">
        <f t="shared" si="79"/>
        <v/>
      </c>
      <c r="K462" s="34">
        <f t="shared" si="74"/>
        <v>98</v>
      </c>
      <c r="L462" s="34" t="str">
        <f>IF(Data!$I149="","",Data!I149)</f>
        <v>Miika Nordblad</v>
      </c>
      <c r="M462" s="34">
        <f>IF(Data!$I149="","",IF(Data!K149=0,"dns",Data!K149))</f>
        <v>140</v>
      </c>
      <c r="N462" s="34" t="str">
        <f>IF(Data!$I149="","","GP"&amp;Data!$B149&amp;", "&amp;Data!$K$1)</f>
        <v>GP9, Sarja 2</v>
      </c>
      <c r="O462" s="34">
        <f t="shared" si="75"/>
        <v>96</v>
      </c>
      <c r="P462" s="34">
        <f>IF($L462="","",Data!B149)</f>
        <v>9</v>
      </c>
      <c r="Q462" s="34" t="str">
        <f t="shared" si="72"/>
        <v>2</v>
      </c>
      <c r="R462" s="34">
        <f t="shared" si="76"/>
        <v>462</v>
      </c>
      <c r="S462" s="70">
        <f t="shared" si="73"/>
        <v>9.6092462000000017E-2</v>
      </c>
    </row>
    <row r="463" spans="1:19" x14ac:dyDescent="0.25">
      <c r="A463" s="34" t="str">
        <f t="shared" si="80"/>
        <v/>
      </c>
      <c r="B463" s="34" t="str">
        <f t="shared" si="77"/>
        <v/>
      </c>
      <c r="C463" s="34" t="str">
        <f t="shared" si="78"/>
        <v/>
      </c>
      <c r="D463" s="34" t="str">
        <f t="shared" si="79"/>
        <v/>
      </c>
      <c r="K463" s="34">
        <f t="shared" si="74"/>
        <v>182</v>
      </c>
      <c r="L463" s="34" t="str">
        <f>IF(Data!$I150="","",Data!I150)</f>
        <v>Ossi Oksa</v>
      </c>
      <c r="M463" s="34">
        <f>IF(Data!$I150="","",IF(Data!K150=0,"dns",Data!K150))</f>
        <v>119</v>
      </c>
      <c r="N463" s="34" t="str">
        <f>IF(Data!$I150="","","GP"&amp;Data!$B150&amp;", "&amp;Data!$K$1)</f>
        <v>GP9, Sarja 2</v>
      </c>
      <c r="O463" s="34">
        <f t="shared" si="75"/>
        <v>179</v>
      </c>
      <c r="P463" s="34">
        <f>IF($L463="","",Data!B150)</f>
        <v>9</v>
      </c>
      <c r="Q463" s="34" t="str">
        <f t="shared" si="72"/>
        <v>2</v>
      </c>
      <c r="R463" s="34">
        <f t="shared" si="76"/>
        <v>463</v>
      </c>
      <c r="S463" s="70">
        <f t="shared" si="73"/>
        <v>0.17909246300000001</v>
      </c>
    </row>
    <row r="464" spans="1:19" x14ac:dyDescent="0.25">
      <c r="A464" s="34" t="str">
        <f t="shared" si="80"/>
        <v/>
      </c>
      <c r="B464" s="34" t="str">
        <f t="shared" si="77"/>
        <v/>
      </c>
      <c r="C464" s="34" t="str">
        <f t="shared" si="78"/>
        <v/>
      </c>
      <c r="D464" s="34" t="str">
        <f t="shared" si="79"/>
        <v/>
      </c>
      <c r="K464" s="34">
        <f t="shared" si="74"/>
        <v>232</v>
      </c>
      <c r="L464" s="34" t="str">
        <f>IF(Data!$I151="","",Data!I151)</f>
        <v>Mikko Mansikkamäki</v>
      </c>
      <c r="M464" s="34">
        <f>IF(Data!$I151="","",IF(Data!K151=0,"dns",Data!K151))</f>
        <v>100</v>
      </c>
      <c r="N464" s="34" t="str">
        <f>IF(Data!$I151="","","GP"&amp;Data!$B151&amp;", "&amp;Data!$K$1)</f>
        <v>GP9, Sarja 2</v>
      </c>
      <c r="O464" s="34">
        <f t="shared" si="75"/>
        <v>232</v>
      </c>
      <c r="P464" s="34">
        <f>IF($L464="","",Data!B151)</f>
        <v>9</v>
      </c>
      <c r="Q464" s="34" t="str">
        <f t="shared" si="72"/>
        <v>2</v>
      </c>
      <c r="R464" s="34">
        <f t="shared" si="76"/>
        <v>464</v>
      </c>
      <c r="S464" s="70">
        <f t="shared" si="73"/>
        <v>0.23209246400000003</v>
      </c>
    </row>
    <row r="465" spans="1:19" x14ac:dyDescent="0.25">
      <c r="A465" s="34" t="str">
        <f t="shared" si="80"/>
        <v/>
      </c>
      <c r="B465" s="34" t="str">
        <f t="shared" si="77"/>
        <v/>
      </c>
      <c r="C465" s="34" t="str">
        <f t="shared" si="78"/>
        <v/>
      </c>
      <c r="D465" s="34" t="str">
        <f t="shared" si="79"/>
        <v/>
      </c>
      <c r="K465" s="34">
        <f t="shared" si="74"/>
        <v>160</v>
      </c>
      <c r="L465" s="34" t="str">
        <f>IF(Data!$I152="","",Data!I152)</f>
        <v>Kaleva Latvala</v>
      </c>
      <c r="M465" s="34">
        <f>IF(Data!$I152="","",IF(Data!K152=0,"dns",Data!K152))</f>
        <v>124</v>
      </c>
      <c r="N465" s="34" t="str">
        <f>IF(Data!$I152="","","GP"&amp;Data!$B152&amp;", "&amp;Data!$K$1)</f>
        <v>GP9, Sarja 2</v>
      </c>
      <c r="O465" s="34">
        <f t="shared" si="75"/>
        <v>155</v>
      </c>
      <c r="P465" s="34">
        <f>IF($L465="","",Data!B152)</f>
        <v>9</v>
      </c>
      <c r="Q465" s="34" t="str">
        <f t="shared" si="72"/>
        <v>2</v>
      </c>
      <c r="R465" s="34">
        <f t="shared" si="76"/>
        <v>465</v>
      </c>
      <c r="S465" s="70">
        <f t="shared" si="73"/>
        <v>0.15509246500000001</v>
      </c>
    </row>
    <row r="466" spans="1:19" x14ac:dyDescent="0.25">
      <c r="A466" s="34" t="str">
        <f t="shared" si="80"/>
        <v/>
      </c>
      <c r="B466" s="34" t="str">
        <f t="shared" si="77"/>
        <v/>
      </c>
      <c r="C466" s="34" t="str">
        <f t="shared" si="78"/>
        <v/>
      </c>
      <c r="D466" s="34" t="str">
        <f t="shared" si="79"/>
        <v/>
      </c>
      <c r="K466" s="34">
        <f t="shared" si="74"/>
        <v>125</v>
      </c>
      <c r="L466" s="34" t="str">
        <f>IF(Data!$I153="","",Data!I153)</f>
        <v>Olli Kajava</v>
      </c>
      <c r="M466" s="34">
        <f>IF(Data!$I153="","",IF(Data!K153=0,"dns",Data!K153))</f>
        <v>131</v>
      </c>
      <c r="N466" s="34" t="str">
        <f>IF(Data!$I153="","","GP"&amp;Data!$B153&amp;", "&amp;Data!$K$1)</f>
        <v>GP9, Sarja 2</v>
      </c>
      <c r="O466" s="34">
        <f t="shared" si="75"/>
        <v>121</v>
      </c>
      <c r="P466" s="34">
        <f>IF($L466="","",Data!B153)</f>
        <v>9</v>
      </c>
      <c r="Q466" s="34" t="str">
        <f t="shared" si="72"/>
        <v>2</v>
      </c>
      <c r="R466" s="34">
        <f t="shared" si="76"/>
        <v>466</v>
      </c>
      <c r="S466" s="70">
        <f t="shared" si="73"/>
        <v>0.12109246600000001</v>
      </c>
    </row>
    <row r="467" spans="1:19" x14ac:dyDescent="0.25">
      <c r="A467" s="34" t="str">
        <f t="shared" si="80"/>
        <v/>
      </c>
      <c r="B467" s="34" t="str">
        <f t="shared" si="77"/>
        <v/>
      </c>
      <c r="C467" s="34" t="str">
        <f t="shared" si="78"/>
        <v/>
      </c>
      <c r="D467" s="34" t="str">
        <f t="shared" si="79"/>
        <v/>
      </c>
      <c r="K467" s="34">
        <f t="shared" si="74"/>
        <v>188</v>
      </c>
      <c r="L467" s="34" t="str">
        <f>IF(Data!$I154="","",Data!I154)</f>
        <v>Asko Haaksi</v>
      </c>
      <c r="M467" s="34">
        <f>IF(Data!$I154="","",IF(Data!K154=0,"dns",Data!K154))</f>
        <v>118</v>
      </c>
      <c r="N467" s="34" t="str">
        <f>IF(Data!$I154="","","GP"&amp;Data!$B154&amp;", "&amp;Data!$K$1)</f>
        <v>GP9, Sarja 2</v>
      </c>
      <c r="O467" s="34">
        <f t="shared" si="75"/>
        <v>184</v>
      </c>
      <c r="P467" s="34">
        <f>IF($L467="","",Data!B154)</f>
        <v>9</v>
      </c>
      <c r="Q467" s="34" t="str">
        <f t="shared" si="72"/>
        <v>2</v>
      </c>
      <c r="R467" s="34">
        <f t="shared" si="76"/>
        <v>467</v>
      </c>
      <c r="S467" s="70">
        <f t="shared" si="73"/>
        <v>0.18409246700000001</v>
      </c>
    </row>
    <row r="468" spans="1:19" x14ac:dyDescent="0.25">
      <c r="A468" s="34" t="str">
        <f t="shared" si="80"/>
        <v/>
      </c>
      <c r="B468" s="34" t="str">
        <f t="shared" si="77"/>
        <v/>
      </c>
      <c r="C468" s="34" t="str">
        <f t="shared" si="78"/>
        <v/>
      </c>
      <c r="D468" s="34" t="str">
        <f t="shared" si="79"/>
        <v/>
      </c>
      <c r="K468" s="34">
        <f t="shared" si="74"/>
        <v>167</v>
      </c>
      <c r="L468" s="34" t="str">
        <f>IF(Data!$I155="","",Data!I155)</f>
        <v>Henri Verho</v>
      </c>
      <c r="M468" s="34">
        <f>IF(Data!$I155="","",IF(Data!K155=0,"dns",Data!K155))</f>
        <v>123</v>
      </c>
      <c r="N468" s="34" t="str">
        <f>IF(Data!$I155="","","GP"&amp;Data!$B155&amp;", "&amp;Data!$K$1)</f>
        <v>GP9, Sarja 2</v>
      </c>
      <c r="O468" s="34">
        <f t="shared" si="75"/>
        <v>162</v>
      </c>
      <c r="P468" s="34">
        <f>IF($L468="","",Data!B155)</f>
        <v>9</v>
      </c>
      <c r="Q468" s="34" t="str">
        <f t="shared" si="72"/>
        <v>2</v>
      </c>
      <c r="R468" s="34">
        <f t="shared" si="76"/>
        <v>468</v>
      </c>
      <c r="S468" s="70">
        <f t="shared" si="73"/>
        <v>0.16209246800000002</v>
      </c>
    </row>
    <row r="469" spans="1:19" x14ac:dyDescent="0.25">
      <c r="A469" s="34" t="str">
        <f t="shared" si="80"/>
        <v/>
      </c>
      <c r="B469" s="34" t="str">
        <f t="shared" si="77"/>
        <v/>
      </c>
      <c r="C469" s="34" t="str">
        <f t="shared" si="78"/>
        <v/>
      </c>
      <c r="D469" s="34" t="str">
        <f t="shared" si="79"/>
        <v/>
      </c>
      <c r="K469" s="34">
        <f t="shared" si="74"/>
        <v>224</v>
      </c>
      <c r="L469" s="34" t="str">
        <f>IF(Data!$I156="","",Data!I156)</f>
        <v>Joonas Ollonqvist</v>
      </c>
      <c r="M469" s="34">
        <f>IF(Data!$I156="","",IF(Data!K156=0,"dns",Data!K156))</f>
        <v>104</v>
      </c>
      <c r="N469" s="34" t="str">
        <f>IF(Data!$I156="","","GP"&amp;Data!$B156&amp;", "&amp;Data!$K$1)</f>
        <v>GP9, Sarja 2</v>
      </c>
      <c r="O469" s="34">
        <f t="shared" si="75"/>
        <v>220</v>
      </c>
      <c r="P469" s="34">
        <f>IF($L469="","",Data!B156)</f>
        <v>9</v>
      </c>
      <c r="Q469" s="34" t="str">
        <f t="shared" si="72"/>
        <v>2</v>
      </c>
      <c r="R469" s="34">
        <f t="shared" si="76"/>
        <v>469</v>
      </c>
      <c r="S469" s="70">
        <f t="shared" si="73"/>
        <v>0.22009246900000001</v>
      </c>
    </row>
    <row r="470" spans="1:19" x14ac:dyDescent="0.25">
      <c r="A470" s="34" t="str">
        <f t="shared" si="80"/>
        <v/>
      </c>
      <c r="B470" s="34" t="str">
        <f t="shared" si="77"/>
        <v/>
      </c>
      <c r="C470" s="34" t="str">
        <f t="shared" si="78"/>
        <v/>
      </c>
      <c r="D470" s="34" t="str">
        <f t="shared" si="79"/>
        <v/>
      </c>
      <c r="K470" s="34">
        <f t="shared" si="74"/>
        <v>241</v>
      </c>
      <c r="L470" s="34" t="str">
        <f>IF(Data!$I157="","",Data!I157)</f>
        <v>Mika Sola</v>
      </c>
      <c r="M470" s="34">
        <f>IF(Data!$I157="","",IF(Data!K157=0,"dns",Data!K157))</f>
        <v>90</v>
      </c>
      <c r="N470" s="34" t="str">
        <f>IF(Data!$I157="","","GP"&amp;Data!$B157&amp;", "&amp;Data!$K$1)</f>
        <v>GP9, Sarja 2</v>
      </c>
      <c r="O470" s="34">
        <f t="shared" si="75"/>
        <v>241</v>
      </c>
      <c r="P470" s="34">
        <f>IF($L470="","",Data!B157)</f>
        <v>9</v>
      </c>
      <c r="Q470" s="34" t="str">
        <f t="shared" si="72"/>
        <v>2</v>
      </c>
      <c r="R470" s="34">
        <f t="shared" si="76"/>
        <v>470</v>
      </c>
      <c r="S470" s="70">
        <f t="shared" si="73"/>
        <v>0.24109247</v>
      </c>
    </row>
    <row r="471" spans="1:19" x14ac:dyDescent="0.25">
      <c r="A471" s="34" t="str">
        <f t="shared" si="80"/>
        <v/>
      </c>
      <c r="B471" s="34" t="str">
        <f t="shared" si="77"/>
        <v/>
      </c>
      <c r="C471" s="34" t="str">
        <f t="shared" si="78"/>
        <v/>
      </c>
      <c r="D471" s="34" t="str">
        <f t="shared" si="79"/>
        <v/>
      </c>
      <c r="K471" s="34">
        <f t="shared" si="74"/>
        <v>214</v>
      </c>
      <c r="L471" s="34" t="str">
        <f>IF(Data!$I158="","",Data!I158)</f>
        <v>Miikka Korventausta</v>
      </c>
      <c r="M471" s="34">
        <f>IF(Data!$I158="","",IF(Data!K158=0,"dns",Data!K158))</f>
        <v>107</v>
      </c>
      <c r="N471" s="34" t="str">
        <f>IF(Data!$I158="","","GP"&amp;Data!$B158&amp;", "&amp;Data!$K$1)</f>
        <v>GP9, Sarja 2</v>
      </c>
      <c r="O471" s="34">
        <f t="shared" si="75"/>
        <v>211</v>
      </c>
      <c r="P471" s="34">
        <f>IF($L471="","",Data!B158)</f>
        <v>9</v>
      </c>
      <c r="Q471" s="34" t="str">
        <f t="shared" si="72"/>
        <v>2</v>
      </c>
      <c r="R471" s="34">
        <f t="shared" si="76"/>
        <v>471</v>
      </c>
      <c r="S471" s="70">
        <f t="shared" si="73"/>
        <v>0.211092471</v>
      </c>
    </row>
    <row r="472" spans="1:19" x14ac:dyDescent="0.25">
      <c r="A472" s="34" t="str">
        <f t="shared" si="80"/>
        <v/>
      </c>
      <c r="B472" s="34" t="str">
        <f t="shared" si="77"/>
        <v/>
      </c>
      <c r="C472" s="34" t="str">
        <f t="shared" si="78"/>
        <v/>
      </c>
      <c r="D472" s="34" t="str">
        <f t="shared" si="79"/>
        <v/>
      </c>
      <c r="K472" s="34">
        <f t="shared" si="74"/>
        <v>340</v>
      </c>
      <c r="L472" s="34" t="str">
        <f>IF(Data!$I159="","",Data!I159)</f>
        <v>Juho Korpi</v>
      </c>
      <c r="M472" s="34" t="str">
        <f>IF(Data!$I159="","",IF(Data!K159=0,"dns",Data!K159))</f>
        <v>dns</v>
      </c>
      <c r="N472" s="34" t="str">
        <f>IF(Data!$I159="","","GP"&amp;Data!$B159&amp;", "&amp;Data!$K$1)</f>
        <v>GP9, Sarja 2</v>
      </c>
      <c r="O472" s="34">
        <f t="shared" si="75"/>
        <v>625</v>
      </c>
      <c r="P472" s="34">
        <f>IF($L472="","",Data!B159)</f>
        <v>9</v>
      </c>
      <c r="Q472" s="34" t="str">
        <f t="shared" si="72"/>
        <v>2</v>
      </c>
      <c r="R472" s="34">
        <f t="shared" si="76"/>
        <v>472</v>
      </c>
      <c r="S472" s="70">
        <f t="shared" si="73"/>
        <v>0.62509247199999995</v>
      </c>
    </row>
    <row r="473" spans="1:19" x14ac:dyDescent="0.25">
      <c r="A473" s="34" t="str">
        <f t="shared" si="80"/>
        <v/>
      </c>
      <c r="B473" s="34" t="str">
        <f t="shared" si="77"/>
        <v/>
      </c>
      <c r="C473" s="34" t="str">
        <f t="shared" si="78"/>
        <v/>
      </c>
      <c r="D473" s="34" t="str">
        <f t="shared" si="79"/>
        <v/>
      </c>
      <c r="K473" s="34">
        <f t="shared" si="74"/>
        <v>341</v>
      </c>
      <c r="L473" s="34" t="str">
        <f>IF(Data!$I160="","",Data!I160)</f>
        <v>Roope Warro</v>
      </c>
      <c r="M473" s="34" t="str">
        <f>IF(Data!$I160="","",IF(Data!K160=0,"dns",Data!K160))</f>
        <v>dns</v>
      </c>
      <c r="N473" s="34" t="str">
        <f>IF(Data!$I160="","","GP"&amp;Data!$B160&amp;", "&amp;Data!$K$1)</f>
        <v>GP9, Sarja 2</v>
      </c>
      <c r="O473" s="34">
        <f t="shared" si="75"/>
        <v>625</v>
      </c>
      <c r="P473" s="34">
        <f>IF($L473="","",Data!B160)</f>
        <v>9</v>
      </c>
      <c r="Q473" s="34" t="str">
        <f t="shared" si="72"/>
        <v>2</v>
      </c>
      <c r="R473" s="34">
        <f t="shared" si="76"/>
        <v>473</v>
      </c>
      <c r="S473" s="70">
        <f t="shared" si="73"/>
        <v>0.62509247299999993</v>
      </c>
    </row>
    <row r="474" spans="1:19" x14ac:dyDescent="0.25">
      <c r="A474" s="34" t="str">
        <f t="shared" si="80"/>
        <v/>
      </c>
      <c r="B474" s="34" t="str">
        <f t="shared" si="77"/>
        <v/>
      </c>
      <c r="C474" s="34" t="str">
        <f t="shared" si="78"/>
        <v/>
      </c>
      <c r="D474" s="34" t="str">
        <f t="shared" si="79"/>
        <v/>
      </c>
      <c r="K474" s="34">
        <f t="shared" si="74"/>
        <v>342</v>
      </c>
      <c r="L474" s="34" t="str">
        <f>IF(Data!$I161="","",Data!I161)</f>
        <v>Iiro Riikonen</v>
      </c>
      <c r="M474" s="34" t="str">
        <f>IF(Data!$I161="","",IF(Data!K161=0,"dns",Data!K161))</f>
        <v>dns</v>
      </c>
      <c r="N474" s="34" t="str">
        <f>IF(Data!$I161="","","GP"&amp;Data!$B161&amp;", "&amp;Data!$K$1)</f>
        <v>GP9, Sarja 2</v>
      </c>
      <c r="O474" s="34">
        <f t="shared" si="75"/>
        <v>625</v>
      </c>
      <c r="P474" s="34">
        <f>IF($L474="","",Data!B161)</f>
        <v>9</v>
      </c>
      <c r="Q474" s="34" t="str">
        <f t="shared" si="72"/>
        <v>2</v>
      </c>
      <c r="R474" s="34">
        <f t="shared" si="76"/>
        <v>474</v>
      </c>
      <c r="S474" s="70">
        <f t="shared" si="73"/>
        <v>0.62509247400000001</v>
      </c>
    </row>
    <row r="475" spans="1:19" x14ac:dyDescent="0.25">
      <c r="A475" s="34" t="str">
        <f t="shared" si="80"/>
        <v/>
      </c>
      <c r="B475" s="34" t="str">
        <f t="shared" si="77"/>
        <v/>
      </c>
      <c r="C475" s="34" t="str">
        <f t="shared" si="78"/>
        <v/>
      </c>
      <c r="D475" s="34" t="str">
        <f t="shared" si="79"/>
        <v/>
      </c>
      <c r="K475" s="34">
        <f t="shared" si="74"/>
        <v>343</v>
      </c>
      <c r="L475" s="34" t="str">
        <f>IF(Data!$I162="","",Data!I162)</f>
        <v>Sakari Leinonen</v>
      </c>
      <c r="M475" s="34" t="str">
        <f>IF(Data!$I162="","",IF(Data!K162=0,"dns",Data!K162))</f>
        <v>dns</v>
      </c>
      <c r="N475" s="34" t="str">
        <f>IF(Data!$I162="","","GP"&amp;Data!$B162&amp;", "&amp;Data!$K$1)</f>
        <v>GP9, Sarja 2</v>
      </c>
      <c r="O475" s="34">
        <f t="shared" si="75"/>
        <v>625</v>
      </c>
      <c r="P475" s="34">
        <f>IF($L475="","",Data!B162)</f>
        <v>9</v>
      </c>
      <c r="Q475" s="34" t="str">
        <f t="shared" si="72"/>
        <v>2</v>
      </c>
      <c r="R475" s="34">
        <f t="shared" si="76"/>
        <v>475</v>
      </c>
      <c r="S475" s="70">
        <f t="shared" si="73"/>
        <v>0.62509247499999998</v>
      </c>
    </row>
    <row r="476" spans="1:19" x14ac:dyDescent="0.25">
      <c r="A476" s="34" t="str">
        <f t="shared" si="80"/>
        <v/>
      </c>
      <c r="B476" s="34" t="str">
        <f t="shared" si="77"/>
        <v/>
      </c>
      <c r="C476" s="34" t="str">
        <f t="shared" si="78"/>
        <v/>
      </c>
      <c r="D476" s="34" t="str">
        <f t="shared" si="79"/>
        <v/>
      </c>
      <c r="K476" s="34">
        <f t="shared" si="74"/>
        <v>344</v>
      </c>
      <c r="L476" s="34" t="str">
        <f>IF(Data!$I163="","",Data!I163)</f>
        <v>Tatu Erlin</v>
      </c>
      <c r="M476" s="34" t="str">
        <f>IF(Data!$I163="","",IF(Data!K163=0,"dns",Data!K163))</f>
        <v>dns</v>
      </c>
      <c r="N476" s="34" t="str">
        <f>IF(Data!$I163="","","GP"&amp;Data!$B163&amp;", "&amp;Data!$K$1)</f>
        <v>GP9, Sarja 2</v>
      </c>
      <c r="O476" s="34">
        <f t="shared" si="75"/>
        <v>625</v>
      </c>
      <c r="P476" s="34">
        <f>IF($L476="","",Data!B163)</f>
        <v>9</v>
      </c>
      <c r="Q476" s="34" t="str">
        <f t="shared" si="72"/>
        <v>2</v>
      </c>
      <c r="R476" s="34">
        <f t="shared" si="76"/>
        <v>476</v>
      </c>
      <c r="S476" s="70">
        <f t="shared" si="73"/>
        <v>0.62509247599999995</v>
      </c>
    </row>
    <row r="477" spans="1:19" x14ac:dyDescent="0.25">
      <c r="A477" s="34" t="str">
        <f t="shared" si="80"/>
        <v/>
      </c>
      <c r="B477" s="34" t="str">
        <f t="shared" si="77"/>
        <v/>
      </c>
      <c r="C477" s="34" t="str">
        <f t="shared" si="78"/>
        <v/>
      </c>
      <c r="D477" s="34" t="str">
        <f t="shared" si="79"/>
        <v/>
      </c>
      <c r="K477" s="34">
        <f t="shared" si="74"/>
        <v>79</v>
      </c>
      <c r="L477" s="34" t="str">
        <f>IF(Data!$I164="","",Data!I164)</f>
        <v>Miika Nordblad</v>
      </c>
      <c r="M477" s="34">
        <f>IF(Data!$I164="","",IF(Data!K164=0,"dns",Data!K164))</f>
        <v>147</v>
      </c>
      <c r="N477" s="34" t="str">
        <f>IF(Data!$I164="","","GP"&amp;Data!$B164&amp;", "&amp;Data!$K$1)</f>
        <v>GP10, Sarja 2</v>
      </c>
      <c r="O477" s="34">
        <f t="shared" si="75"/>
        <v>77</v>
      </c>
      <c r="P477" s="34">
        <f>IF($L477="","",Data!B164)</f>
        <v>10</v>
      </c>
      <c r="Q477" s="34" t="str">
        <f t="shared" si="72"/>
        <v>2</v>
      </c>
      <c r="R477" s="34">
        <f t="shared" si="76"/>
        <v>477</v>
      </c>
      <c r="S477" s="70">
        <f t="shared" si="73"/>
        <v>7.7102477000000003E-2</v>
      </c>
    </row>
    <row r="478" spans="1:19" x14ac:dyDescent="0.25">
      <c r="A478" s="34" t="str">
        <f t="shared" si="80"/>
        <v/>
      </c>
      <c r="B478" s="34" t="str">
        <f t="shared" si="77"/>
        <v/>
      </c>
      <c r="C478" s="34" t="str">
        <f t="shared" si="78"/>
        <v/>
      </c>
      <c r="D478" s="34" t="str">
        <f t="shared" si="79"/>
        <v/>
      </c>
      <c r="K478" s="34">
        <f t="shared" si="74"/>
        <v>80</v>
      </c>
      <c r="L478" s="34" t="str">
        <f>IF(Data!$I165="","",Data!I165)</f>
        <v>Henri Verho</v>
      </c>
      <c r="M478" s="34">
        <f>IF(Data!$I165="","",IF(Data!K165=0,"dns",Data!K165))</f>
        <v>147</v>
      </c>
      <c r="N478" s="34" t="str">
        <f>IF(Data!$I165="","","GP"&amp;Data!$B165&amp;", "&amp;Data!$K$1)</f>
        <v>GP10, Sarja 2</v>
      </c>
      <c r="O478" s="34">
        <f t="shared" si="75"/>
        <v>77</v>
      </c>
      <c r="P478" s="34">
        <f>IF($L478="","",Data!B165)</f>
        <v>10</v>
      </c>
      <c r="Q478" s="34" t="str">
        <f t="shared" si="72"/>
        <v>2</v>
      </c>
      <c r="R478" s="34">
        <f t="shared" si="76"/>
        <v>478</v>
      </c>
      <c r="S478" s="70">
        <f t="shared" si="73"/>
        <v>7.7102478000000002E-2</v>
      </c>
    </row>
    <row r="479" spans="1:19" x14ac:dyDescent="0.25">
      <c r="A479" s="34" t="str">
        <f t="shared" si="80"/>
        <v/>
      </c>
      <c r="B479" s="34" t="str">
        <f t="shared" si="77"/>
        <v/>
      </c>
      <c r="C479" s="34" t="str">
        <f t="shared" si="78"/>
        <v/>
      </c>
      <c r="D479" s="34" t="str">
        <f t="shared" si="79"/>
        <v/>
      </c>
      <c r="K479" s="34">
        <f t="shared" si="74"/>
        <v>120</v>
      </c>
      <c r="L479" s="34" t="str">
        <f>IF(Data!$I166="","",Data!I166)</f>
        <v>Jami Kallio</v>
      </c>
      <c r="M479" s="34">
        <f>IF(Data!$I166="","",IF(Data!K166=0,"dns",Data!K166))</f>
        <v>132</v>
      </c>
      <c r="N479" s="34" t="str">
        <f>IF(Data!$I166="","","GP"&amp;Data!$B166&amp;", "&amp;Data!$K$1)</f>
        <v>GP10, Sarja 2</v>
      </c>
      <c r="O479" s="34">
        <f t="shared" si="75"/>
        <v>118</v>
      </c>
      <c r="P479" s="34">
        <f>IF($L479="","",Data!B166)</f>
        <v>10</v>
      </c>
      <c r="Q479" s="34" t="str">
        <f t="shared" si="72"/>
        <v>2</v>
      </c>
      <c r="R479" s="34">
        <f t="shared" si="76"/>
        <v>479</v>
      </c>
      <c r="S479" s="70">
        <f t="shared" si="73"/>
        <v>0.118102479</v>
      </c>
    </row>
    <row r="480" spans="1:19" x14ac:dyDescent="0.25">
      <c r="A480" s="34" t="str">
        <f t="shared" si="80"/>
        <v/>
      </c>
      <c r="B480" s="34" t="str">
        <f t="shared" si="77"/>
        <v/>
      </c>
      <c r="C480" s="34" t="str">
        <f t="shared" si="78"/>
        <v/>
      </c>
      <c r="D480" s="34" t="str">
        <f t="shared" si="79"/>
        <v/>
      </c>
      <c r="K480" s="34">
        <f t="shared" si="74"/>
        <v>106</v>
      </c>
      <c r="L480" s="34" t="str">
        <f>IF(Data!$I167="","",Data!I167)</f>
        <v>Mikko Mansikkamäki</v>
      </c>
      <c r="M480" s="34">
        <f>IF(Data!$I167="","",IF(Data!K167=0,"dns",Data!K167))</f>
        <v>137</v>
      </c>
      <c r="N480" s="34" t="str">
        <f>IF(Data!$I167="","","GP"&amp;Data!$B167&amp;", "&amp;Data!$K$1)</f>
        <v>GP10, Sarja 2</v>
      </c>
      <c r="O480" s="34">
        <f t="shared" si="75"/>
        <v>104</v>
      </c>
      <c r="P480" s="34">
        <f>IF($L480="","",Data!B167)</f>
        <v>10</v>
      </c>
      <c r="Q480" s="34" t="str">
        <f t="shared" si="72"/>
        <v>2</v>
      </c>
      <c r="R480" s="34">
        <f t="shared" si="76"/>
        <v>480</v>
      </c>
      <c r="S480" s="70">
        <f t="shared" si="73"/>
        <v>0.10410248</v>
      </c>
    </row>
    <row r="481" spans="1:19" x14ac:dyDescent="0.25">
      <c r="A481" s="34" t="str">
        <f t="shared" si="80"/>
        <v/>
      </c>
      <c r="B481" s="34" t="str">
        <f t="shared" si="77"/>
        <v/>
      </c>
      <c r="C481" s="34" t="str">
        <f t="shared" si="78"/>
        <v/>
      </c>
      <c r="D481" s="34" t="str">
        <f t="shared" si="79"/>
        <v/>
      </c>
      <c r="K481" s="34">
        <f t="shared" si="74"/>
        <v>178</v>
      </c>
      <c r="L481" s="34" t="str">
        <f>IF(Data!$I168="","",Data!I168)</f>
        <v>Juho Korpi</v>
      </c>
      <c r="M481" s="34">
        <f>IF(Data!$I168="","",IF(Data!K168=0,"dns",Data!K168))</f>
        <v>120</v>
      </c>
      <c r="N481" s="34" t="str">
        <f>IF(Data!$I168="","","GP"&amp;Data!$B168&amp;", "&amp;Data!$K$1)</f>
        <v>GP10, Sarja 2</v>
      </c>
      <c r="O481" s="34">
        <f t="shared" si="75"/>
        <v>174</v>
      </c>
      <c r="P481" s="34">
        <f>IF($L481="","",Data!B168)</f>
        <v>10</v>
      </c>
      <c r="Q481" s="34" t="str">
        <f t="shared" si="72"/>
        <v>2</v>
      </c>
      <c r="R481" s="34">
        <f t="shared" si="76"/>
        <v>481</v>
      </c>
      <c r="S481" s="70">
        <f t="shared" si="73"/>
        <v>0.17410248099999998</v>
      </c>
    </row>
    <row r="482" spans="1:19" x14ac:dyDescent="0.25">
      <c r="A482" s="34" t="str">
        <f t="shared" si="80"/>
        <v/>
      </c>
      <c r="B482" s="34" t="str">
        <f t="shared" si="77"/>
        <v/>
      </c>
      <c r="C482" s="34" t="str">
        <f t="shared" si="78"/>
        <v/>
      </c>
      <c r="D482" s="34" t="str">
        <f t="shared" si="79"/>
        <v/>
      </c>
      <c r="K482" s="34">
        <f t="shared" si="74"/>
        <v>126</v>
      </c>
      <c r="L482" s="34" t="str">
        <f>IF(Data!$I169="","",Data!I169)</f>
        <v>Mika Sola</v>
      </c>
      <c r="M482" s="34">
        <f>IF(Data!$I169="","",IF(Data!K169=0,"dns",Data!K169))</f>
        <v>131</v>
      </c>
      <c r="N482" s="34" t="str">
        <f>IF(Data!$I169="","","GP"&amp;Data!$B169&amp;", "&amp;Data!$K$1)</f>
        <v>GP10, Sarja 2</v>
      </c>
      <c r="O482" s="34">
        <f t="shared" si="75"/>
        <v>121</v>
      </c>
      <c r="P482" s="34">
        <f>IF($L482="","",Data!B169)</f>
        <v>10</v>
      </c>
      <c r="Q482" s="34" t="str">
        <f t="shared" si="72"/>
        <v>2</v>
      </c>
      <c r="R482" s="34">
        <f t="shared" si="76"/>
        <v>482</v>
      </c>
      <c r="S482" s="70">
        <f t="shared" si="73"/>
        <v>0.121102482</v>
      </c>
    </row>
    <row r="483" spans="1:19" x14ac:dyDescent="0.25">
      <c r="A483" s="34" t="str">
        <f t="shared" si="80"/>
        <v/>
      </c>
      <c r="B483" s="34" t="str">
        <f t="shared" si="77"/>
        <v/>
      </c>
      <c r="C483" s="34" t="str">
        <f t="shared" si="78"/>
        <v/>
      </c>
      <c r="D483" s="34" t="str">
        <f t="shared" si="79"/>
        <v/>
      </c>
      <c r="K483" s="34">
        <f t="shared" si="74"/>
        <v>192</v>
      </c>
      <c r="L483" s="34" t="str">
        <f>IF(Data!$I170="","",Data!I170)</f>
        <v>Niko Reunanen</v>
      </c>
      <c r="M483" s="34">
        <f>IF(Data!$I170="","",IF(Data!K170=0,"dns",Data!K170))</f>
        <v>117</v>
      </c>
      <c r="N483" s="34" t="str">
        <f>IF(Data!$I170="","","GP"&amp;Data!$B170&amp;", "&amp;Data!$K$1)</f>
        <v>GP10, Sarja 2</v>
      </c>
      <c r="O483" s="34">
        <f t="shared" si="75"/>
        <v>189</v>
      </c>
      <c r="P483" s="34">
        <f>IF($L483="","",Data!B170)</f>
        <v>10</v>
      </c>
      <c r="Q483" s="34" t="str">
        <f t="shared" si="72"/>
        <v>2</v>
      </c>
      <c r="R483" s="34">
        <f t="shared" si="76"/>
        <v>483</v>
      </c>
      <c r="S483" s="70">
        <f t="shared" si="73"/>
        <v>0.18910248299999999</v>
      </c>
    </row>
    <row r="484" spans="1:19" x14ac:dyDescent="0.25">
      <c r="A484" s="34" t="str">
        <f t="shared" si="80"/>
        <v/>
      </c>
      <c r="B484" s="34" t="str">
        <f t="shared" si="77"/>
        <v/>
      </c>
      <c r="C484" s="34" t="str">
        <f t="shared" si="78"/>
        <v/>
      </c>
      <c r="D484" s="34" t="str">
        <f t="shared" si="79"/>
        <v/>
      </c>
      <c r="K484" s="34">
        <f t="shared" si="74"/>
        <v>127</v>
      </c>
      <c r="L484" s="34" t="str">
        <f>IF(Data!$I171="","",Data!I171)</f>
        <v>Sakari Leinonen</v>
      </c>
      <c r="M484" s="34">
        <f>IF(Data!$I171="","",IF(Data!K171=0,"dns",Data!K171))</f>
        <v>131</v>
      </c>
      <c r="N484" s="34" t="str">
        <f>IF(Data!$I171="","","GP"&amp;Data!$B171&amp;", "&amp;Data!$K$1)</f>
        <v>GP10, Sarja 2</v>
      </c>
      <c r="O484" s="34">
        <f t="shared" si="75"/>
        <v>121</v>
      </c>
      <c r="P484" s="34">
        <f>IF($L484="","",Data!B171)</f>
        <v>10</v>
      </c>
      <c r="Q484" s="34" t="str">
        <f t="shared" si="72"/>
        <v>2</v>
      </c>
      <c r="R484" s="34">
        <f t="shared" si="76"/>
        <v>484</v>
      </c>
      <c r="S484" s="70">
        <f t="shared" si="73"/>
        <v>0.121102484</v>
      </c>
    </row>
    <row r="485" spans="1:19" x14ac:dyDescent="0.25">
      <c r="A485" s="34" t="str">
        <f t="shared" si="80"/>
        <v/>
      </c>
      <c r="B485" s="34" t="str">
        <f t="shared" si="77"/>
        <v/>
      </c>
      <c r="C485" s="34" t="str">
        <f t="shared" si="78"/>
        <v/>
      </c>
      <c r="D485" s="34" t="str">
        <f t="shared" si="79"/>
        <v/>
      </c>
      <c r="K485" s="34">
        <f t="shared" si="74"/>
        <v>161</v>
      </c>
      <c r="L485" s="34" t="str">
        <f>IF(Data!$I172="","",Data!I172)</f>
        <v>Olli Kajava</v>
      </c>
      <c r="M485" s="34">
        <f>IF(Data!$I172="","",IF(Data!K172=0,"dns",Data!K172))</f>
        <v>124</v>
      </c>
      <c r="N485" s="34" t="str">
        <f>IF(Data!$I172="","","GP"&amp;Data!$B172&amp;", "&amp;Data!$K$1)</f>
        <v>GP10, Sarja 2</v>
      </c>
      <c r="O485" s="34">
        <f t="shared" si="75"/>
        <v>155</v>
      </c>
      <c r="P485" s="34">
        <f>IF($L485="","",Data!B172)</f>
        <v>10</v>
      </c>
      <c r="Q485" s="34" t="str">
        <f t="shared" si="72"/>
        <v>2</v>
      </c>
      <c r="R485" s="34">
        <f t="shared" si="76"/>
        <v>485</v>
      </c>
      <c r="S485" s="70">
        <f t="shared" si="73"/>
        <v>0.15510248499999998</v>
      </c>
    </row>
    <row r="486" spans="1:19" x14ac:dyDescent="0.25">
      <c r="A486" s="34" t="str">
        <f t="shared" si="80"/>
        <v/>
      </c>
      <c r="B486" s="34" t="str">
        <f t="shared" si="77"/>
        <v/>
      </c>
      <c r="C486" s="34" t="str">
        <f t="shared" si="78"/>
        <v/>
      </c>
      <c r="D486" s="34" t="str">
        <f t="shared" si="79"/>
        <v/>
      </c>
      <c r="K486" s="34">
        <f t="shared" si="74"/>
        <v>240</v>
      </c>
      <c r="L486" s="34" t="str">
        <f>IF(Data!$I173="","",Data!I173)</f>
        <v>Ossi Oksa</v>
      </c>
      <c r="M486" s="34">
        <f>IF(Data!$I173="","",IF(Data!K173=0,"dns",Data!K173))</f>
        <v>91</v>
      </c>
      <c r="N486" s="34" t="str">
        <f>IF(Data!$I173="","","GP"&amp;Data!$B173&amp;", "&amp;Data!$K$1)</f>
        <v>GP10, Sarja 2</v>
      </c>
      <c r="O486" s="34">
        <f t="shared" si="75"/>
        <v>239</v>
      </c>
      <c r="P486" s="34">
        <f>IF($L486="","",Data!B173)</f>
        <v>10</v>
      </c>
      <c r="Q486" s="34" t="str">
        <f t="shared" si="72"/>
        <v>2</v>
      </c>
      <c r="R486" s="34">
        <f t="shared" si="76"/>
        <v>486</v>
      </c>
      <c r="S486" s="70">
        <f t="shared" si="73"/>
        <v>0.23910248599999998</v>
      </c>
    </row>
    <row r="487" spans="1:19" x14ac:dyDescent="0.25">
      <c r="A487" s="34" t="str">
        <f t="shared" si="80"/>
        <v/>
      </c>
      <c r="B487" s="34" t="str">
        <f t="shared" si="77"/>
        <v/>
      </c>
      <c r="C487" s="34" t="str">
        <f t="shared" si="78"/>
        <v/>
      </c>
      <c r="D487" s="34" t="str">
        <f t="shared" si="79"/>
        <v/>
      </c>
      <c r="K487" s="34">
        <f t="shared" si="74"/>
        <v>353</v>
      </c>
      <c r="L487" s="34" t="str">
        <f>IF(Data!$I174="","",Data!I174)</f>
        <v>Frans Hartman</v>
      </c>
      <c r="M487" s="34" t="str">
        <f>IF(Data!$I174="","",IF(Data!K174=0,"dns",Data!K174))</f>
        <v>dns</v>
      </c>
      <c r="N487" s="34" t="str">
        <f>IF(Data!$I174="","","GP"&amp;Data!$B174&amp;", "&amp;Data!$K$1)</f>
        <v>GP10, Sarja 2</v>
      </c>
      <c r="O487" s="34">
        <f t="shared" si="75"/>
        <v>625</v>
      </c>
      <c r="P487" s="34">
        <f>IF($L487="","",Data!B174)</f>
        <v>10</v>
      </c>
      <c r="Q487" s="34" t="str">
        <f t="shared" si="72"/>
        <v>2</v>
      </c>
      <c r="R487" s="34">
        <f t="shared" si="76"/>
        <v>487</v>
      </c>
      <c r="S487" s="70">
        <f t="shared" si="73"/>
        <v>0.62510248699999993</v>
      </c>
    </row>
    <row r="488" spans="1:19" x14ac:dyDescent="0.25">
      <c r="A488" s="34" t="str">
        <f t="shared" si="80"/>
        <v/>
      </c>
      <c r="B488" s="34" t="str">
        <f t="shared" si="77"/>
        <v/>
      </c>
      <c r="C488" s="34" t="str">
        <f t="shared" si="78"/>
        <v/>
      </c>
      <c r="D488" s="34" t="str">
        <f t="shared" si="79"/>
        <v/>
      </c>
      <c r="K488" s="34">
        <f t="shared" si="74"/>
        <v>354</v>
      </c>
      <c r="L488" s="34" t="str">
        <f>IF(Data!$I175="","",Data!I175)</f>
        <v>Kaleva Latvala</v>
      </c>
      <c r="M488" s="34" t="str">
        <f>IF(Data!$I175="","",IF(Data!K175=0,"dns",Data!K175))</f>
        <v>dns</v>
      </c>
      <c r="N488" s="34" t="str">
        <f>IF(Data!$I175="","","GP"&amp;Data!$B175&amp;", "&amp;Data!$K$1)</f>
        <v>GP10, Sarja 2</v>
      </c>
      <c r="O488" s="34">
        <f t="shared" si="75"/>
        <v>625</v>
      </c>
      <c r="P488" s="34">
        <f>IF($L488="","",Data!B175)</f>
        <v>10</v>
      </c>
      <c r="Q488" s="34" t="str">
        <f t="shared" si="72"/>
        <v>2</v>
      </c>
      <c r="R488" s="34">
        <f t="shared" si="76"/>
        <v>488</v>
      </c>
      <c r="S488" s="70">
        <f t="shared" si="73"/>
        <v>0.6251024879999999</v>
      </c>
    </row>
    <row r="489" spans="1:19" x14ac:dyDescent="0.25">
      <c r="A489" s="34" t="str">
        <f t="shared" si="80"/>
        <v/>
      </c>
      <c r="B489" s="34" t="str">
        <f t="shared" si="77"/>
        <v/>
      </c>
      <c r="C489" s="34" t="str">
        <f t="shared" si="78"/>
        <v/>
      </c>
      <c r="D489" s="34" t="str">
        <f t="shared" si="79"/>
        <v/>
      </c>
      <c r="K489" s="34">
        <f t="shared" si="74"/>
        <v>355</v>
      </c>
      <c r="L489" s="34" t="str">
        <f>IF(Data!$I176="","",Data!I176)</f>
        <v>Asko Haaksi</v>
      </c>
      <c r="M489" s="34" t="str">
        <f>IF(Data!$I176="","",IF(Data!K176=0,"dns",Data!K176))</f>
        <v>dns</v>
      </c>
      <c r="N489" s="34" t="str">
        <f>IF(Data!$I176="","","GP"&amp;Data!$B176&amp;", "&amp;Data!$K$1)</f>
        <v>GP10, Sarja 2</v>
      </c>
      <c r="O489" s="34">
        <f t="shared" si="75"/>
        <v>625</v>
      </c>
      <c r="P489" s="34">
        <f>IF($L489="","",Data!B176)</f>
        <v>10</v>
      </c>
      <c r="Q489" s="34" t="str">
        <f t="shared" si="72"/>
        <v>2</v>
      </c>
      <c r="R489" s="34">
        <f t="shared" si="76"/>
        <v>489</v>
      </c>
      <c r="S489" s="70">
        <f t="shared" si="73"/>
        <v>0.62510248899999998</v>
      </c>
    </row>
    <row r="490" spans="1:19" x14ac:dyDescent="0.25">
      <c r="A490" s="34" t="str">
        <f t="shared" si="80"/>
        <v/>
      </c>
      <c r="B490" s="34" t="str">
        <f t="shared" si="77"/>
        <v/>
      </c>
      <c r="C490" s="34" t="str">
        <f t="shared" si="78"/>
        <v/>
      </c>
      <c r="D490" s="34" t="str">
        <f t="shared" si="79"/>
        <v/>
      </c>
      <c r="K490" s="34">
        <f t="shared" si="74"/>
        <v>356</v>
      </c>
      <c r="L490" s="34" t="str">
        <f>IF(Data!$I177="","",Data!I177)</f>
        <v>Joonas Ollonqvist</v>
      </c>
      <c r="M490" s="34" t="str">
        <f>IF(Data!$I177="","",IF(Data!K177=0,"dns",Data!K177))</f>
        <v>dns</v>
      </c>
      <c r="N490" s="34" t="str">
        <f>IF(Data!$I177="","","GP"&amp;Data!$B177&amp;", "&amp;Data!$K$1)</f>
        <v>GP10, Sarja 2</v>
      </c>
      <c r="O490" s="34">
        <f t="shared" si="75"/>
        <v>625</v>
      </c>
      <c r="P490" s="34">
        <f>IF($L490="","",Data!B177)</f>
        <v>10</v>
      </c>
      <c r="Q490" s="34" t="str">
        <f t="shared" si="72"/>
        <v>2</v>
      </c>
      <c r="R490" s="34">
        <f t="shared" si="76"/>
        <v>490</v>
      </c>
      <c r="S490" s="70">
        <f t="shared" si="73"/>
        <v>0.62510248999999996</v>
      </c>
    </row>
    <row r="491" spans="1:19" x14ac:dyDescent="0.25">
      <c r="A491" s="34" t="str">
        <f t="shared" si="80"/>
        <v/>
      </c>
      <c r="B491" s="34" t="str">
        <f t="shared" si="77"/>
        <v/>
      </c>
      <c r="C491" s="34" t="str">
        <f t="shared" si="78"/>
        <v/>
      </c>
      <c r="D491" s="34" t="str">
        <f t="shared" si="79"/>
        <v/>
      </c>
      <c r="K491" s="34">
        <f t="shared" si="74"/>
        <v>357</v>
      </c>
      <c r="L491" s="34" t="str">
        <f>IF(Data!$I178="","",Data!I178)</f>
        <v>Miikka Korventausta</v>
      </c>
      <c r="M491" s="34" t="str">
        <f>IF(Data!$I178="","",IF(Data!K178=0,"dns",Data!K178))</f>
        <v>dns</v>
      </c>
      <c r="N491" s="34" t="str">
        <f>IF(Data!$I178="","","GP"&amp;Data!$B178&amp;", "&amp;Data!$K$1)</f>
        <v>GP10, Sarja 2</v>
      </c>
      <c r="O491" s="34">
        <f t="shared" si="75"/>
        <v>625</v>
      </c>
      <c r="P491" s="34">
        <f>IF($L491="","",Data!B178)</f>
        <v>10</v>
      </c>
      <c r="Q491" s="34" t="str">
        <f t="shared" si="72"/>
        <v>2</v>
      </c>
      <c r="R491" s="34">
        <f t="shared" si="76"/>
        <v>491</v>
      </c>
      <c r="S491" s="70">
        <f t="shared" si="73"/>
        <v>0.62510249099999993</v>
      </c>
    </row>
    <row r="492" spans="1:19" x14ac:dyDescent="0.25">
      <c r="A492" s="34" t="str">
        <f t="shared" si="80"/>
        <v/>
      </c>
      <c r="B492" s="34" t="str">
        <f t="shared" si="77"/>
        <v/>
      </c>
      <c r="C492" s="34" t="str">
        <f t="shared" si="78"/>
        <v/>
      </c>
      <c r="D492" s="34" t="str">
        <f t="shared" si="79"/>
        <v/>
      </c>
      <c r="K492" s="34">
        <f t="shared" si="74"/>
        <v>358</v>
      </c>
      <c r="L492" s="34" t="str">
        <f>IF(Data!$I179="","",Data!I179)</f>
        <v>Roope Warro</v>
      </c>
      <c r="M492" s="34" t="str">
        <f>IF(Data!$I179="","",IF(Data!K179=0,"dns",Data!K179))</f>
        <v>dns</v>
      </c>
      <c r="N492" s="34" t="str">
        <f>IF(Data!$I179="","","GP"&amp;Data!$B179&amp;", "&amp;Data!$K$1)</f>
        <v>GP10, Sarja 2</v>
      </c>
      <c r="O492" s="34">
        <f t="shared" si="75"/>
        <v>625</v>
      </c>
      <c r="P492" s="34">
        <f>IF($L492="","",Data!B179)</f>
        <v>10</v>
      </c>
      <c r="Q492" s="34" t="str">
        <f t="shared" si="72"/>
        <v>2</v>
      </c>
      <c r="R492" s="34">
        <f t="shared" si="76"/>
        <v>492</v>
      </c>
      <c r="S492" s="70">
        <f t="shared" si="73"/>
        <v>0.6251024919999999</v>
      </c>
    </row>
    <row r="493" spans="1:19" x14ac:dyDescent="0.25">
      <c r="A493" s="34" t="str">
        <f t="shared" si="80"/>
        <v/>
      </c>
      <c r="B493" s="34" t="str">
        <f t="shared" si="77"/>
        <v/>
      </c>
      <c r="C493" s="34" t="str">
        <f t="shared" si="78"/>
        <v/>
      </c>
      <c r="D493" s="34" t="str">
        <f t="shared" si="79"/>
        <v/>
      </c>
      <c r="K493" s="34">
        <f t="shared" si="74"/>
        <v>359</v>
      </c>
      <c r="L493" s="34" t="str">
        <f>IF(Data!$I180="","",Data!I180)</f>
        <v>Iiro Riikonen</v>
      </c>
      <c r="M493" s="34" t="str">
        <f>IF(Data!$I180="","",IF(Data!K180=0,"dns",Data!K180))</f>
        <v>dns</v>
      </c>
      <c r="N493" s="34" t="str">
        <f>IF(Data!$I180="","","GP"&amp;Data!$B180&amp;", "&amp;Data!$K$1)</f>
        <v>GP10, Sarja 2</v>
      </c>
      <c r="O493" s="34">
        <f t="shared" si="75"/>
        <v>625</v>
      </c>
      <c r="P493" s="34">
        <f>IF($L493="","",Data!B180)</f>
        <v>10</v>
      </c>
      <c r="Q493" s="34" t="str">
        <f t="shared" si="72"/>
        <v>2</v>
      </c>
      <c r="R493" s="34">
        <f t="shared" si="76"/>
        <v>493</v>
      </c>
      <c r="S493" s="70">
        <f t="shared" si="73"/>
        <v>0.62510249299999998</v>
      </c>
    </row>
    <row r="494" spans="1:19" x14ac:dyDescent="0.25">
      <c r="A494" s="34" t="str">
        <f t="shared" si="80"/>
        <v/>
      </c>
      <c r="B494" s="34" t="str">
        <f t="shared" si="77"/>
        <v/>
      </c>
      <c r="C494" s="34" t="str">
        <f t="shared" si="78"/>
        <v/>
      </c>
      <c r="D494" s="34" t="str">
        <f t="shared" si="79"/>
        <v/>
      </c>
      <c r="K494" s="34">
        <f t="shared" si="74"/>
        <v>360</v>
      </c>
      <c r="L494" s="34" t="str">
        <f>IF(Data!$I181="","",Data!I181)</f>
        <v>Tatu Erlin</v>
      </c>
      <c r="M494" s="34" t="str">
        <f>IF(Data!$I181="","",IF(Data!K181=0,"dns",Data!K181))</f>
        <v>dns</v>
      </c>
      <c r="N494" s="34" t="str">
        <f>IF(Data!$I181="","","GP"&amp;Data!$B181&amp;", "&amp;Data!$K$1)</f>
        <v>GP10, Sarja 2</v>
      </c>
      <c r="O494" s="34">
        <f t="shared" si="75"/>
        <v>625</v>
      </c>
      <c r="P494" s="34">
        <f>IF($L494="","",Data!B181)</f>
        <v>10</v>
      </c>
      <c r="Q494" s="34" t="str">
        <f t="shared" si="72"/>
        <v>2</v>
      </c>
      <c r="R494" s="34">
        <f t="shared" si="76"/>
        <v>494</v>
      </c>
      <c r="S494" s="70">
        <f t="shared" si="73"/>
        <v>0.62510249399999995</v>
      </c>
    </row>
    <row r="495" spans="1:19" x14ac:dyDescent="0.25">
      <c r="A495" s="34" t="str">
        <f t="shared" si="80"/>
        <v/>
      </c>
      <c r="B495" s="34" t="str">
        <f t="shared" si="77"/>
        <v/>
      </c>
      <c r="C495" s="34" t="str">
        <f t="shared" si="78"/>
        <v/>
      </c>
      <c r="D495" s="34" t="str">
        <f t="shared" si="79"/>
        <v/>
      </c>
      <c r="K495" s="34" t="str">
        <f t="shared" si="74"/>
        <v/>
      </c>
      <c r="L495" s="34" t="str">
        <f>IF(Data!$I182="","",Data!I182)</f>
        <v/>
      </c>
      <c r="M495" s="34" t="str">
        <f>IF(Data!$I182="","",IF(Data!K182=0,"dns",Data!K182))</f>
        <v/>
      </c>
      <c r="N495" s="34" t="str">
        <f>IF(Data!$I182="","","GP"&amp;Data!$B182&amp;", "&amp;Data!$K$1)</f>
        <v/>
      </c>
      <c r="O495" s="34" t="str">
        <f t="shared" si="75"/>
        <v/>
      </c>
      <c r="P495" s="34" t="str">
        <f>IF($L495="","",Data!B182)</f>
        <v/>
      </c>
      <c r="Q495" s="34" t="str">
        <f t="shared" si="72"/>
        <v/>
      </c>
      <c r="R495" s="34" t="str">
        <f t="shared" si="76"/>
        <v/>
      </c>
      <c r="S495" s="70" t="str">
        <f t="shared" si="73"/>
        <v/>
      </c>
    </row>
    <row r="496" spans="1:19" x14ac:dyDescent="0.25">
      <c r="A496" s="34" t="str">
        <f t="shared" si="80"/>
        <v/>
      </c>
      <c r="B496" s="34" t="str">
        <f t="shared" si="77"/>
        <v/>
      </c>
      <c r="C496" s="34" t="str">
        <f t="shared" si="78"/>
        <v/>
      </c>
      <c r="D496" s="34" t="str">
        <f t="shared" si="79"/>
        <v/>
      </c>
      <c r="K496" s="34" t="str">
        <f t="shared" si="74"/>
        <v/>
      </c>
      <c r="L496" s="34" t="str">
        <f>IF(Data!$I183="","",Data!I183)</f>
        <v/>
      </c>
      <c r="M496" s="34" t="str">
        <f>IF(Data!$I183="","",IF(Data!K183=0,"dns",Data!K183))</f>
        <v/>
      </c>
      <c r="N496" s="34" t="str">
        <f>IF(Data!$I183="","","GP"&amp;Data!$B183&amp;", "&amp;Data!$K$1)</f>
        <v/>
      </c>
      <c r="O496" s="34" t="str">
        <f t="shared" si="75"/>
        <v/>
      </c>
      <c r="P496" s="34" t="str">
        <f>IF($L496="","",Data!B183)</f>
        <v/>
      </c>
      <c r="Q496" s="34" t="str">
        <f t="shared" si="72"/>
        <v/>
      </c>
      <c r="R496" s="34" t="str">
        <f t="shared" si="76"/>
        <v/>
      </c>
      <c r="S496" s="70" t="str">
        <f t="shared" si="73"/>
        <v/>
      </c>
    </row>
    <row r="497" spans="1:19" x14ac:dyDescent="0.25">
      <c r="A497" s="34" t="str">
        <f t="shared" si="80"/>
        <v/>
      </c>
      <c r="B497" s="34" t="str">
        <f t="shared" si="77"/>
        <v/>
      </c>
      <c r="C497" s="34" t="str">
        <f t="shared" si="78"/>
        <v/>
      </c>
      <c r="D497" s="34" t="str">
        <f t="shared" si="79"/>
        <v/>
      </c>
      <c r="K497" s="34" t="str">
        <f t="shared" si="74"/>
        <v/>
      </c>
      <c r="L497" s="34" t="str">
        <f>IF(Data!$I184="","",Data!I184)</f>
        <v/>
      </c>
      <c r="M497" s="34" t="str">
        <f>IF(Data!$I184="","",IF(Data!K184=0,"dns",Data!K184))</f>
        <v/>
      </c>
      <c r="N497" s="34" t="str">
        <f>IF(Data!$I184="","","GP"&amp;Data!$B184&amp;", "&amp;Data!$K$1)</f>
        <v/>
      </c>
      <c r="O497" s="34" t="str">
        <f t="shared" si="75"/>
        <v/>
      </c>
      <c r="P497" s="34" t="str">
        <f>IF($L497="","",Data!B184)</f>
        <v/>
      </c>
      <c r="Q497" s="34" t="str">
        <f t="shared" si="72"/>
        <v/>
      </c>
      <c r="R497" s="34" t="str">
        <f t="shared" si="76"/>
        <v/>
      </c>
      <c r="S497" s="70" t="str">
        <f t="shared" si="73"/>
        <v/>
      </c>
    </row>
    <row r="498" spans="1:19" x14ac:dyDescent="0.25">
      <c r="A498" s="34" t="str">
        <f t="shared" si="80"/>
        <v/>
      </c>
      <c r="B498" s="34" t="str">
        <f t="shared" si="77"/>
        <v/>
      </c>
      <c r="C498" s="34" t="str">
        <f t="shared" si="78"/>
        <v/>
      </c>
      <c r="D498" s="34" t="str">
        <f t="shared" si="79"/>
        <v/>
      </c>
      <c r="K498" s="34" t="str">
        <f t="shared" si="74"/>
        <v/>
      </c>
      <c r="L498" s="34" t="str">
        <f>IF(Data!$I185="","",Data!I185)</f>
        <v/>
      </c>
      <c r="M498" s="34" t="str">
        <f>IF(Data!$I185="","",IF(Data!K185=0,"dns",Data!K185))</f>
        <v/>
      </c>
      <c r="N498" s="34" t="str">
        <f>IF(Data!$I185="","","GP"&amp;Data!$B185&amp;", "&amp;Data!$K$1)</f>
        <v/>
      </c>
      <c r="O498" s="34" t="str">
        <f t="shared" si="75"/>
        <v/>
      </c>
      <c r="P498" s="34" t="str">
        <f>IF($L498="","",Data!B185)</f>
        <v/>
      </c>
      <c r="Q498" s="34" t="str">
        <f t="shared" si="72"/>
        <v/>
      </c>
      <c r="R498" s="34" t="str">
        <f t="shared" si="76"/>
        <v/>
      </c>
      <c r="S498" s="70" t="str">
        <f t="shared" si="73"/>
        <v/>
      </c>
    </row>
    <row r="499" spans="1:19" x14ac:dyDescent="0.25">
      <c r="A499" s="34" t="str">
        <f t="shared" si="80"/>
        <v/>
      </c>
      <c r="B499" s="34" t="str">
        <f t="shared" si="77"/>
        <v/>
      </c>
      <c r="C499" s="34" t="str">
        <f t="shared" si="78"/>
        <v/>
      </c>
      <c r="D499" s="34" t="str">
        <f t="shared" si="79"/>
        <v/>
      </c>
      <c r="K499" s="34" t="str">
        <f t="shared" si="74"/>
        <v/>
      </c>
      <c r="L499" s="34" t="str">
        <f>IF(Data!$I186="","",Data!I186)</f>
        <v/>
      </c>
      <c r="M499" s="34" t="str">
        <f>IF(Data!$I186="","",IF(Data!K186=0,"dns",Data!K186))</f>
        <v/>
      </c>
      <c r="N499" s="34" t="str">
        <f>IF(Data!$I186="","","GP"&amp;Data!$B186&amp;", "&amp;Data!$K$1)</f>
        <v/>
      </c>
      <c r="O499" s="34" t="str">
        <f t="shared" si="75"/>
        <v/>
      </c>
      <c r="P499" s="34" t="str">
        <f>IF($L499="","",Data!B186)</f>
        <v/>
      </c>
      <c r="Q499" s="34" t="str">
        <f t="shared" si="72"/>
        <v/>
      </c>
      <c r="R499" s="34" t="str">
        <f t="shared" si="76"/>
        <v/>
      </c>
      <c r="S499" s="70" t="str">
        <f t="shared" si="73"/>
        <v/>
      </c>
    </row>
    <row r="500" spans="1:19" x14ac:dyDescent="0.25">
      <c r="A500" s="34" t="str">
        <f t="shared" si="80"/>
        <v/>
      </c>
      <c r="B500" s="34" t="str">
        <f t="shared" si="77"/>
        <v/>
      </c>
      <c r="C500" s="34" t="str">
        <f t="shared" si="78"/>
        <v/>
      </c>
      <c r="D500" s="34" t="str">
        <f t="shared" si="79"/>
        <v/>
      </c>
      <c r="K500" s="34" t="str">
        <f t="shared" si="74"/>
        <v/>
      </c>
      <c r="L500" s="34" t="str">
        <f>IF(Data!$I187="","",Data!I187)</f>
        <v/>
      </c>
      <c r="M500" s="34" t="str">
        <f>IF(Data!$I187="","",IF(Data!K187=0,"dns",Data!K187))</f>
        <v/>
      </c>
      <c r="N500" s="34" t="str">
        <f>IF(Data!$I187="","","GP"&amp;Data!$B187&amp;", "&amp;Data!$K$1)</f>
        <v/>
      </c>
      <c r="O500" s="34" t="str">
        <f t="shared" si="75"/>
        <v/>
      </c>
      <c r="P500" s="34" t="str">
        <f>IF($L500="","",Data!B187)</f>
        <v/>
      </c>
      <c r="Q500" s="34" t="str">
        <f t="shared" si="72"/>
        <v/>
      </c>
      <c r="R500" s="34" t="str">
        <f t="shared" si="76"/>
        <v/>
      </c>
      <c r="S500" s="70" t="str">
        <f t="shared" si="73"/>
        <v/>
      </c>
    </row>
    <row r="501" spans="1:19" x14ac:dyDescent="0.25">
      <c r="A501" s="34" t="str">
        <f t="shared" si="80"/>
        <v/>
      </c>
      <c r="B501" s="34" t="str">
        <f t="shared" si="77"/>
        <v/>
      </c>
      <c r="C501" s="34" t="str">
        <f t="shared" si="78"/>
        <v/>
      </c>
      <c r="D501" s="34" t="str">
        <f t="shared" si="79"/>
        <v/>
      </c>
      <c r="K501" s="34" t="str">
        <f t="shared" si="74"/>
        <v/>
      </c>
      <c r="L501" s="34" t="str">
        <f>IF(Data!$I188="","",Data!I188)</f>
        <v/>
      </c>
      <c r="M501" s="34" t="str">
        <f>IF(Data!$I188="","",IF(Data!K188=0,"dns",Data!K188))</f>
        <v/>
      </c>
      <c r="N501" s="34" t="str">
        <f>IF(Data!$I188="","","GP"&amp;Data!$B188&amp;", "&amp;Data!$K$1)</f>
        <v/>
      </c>
      <c r="O501" s="34" t="str">
        <f t="shared" si="75"/>
        <v/>
      </c>
      <c r="P501" s="34" t="str">
        <f>IF($L501="","",Data!B188)</f>
        <v/>
      </c>
      <c r="Q501" s="34" t="str">
        <f t="shared" si="72"/>
        <v/>
      </c>
      <c r="R501" s="34" t="str">
        <f t="shared" si="76"/>
        <v/>
      </c>
      <c r="S501" s="70" t="str">
        <f t="shared" si="73"/>
        <v/>
      </c>
    </row>
    <row r="502" spans="1:19" x14ac:dyDescent="0.25">
      <c r="A502" s="34" t="str">
        <f t="shared" si="80"/>
        <v/>
      </c>
      <c r="B502" s="34" t="str">
        <f t="shared" si="77"/>
        <v/>
      </c>
      <c r="C502" s="34" t="str">
        <f t="shared" si="78"/>
        <v/>
      </c>
      <c r="D502" s="34" t="str">
        <f t="shared" si="79"/>
        <v/>
      </c>
      <c r="K502" s="34" t="str">
        <f t="shared" si="74"/>
        <v/>
      </c>
      <c r="L502" s="34" t="str">
        <f>IF(Data!$I189="","",Data!I189)</f>
        <v/>
      </c>
      <c r="M502" s="34" t="str">
        <f>IF(Data!$I189="","",IF(Data!K189=0,"dns",Data!K189))</f>
        <v/>
      </c>
      <c r="N502" s="34" t="str">
        <f>IF(Data!$I189="","","GP"&amp;Data!$B189&amp;", "&amp;Data!$K$1)</f>
        <v/>
      </c>
      <c r="O502" s="34" t="str">
        <f t="shared" si="75"/>
        <v/>
      </c>
      <c r="P502" s="34" t="str">
        <f>IF($L502="","",Data!B189)</f>
        <v/>
      </c>
      <c r="Q502" s="34" t="str">
        <f t="shared" si="72"/>
        <v/>
      </c>
      <c r="R502" s="34" t="str">
        <f t="shared" si="76"/>
        <v/>
      </c>
      <c r="S502" s="70" t="str">
        <f t="shared" si="73"/>
        <v/>
      </c>
    </row>
    <row r="503" spans="1:19" x14ac:dyDescent="0.25">
      <c r="A503" s="34" t="str">
        <f t="shared" si="80"/>
        <v/>
      </c>
      <c r="B503" s="34" t="str">
        <f t="shared" si="77"/>
        <v/>
      </c>
      <c r="C503" s="34" t="str">
        <f t="shared" si="78"/>
        <v/>
      </c>
      <c r="D503" s="34" t="str">
        <f t="shared" si="79"/>
        <v/>
      </c>
      <c r="K503" s="34" t="str">
        <f t="shared" si="74"/>
        <v/>
      </c>
      <c r="L503" s="34" t="str">
        <f>IF(Data!$I190="","",Data!I190)</f>
        <v/>
      </c>
      <c r="M503" s="34" t="str">
        <f>IF(Data!$I190="","",IF(Data!K190=0,"dns",Data!K190))</f>
        <v/>
      </c>
      <c r="N503" s="34" t="str">
        <f>IF(Data!$I190="","","GP"&amp;Data!$B190&amp;", "&amp;Data!$K$1)</f>
        <v/>
      </c>
      <c r="O503" s="34" t="str">
        <f t="shared" si="75"/>
        <v/>
      </c>
      <c r="P503" s="34" t="str">
        <f>IF($L503="","",Data!B190)</f>
        <v/>
      </c>
      <c r="Q503" s="34" t="str">
        <f t="shared" si="72"/>
        <v/>
      </c>
      <c r="R503" s="34" t="str">
        <f t="shared" si="76"/>
        <v/>
      </c>
      <c r="S503" s="70" t="str">
        <f t="shared" si="73"/>
        <v/>
      </c>
    </row>
    <row r="504" spans="1:19" x14ac:dyDescent="0.25">
      <c r="A504" s="34" t="str">
        <f t="shared" si="80"/>
        <v/>
      </c>
      <c r="B504" s="34" t="str">
        <f t="shared" si="77"/>
        <v/>
      </c>
      <c r="C504" s="34" t="str">
        <f t="shared" si="78"/>
        <v/>
      </c>
      <c r="D504" s="34" t="str">
        <f t="shared" si="79"/>
        <v/>
      </c>
      <c r="K504" s="34" t="str">
        <f t="shared" si="74"/>
        <v/>
      </c>
      <c r="L504" s="34" t="str">
        <f>IF(Data!$I191="","",Data!I191)</f>
        <v/>
      </c>
      <c r="M504" s="34" t="str">
        <f>IF(Data!$I191="","",IF(Data!K191=0,"dns",Data!K191))</f>
        <v/>
      </c>
      <c r="N504" s="34" t="str">
        <f>IF(Data!$I191="","","GP"&amp;Data!$B191&amp;", "&amp;Data!$K$1)</f>
        <v/>
      </c>
      <c r="O504" s="34" t="str">
        <f t="shared" si="75"/>
        <v/>
      </c>
      <c r="P504" s="34" t="str">
        <f>IF($L504="","",Data!B191)</f>
        <v/>
      </c>
      <c r="Q504" s="34" t="str">
        <f t="shared" si="72"/>
        <v/>
      </c>
      <c r="R504" s="34" t="str">
        <f t="shared" si="76"/>
        <v/>
      </c>
      <c r="S504" s="70" t="str">
        <f t="shared" si="73"/>
        <v/>
      </c>
    </row>
    <row r="505" spans="1:19" x14ac:dyDescent="0.25">
      <c r="A505" s="34" t="str">
        <f t="shared" si="80"/>
        <v/>
      </c>
      <c r="B505" s="34" t="str">
        <f t="shared" si="77"/>
        <v/>
      </c>
      <c r="C505" s="34" t="str">
        <f t="shared" si="78"/>
        <v/>
      </c>
      <c r="D505" s="34" t="str">
        <f t="shared" si="79"/>
        <v/>
      </c>
      <c r="K505" s="34" t="str">
        <f t="shared" si="74"/>
        <v/>
      </c>
      <c r="L505" s="34" t="str">
        <f>IF(Data!$I192="","",Data!I192)</f>
        <v/>
      </c>
      <c r="M505" s="34" t="str">
        <f>IF(Data!$I192="","",IF(Data!K192=0,"dns",Data!K192))</f>
        <v/>
      </c>
      <c r="N505" s="34" t="str">
        <f>IF(Data!$I192="","","GP"&amp;Data!$B192&amp;", "&amp;Data!$K$1)</f>
        <v/>
      </c>
      <c r="O505" s="34" t="str">
        <f t="shared" si="75"/>
        <v/>
      </c>
      <c r="P505" s="34" t="str">
        <f>IF($L505="","",Data!B192)</f>
        <v/>
      </c>
      <c r="Q505" s="34" t="str">
        <f t="shared" si="72"/>
        <v/>
      </c>
      <c r="R505" s="34" t="str">
        <f t="shared" si="76"/>
        <v/>
      </c>
      <c r="S505" s="70" t="str">
        <f t="shared" si="73"/>
        <v/>
      </c>
    </row>
    <row r="506" spans="1:19" x14ac:dyDescent="0.25">
      <c r="A506" s="34" t="str">
        <f t="shared" si="80"/>
        <v/>
      </c>
      <c r="B506" s="34" t="str">
        <f t="shared" si="77"/>
        <v/>
      </c>
      <c r="C506" s="34" t="str">
        <f t="shared" si="78"/>
        <v/>
      </c>
      <c r="D506" s="34" t="str">
        <f t="shared" si="79"/>
        <v/>
      </c>
      <c r="K506" s="34" t="str">
        <f t="shared" si="74"/>
        <v/>
      </c>
      <c r="L506" s="34" t="str">
        <f>IF(Data!$I193="","",Data!I193)</f>
        <v/>
      </c>
      <c r="M506" s="34" t="str">
        <f>IF(Data!$I193="","",IF(Data!K193=0,"dns",Data!K193))</f>
        <v/>
      </c>
      <c r="N506" s="34" t="str">
        <f>IF(Data!$I193="","","GP"&amp;Data!$B193&amp;", "&amp;Data!$K$1)</f>
        <v/>
      </c>
      <c r="O506" s="34" t="str">
        <f t="shared" si="75"/>
        <v/>
      </c>
      <c r="P506" s="34" t="str">
        <f>IF($L506="","",Data!B193)</f>
        <v/>
      </c>
      <c r="Q506" s="34" t="str">
        <f t="shared" si="72"/>
        <v/>
      </c>
      <c r="R506" s="34" t="str">
        <f t="shared" si="76"/>
        <v/>
      </c>
      <c r="S506" s="70" t="str">
        <f t="shared" si="73"/>
        <v/>
      </c>
    </row>
    <row r="507" spans="1:19" x14ac:dyDescent="0.25">
      <c r="A507" s="34" t="str">
        <f t="shared" si="80"/>
        <v/>
      </c>
      <c r="B507" s="34" t="str">
        <f t="shared" si="77"/>
        <v/>
      </c>
      <c r="C507" s="34" t="str">
        <f t="shared" si="78"/>
        <v/>
      </c>
      <c r="D507" s="34" t="str">
        <f t="shared" si="79"/>
        <v/>
      </c>
      <c r="K507" s="34" t="str">
        <f t="shared" si="74"/>
        <v/>
      </c>
      <c r="L507" s="34" t="str">
        <f>IF(Data!$I194="","",Data!I194)</f>
        <v/>
      </c>
      <c r="M507" s="34" t="str">
        <f>IF(Data!$I194="","",IF(Data!K194=0,"dns",Data!K194))</f>
        <v/>
      </c>
      <c r="N507" s="34" t="str">
        <f>IF(Data!$I194="","","GP"&amp;Data!$B194&amp;", "&amp;Data!$K$1)</f>
        <v/>
      </c>
      <c r="O507" s="34" t="str">
        <f t="shared" si="75"/>
        <v/>
      </c>
      <c r="P507" s="34" t="str">
        <f>IF($L507="","",Data!B194)</f>
        <v/>
      </c>
      <c r="Q507" s="34" t="str">
        <f t="shared" si="72"/>
        <v/>
      </c>
      <c r="R507" s="34" t="str">
        <f t="shared" si="76"/>
        <v/>
      </c>
      <c r="S507" s="70" t="str">
        <f t="shared" si="73"/>
        <v/>
      </c>
    </row>
    <row r="508" spans="1:19" x14ac:dyDescent="0.25">
      <c r="A508" s="34" t="str">
        <f t="shared" si="80"/>
        <v/>
      </c>
      <c r="B508" s="34" t="str">
        <f t="shared" si="77"/>
        <v/>
      </c>
      <c r="C508" s="34" t="str">
        <f t="shared" si="78"/>
        <v/>
      </c>
      <c r="D508" s="34" t="str">
        <f t="shared" si="79"/>
        <v/>
      </c>
      <c r="K508" s="34" t="str">
        <f t="shared" si="74"/>
        <v/>
      </c>
      <c r="L508" s="34" t="str">
        <f>IF(Data!$I195="","",Data!I195)</f>
        <v/>
      </c>
      <c r="M508" s="34" t="str">
        <f>IF(Data!$I195="","",IF(Data!K195=0,"dns",Data!K195))</f>
        <v/>
      </c>
      <c r="N508" s="34" t="str">
        <f>IF(Data!$I195="","","GP"&amp;Data!$B195&amp;", "&amp;Data!$K$1)</f>
        <v/>
      </c>
      <c r="O508" s="34" t="str">
        <f t="shared" si="75"/>
        <v/>
      </c>
      <c r="P508" s="34" t="str">
        <f>IF($L508="","",Data!B195)</f>
        <v/>
      </c>
      <c r="Q508" s="34" t="str">
        <f t="shared" ref="Q508:Q571" si="81">IF($L508="","",RIGHT(N508,1))</f>
        <v/>
      </c>
      <c r="R508" s="34" t="str">
        <f t="shared" si="76"/>
        <v/>
      </c>
      <c r="S508" s="70" t="str">
        <f t="shared" ref="S508:S571" si="82">IF($L508="","",O508/1000+P508/100000+Q508/1000000+R508/1000000000)</f>
        <v/>
      </c>
    </row>
    <row r="509" spans="1:19" x14ac:dyDescent="0.25">
      <c r="A509" s="34" t="str">
        <f t="shared" si="80"/>
        <v/>
      </c>
      <c r="B509" s="34" t="str">
        <f t="shared" si="77"/>
        <v/>
      </c>
      <c r="C509" s="34" t="str">
        <f t="shared" si="78"/>
        <v/>
      </c>
      <c r="D509" s="34" t="str">
        <f t="shared" si="79"/>
        <v/>
      </c>
      <c r="K509" s="34" t="str">
        <f t="shared" si="74"/>
        <v/>
      </c>
      <c r="L509" s="34" t="str">
        <f>IF(Data!$I196="","",Data!I196)</f>
        <v/>
      </c>
      <c r="M509" s="34" t="str">
        <f>IF(Data!$I196="","",IF(Data!K196=0,"dns",Data!K196))</f>
        <v/>
      </c>
      <c r="N509" s="34" t="str">
        <f>IF(Data!$I196="","","GP"&amp;Data!$B196&amp;", "&amp;Data!$K$1)</f>
        <v/>
      </c>
      <c r="O509" s="34" t="str">
        <f t="shared" si="75"/>
        <v/>
      </c>
      <c r="P509" s="34" t="str">
        <f>IF($L509="","",Data!B196)</f>
        <v/>
      </c>
      <c r="Q509" s="34" t="str">
        <f t="shared" si="81"/>
        <v/>
      </c>
      <c r="R509" s="34" t="str">
        <f t="shared" si="76"/>
        <v/>
      </c>
      <c r="S509" s="70" t="str">
        <f t="shared" si="82"/>
        <v/>
      </c>
    </row>
    <row r="510" spans="1:19" x14ac:dyDescent="0.25">
      <c r="A510" s="34" t="str">
        <f t="shared" si="80"/>
        <v/>
      </c>
      <c r="B510" s="34" t="str">
        <f t="shared" si="77"/>
        <v/>
      </c>
      <c r="C510" s="34" t="str">
        <f t="shared" si="78"/>
        <v/>
      </c>
      <c r="D510" s="34" t="str">
        <f t="shared" si="79"/>
        <v/>
      </c>
      <c r="K510" s="34" t="str">
        <f t="shared" si="74"/>
        <v/>
      </c>
      <c r="L510" s="34" t="str">
        <f>IF(Data!$I197="","",Data!I197)</f>
        <v/>
      </c>
      <c r="M510" s="34" t="str">
        <f>IF(Data!$I197="","",IF(Data!K197=0,"dns",Data!K197))</f>
        <v/>
      </c>
      <c r="N510" s="34" t="str">
        <f>IF(Data!$I197="","","GP"&amp;Data!$B197&amp;", "&amp;Data!$K$1)</f>
        <v/>
      </c>
      <c r="O510" s="34" t="str">
        <f t="shared" si="75"/>
        <v/>
      </c>
      <c r="P510" s="34" t="str">
        <f>IF($L510="","",Data!B197)</f>
        <v/>
      </c>
      <c r="Q510" s="34" t="str">
        <f t="shared" si="81"/>
        <v/>
      </c>
      <c r="R510" s="34" t="str">
        <f t="shared" si="76"/>
        <v/>
      </c>
      <c r="S510" s="70" t="str">
        <f t="shared" si="82"/>
        <v/>
      </c>
    </row>
    <row r="511" spans="1:19" x14ac:dyDescent="0.25">
      <c r="A511" s="34" t="str">
        <f t="shared" si="80"/>
        <v/>
      </c>
      <c r="B511" s="34" t="str">
        <f t="shared" si="77"/>
        <v/>
      </c>
      <c r="C511" s="34" t="str">
        <f t="shared" si="78"/>
        <v/>
      </c>
      <c r="D511" s="34" t="str">
        <f t="shared" si="79"/>
        <v/>
      </c>
      <c r="K511" s="34" t="str">
        <f t="shared" si="74"/>
        <v/>
      </c>
      <c r="L511" s="34" t="str">
        <f>IF(Data!$I198="","",Data!I198)</f>
        <v/>
      </c>
      <c r="M511" s="34" t="str">
        <f>IF(Data!$I198="","",IF(Data!K198=0,"dns",Data!K198))</f>
        <v/>
      </c>
      <c r="N511" s="34" t="str">
        <f>IF(Data!$I198="","","GP"&amp;Data!$B198&amp;", "&amp;Data!$K$1)</f>
        <v/>
      </c>
      <c r="O511" s="34" t="str">
        <f t="shared" si="75"/>
        <v/>
      </c>
      <c r="P511" s="34" t="str">
        <f>IF($L511="","",Data!B198)</f>
        <v/>
      </c>
      <c r="Q511" s="34" t="str">
        <f t="shared" si="81"/>
        <v/>
      </c>
      <c r="R511" s="34" t="str">
        <f t="shared" si="76"/>
        <v/>
      </c>
      <c r="S511" s="70" t="str">
        <f t="shared" si="82"/>
        <v/>
      </c>
    </row>
    <row r="512" spans="1:19" x14ac:dyDescent="0.25">
      <c r="A512" s="34" t="str">
        <f t="shared" si="80"/>
        <v/>
      </c>
      <c r="B512" s="34" t="str">
        <f t="shared" si="77"/>
        <v/>
      </c>
      <c r="C512" s="34" t="str">
        <f t="shared" si="78"/>
        <v/>
      </c>
      <c r="D512" s="34" t="str">
        <f t="shared" si="79"/>
        <v/>
      </c>
      <c r="K512" s="34" t="str">
        <f t="shared" si="74"/>
        <v/>
      </c>
      <c r="L512" s="34" t="str">
        <f>IF(Data!$I199="","",Data!I199)</f>
        <v/>
      </c>
      <c r="M512" s="34" t="str">
        <f>IF(Data!$I199="","",IF(Data!K199=0,"dns",Data!K199))</f>
        <v/>
      </c>
      <c r="N512" s="34" t="str">
        <f>IF(Data!$I199="","","GP"&amp;Data!$B199&amp;", "&amp;Data!$K$1)</f>
        <v/>
      </c>
      <c r="O512" s="34" t="str">
        <f t="shared" si="75"/>
        <v/>
      </c>
      <c r="P512" s="34" t="str">
        <f>IF($L512="","",Data!B199)</f>
        <v/>
      </c>
      <c r="Q512" s="34" t="str">
        <f t="shared" si="81"/>
        <v/>
      </c>
      <c r="R512" s="34" t="str">
        <f t="shared" si="76"/>
        <v/>
      </c>
      <c r="S512" s="70" t="str">
        <f t="shared" si="82"/>
        <v/>
      </c>
    </row>
    <row r="513" spans="1:19" x14ac:dyDescent="0.25">
      <c r="A513" s="34" t="str">
        <f t="shared" si="80"/>
        <v/>
      </c>
      <c r="B513" s="34" t="str">
        <f t="shared" si="77"/>
        <v/>
      </c>
      <c r="C513" s="34" t="str">
        <f t="shared" si="78"/>
        <v/>
      </c>
      <c r="D513" s="34" t="str">
        <f t="shared" si="79"/>
        <v/>
      </c>
      <c r="K513" s="34" t="str">
        <f t="shared" si="74"/>
        <v/>
      </c>
      <c r="L513" s="34" t="str">
        <f>IF(Data!$I200="","",Data!I200)</f>
        <v/>
      </c>
      <c r="M513" s="34" t="str">
        <f>IF(Data!$I200="","",IF(Data!K200=0,"dns",Data!K200))</f>
        <v/>
      </c>
      <c r="N513" s="34" t="str">
        <f>IF(Data!$I200="","","GP"&amp;Data!$B200&amp;", "&amp;Data!$K$1)</f>
        <v/>
      </c>
      <c r="O513" s="34" t="str">
        <f t="shared" si="75"/>
        <v/>
      </c>
      <c r="P513" s="34" t="str">
        <f>IF($L513="","",Data!B200)</f>
        <v/>
      </c>
      <c r="Q513" s="34" t="str">
        <f t="shared" si="81"/>
        <v/>
      </c>
      <c r="R513" s="34" t="str">
        <f t="shared" si="76"/>
        <v/>
      </c>
      <c r="S513" s="70" t="str">
        <f t="shared" si="82"/>
        <v/>
      </c>
    </row>
    <row r="514" spans="1:19" x14ac:dyDescent="0.25">
      <c r="A514" s="34" t="str">
        <f t="shared" si="80"/>
        <v/>
      </c>
      <c r="B514" s="34" t="str">
        <f t="shared" si="77"/>
        <v/>
      </c>
      <c r="C514" s="34" t="str">
        <f t="shared" si="78"/>
        <v/>
      </c>
      <c r="D514" s="34" t="str">
        <f t="shared" si="79"/>
        <v/>
      </c>
      <c r="K514" s="34" t="str">
        <f t="shared" si="74"/>
        <v/>
      </c>
      <c r="L514" s="34" t="str">
        <f>IF(Data!$I201="","",Data!I201)</f>
        <v/>
      </c>
      <c r="M514" s="34" t="str">
        <f>IF(Data!$I201="","",IF(Data!K201=0,"dns",Data!K201))</f>
        <v/>
      </c>
      <c r="N514" s="34" t="str">
        <f>IF(Data!$I201="","","GP"&amp;Data!$B201&amp;", "&amp;Data!$K$1)</f>
        <v/>
      </c>
      <c r="O514" s="34" t="str">
        <f t="shared" si="75"/>
        <v/>
      </c>
      <c r="P514" s="34" t="str">
        <f>IF($L514="","",Data!B201)</f>
        <v/>
      </c>
      <c r="Q514" s="34" t="str">
        <f t="shared" si="81"/>
        <v/>
      </c>
      <c r="R514" s="34" t="str">
        <f t="shared" si="76"/>
        <v/>
      </c>
      <c r="S514" s="70" t="str">
        <f t="shared" si="82"/>
        <v/>
      </c>
    </row>
    <row r="515" spans="1:19" x14ac:dyDescent="0.25">
      <c r="A515" s="34" t="str">
        <f t="shared" si="80"/>
        <v/>
      </c>
      <c r="B515" s="34" t="str">
        <f t="shared" si="77"/>
        <v/>
      </c>
      <c r="C515" s="34" t="str">
        <f t="shared" si="78"/>
        <v/>
      </c>
      <c r="D515" s="34" t="str">
        <f t="shared" si="79"/>
        <v/>
      </c>
      <c r="K515" s="34" t="str">
        <f t="shared" si="74"/>
        <v/>
      </c>
      <c r="L515" s="34" t="str">
        <f>IF(Data!$I202="","",Data!I202)</f>
        <v/>
      </c>
      <c r="M515" s="34" t="str">
        <f>IF(Data!$I202="","",IF(Data!K202=0,"dns",Data!K202))</f>
        <v/>
      </c>
      <c r="N515" s="34" t="str">
        <f>IF(Data!$I202="","","GP"&amp;Data!$B202&amp;", "&amp;Data!$K$1)</f>
        <v/>
      </c>
      <c r="O515" s="34" t="str">
        <f t="shared" si="75"/>
        <v/>
      </c>
      <c r="P515" s="34" t="str">
        <f>IF($L515="","",Data!B202)</f>
        <v/>
      </c>
      <c r="Q515" s="34" t="str">
        <f t="shared" si="81"/>
        <v/>
      </c>
      <c r="R515" s="34" t="str">
        <f t="shared" si="76"/>
        <v/>
      </c>
      <c r="S515" s="70" t="str">
        <f t="shared" si="82"/>
        <v/>
      </c>
    </row>
    <row r="516" spans="1:19" x14ac:dyDescent="0.25">
      <c r="A516" s="34" t="str">
        <f t="shared" si="80"/>
        <v/>
      </c>
      <c r="B516" s="34" t="str">
        <f t="shared" si="77"/>
        <v/>
      </c>
      <c r="C516" s="34" t="str">
        <f t="shared" si="78"/>
        <v/>
      </c>
      <c r="D516" s="34" t="str">
        <f t="shared" si="79"/>
        <v/>
      </c>
      <c r="K516" s="34" t="str">
        <f t="shared" ref="K516:K579" si="83">IF($L516="","",_xlfn.RANK.EQ($S516,$S$3:$S$626,1))</f>
        <v/>
      </c>
      <c r="L516" s="34" t="str">
        <f>IF(Data!$I203="","",Data!I203)</f>
        <v/>
      </c>
      <c r="M516" s="34" t="str">
        <f>IF(Data!$I203="","",IF(Data!K203=0,"dns",Data!K203))</f>
        <v/>
      </c>
      <c r="N516" s="34" t="str">
        <f>IF(Data!$I203="","","GP"&amp;Data!$B203&amp;", "&amp;Data!$K$1)</f>
        <v/>
      </c>
      <c r="O516" s="34" t="str">
        <f t="shared" ref="O516:O579" si="84">IF(L516="","",IFERROR(_xlfn.RANK.EQ($M516,$M$3:$M$626,0),COUNTA($L$3:$L$626)+1))</f>
        <v/>
      </c>
      <c r="P516" s="34" t="str">
        <f>IF($L516="","",Data!B203)</f>
        <v/>
      </c>
      <c r="Q516" s="34" t="str">
        <f t="shared" si="81"/>
        <v/>
      </c>
      <c r="R516" s="34" t="str">
        <f t="shared" ref="R516:R579" si="85">IF($L516="","",ROW())</f>
        <v/>
      </c>
      <c r="S516" s="70" t="str">
        <f t="shared" si="82"/>
        <v/>
      </c>
    </row>
    <row r="517" spans="1:19" x14ac:dyDescent="0.25">
      <c r="A517" s="34" t="str">
        <f t="shared" si="80"/>
        <v/>
      </c>
      <c r="B517" s="34" t="str">
        <f t="shared" ref="B517:B580" si="86">IF($A517="","",VLOOKUP($A517,$K$3:$N$626,L$1,0))</f>
        <v/>
      </c>
      <c r="C517" s="34" t="str">
        <f t="shared" ref="C517:C580" si="87">IF($A517="","",VLOOKUP($A517,$K$3:$N$626,M$1,0))</f>
        <v/>
      </c>
      <c r="D517" s="34" t="str">
        <f t="shared" ref="D517:D580" si="88">IF($A517="","",VLOOKUP($A517,$K$3:$N$626,N$1,0))</f>
        <v/>
      </c>
      <c r="K517" s="34" t="str">
        <f t="shared" si="83"/>
        <v/>
      </c>
      <c r="L517" s="34" t="str">
        <f>IF(Data!$I204="","",Data!I204)</f>
        <v/>
      </c>
      <c r="M517" s="34" t="str">
        <f>IF(Data!$I204="","",IF(Data!K204=0,"dns",Data!K204))</f>
        <v/>
      </c>
      <c r="N517" s="34" t="str">
        <f>IF(Data!$I204="","","GP"&amp;Data!$B204&amp;", "&amp;Data!$K$1)</f>
        <v/>
      </c>
      <c r="O517" s="34" t="str">
        <f t="shared" si="84"/>
        <v/>
      </c>
      <c r="P517" s="34" t="str">
        <f>IF($L517="","",Data!B204)</f>
        <v/>
      </c>
      <c r="Q517" s="34" t="str">
        <f t="shared" si="81"/>
        <v/>
      </c>
      <c r="R517" s="34" t="str">
        <f t="shared" si="85"/>
        <v/>
      </c>
      <c r="S517" s="70" t="str">
        <f t="shared" si="82"/>
        <v/>
      </c>
    </row>
    <row r="518" spans="1:19" x14ac:dyDescent="0.25">
      <c r="A518" s="34" t="str">
        <f t="shared" ref="A518:A581" si="89">IFERROR(IF(A517+1&gt;MAX($K$3:$K$626),"",A517+1),"")</f>
        <v/>
      </c>
      <c r="B518" s="34" t="str">
        <f t="shared" si="86"/>
        <v/>
      </c>
      <c r="C518" s="34" t="str">
        <f t="shared" si="87"/>
        <v/>
      </c>
      <c r="D518" s="34" t="str">
        <f t="shared" si="88"/>
        <v/>
      </c>
      <c r="K518" s="34" t="str">
        <f t="shared" si="83"/>
        <v/>
      </c>
      <c r="L518" s="34" t="str">
        <f>IF(Data!$I205="","",Data!I205)</f>
        <v/>
      </c>
      <c r="M518" s="34" t="str">
        <f>IF(Data!$I205="","",IF(Data!K205=0,"dns",Data!K205))</f>
        <v/>
      </c>
      <c r="N518" s="34" t="str">
        <f>IF(Data!$I205="","","GP"&amp;Data!$B205&amp;", "&amp;Data!$K$1)</f>
        <v/>
      </c>
      <c r="O518" s="34" t="str">
        <f t="shared" si="84"/>
        <v/>
      </c>
      <c r="P518" s="34" t="str">
        <f>IF($L518="","",Data!B205)</f>
        <v/>
      </c>
      <c r="Q518" s="34" t="str">
        <f t="shared" si="81"/>
        <v/>
      </c>
      <c r="R518" s="34" t="str">
        <f t="shared" si="85"/>
        <v/>
      </c>
      <c r="S518" s="70" t="str">
        <f t="shared" si="82"/>
        <v/>
      </c>
    </row>
    <row r="519" spans="1:19" x14ac:dyDescent="0.25">
      <c r="A519" s="34" t="str">
        <f t="shared" si="89"/>
        <v/>
      </c>
      <c r="B519" s="34" t="str">
        <f t="shared" si="86"/>
        <v/>
      </c>
      <c r="C519" s="34" t="str">
        <f t="shared" si="87"/>
        <v/>
      </c>
      <c r="D519" s="34" t="str">
        <f t="shared" si="88"/>
        <v/>
      </c>
      <c r="K519" s="34" t="str">
        <f t="shared" si="83"/>
        <v/>
      </c>
      <c r="L519" s="34" t="str">
        <f>IF(Data!$I206="","",Data!I206)</f>
        <v/>
      </c>
      <c r="M519" s="34" t="str">
        <f>IF(Data!$I206="","",IF(Data!K206=0,"dns",Data!K206))</f>
        <v/>
      </c>
      <c r="N519" s="34" t="str">
        <f>IF(Data!$I206="","","GP"&amp;Data!$B206&amp;", "&amp;Data!$K$1)</f>
        <v/>
      </c>
      <c r="O519" s="34" t="str">
        <f t="shared" si="84"/>
        <v/>
      </c>
      <c r="P519" s="34" t="str">
        <f>IF($L519="","",Data!B206)</f>
        <v/>
      </c>
      <c r="Q519" s="34" t="str">
        <f t="shared" si="81"/>
        <v/>
      </c>
      <c r="R519" s="34" t="str">
        <f t="shared" si="85"/>
        <v/>
      </c>
      <c r="S519" s="70" t="str">
        <f t="shared" si="82"/>
        <v/>
      </c>
    </row>
    <row r="520" spans="1:19" x14ac:dyDescent="0.25">
      <c r="A520" s="34" t="str">
        <f t="shared" si="89"/>
        <v/>
      </c>
      <c r="B520" s="34" t="str">
        <f t="shared" si="86"/>
        <v/>
      </c>
      <c r="C520" s="34" t="str">
        <f t="shared" si="87"/>
        <v/>
      </c>
      <c r="D520" s="34" t="str">
        <f t="shared" si="88"/>
        <v/>
      </c>
      <c r="K520" s="34" t="str">
        <f t="shared" si="83"/>
        <v/>
      </c>
      <c r="L520" s="34" t="str">
        <f>IF(Data!$I207="","",Data!I207)</f>
        <v/>
      </c>
      <c r="M520" s="34" t="str">
        <f>IF(Data!$I207="","",IF(Data!K207=0,"dns",Data!K207))</f>
        <v/>
      </c>
      <c r="N520" s="34" t="str">
        <f>IF(Data!$I207="","","GP"&amp;Data!$B207&amp;", "&amp;Data!$K$1)</f>
        <v/>
      </c>
      <c r="O520" s="34" t="str">
        <f t="shared" si="84"/>
        <v/>
      </c>
      <c r="P520" s="34" t="str">
        <f>IF($L520="","",Data!B207)</f>
        <v/>
      </c>
      <c r="Q520" s="34" t="str">
        <f t="shared" si="81"/>
        <v/>
      </c>
      <c r="R520" s="34" t="str">
        <f t="shared" si="85"/>
        <v/>
      </c>
      <c r="S520" s="70" t="str">
        <f t="shared" si="82"/>
        <v/>
      </c>
    </row>
    <row r="521" spans="1:19" x14ac:dyDescent="0.25">
      <c r="A521" s="34" t="str">
        <f t="shared" si="89"/>
        <v/>
      </c>
      <c r="B521" s="34" t="str">
        <f t="shared" si="86"/>
        <v/>
      </c>
      <c r="C521" s="34" t="str">
        <f t="shared" si="87"/>
        <v/>
      </c>
      <c r="D521" s="34" t="str">
        <f t="shared" si="88"/>
        <v/>
      </c>
      <c r="K521" s="34" t="str">
        <f t="shared" si="83"/>
        <v/>
      </c>
      <c r="L521" s="34" t="str">
        <f>IF(Data!$I208="","",Data!I208)</f>
        <v/>
      </c>
      <c r="M521" s="34" t="str">
        <f>IF(Data!$I208="","",IF(Data!K208=0,"dns",Data!K208))</f>
        <v/>
      </c>
      <c r="N521" s="34" t="str">
        <f>IF(Data!$I208="","","GP"&amp;Data!$B208&amp;", "&amp;Data!$K$1)</f>
        <v/>
      </c>
      <c r="O521" s="34" t="str">
        <f t="shared" si="84"/>
        <v/>
      </c>
      <c r="P521" s="34" t="str">
        <f>IF($L521="","",Data!B208)</f>
        <v/>
      </c>
      <c r="Q521" s="34" t="str">
        <f t="shared" si="81"/>
        <v/>
      </c>
      <c r="R521" s="34" t="str">
        <f t="shared" si="85"/>
        <v/>
      </c>
      <c r="S521" s="70" t="str">
        <f t="shared" si="82"/>
        <v/>
      </c>
    </row>
    <row r="522" spans="1:19" x14ac:dyDescent="0.25">
      <c r="A522" s="34" t="str">
        <f t="shared" si="89"/>
        <v/>
      </c>
      <c r="B522" s="34" t="str">
        <f t="shared" si="86"/>
        <v/>
      </c>
      <c r="C522" s="34" t="str">
        <f t="shared" si="87"/>
        <v/>
      </c>
      <c r="D522" s="34" t="str">
        <f t="shared" si="88"/>
        <v/>
      </c>
      <c r="K522" s="34" t="str">
        <f t="shared" si="83"/>
        <v/>
      </c>
      <c r="L522" s="34" t="str">
        <f>IF(Data!$I209="","",Data!I209)</f>
        <v/>
      </c>
      <c r="M522" s="34" t="str">
        <f>IF(Data!$I209="","",IF(Data!K209=0,"dns",Data!K209))</f>
        <v/>
      </c>
      <c r="N522" s="34" t="str">
        <f>IF(Data!$I209="","","GP"&amp;Data!$B209&amp;", "&amp;Data!$K$1)</f>
        <v/>
      </c>
      <c r="O522" s="34" t="str">
        <f t="shared" si="84"/>
        <v/>
      </c>
      <c r="P522" s="34" t="str">
        <f>IF($L522="","",Data!B209)</f>
        <v/>
      </c>
      <c r="Q522" s="34" t="str">
        <f t="shared" si="81"/>
        <v/>
      </c>
      <c r="R522" s="34" t="str">
        <f t="shared" si="85"/>
        <v/>
      </c>
      <c r="S522" s="70" t="str">
        <f t="shared" si="82"/>
        <v/>
      </c>
    </row>
    <row r="523" spans="1:19" x14ac:dyDescent="0.25">
      <c r="A523" s="34" t="str">
        <f t="shared" si="89"/>
        <v/>
      </c>
      <c r="B523" s="34" t="str">
        <f t="shared" si="86"/>
        <v/>
      </c>
      <c r="C523" s="34" t="str">
        <f t="shared" si="87"/>
        <v/>
      </c>
      <c r="D523" s="34" t="str">
        <f t="shared" si="88"/>
        <v/>
      </c>
      <c r="K523" s="34" t="str">
        <f t="shared" si="83"/>
        <v/>
      </c>
      <c r="L523" s="34" t="str">
        <f>IF(Data!$I210="","",Data!I210)</f>
        <v/>
      </c>
      <c r="M523" s="34" t="str">
        <f>IF(Data!$I210="","",IF(Data!K210=0,"dns",Data!K210))</f>
        <v/>
      </c>
      <c r="N523" s="34" t="str">
        <f>IF(Data!$I210="","","GP"&amp;Data!$B210&amp;", "&amp;Data!$K$1)</f>
        <v/>
      </c>
      <c r="O523" s="34" t="str">
        <f t="shared" si="84"/>
        <v/>
      </c>
      <c r="P523" s="34" t="str">
        <f>IF($L523="","",Data!B210)</f>
        <v/>
      </c>
      <c r="Q523" s="34" t="str">
        <f t="shared" si="81"/>
        <v/>
      </c>
      <c r="R523" s="34" t="str">
        <f t="shared" si="85"/>
        <v/>
      </c>
      <c r="S523" s="70" t="str">
        <f t="shared" si="82"/>
        <v/>
      </c>
    </row>
    <row r="524" spans="1:19" x14ac:dyDescent="0.25">
      <c r="A524" s="34" t="str">
        <f t="shared" si="89"/>
        <v/>
      </c>
      <c r="B524" s="34" t="str">
        <f t="shared" si="86"/>
        <v/>
      </c>
      <c r="C524" s="34" t="str">
        <f t="shared" si="87"/>
        <v/>
      </c>
      <c r="D524" s="34" t="str">
        <f t="shared" si="88"/>
        <v/>
      </c>
      <c r="K524" s="34" t="str">
        <f t="shared" si="83"/>
        <v/>
      </c>
      <c r="L524" s="34" t="str">
        <f>IF(Data!$I211="","",Data!I211)</f>
        <v/>
      </c>
      <c r="M524" s="34" t="str">
        <f>IF(Data!$I211="","",IF(Data!K211=0,"dns",Data!K211))</f>
        <v/>
      </c>
      <c r="N524" s="34" t="str">
        <f>IF(Data!$I211="","","GP"&amp;Data!$B211&amp;", "&amp;Data!$K$1)</f>
        <v/>
      </c>
      <c r="O524" s="34" t="str">
        <f t="shared" si="84"/>
        <v/>
      </c>
      <c r="P524" s="34" t="str">
        <f>IF($L524="","",Data!B211)</f>
        <v/>
      </c>
      <c r="Q524" s="34" t="str">
        <f t="shared" si="81"/>
        <v/>
      </c>
      <c r="R524" s="34" t="str">
        <f t="shared" si="85"/>
        <v/>
      </c>
      <c r="S524" s="70" t="str">
        <f t="shared" si="82"/>
        <v/>
      </c>
    </row>
    <row r="525" spans="1:19" x14ac:dyDescent="0.25">
      <c r="A525" s="34" t="str">
        <f t="shared" si="89"/>
        <v/>
      </c>
      <c r="B525" s="34" t="str">
        <f t="shared" si="86"/>
        <v/>
      </c>
      <c r="C525" s="34" t="str">
        <f t="shared" si="87"/>
        <v/>
      </c>
      <c r="D525" s="34" t="str">
        <f t="shared" si="88"/>
        <v/>
      </c>
      <c r="K525" s="34" t="str">
        <f t="shared" si="83"/>
        <v/>
      </c>
      <c r="L525" s="34" t="str">
        <f>IF(Data!$I212="","",Data!I212)</f>
        <v/>
      </c>
      <c r="M525" s="34" t="str">
        <f>IF(Data!$I212="","",IF(Data!K212=0,"dns",Data!K212))</f>
        <v/>
      </c>
      <c r="N525" s="34" t="str">
        <f>IF(Data!$I212="","","GP"&amp;Data!$B212&amp;", "&amp;Data!$K$1)</f>
        <v/>
      </c>
      <c r="O525" s="34" t="str">
        <f t="shared" si="84"/>
        <v/>
      </c>
      <c r="P525" s="34" t="str">
        <f>IF($L525="","",Data!B212)</f>
        <v/>
      </c>
      <c r="Q525" s="34" t="str">
        <f t="shared" si="81"/>
        <v/>
      </c>
      <c r="R525" s="34" t="str">
        <f t="shared" si="85"/>
        <v/>
      </c>
      <c r="S525" s="70" t="str">
        <f t="shared" si="82"/>
        <v/>
      </c>
    </row>
    <row r="526" spans="1:19" x14ac:dyDescent="0.25">
      <c r="A526" s="34" t="str">
        <f t="shared" si="89"/>
        <v/>
      </c>
      <c r="B526" s="34" t="str">
        <f t="shared" si="86"/>
        <v/>
      </c>
      <c r="C526" s="34" t="str">
        <f t="shared" si="87"/>
        <v/>
      </c>
      <c r="D526" s="34" t="str">
        <f t="shared" si="88"/>
        <v/>
      </c>
      <c r="K526" s="34" t="str">
        <f t="shared" si="83"/>
        <v/>
      </c>
      <c r="L526" s="34" t="str">
        <f>IF(Data!$I213="","",Data!I213)</f>
        <v/>
      </c>
      <c r="M526" s="34" t="str">
        <f>IF(Data!$I213="","",IF(Data!K213=0,"dns",Data!K213))</f>
        <v/>
      </c>
      <c r="N526" s="34" t="str">
        <f>IF(Data!$I213="","","GP"&amp;Data!$B213&amp;", "&amp;Data!$K$1)</f>
        <v/>
      </c>
      <c r="O526" s="34" t="str">
        <f t="shared" si="84"/>
        <v/>
      </c>
      <c r="P526" s="34" t="str">
        <f>IF($L526="","",Data!B213)</f>
        <v/>
      </c>
      <c r="Q526" s="34" t="str">
        <f t="shared" si="81"/>
        <v/>
      </c>
      <c r="R526" s="34" t="str">
        <f t="shared" si="85"/>
        <v/>
      </c>
      <c r="S526" s="70" t="str">
        <f t="shared" si="82"/>
        <v/>
      </c>
    </row>
    <row r="527" spans="1:19" x14ac:dyDescent="0.25">
      <c r="A527" s="34" t="str">
        <f t="shared" si="89"/>
        <v/>
      </c>
      <c r="B527" s="34" t="str">
        <f t="shared" si="86"/>
        <v/>
      </c>
      <c r="C527" s="34" t="str">
        <f t="shared" si="87"/>
        <v/>
      </c>
      <c r="D527" s="34" t="str">
        <f t="shared" si="88"/>
        <v/>
      </c>
      <c r="K527" s="34" t="str">
        <f t="shared" si="83"/>
        <v/>
      </c>
      <c r="L527" s="34" t="str">
        <f>IF(Data!$I214="","",Data!I214)</f>
        <v/>
      </c>
      <c r="M527" s="34" t="str">
        <f>IF(Data!$I214="","",IF(Data!K214=0,"dns",Data!K214))</f>
        <v/>
      </c>
      <c r="N527" s="34" t="str">
        <f>IF(Data!$I214="","","GP"&amp;Data!$B214&amp;", "&amp;Data!$K$1)</f>
        <v/>
      </c>
      <c r="O527" s="34" t="str">
        <f t="shared" si="84"/>
        <v/>
      </c>
      <c r="P527" s="34" t="str">
        <f>IF($L527="","",Data!B214)</f>
        <v/>
      </c>
      <c r="Q527" s="34" t="str">
        <f t="shared" si="81"/>
        <v/>
      </c>
      <c r="R527" s="34" t="str">
        <f t="shared" si="85"/>
        <v/>
      </c>
      <c r="S527" s="70" t="str">
        <f t="shared" si="82"/>
        <v/>
      </c>
    </row>
    <row r="528" spans="1:19" x14ac:dyDescent="0.25">
      <c r="A528" s="34" t="str">
        <f t="shared" si="89"/>
        <v/>
      </c>
      <c r="B528" s="34" t="str">
        <f t="shared" si="86"/>
        <v/>
      </c>
      <c r="C528" s="34" t="str">
        <f t="shared" si="87"/>
        <v/>
      </c>
      <c r="D528" s="34" t="str">
        <f t="shared" si="88"/>
        <v/>
      </c>
      <c r="K528" s="34" t="str">
        <f t="shared" si="83"/>
        <v/>
      </c>
      <c r="L528" s="34" t="str">
        <f>IF(Data!$I215="","",Data!I215)</f>
        <v/>
      </c>
      <c r="M528" s="34" t="str">
        <f>IF(Data!$I215="","",IF(Data!K215=0,"dns",Data!K215))</f>
        <v/>
      </c>
      <c r="N528" s="34" t="str">
        <f>IF(Data!$I215="","","GP"&amp;Data!$B215&amp;", "&amp;Data!$K$1)</f>
        <v/>
      </c>
      <c r="O528" s="34" t="str">
        <f t="shared" si="84"/>
        <v/>
      </c>
      <c r="P528" s="34" t="str">
        <f>IF($L528="","",Data!B215)</f>
        <v/>
      </c>
      <c r="Q528" s="34" t="str">
        <f t="shared" si="81"/>
        <v/>
      </c>
      <c r="R528" s="34" t="str">
        <f t="shared" si="85"/>
        <v/>
      </c>
      <c r="S528" s="70" t="str">
        <f t="shared" si="82"/>
        <v/>
      </c>
    </row>
    <row r="529" spans="1:19" x14ac:dyDescent="0.25">
      <c r="A529" s="34" t="str">
        <f t="shared" si="89"/>
        <v/>
      </c>
      <c r="B529" s="34" t="str">
        <f t="shared" si="86"/>
        <v/>
      </c>
      <c r="C529" s="34" t="str">
        <f t="shared" si="87"/>
        <v/>
      </c>
      <c r="D529" s="34" t="str">
        <f t="shared" si="88"/>
        <v/>
      </c>
      <c r="K529" s="34" t="str">
        <f t="shared" si="83"/>
        <v/>
      </c>
      <c r="L529" s="34" t="str">
        <f>IF(Data!$I216="","",Data!I216)</f>
        <v/>
      </c>
      <c r="M529" s="34" t="str">
        <f>IF(Data!$I216="","",IF(Data!K216=0,"dns",Data!K216))</f>
        <v/>
      </c>
      <c r="N529" s="34" t="str">
        <f>IF(Data!$I216="","","GP"&amp;Data!$B216&amp;", "&amp;Data!$K$1)</f>
        <v/>
      </c>
      <c r="O529" s="34" t="str">
        <f t="shared" si="84"/>
        <v/>
      </c>
      <c r="P529" s="34" t="str">
        <f>IF($L529="","",Data!B216)</f>
        <v/>
      </c>
      <c r="Q529" s="34" t="str">
        <f t="shared" si="81"/>
        <v/>
      </c>
      <c r="R529" s="34" t="str">
        <f t="shared" si="85"/>
        <v/>
      </c>
      <c r="S529" s="70" t="str">
        <f t="shared" si="82"/>
        <v/>
      </c>
    </row>
    <row r="530" spans="1:19" x14ac:dyDescent="0.25">
      <c r="A530" s="34" t="str">
        <f t="shared" si="89"/>
        <v/>
      </c>
      <c r="B530" s="34" t="str">
        <f t="shared" si="86"/>
        <v/>
      </c>
      <c r="C530" s="34" t="str">
        <f t="shared" si="87"/>
        <v/>
      </c>
      <c r="D530" s="34" t="str">
        <f t="shared" si="88"/>
        <v/>
      </c>
      <c r="K530" s="34" t="str">
        <f t="shared" si="83"/>
        <v/>
      </c>
      <c r="L530" s="34" t="str">
        <f>IF(Data!$I217="","",Data!I217)</f>
        <v/>
      </c>
      <c r="M530" s="34" t="str">
        <f>IF(Data!$I217="","",IF(Data!K217=0,"dns",Data!K217))</f>
        <v/>
      </c>
      <c r="N530" s="34" t="str">
        <f>IF(Data!$I217="","","GP"&amp;Data!$B217&amp;", "&amp;Data!$K$1)</f>
        <v/>
      </c>
      <c r="O530" s="34" t="str">
        <f t="shared" si="84"/>
        <v/>
      </c>
      <c r="P530" s="34" t="str">
        <f>IF($L530="","",Data!B217)</f>
        <v/>
      </c>
      <c r="Q530" s="34" t="str">
        <f t="shared" si="81"/>
        <v/>
      </c>
      <c r="R530" s="34" t="str">
        <f t="shared" si="85"/>
        <v/>
      </c>
      <c r="S530" s="70" t="str">
        <f t="shared" si="82"/>
        <v/>
      </c>
    </row>
    <row r="531" spans="1:19" x14ac:dyDescent="0.25">
      <c r="A531" s="34" t="str">
        <f t="shared" si="89"/>
        <v/>
      </c>
      <c r="B531" s="34" t="str">
        <f t="shared" si="86"/>
        <v/>
      </c>
      <c r="C531" s="34" t="str">
        <f t="shared" si="87"/>
        <v/>
      </c>
      <c r="D531" s="34" t="str">
        <f t="shared" si="88"/>
        <v/>
      </c>
      <c r="K531" s="34" t="str">
        <f t="shared" si="83"/>
        <v/>
      </c>
      <c r="L531" s="34" t="str">
        <f>IF(Data!$I218="","",Data!I218)</f>
        <v/>
      </c>
      <c r="M531" s="34" t="str">
        <f>IF(Data!$I218="","",IF(Data!K218=0,"dns",Data!K218))</f>
        <v/>
      </c>
      <c r="N531" s="34" t="str">
        <f>IF(Data!$I218="","","GP"&amp;Data!$B218&amp;", "&amp;Data!$K$1)</f>
        <v/>
      </c>
      <c r="O531" s="34" t="str">
        <f t="shared" si="84"/>
        <v/>
      </c>
      <c r="P531" s="34" t="str">
        <f>IF($L531="","",Data!B218)</f>
        <v/>
      </c>
      <c r="Q531" s="34" t="str">
        <f t="shared" si="81"/>
        <v/>
      </c>
      <c r="R531" s="34" t="str">
        <f t="shared" si="85"/>
        <v/>
      </c>
      <c r="S531" s="70" t="str">
        <f t="shared" si="82"/>
        <v/>
      </c>
    </row>
    <row r="532" spans="1:19" x14ac:dyDescent="0.25">
      <c r="A532" s="34" t="str">
        <f t="shared" si="89"/>
        <v/>
      </c>
      <c r="B532" s="34" t="str">
        <f t="shared" si="86"/>
        <v/>
      </c>
      <c r="C532" s="34" t="str">
        <f t="shared" si="87"/>
        <v/>
      </c>
      <c r="D532" s="34" t="str">
        <f t="shared" si="88"/>
        <v/>
      </c>
      <c r="K532" s="34" t="str">
        <f t="shared" si="83"/>
        <v/>
      </c>
      <c r="L532" s="34" t="str">
        <f>IF(Data!$I219="","",Data!I219)</f>
        <v/>
      </c>
      <c r="M532" s="34" t="str">
        <f>IF(Data!$I219="","",IF(Data!K219=0,"dns",Data!K219))</f>
        <v/>
      </c>
      <c r="N532" s="34" t="str">
        <f>IF(Data!$I219="","","GP"&amp;Data!$B219&amp;", "&amp;Data!$K$1)</f>
        <v/>
      </c>
      <c r="O532" s="34" t="str">
        <f t="shared" si="84"/>
        <v/>
      </c>
      <c r="P532" s="34" t="str">
        <f>IF($L532="","",Data!B219)</f>
        <v/>
      </c>
      <c r="Q532" s="34" t="str">
        <f t="shared" si="81"/>
        <v/>
      </c>
      <c r="R532" s="34" t="str">
        <f t="shared" si="85"/>
        <v/>
      </c>
      <c r="S532" s="70" t="str">
        <f t="shared" si="82"/>
        <v/>
      </c>
    </row>
    <row r="533" spans="1:19" x14ac:dyDescent="0.25">
      <c r="A533" s="34" t="str">
        <f t="shared" si="89"/>
        <v/>
      </c>
      <c r="B533" s="34" t="str">
        <f t="shared" si="86"/>
        <v/>
      </c>
      <c r="C533" s="34" t="str">
        <f t="shared" si="87"/>
        <v/>
      </c>
      <c r="D533" s="34" t="str">
        <f t="shared" si="88"/>
        <v/>
      </c>
      <c r="K533" s="34" t="str">
        <f t="shared" si="83"/>
        <v/>
      </c>
      <c r="L533" s="34" t="str">
        <f>IF(Data!$I220="","",Data!I220)</f>
        <v/>
      </c>
      <c r="M533" s="34" t="str">
        <f>IF(Data!$I220="","",IF(Data!K220=0,"dns",Data!K220))</f>
        <v/>
      </c>
      <c r="N533" s="34" t="str">
        <f>IF(Data!$I220="","","GP"&amp;Data!$B220&amp;", "&amp;Data!$K$1)</f>
        <v/>
      </c>
      <c r="O533" s="34" t="str">
        <f t="shared" si="84"/>
        <v/>
      </c>
      <c r="P533" s="34" t="str">
        <f>IF($L533="","",Data!B220)</f>
        <v/>
      </c>
      <c r="Q533" s="34" t="str">
        <f t="shared" si="81"/>
        <v/>
      </c>
      <c r="R533" s="34" t="str">
        <f t="shared" si="85"/>
        <v/>
      </c>
      <c r="S533" s="70" t="str">
        <f t="shared" si="82"/>
        <v/>
      </c>
    </row>
    <row r="534" spans="1:19" x14ac:dyDescent="0.25">
      <c r="A534" s="34" t="str">
        <f t="shared" si="89"/>
        <v/>
      </c>
      <c r="B534" s="34" t="str">
        <f t="shared" si="86"/>
        <v/>
      </c>
      <c r="C534" s="34" t="str">
        <f t="shared" si="87"/>
        <v/>
      </c>
      <c r="D534" s="34" t="str">
        <f t="shared" si="88"/>
        <v/>
      </c>
      <c r="K534" s="34" t="str">
        <f t="shared" si="83"/>
        <v/>
      </c>
      <c r="L534" s="34" t="str">
        <f>IF(Data!$I221="","",Data!I221)</f>
        <v/>
      </c>
      <c r="M534" s="34" t="str">
        <f>IF(Data!$I221="","",IF(Data!K221=0,"dns",Data!K221))</f>
        <v/>
      </c>
      <c r="N534" s="34" t="str">
        <f>IF(Data!$I221="","","GP"&amp;Data!$B221&amp;", "&amp;Data!$K$1)</f>
        <v/>
      </c>
      <c r="O534" s="34" t="str">
        <f t="shared" si="84"/>
        <v/>
      </c>
      <c r="P534" s="34" t="str">
        <f>IF($L534="","",Data!B221)</f>
        <v/>
      </c>
      <c r="Q534" s="34" t="str">
        <f t="shared" si="81"/>
        <v/>
      </c>
      <c r="R534" s="34" t="str">
        <f t="shared" si="85"/>
        <v/>
      </c>
      <c r="S534" s="70" t="str">
        <f t="shared" si="82"/>
        <v/>
      </c>
    </row>
    <row r="535" spans="1:19" x14ac:dyDescent="0.25">
      <c r="A535" s="34" t="str">
        <f t="shared" si="89"/>
        <v/>
      </c>
      <c r="B535" s="34" t="str">
        <f t="shared" si="86"/>
        <v/>
      </c>
      <c r="C535" s="34" t="str">
        <f t="shared" si="87"/>
        <v/>
      </c>
      <c r="D535" s="34" t="str">
        <f t="shared" si="88"/>
        <v/>
      </c>
      <c r="K535" s="34" t="str">
        <f t="shared" si="83"/>
        <v/>
      </c>
      <c r="L535" s="34" t="str">
        <f>IF(Data!$I222="","",Data!I222)</f>
        <v/>
      </c>
      <c r="M535" s="34" t="str">
        <f>IF(Data!$I222="","",IF(Data!K222=0,"dns",Data!K222))</f>
        <v/>
      </c>
      <c r="N535" s="34" t="str">
        <f>IF(Data!$I222="","","GP"&amp;Data!$B222&amp;", "&amp;Data!$K$1)</f>
        <v/>
      </c>
      <c r="O535" s="34" t="str">
        <f t="shared" si="84"/>
        <v/>
      </c>
      <c r="P535" s="34" t="str">
        <f>IF($L535="","",Data!B222)</f>
        <v/>
      </c>
      <c r="Q535" s="34" t="str">
        <f t="shared" si="81"/>
        <v/>
      </c>
      <c r="R535" s="34" t="str">
        <f t="shared" si="85"/>
        <v/>
      </c>
      <c r="S535" s="70" t="str">
        <f t="shared" si="82"/>
        <v/>
      </c>
    </row>
    <row r="536" spans="1:19" x14ac:dyDescent="0.25">
      <c r="A536" s="34" t="str">
        <f t="shared" si="89"/>
        <v/>
      </c>
      <c r="B536" s="34" t="str">
        <f t="shared" si="86"/>
        <v/>
      </c>
      <c r="C536" s="34" t="str">
        <f t="shared" si="87"/>
        <v/>
      </c>
      <c r="D536" s="34" t="str">
        <f t="shared" si="88"/>
        <v/>
      </c>
      <c r="K536" s="34" t="str">
        <f t="shared" si="83"/>
        <v/>
      </c>
      <c r="L536" s="34" t="str">
        <f>IF(Data!$I223="","",Data!I223)</f>
        <v/>
      </c>
      <c r="M536" s="34" t="str">
        <f>IF(Data!$I223="","",IF(Data!K223=0,"dns",Data!K223))</f>
        <v/>
      </c>
      <c r="N536" s="34" t="str">
        <f>IF(Data!$I223="","","GP"&amp;Data!$B223&amp;", "&amp;Data!$K$1)</f>
        <v/>
      </c>
      <c r="O536" s="34" t="str">
        <f t="shared" si="84"/>
        <v/>
      </c>
      <c r="P536" s="34" t="str">
        <f>IF($L536="","",Data!B223)</f>
        <v/>
      </c>
      <c r="Q536" s="34" t="str">
        <f t="shared" si="81"/>
        <v/>
      </c>
      <c r="R536" s="34" t="str">
        <f t="shared" si="85"/>
        <v/>
      </c>
      <c r="S536" s="70" t="str">
        <f t="shared" si="82"/>
        <v/>
      </c>
    </row>
    <row r="537" spans="1:19" x14ac:dyDescent="0.25">
      <c r="A537" s="34" t="str">
        <f t="shared" si="89"/>
        <v/>
      </c>
      <c r="B537" s="34" t="str">
        <f t="shared" si="86"/>
        <v/>
      </c>
      <c r="C537" s="34" t="str">
        <f t="shared" si="87"/>
        <v/>
      </c>
      <c r="D537" s="34" t="str">
        <f t="shared" si="88"/>
        <v/>
      </c>
      <c r="K537" s="34" t="str">
        <f t="shared" si="83"/>
        <v/>
      </c>
      <c r="L537" s="34" t="str">
        <f>IF(Data!$I224="","",Data!I224)</f>
        <v/>
      </c>
      <c r="M537" s="34" t="str">
        <f>IF(Data!$I224="","",IF(Data!K224=0,"dns",Data!K224))</f>
        <v/>
      </c>
      <c r="N537" s="34" t="str">
        <f>IF(Data!$I224="","","GP"&amp;Data!$B224&amp;", "&amp;Data!$K$1)</f>
        <v/>
      </c>
      <c r="O537" s="34" t="str">
        <f t="shared" si="84"/>
        <v/>
      </c>
      <c r="P537" s="34" t="str">
        <f>IF($L537="","",Data!B224)</f>
        <v/>
      </c>
      <c r="Q537" s="34" t="str">
        <f t="shared" si="81"/>
        <v/>
      </c>
      <c r="R537" s="34" t="str">
        <f t="shared" si="85"/>
        <v/>
      </c>
      <c r="S537" s="70" t="str">
        <f t="shared" si="82"/>
        <v/>
      </c>
    </row>
    <row r="538" spans="1:19" x14ac:dyDescent="0.25">
      <c r="A538" s="34" t="str">
        <f t="shared" si="89"/>
        <v/>
      </c>
      <c r="B538" s="34" t="str">
        <f t="shared" si="86"/>
        <v/>
      </c>
      <c r="C538" s="34" t="str">
        <f t="shared" si="87"/>
        <v/>
      </c>
      <c r="D538" s="34" t="str">
        <f t="shared" si="88"/>
        <v/>
      </c>
      <c r="K538" s="34" t="str">
        <f t="shared" si="83"/>
        <v/>
      </c>
      <c r="L538" s="34" t="str">
        <f>IF(Data!$I225="","",Data!I225)</f>
        <v/>
      </c>
      <c r="M538" s="34" t="str">
        <f>IF(Data!$I225="","",IF(Data!K225=0,"dns",Data!K225))</f>
        <v/>
      </c>
      <c r="N538" s="34" t="str">
        <f>IF(Data!$I225="","","GP"&amp;Data!$B225&amp;", "&amp;Data!$K$1)</f>
        <v/>
      </c>
      <c r="O538" s="34" t="str">
        <f t="shared" si="84"/>
        <v/>
      </c>
      <c r="P538" s="34" t="str">
        <f>IF($L538="","",Data!B225)</f>
        <v/>
      </c>
      <c r="Q538" s="34" t="str">
        <f t="shared" si="81"/>
        <v/>
      </c>
      <c r="R538" s="34" t="str">
        <f t="shared" si="85"/>
        <v/>
      </c>
      <c r="S538" s="70" t="str">
        <f t="shared" si="82"/>
        <v/>
      </c>
    </row>
    <row r="539" spans="1:19" x14ac:dyDescent="0.25">
      <c r="A539" s="34" t="str">
        <f t="shared" si="89"/>
        <v/>
      </c>
      <c r="B539" s="34" t="str">
        <f t="shared" si="86"/>
        <v/>
      </c>
      <c r="C539" s="34" t="str">
        <f t="shared" si="87"/>
        <v/>
      </c>
      <c r="D539" s="34" t="str">
        <f t="shared" si="88"/>
        <v/>
      </c>
      <c r="K539" s="34" t="str">
        <f t="shared" si="83"/>
        <v/>
      </c>
      <c r="L539" s="34" t="str">
        <f>IF(Data!$I226="","",Data!I226)</f>
        <v/>
      </c>
      <c r="M539" s="34" t="str">
        <f>IF(Data!$I226="","",IF(Data!K226=0,"dns",Data!K226))</f>
        <v/>
      </c>
      <c r="N539" s="34" t="str">
        <f>IF(Data!$I226="","","GP"&amp;Data!$B226&amp;", "&amp;Data!$K$1)</f>
        <v/>
      </c>
      <c r="O539" s="34" t="str">
        <f t="shared" si="84"/>
        <v/>
      </c>
      <c r="P539" s="34" t="str">
        <f>IF($L539="","",Data!B226)</f>
        <v/>
      </c>
      <c r="Q539" s="34" t="str">
        <f t="shared" si="81"/>
        <v/>
      </c>
      <c r="R539" s="34" t="str">
        <f t="shared" si="85"/>
        <v/>
      </c>
      <c r="S539" s="70" t="str">
        <f t="shared" si="82"/>
        <v/>
      </c>
    </row>
    <row r="540" spans="1:19" x14ac:dyDescent="0.25">
      <c r="A540" s="34" t="str">
        <f t="shared" si="89"/>
        <v/>
      </c>
      <c r="B540" s="34" t="str">
        <f t="shared" si="86"/>
        <v/>
      </c>
      <c r="C540" s="34" t="str">
        <f t="shared" si="87"/>
        <v/>
      </c>
      <c r="D540" s="34" t="str">
        <f t="shared" si="88"/>
        <v/>
      </c>
      <c r="K540" s="34" t="str">
        <f t="shared" si="83"/>
        <v/>
      </c>
      <c r="L540" s="34" t="str">
        <f>IF(Data!$I227="","",Data!I227)</f>
        <v/>
      </c>
      <c r="M540" s="34" t="str">
        <f>IF(Data!$I227="","",IF(Data!K227=0,"dns",Data!K227))</f>
        <v/>
      </c>
      <c r="N540" s="34" t="str">
        <f>IF(Data!$I227="","","GP"&amp;Data!$B227&amp;", "&amp;Data!$K$1)</f>
        <v/>
      </c>
      <c r="O540" s="34" t="str">
        <f t="shared" si="84"/>
        <v/>
      </c>
      <c r="P540" s="34" t="str">
        <f>IF($L540="","",Data!B227)</f>
        <v/>
      </c>
      <c r="Q540" s="34" t="str">
        <f t="shared" si="81"/>
        <v/>
      </c>
      <c r="R540" s="34" t="str">
        <f t="shared" si="85"/>
        <v/>
      </c>
      <c r="S540" s="70" t="str">
        <f t="shared" si="82"/>
        <v/>
      </c>
    </row>
    <row r="541" spans="1:19" x14ac:dyDescent="0.25">
      <c r="A541" s="34" t="str">
        <f t="shared" si="89"/>
        <v/>
      </c>
      <c r="B541" s="34" t="str">
        <f t="shared" si="86"/>
        <v/>
      </c>
      <c r="C541" s="34" t="str">
        <f t="shared" si="87"/>
        <v/>
      </c>
      <c r="D541" s="34" t="str">
        <f t="shared" si="88"/>
        <v/>
      </c>
      <c r="K541" s="34" t="str">
        <f t="shared" si="83"/>
        <v/>
      </c>
      <c r="L541" s="34" t="str">
        <f>IF(Data!$I228="","",Data!I228)</f>
        <v/>
      </c>
      <c r="M541" s="34" t="str">
        <f>IF(Data!$I228="","",IF(Data!K228=0,"dns",Data!K228))</f>
        <v/>
      </c>
      <c r="N541" s="34" t="str">
        <f>IF(Data!$I228="","","GP"&amp;Data!$B228&amp;", "&amp;Data!$K$1)</f>
        <v/>
      </c>
      <c r="O541" s="34" t="str">
        <f t="shared" si="84"/>
        <v/>
      </c>
      <c r="P541" s="34" t="str">
        <f>IF($L541="","",Data!B228)</f>
        <v/>
      </c>
      <c r="Q541" s="34" t="str">
        <f t="shared" si="81"/>
        <v/>
      </c>
      <c r="R541" s="34" t="str">
        <f t="shared" si="85"/>
        <v/>
      </c>
      <c r="S541" s="70" t="str">
        <f t="shared" si="82"/>
        <v/>
      </c>
    </row>
    <row r="542" spans="1:19" x14ac:dyDescent="0.25">
      <c r="A542" s="34" t="str">
        <f t="shared" si="89"/>
        <v/>
      </c>
      <c r="B542" s="34" t="str">
        <f t="shared" si="86"/>
        <v/>
      </c>
      <c r="C542" s="34" t="str">
        <f t="shared" si="87"/>
        <v/>
      </c>
      <c r="D542" s="34" t="str">
        <f t="shared" si="88"/>
        <v/>
      </c>
      <c r="K542" s="34" t="str">
        <f t="shared" si="83"/>
        <v/>
      </c>
      <c r="L542" s="34" t="str">
        <f>IF(Data!$I229="","",Data!I229)</f>
        <v/>
      </c>
      <c r="M542" s="34" t="str">
        <f>IF(Data!$I229="","",IF(Data!K229=0,"dns",Data!K229))</f>
        <v/>
      </c>
      <c r="N542" s="34" t="str">
        <f>IF(Data!$I229="","","GP"&amp;Data!$B229&amp;", "&amp;Data!$K$1)</f>
        <v/>
      </c>
      <c r="O542" s="34" t="str">
        <f t="shared" si="84"/>
        <v/>
      </c>
      <c r="P542" s="34" t="str">
        <f>IF($L542="","",Data!B229)</f>
        <v/>
      </c>
      <c r="Q542" s="34" t="str">
        <f t="shared" si="81"/>
        <v/>
      </c>
      <c r="R542" s="34" t="str">
        <f t="shared" si="85"/>
        <v/>
      </c>
      <c r="S542" s="70" t="str">
        <f t="shared" si="82"/>
        <v/>
      </c>
    </row>
    <row r="543" spans="1:19" x14ac:dyDescent="0.25">
      <c r="A543" s="34" t="str">
        <f t="shared" si="89"/>
        <v/>
      </c>
      <c r="B543" s="34" t="str">
        <f t="shared" si="86"/>
        <v/>
      </c>
      <c r="C543" s="34" t="str">
        <f t="shared" si="87"/>
        <v/>
      </c>
      <c r="D543" s="34" t="str">
        <f t="shared" si="88"/>
        <v/>
      </c>
      <c r="K543" s="34" t="str">
        <f t="shared" si="83"/>
        <v/>
      </c>
      <c r="L543" s="34" t="str">
        <f>IF(Data!$I230="","",Data!I230)</f>
        <v/>
      </c>
      <c r="M543" s="34" t="str">
        <f>IF(Data!$I230="","",IF(Data!K230=0,"dns",Data!K230))</f>
        <v/>
      </c>
      <c r="N543" s="34" t="str">
        <f>IF(Data!$I230="","","GP"&amp;Data!$B230&amp;", "&amp;Data!$K$1)</f>
        <v/>
      </c>
      <c r="O543" s="34" t="str">
        <f t="shared" si="84"/>
        <v/>
      </c>
      <c r="P543" s="34" t="str">
        <f>IF($L543="","",Data!B230)</f>
        <v/>
      </c>
      <c r="Q543" s="34" t="str">
        <f t="shared" si="81"/>
        <v/>
      </c>
      <c r="R543" s="34" t="str">
        <f t="shared" si="85"/>
        <v/>
      </c>
      <c r="S543" s="70" t="str">
        <f t="shared" si="82"/>
        <v/>
      </c>
    </row>
    <row r="544" spans="1:19" x14ac:dyDescent="0.25">
      <c r="A544" s="34" t="str">
        <f t="shared" si="89"/>
        <v/>
      </c>
      <c r="B544" s="34" t="str">
        <f t="shared" si="86"/>
        <v/>
      </c>
      <c r="C544" s="34" t="str">
        <f t="shared" si="87"/>
        <v/>
      </c>
      <c r="D544" s="34" t="str">
        <f t="shared" si="88"/>
        <v/>
      </c>
      <c r="K544" s="34" t="str">
        <f t="shared" si="83"/>
        <v/>
      </c>
      <c r="L544" s="34" t="str">
        <f>IF(Data!$I231="","",Data!I231)</f>
        <v/>
      </c>
      <c r="M544" s="34" t="str">
        <f>IF(Data!$I231="","",IF(Data!K231=0,"dns",Data!K231))</f>
        <v/>
      </c>
      <c r="N544" s="34" t="str">
        <f>IF(Data!$I231="","","GP"&amp;Data!$B231&amp;", "&amp;Data!$K$1)</f>
        <v/>
      </c>
      <c r="O544" s="34" t="str">
        <f t="shared" si="84"/>
        <v/>
      </c>
      <c r="P544" s="34" t="str">
        <f>IF($L544="","",Data!B231)</f>
        <v/>
      </c>
      <c r="Q544" s="34" t="str">
        <f t="shared" si="81"/>
        <v/>
      </c>
      <c r="R544" s="34" t="str">
        <f t="shared" si="85"/>
        <v/>
      </c>
      <c r="S544" s="70" t="str">
        <f t="shared" si="82"/>
        <v/>
      </c>
    </row>
    <row r="545" spans="1:19" x14ac:dyDescent="0.25">
      <c r="A545" s="34" t="str">
        <f t="shared" si="89"/>
        <v/>
      </c>
      <c r="B545" s="34" t="str">
        <f t="shared" si="86"/>
        <v/>
      </c>
      <c r="C545" s="34" t="str">
        <f t="shared" si="87"/>
        <v/>
      </c>
      <c r="D545" s="34" t="str">
        <f t="shared" si="88"/>
        <v/>
      </c>
      <c r="K545" s="34" t="str">
        <f t="shared" si="83"/>
        <v/>
      </c>
      <c r="L545" s="34" t="str">
        <f>IF(Data!$I232="","",Data!I232)</f>
        <v/>
      </c>
      <c r="M545" s="34" t="str">
        <f>IF(Data!$I232="","",IF(Data!K232=0,"dns",Data!K232))</f>
        <v/>
      </c>
      <c r="N545" s="34" t="str">
        <f>IF(Data!$I232="","","GP"&amp;Data!$B232&amp;", "&amp;Data!$K$1)</f>
        <v/>
      </c>
      <c r="O545" s="34" t="str">
        <f t="shared" si="84"/>
        <v/>
      </c>
      <c r="P545" s="34" t="str">
        <f>IF($L545="","",Data!B232)</f>
        <v/>
      </c>
      <c r="Q545" s="34" t="str">
        <f t="shared" si="81"/>
        <v/>
      </c>
      <c r="R545" s="34" t="str">
        <f t="shared" si="85"/>
        <v/>
      </c>
      <c r="S545" s="70" t="str">
        <f t="shared" si="82"/>
        <v/>
      </c>
    </row>
    <row r="546" spans="1:19" x14ac:dyDescent="0.25">
      <c r="A546" s="34" t="str">
        <f t="shared" si="89"/>
        <v/>
      </c>
      <c r="B546" s="34" t="str">
        <f t="shared" si="86"/>
        <v/>
      </c>
      <c r="C546" s="34" t="str">
        <f t="shared" si="87"/>
        <v/>
      </c>
      <c r="D546" s="34" t="str">
        <f t="shared" si="88"/>
        <v/>
      </c>
      <c r="K546" s="34" t="str">
        <f t="shared" si="83"/>
        <v/>
      </c>
      <c r="L546" s="34" t="str">
        <f>IF(Data!$I233="","",Data!I233)</f>
        <v/>
      </c>
      <c r="M546" s="34" t="str">
        <f>IF(Data!$I233="","",IF(Data!K233=0,"dns",Data!K233))</f>
        <v/>
      </c>
      <c r="N546" s="34" t="str">
        <f>IF(Data!$I233="","","GP"&amp;Data!$B233&amp;", "&amp;Data!$K$1)</f>
        <v/>
      </c>
      <c r="O546" s="34" t="str">
        <f t="shared" si="84"/>
        <v/>
      </c>
      <c r="P546" s="34" t="str">
        <f>IF($L546="","",Data!B233)</f>
        <v/>
      </c>
      <c r="Q546" s="34" t="str">
        <f t="shared" si="81"/>
        <v/>
      </c>
      <c r="R546" s="34" t="str">
        <f t="shared" si="85"/>
        <v/>
      </c>
      <c r="S546" s="70" t="str">
        <f t="shared" si="82"/>
        <v/>
      </c>
    </row>
    <row r="547" spans="1:19" x14ac:dyDescent="0.25">
      <c r="A547" s="34" t="str">
        <f t="shared" si="89"/>
        <v/>
      </c>
      <c r="B547" s="34" t="str">
        <f t="shared" si="86"/>
        <v/>
      </c>
      <c r="C547" s="34" t="str">
        <f t="shared" si="87"/>
        <v/>
      </c>
      <c r="D547" s="34" t="str">
        <f t="shared" si="88"/>
        <v/>
      </c>
      <c r="K547" s="34" t="str">
        <f t="shared" si="83"/>
        <v/>
      </c>
      <c r="L547" s="34" t="str">
        <f>IF(Data!$I234="","",Data!I234)</f>
        <v/>
      </c>
      <c r="M547" s="34" t="str">
        <f>IF(Data!$I234="","",IF(Data!K234=0,"dns",Data!K234))</f>
        <v/>
      </c>
      <c r="N547" s="34" t="str">
        <f>IF(Data!$I234="","","GP"&amp;Data!$B234&amp;", "&amp;Data!$K$1)</f>
        <v/>
      </c>
      <c r="O547" s="34" t="str">
        <f t="shared" si="84"/>
        <v/>
      </c>
      <c r="P547" s="34" t="str">
        <f>IF($L547="","",Data!B234)</f>
        <v/>
      </c>
      <c r="Q547" s="34" t="str">
        <f t="shared" si="81"/>
        <v/>
      </c>
      <c r="R547" s="34" t="str">
        <f t="shared" si="85"/>
        <v/>
      </c>
      <c r="S547" s="70" t="str">
        <f t="shared" si="82"/>
        <v/>
      </c>
    </row>
    <row r="548" spans="1:19" x14ac:dyDescent="0.25">
      <c r="A548" s="34" t="str">
        <f t="shared" si="89"/>
        <v/>
      </c>
      <c r="B548" s="34" t="str">
        <f t="shared" si="86"/>
        <v/>
      </c>
      <c r="C548" s="34" t="str">
        <f t="shared" si="87"/>
        <v/>
      </c>
      <c r="D548" s="34" t="str">
        <f t="shared" si="88"/>
        <v/>
      </c>
      <c r="K548" s="34" t="str">
        <f t="shared" si="83"/>
        <v/>
      </c>
      <c r="L548" s="34" t="str">
        <f>IF(Data!$I235="","",Data!I235)</f>
        <v/>
      </c>
      <c r="M548" s="34" t="str">
        <f>IF(Data!$I235="","",IF(Data!K235=0,"dns",Data!K235))</f>
        <v/>
      </c>
      <c r="N548" s="34" t="str">
        <f>IF(Data!$I235="","","GP"&amp;Data!$B235&amp;", "&amp;Data!$K$1)</f>
        <v/>
      </c>
      <c r="O548" s="34" t="str">
        <f t="shared" si="84"/>
        <v/>
      </c>
      <c r="P548" s="34" t="str">
        <f>IF($L548="","",Data!B235)</f>
        <v/>
      </c>
      <c r="Q548" s="34" t="str">
        <f t="shared" si="81"/>
        <v/>
      </c>
      <c r="R548" s="34" t="str">
        <f t="shared" si="85"/>
        <v/>
      </c>
      <c r="S548" s="70" t="str">
        <f t="shared" si="82"/>
        <v/>
      </c>
    </row>
    <row r="549" spans="1:19" x14ac:dyDescent="0.25">
      <c r="A549" s="34" t="str">
        <f t="shared" si="89"/>
        <v/>
      </c>
      <c r="B549" s="34" t="str">
        <f t="shared" si="86"/>
        <v/>
      </c>
      <c r="C549" s="34" t="str">
        <f t="shared" si="87"/>
        <v/>
      </c>
      <c r="D549" s="34" t="str">
        <f t="shared" si="88"/>
        <v/>
      </c>
      <c r="K549" s="34" t="str">
        <f t="shared" si="83"/>
        <v/>
      </c>
      <c r="L549" s="34" t="str">
        <f>IF(Data!$I236="","",Data!I236)</f>
        <v/>
      </c>
      <c r="M549" s="34" t="str">
        <f>IF(Data!$I236="","",IF(Data!K236=0,"dns",Data!K236))</f>
        <v/>
      </c>
      <c r="N549" s="34" t="str">
        <f>IF(Data!$I236="","","GP"&amp;Data!$B236&amp;", "&amp;Data!$K$1)</f>
        <v/>
      </c>
      <c r="O549" s="34" t="str">
        <f t="shared" si="84"/>
        <v/>
      </c>
      <c r="P549" s="34" t="str">
        <f>IF($L549="","",Data!B236)</f>
        <v/>
      </c>
      <c r="Q549" s="34" t="str">
        <f t="shared" si="81"/>
        <v/>
      </c>
      <c r="R549" s="34" t="str">
        <f t="shared" si="85"/>
        <v/>
      </c>
      <c r="S549" s="70" t="str">
        <f t="shared" si="82"/>
        <v/>
      </c>
    </row>
    <row r="550" spans="1:19" x14ac:dyDescent="0.25">
      <c r="A550" s="34" t="str">
        <f t="shared" si="89"/>
        <v/>
      </c>
      <c r="B550" s="34" t="str">
        <f t="shared" si="86"/>
        <v/>
      </c>
      <c r="C550" s="34" t="str">
        <f t="shared" si="87"/>
        <v/>
      </c>
      <c r="D550" s="34" t="str">
        <f t="shared" si="88"/>
        <v/>
      </c>
      <c r="K550" s="34" t="str">
        <f t="shared" si="83"/>
        <v/>
      </c>
      <c r="L550" s="34" t="str">
        <f>IF(Data!$I237="","",Data!I237)</f>
        <v/>
      </c>
      <c r="M550" s="34" t="str">
        <f>IF(Data!$I237="","",IF(Data!K237=0,"dns",Data!K237))</f>
        <v/>
      </c>
      <c r="N550" s="34" t="str">
        <f>IF(Data!$I237="","","GP"&amp;Data!$B237&amp;", "&amp;Data!$K$1)</f>
        <v/>
      </c>
      <c r="O550" s="34" t="str">
        <f t="shared" si="84"/>
        <v/>
      </c>
      <c r="P550" s="34" t="str">
        <f>IF($L550="","",Data!B237)</f>
        <v/>
      </c>
      <c r="Q550" s="34" t="str">
        <f t="shared" si="81"/>
        <v/>
      </c>
      <c r="R550" s="34" t="str">
        <f t="shared" si="85"/>
        <v/>
      </c>
      <c r="S550" s="70" t="str">
        <f t="shared" si="82"/>
        <v/>
      </c>
    </row>
    <row r="551" spans="1:19" x14ac:dyDescent="0.25">
      <c r="A551" s="34" t="str">
        <f t="shared" si="89"/>
        <v/>
      </c>
      <c r="B551" s="34" t="str">
        <f t="shared" si="86"/>
        <v/>
      </c>
      <c r="C551" s="34" t="str">
        <f t="shared" si="87"/>
        <v/>
      </c>
      <c r="D551" s="34" t="str">
        <f t="shared" si="88"/>
        <v/>
      </c>
      <c r="K551" s="34" t="str">
        <f t="shared" si="83"/>
        <v/>
      </c>
      <c r="L551" s="34" t="str">
        <f>IF(Data!$I238="","",Data!I238)</f>
        <v/>
      </c>
      <c r="M551" s="34" t="str">
        <f>IF(Data!$I238="","",IF(Data!K238=0,"dns",Data!K238))</f>
        <v/>
      </c>
      <c r="N551" s="34" t="str">
        <f>IF(Data!$I238="","","GP"&amp;Data!$B238&amp;", "&amp;Data!$K$1)</f>
        <v/>
      </c>
      <c r="O551" s="34" t="str">
        <f t="shared" si="84"/>
        <v/>
      </c>
      <c r="P551" s="34" t="str">
        <f>IF($L551="","",Data!B238)</f>
        <v/>
      </c>
      <c r="Q551" s="34" t="str">
        <f t="shared" si="81"/>
        <v/>
      </c>
      <c r="R551" s="34" t="str">
        <f t="shared" si="85"/>
        <v/>
      </c>
      <c r="S551" s="70" t="str">
        <f t="shared" si="82"/>
        <v/>
      </c>
    </row>
    <row r="552" spans="1:19" x14ac:dyDescent="0.25">
      <c r="A552" s="34" t="str">
        <f t="shared" si="89"/>
        <v/>
      </c>
      <c r="B552" s="34" t="str">
        <f t="shared" si="86"/>
        <v/>
      </c>
      <c r="C552" s="34" t="str">
        <f t="shared" si="87"/>
        <v/>
      </c>
      <c r="D552" s="34" t="str">
        <f t="shared" si="88"/>
        <v/>
      </c>
      <c r="K552" s="34" t="str">
        <f t="shared" si="83"/>
        <v/>
      </c>
      <c r="L552" s="34" t="str">
        <f>IF(Data!$I239="","",Data!I239)</f>
        <v/>
      </c>
      <c r="M552" s="34" t="str">
        <f>IF(Data!$I239="","",IF(Data!K239=0,"dns",Data!K239))</f>
        <v/>
      </c>
      <c r="N552" s="34" t="str">
        <f>IF(Data!$I239="","","GP"&amp;Data!$B239&amp;", "&amp;Data!$K$1)</f>
        <v/>
      </c>
      <c r="O552" s="34" t="str">
        <f t="shared" si="84"/>
        <v/>
      </c>
      <c r="P552" s="34" t="str">
        <f>IF($L552="","",Data!B239)</f>
        <v/>
      </c>
      <c r="Q552" s="34" t="str">
        <f t="shared" si="81"/>
        <v/>
      </c>
      <c r="R552" s="34" t="str">
        <f t="shared" si="85"/>
        <v/>
      </c>
      <c r="S552" s="70" t="str">
        <f t="shared" si="82"/>
        <v/>
      </c>
    </row>
    <row r="553" spans="1:19" x14ac:dyDescent="0.25">
      <c r="A553" s="34" t="str">
        <f t="shared" si="89"/>
        <v/>
      </c>
      <c r="B553" s="34" t="str">
        <f t="shared" si="86"/>
        <v/>
      </c>
      <c r="C553" s="34" t="str">
        <f t="shared" si="87"/>
        <v/>
      </c>
      <c r="D553" s="34" t="str">
        <f t="shared" si="88"/>
        <v/>
      </c>
      <c r="K553" s="34" t="str">
        <f t="shared" si="83"/>
        <v/>
      </c>
      <c r="L553" s="34" t="str">
        <f>IF(Data!$I240="","",Data!I240)</f>
        <v/>
      </c>
      <c r="M553" s="34" t="str">
        <f>IF(Data!$I240="","",IF(Data!K240=0,"dns",Data!K240))</f>
        <v/>
      </c>
      <c r="N553" s="34" t="str">
        <f>IF(Data!$I240="","","GP"&amp;Data!$B240&amp;", "&amp;Data!$K$1)</f>
        <v/>
      </c>
      <c r="O553" s="34" t="str">
        <f t="shared" si="84"/>
        <v/>
      </c>
      <c r="P553" s="34" t="str">
        <f>IF($L553="","",Data!B240)</f>
        <v/>
      </c>
      <c r="Q553" s="34" t="str">
        <f t="shared" si="81"/>
        <v/>
      </c>
      <c r="R553" s="34" t="str">
        <f t="shared" si="85"/>
        <v/>
      </c>
      <c r="S553" s="70" t="str">
        <f t="shared" si="82"/>
        <v/>
      </c>
    </row>
    <row r="554" spans="1:19" x14ac:dyDescent="0.25">
      <c r="A554" s="34" t="str">
        <f t="shared" si="89"/>
        <v/>
      </c>
      <c r="B554" s="34" t="str">
        <f t="shared" si="86"/>
        <v/>
      </c>
      <c r="C554" s="34" t="str">
        <f t="shared" si="87"/>
        <v/>
      </c>
      <c r="D554" s="34" t="str">
        <f t="shared" si="88"/>
        <v/>
      </c>
      <c r="K554" s="34" t="str">
        <f t="shared" si="83"/>
        <v/>
      </c>
      <c r="L554" s="34" t="str">
        <f>IF(Data!$I241="","",Data!I241)</f>
        <v/>
      </c>
      <c r="M554" s="34" t="str">
        <f>IF(Data!$I241="","",IF(Data!K241=0,"dns",Data!K241))</f>
        <v/>
      </c>
      <c r="N554" s="34" t="str">
        <f>IF(Data!$I241="","","GP"&amp;Data!$B241&amp;", "&amp;Data!$K$1)</f>
        <v/>
      </c>
      <c r="O554" s="34" t="str">
        <f t="shared" si="84"/>
        <v/>
      </c>
      <c r="P554" s="34" t="str">
        <f>IF($L554="","",Data!B241)</f>
        <v/>
      </c>
      <c r="Q554" s="34" t="str">
        <f t="shared" si="81"/>
        <v/>
      </c>
      <c r="R554" s="34" t="str">
        <f t="shared" si="85"/>
        <v/>
      </c>
      <c r="S554" s="70" t="str">
        <f t="shared" si="82"/>
        <v/>
      </c>
    </row>
    <row r="555" spans="1:19" x14ac:dyDescent="0.25">
      <c r="A555" s="34" t="str">
        <f t="shared" si="89"/>
        <v/>
      </c>
      <c r="B555" s="34" t="str">
        <f t="shared" si="86"/>
        <v/>
      </c>
      <c r="C555" s="34" t="str">
        <f t="shared" si="87"/>
        <v/>
      </c>
      <c r="D555" s="34" t="str">
        <f t="shared" si="88"/>
        <v/>
      </c>
      <c r="K555" s="34" t="str">
        <f t="shared" si="83"/>
        <v/>
      </c>
      <c r="L555" s="34" t="str">
        <f>IF(Data!$I242="","",Data!I242)</f>
        <v/>
      </c>
      <c r="M555" s="34" t="str">
        <f>IF(Data!$I242="","",IF(Data!K242=0,"dns",Data!K242))</f>
        <v/>
      </c>
      <c r="N555" s="34" t="str">
        <f>IF(Data!$I242="","","GP"&amp;Data!$B242&amp;", "&amp;Data!$K$1)</f>
        <v/>
      </c>
      <c r="O555" s="34" t="str">
        <f t="shared" si="84"/>
        <v/>
      </c>
      <c r="P555" s="34" t="str">
        <f>IF($L555="","",Data!B242)</f>
        <v/>
      </c>
      <c r="Q555" s="34" t="str">
        <f t="shared" si="81"/>
        <v/>
      </c>
      <c r="R555" s="34" t="str">
        <f t="shared" si="85"/>
        <v/>
      </c>
      <c r="S555" s="70" t="str">
        <f t="shared" si="82"/>
        <v/>
      </c>
    </row>
    <row r="556" spans="1:19" x14ac:dyDescent="0.25">
      <c r="A556" s="34" t="str">
        <f t="shared" si="89"/>
        <v/>
      </c>
      <c r="B556" s="34" t="str">
        <f t="shared" si="86"/>
        <v/>
      </c>
      <c r="C556" s="34" t="str">
        <f t="shared" si="87"/>
        <v/>
      </c>
      <c r="D556" s="34" t="str">
        <f t="shared" si="88"/>
        <v/>
      </c>
      <c r="K556" s="34" t="str">
        <f t="shared" si="83"/>
        <v/>
      </c>
      <c r="L556" s="34" t="str">
        <f>IF(Data!$I243="","",Data!I243)</f>
        <v/>
      </c>
      <c r="M556" s="34" t="str">
        <f>IF(Data!$I243="","",IF(Data!K243=0,"dns",Data!K243))</f>
        <v/>
      </c>
      <c r="N556" s="34" t="str">
        <f>IF(Data!$I243="","","GP"&amp;Data!$B243&amp;", "&amp;Data!$K$1)</f>
        <v/>
      </c>
      <c r="O556" s="34" t="str">
        <f t="shared" si="84"/>
        <v/>
      </c>
      <c r="P556" s="34" t="str">
        <f>IF($L556="","",Data!B243)</f>
        <v/>
      </c>
      <c r="Q556" s="34" t="str">
        <f t="shared" si="81"/>
        <v/>
      </c>
      <c r="R556" s="34" t="str">
        <f t="shared" si="85"/>
        <v/>
      </c>
      <c r="S556" s="70" t="str">
        <f t="shared" si="82"/>
        <v/>
      </c>
    </row>
    <row r="557" spans="1:19" x14ac:dyDescent="0.25">
      <c r="A557" s="34" t="str">
        <f t="shared" si="89"/>
        <v/>
      </c>
      <c r="B557" s="34" t="str">
        <f t="shared" si="86"/>
        <v/>
      </c>
      <c r="C557" s="34" t="str">
        <f t="shared" si="87"/>
        <v/>
      </c>
      <c r="D557" s="34" t="str">
        <f t="shared" si="88"/>
        <v/>
      </c>
      <c r="K557" s="34" t="str">
        <f t="shared" si="83"/>
        <v/>
      </c>
      <c r="L557" s="34" t="str">
        <f>IF(Data!$I244="","",Data!I244)</f>
        <v/>
      </c>
      <c r="M557" s="34" t="str">
        <f>IF(Data!$I244="","",IF(Data!K244=0,"dns",Data!K244))</f>
        <v/>
      </c>
      <c r="N557" s="34" t="str">
        <f>IF(Data!$I244="","","GP"&amp;Data!$B244&amp;", "&amp;Data!$K$1)</f>
        <v/>
      </c>
      <c r="O557" s="34" t="str">
        <f t="shared" si="84"/>
        <v/>
      </c>
      <c r="P557" s="34" t="str">
        <f>IF($L557="","",Data!B244)</f>
        <v/>
      </c>
      <c r="Q557" s="34" t="str">
        <f t="shared" si="81"/>
        <v/>
      </c>
      <c r="R557" s="34" t="str">
        <f t="shared" si="85"/>
        <v/>
      </c>
      <c r="S557" s="70" t="str">
        <f t="shared" si="82"/>
        <v/>
      </c>
    </row>
    <row r="558" spans="1:19" x14ac:dyDescent="0.25">
      <c r="A558" s="34" t="str">
        <f t="shared" si="89"/>
        <v/>
      </c>
      <c r="B558" s="34" t="str">
        <f t="shared" si="86"/>
        <v/>
      </c>
      <c r="C558" s="34" t="str">
        <f t="shared" si="87"/>
        <v/>
      </c>
      <c r="D558" s="34" t="str">
        <f t="shared" si="88"/>
        <v/>
      </c>
      <c r="K558" s="34" t="str">
        <f t="shared" si="83"/>
        <v/>
      </c>
      <c r="L558" s="34" t="str">
        <f>IF(Data!$I245="","",Data!I245)</f>
        <v/>
      </c>
      <c r="M558" s="34" t="str">
        <f>IF(Data!$I245="","",IF(Data!K245=0,"dns",Data!K245))</f>
        <v/>
      </c>
      <c r="N558" s="34" t="str">
        <f>IF(Data!$I245="","","GP"&amp;Data!$B245&amp;", "&amp;Data!$K$1)</f>
        <v/>
      </c>
      <c r="O558" s="34" t="str">
        <f t="shared" si="84"/>
        <v/>
      </c>
      <c r="P558" s="34" t="str">
        <f>IF($L558="","",Data!B245)</f>
        <v/>
      </c>
      <c r="Q558" s="34" t="str">
        <f t="shared" si="81"/>
        <v/>
      </c>
      <c r="R558" s="34" t="str">
        <f t="shared" si="85"/>
        <v/>
      </c>
      <c r="S558" s="70" t="str">
        <f t="shared" si="82"/>
        <v/>
      </c>
    </row>
    <row r="559" spans="1:19" x14ac:dyDescent="0.25">
      <c r="A559" s="34" t="str">
        <f t="shared" si="89"/>
        <v/>
      </c>
      <c r="B559" s="34" t="str">
        <f t="shared" si="86"/>
        <v/>
      </c>
      <c r="C559" s="34" t="str">
        <f t="shared" si="87"/>
        <v/>
      </c>
      <c r="D559" s="34" t="str">
        <f t="shared" si="88"/>
        <v/>
      </c>
      <c r="K559" s="34" t="str">
        <f t="shared" si="83"/>
        <v/>
      </c>
      <c r="L559" s="34" t="str">
        <f>IF(Data!$I246="","",Data!I246)</f>
        <v/>
      </c>
      <c r="M559" s="34" t="str">
        <f>IF(Data!$I246="","",IF(Data!K246=0,"dns",Data!K246))</f>
        <v/>
      </c>
      <c r="N559" s="34" t="str">
        <f>IF(Data!$I246="","","GP"&amp;Data!$B246&amp;", "&amp;Data!$K$1)</f>
        <v/>
      </c>
      <c r="O559" s="34" t="str">
        <f t="shared" si="84"/>
        <v/>
      </c>
      <c r="P559" s="34" t="str">
        <f>IF($L559="","",Data!B246)</f>
        <v/>
      </c>
      <c r="Q559" s="34" t="str">
        <f t="shared" si="81"/>
        <v/>
      </c>
      <c r="R559" s="34" t="str">
        <f t="shared" si="85"/>
        <v/>
      </c>
      <c r="S559" s="70" t="str">
        <f t="shared" si="82"/>
        <v/>
      </c>
    </row>
    <row r="560" spans="1:19" x14ac:dyDescent="0.25">
      <c r="A560" s="34" t="str">
        <f t="shared" si="89"/>
        <v/>
      </c>
      <c r="B560" s="34" t="str">
        <f t="shared" si="86"/>
        <v/>
      </c>
      <c r="C560" s="34" t="str">
        <f t="shared" si="87"/>
        <v/>
      </c>
      <c r="D560" s="34" t="str">
        <f t="shared" si="88"/>
        <v/>
      </c>
      <c r="K560" s="34" t="str">
        <f t="shared" si="83"/>
        <v/>
      </c>
      <c r="L560" s="34" t="str">
        <f>IF(Data!$I247="","",Data!I247)</f>
        <v/>
      </c>
      <c r="M560" s="34" t="str">
        <f>IF(Data!$I247="","",IF(Data!K247=0,"dns",Data!K247))</f>
        <v/>
      </c>
      <c r="N560" s="34" t="str">
        <f>IF(Data!$I247="","","GP"&amp;Data!$B247&amp;", "&amp;Data!$K$1)</f>
        <v/>
      </c>
      <c r="O560" s="34" t="str">
        <f t="shared" si="84"/>
        <v/>
      </c>
      <c r="P560" s="34" t="str">
        <f>IF($L560="","",Data!B247)</f>
        <v/>
      </c>
      <c r="Q560" s="34" t="str">
        <f t="shared" si="81"/>
        <v/>
      </c>
      <c r="R560" s="34" t="str">
        <f t="shared" si="85"/>
        <v/>
      </c>
      <c r="S560" s="70" t="str">
        <f t="shared" si="82"/>
        <v/>
      </c>
    </row>
    <row r="561" spans="1:19" x14ac:dyDescent="0.25">
      <c r="A561" s="34" t="str">
        <f t="shared" si="89"/>
        <v/>
      </c>
      <c r="B561" s="34" t="str">
        <f t="shared" si="86"/>
        <v/>
      </c>
      <c r="C561" s="34" t="str">
        <f t="shared" si="87"/>
        <v/>
      </c>
      <c r="D561" s="34" t="str">
        <f t="shared" si="88"/>
        <v/>
      </c>
      <c r="K561" s="34" t="str">
        <f t="shared" si="83"/>
        <v/>
      </c>
      <c r="L561" s="34" t="str">
        <f>IF(Data!$I248="","",Data!I248)</f>
        <v/>
      </c>
      <c r="M561" s="34" t="str">
        <f>IF(Data!$I248="","",IF(Data!K248=0,"dns",Data!K248))</f>
        <v/>
      </c>
      <c r="N561" s="34" t="str">
        <f>IF(Data!$I248="","","GP"&amp;Data!$B248&amp;", "&amp;Data!$K$1)</f>
        <v/>
      </c>
      <c r="O561" s="34" t="str">
        <f t="shared" si="84"/>
        <v/>
      </c>
      <c r="P561" s="34" t="str">
        <f>IF($L561="","",Data!B248)</f>
        <v/>
      </c>
      <c r="Q561" s="34" t="str">
        <f t="shared" si="81"/>
        <v/>
      </c>
      <c r="R561" s="34" t="str">
        <f t="shared" si="85"/>
        <v/>
      </c>
      <c r="S561" s="70" t="str">
        <f t="shared" si="82"/>
        <v/>
      </c>
    </row>
    <row r="562" spans="1:19" x14ac:dyDescent="0.25">
      <c r="A562" s="34" t="str">
        <f t="shared" si="89"/>
        <v/>
      </c>
      <c r="B562" s="34" t="str">
        <f t="shared" si="86"/>
        <v/>
      </c>
      <c r="C562" s="34" t="str">
        <f t="shared" si="87"/>
        <v/>
      </c>
      <c r="D562" s="34" t="str">
        <f t="shared" si="88"/>
        <v/>
      </c>
      <c r="K562" s="34" t="str">
        <f t="shared" si="83"/>
        <v/>
      </c>
      <c r="L562" s="34" t="str">
        <f>IF(Data!$I249="","",Data!I249)</f>
        <v/>
      </c>
      <c r="M562" s="34" t="str">
        <f>IF(Data!$I249="","",IF(Data!K249=0,"dns",Data!K249))</f>
        <v/>
      </c>
      <c r="N562" s="34" t="str">
        <f>IF(Data!$I249="","","GP"&amp;Data!$B249&amp;", "&amp;Data!$K$1)</f>
        <v/>
      </c>
      <c r="O562" s="34" t="str">
        <f t="shared" si="84"/>
        <v/>
      </c>
      <c r="P562" s="34" t="str">
        <f>IF($L562="","",Data!B249)</f>
        <v/>
      </c>
      <c r="Q562" s="34" t="str">
        <f t="shared" si="81"/>
        <v/>
      </c>
      <c r="R562" s="34" t="str">
        <f t="shared" si="85"/>
        <v/>
      </c>
      <c r="S562" s="70" t="str">
        <f t="shared" si="82"/>
        <v/>
      </c>
    </row>
    <row r="563" spans="1:19" x14ac:dyDescent="0.25">
      <c r="A563" s="34" t="str">
        <f t="shared" si="89"/>
        <v/>
      </c>
      <c r="B563" s="34" t="str">
        <f t="shared" si="86"/>
        <v/>
      </c>
      <c r="C563" s="34" t="str">
        <f t="shared" si="87"/>
        <v/>
      </c>
      <c r="D563" s="34" t="str">
        <f t="shared" si="88"/>
        <v/>
      </c>
      <c r="K563" s="34" t="str">
        <f t="shared" si="83"/>
        <v/>
      </c>
      <c r="L563" s="34" t="str">
        <f>IF(Data!$I250="","",Data!I250)</f>
        <v/>
      </c>
      <c r="M563" s="34" t="str">
        <f>IF(Data!$I250="","",IF(Data!K250=0,"dns",Data!K250))</f>
        <v/>
      </c>
      <c r="N563" s="34" t="str">
        <f>IF(Data!$I250="","","GP"&amp;Data!$B250&amp;", "&amp;Data!$K$1)</f>
        <v/>
      </c>
      <c r="O563" s="34" t="str">
        <f t="shared" si="84"/>
        <v/>
      </c>
      <c r="P563" s="34" t="str">
        <f>IF($L563="","",Data!B250)</f>
        <v/>
      </c>
      <c r="Q563" s="34" t="str">
        <f t="shared" si="81"/>
        <v/>
      </c>
      <c r="R563" s="34" t="str">
        <f t="shared" si="85"/>
        <v/>
      </c>
      <c r="S563" s="70" t="str">
        <f t="shared" si="82"/>
        <v/>
      </c>
    </row>
    <row r="564" spans="1:19" x14ac:dyDescent="0.25">
      <c r="A564" s="34" t="str">
        <f t="shared" si="89"/>
        <v/>
      </c>
      <c r="B564" s="34" t="str">
        <f t="shared" si="86"/>
        <v/>
      </c>
      <c r="C564" s="34" t="str">
        <f t="shared" si="87"/>
        <v/>
      </c>
      <c r="D564" s="34" t="str">
        <f t="shared" si="88"/>
        <v/>
      </c>
      <c r="K564" s="34" t="str">
        <f t="shared" si="83"/>
        <v/>
      </c>
      <c r="L564" s="34" t="str">
        <f>IF(Data!$I251="","",Data!I251)</f>
        <v/>
      </c>
      <c r="M564" s="34" t="str">
        <f>IF(Data!$I251="","",IF(Data!K251=0,"dns",Data!K251))</f>
        <v/>
      </c>
      <c r="N564" s="34" t="str">
        <f>IF(Data!$I251="","","GP"&amp;Data!$B251&amp;", "&amp;Data!$K$1)</f>
        <v/>
      </c>
      <c r="O564" s="34" t="str">
        <f t="shared" si="84"/>
        <v/>
      </c>
      <c r="P564" s="34" t="str">
        <f>IF($L564="","",Data!B251)</f>
        <v/>
      </c>
      <c r="Q564" s="34" t="str">
        <f t="shared" si="81"/>
        <v/>
      </c>
      <c r="R564" s="34" t="str">
        <f t="shared" si="85"/>
        <v/>
      </c>
      <c r="S564" s="70" t="str">
        <f t="shared" si="82"/>
        <v/>
      </c>
    </row>
    <row r="565" spans="1:19" x14ac:dyDescent="0.25">
      <c r="A565" s="34" t="str">
        <f t="shared" si="89"/>
        <v/>
      </c>
      <c r="B565" s="34" t="str">
        <f t="shared" si="86"/>
        <v/>
      </c>
      <c r="C565" s="34" t="str">
        <f t="shared" si="87"/>
        <v/>
      </c>
      <c r="D565" s="34" t="str">
        <f t="shared" si="88"/>
        <v/>
      </c>
      <c r="K565" s="34" t="str">
        <f t="shared" si="83"/>
        <v/>
      </c>
      <c r="L565" s="34" t="str">
        <f>IF(Data!$I252="","",Data!I252)</f>
        <v/>
      </c>
      <c r="M565" s="34" t="str">
        <f>IF(Data!$I252="","",IF(Data!K252=0,"dns",Data!K252))</f>
        <v/>
      </c>
      <c r="N565" s="34" t="str">
        <f>IF(Data!$I252="","","GP"&amp;Data!$B252&amp;", "&amp;Data!$K$1)</f>
        <v/>
      </c>
      <c r="O565" s="34" t="str">
        <f t="shared" si="84"/>
        <v/>
      </c>
      <c r="P565" s="34" t="str">
        <f>IF($L565="","",Data!B252)</f>
        <v/>
      </c>
      <c r="Q565" s="34" t="str">
        <f t="shared" si="81"/>
        <v/>
      </c>
      <c r="R565" s="34" t="str">
        <f t="shared" si="85"/>
        <v/>
      </c>
      <c r="S565" s="70" t="str">
        <f t="shared" si="82"/>
        <v/>
      </c>
    </row>
    <row r="566" spans="1:19" x14ac:dyDescent="0.25">
      <c r="A566" s="34" t="str">
        <f t="shared" si="89"/>
        <v/>
      </c>
      <c r="B566" s="34" t="str">
        <f t="shared" si="86"/>
        <v/>
      </c>
      <c r="C566" s="34" t="str">
        <f t="shared" si="87"/>
        <v/>
      </c>
      <c r="D566" s="34" t="str">
        <f t="shared" si="88"/>
        <v/>
      </c>
      <c r="K566" s="34" t="str">
        <f t="shared" si="83"/>
        <v/>
      </c>
      <c r="L566" s="34" t="str">
        <f>IF(Data!$I253="","",Data!I253)</f>
        <v/>
      </c>
      <c r="M566" s="34" t="str">
        <f>IF(Data!$I253="","",IF(Data!K253=0,"dns",Data!K253))</f>
        <v/>
      </c>
      <c r="N566" s="34" t="str">
        <f>IF(Data!$I253="","","GP"&amp;Data!$B253&amp;", "&amp;Data!$K$1)</f>
        <v/>
      </c>
      <c r="O566" s="34" t="str">
        <f t="shared" si="84"/>
        <v/>
      </c>
      <c r="P566" s="34" t="str">
        <f>IF($L566="","",Data!B253)</f>
        <v/>
      </c>
      <c r="Q566" s="34" t="str">
        <f t="shared" si="81"/>
        <v/>
      </c>
      <c r="R566" s="34" t="str">
        <f t="shared" si="85"/>
        <v/>
      </c>
      <c r="S566" s="70" t="str">
        <f t="shared" si="82"/>
        <v/>
      </c>
    </row>
    <row r="567" spans="1:19" x14ac:dyDescent="0.25">
      <c r="A567" s="34" t="str">
        <f t="shared" si="89"/>
        <v/>
      </c>
      <c r="B567" s="34" t="str">
        <f t="shared" si="86"/>
        <v/>
      </c>
      <c r="C567" s="34" t="str">
        <f t="shared" si="87"/>
        <v/>
      </c>
      <c r="D567" s="34" t="str">
        <f t="shared" si="88"/>
        <v/>
      </c>
      <c r="K567" s="34" t="str">
        <f t="shared" si="83"/>
        <v/>
      </c>
      <c r="L567" s="34" t="str">
        <f>IF(Data!$I254="","",Data!I254)</f>
        <v/>
      </c>
      <c r="M567" s="34" t="str">
        <f>IF(Data!$I254="","",IF(Data!K254=0,"dns",Data!K254))</f>
        <v/>
      </c>
      <c r="N567" s="34" t="str">
        <f>IF(Data!$I254="","","GP"&amp;Data!$B254&amp;", "&amp;Data!$K$1)</f>
        <v/>
      </c>
      <c r="O567" s="34" t="str">
        <f t="shared" si="84"/>
        <v/>
      </c>
      <c r="P567" s="34" t="str">
        <f>IF($L567="","",Data!B254)</f>
        <v/>
      </c>
      <c r="Q567" s="34" t="str">
        <f t="shared" si="81"/>
        <v/>
      </c>
      <c r="R567" s="34" t="str">
        <f t="shared" si="85"/>
        <v/>
      </c>
      <c r="S567" s="70" t="str">
        <f t="shared" si="82"/>
        <v/>
      </c>
    </row>
    <row r="568" spans="1:19" x14ac:dyDescent="0.25">
      <c r="A568" s="34" t="str">
        <f t="shared" si="89"/>
        <v/>
      </c>
      <c r="B568" s="34" t="str">
        <f t="shared" si="86"/>
        <v/>
      </c>
      <c r="C568" s="34" t="str">
        <f t="shared" si="87"/>
        <v/>
      </c>
      <c r="D568" s="34" t="str">
        <f t="shared" si="88"/>
        <v/>
      </c>
      <c r="K568" s="34" t="str">
        <f t="shared" si="83"/>
        <v/>
      </c>
      <c r="L568" s="34" t="str">
        <f>IF(Data!$I255="","",Data!I255)</f>
        <v/>
      </c>
      <c r="M568" s="34" t="str">
        <f>IF(Data!$I255="","",IF(Data!K255=0,"dns",Data!K255))</f>
        <v/>
      </c>
      <c r="N568" s="34" t="str">
        <f>IF(Data!$I255="","","GP"&amp;Data!$B255&amp;", "&amp;Data!$K$1)</f>
        <v/>
      </c>
      <c r="O568" s="34" t="str">
        <f t="shared" si="84"/>
        <v/>
      </c>
      <c r="P568" s="34" t="str">
        <f>IF($L568="","",Data!B255)</f>
        <v/>
      </c>
      <c r="Q568" s="34" t="str">
        <f t="shared" si="81"/>
        <v/>
      </c>
      <c r="R568" s="34" t="str">
        <f t="shared" si="85"/>
        <v/>
      </c>
      <c r="S568" s="70" t="str">
        <f t="shared" si="82"/>
        <v/>
      </c>
    </row>
    <row r="569" spans="1:19" x14ac:dyDescent="0.25">
      <c r="A569" s="34" t="str">
        <f t="shared" si="89"/>
        <v/>
      </c>
      <c r="B569" s="34" t="str">
        <f t="shared" si="86"/>
        <v/>
      </c>
      <c r="C569" s="34" t="str">
        <f t="shared" si="87"/>
        <v/>
      </c>
      <c r="D569" s="34" t="str">
        <f t="shared" si="88"/>
        <v/>
      </c>
      <c r="K569" s="34" t="str">
        <f t="shared" si="83"/>
        <v/>
      </c>
      <c r="L569" s="34" t="str">
        <f>IF(Data!$I256="","",Data!I256)</f>
        <v/>
      </c>
      <c r="M569" s="34" t="str">
        <f>IF(Data!$I256="","",IF(Data!K256=0,"dns",Data!K256))</f>
        <v/>
      </c>
      <c r="N569" s="34" t="str">
        <f>IF(Data!$I256="","","GP"&amp;Data!$B256&amp;", "&amp;Data!$K$1)</f>
        <v/>
      </c>
      <c r="O569" s="34" t="str">
        <f t="shared" si="84"/>
        <v/>
      </c>
      <c r="P569" s="34" t="str">
        <f>IF($L569="","",Data!B256)</f>
        <v/>
      </c>
      <c r="Q569" s="34" t="str">
        <f t="shared" si="81"/>
        <v/>
      </c>
      <c r="R569" s="34" t="str">
        <f t="shared" si="85"/>
        <v/>
      </c>
      <c r="S569" s="70" t="str">
        <f t="shared" si="82"/>
        <v/>
      </c>
    </row>
    <row r="570" spans="1:19" x14ac:dyDescent="0.25">
      <c r="A570" s="34" t="str">
        <f t="shared" si="89"/>
        <v/>
      </c>
      <c r="B570" s="34" t="str">
        <f t="shared" si="86"/>
        <v/>
      </c>
      <c r="C570" s="34" t="str">
        <f t="shared" si="87"/>
        <v/>
      </c>
      <c r="D570" s="34" t="str">
        <f t="shared" si="88"/>
        <v/>
      </c>
      <c r="K570" s="34" t="str">
        <f t="shared" si="83"/>
        <v/>
      </c>
      <c r="L570" s="34" t="str">
        <f>IF(Data!$I257="","",Data!I257)</f>
        <v/>
      </c>
      <c r="M570" s="34" t="str">
        <f>IF(Data!$I257="","",IF(Data!K257=0,"dns",Data!K257))</f>
        <v/>
      </c>
      <c r="N570" s="34" t="str">
        <f>IF(Data!$I257="","","GP"&amp;Data!$B257&amp;", "&amp;Data!$K$1)</f>
        <v/>
      </c>
      <c r="O570" s="34" t="str">
        <f t="shared" si="84"/>
        <v/>
      </c>
      <c r="P570" s="34" t="str">
        <f>IF($L570="","",Data!B257)</f>
        <v/>
      </c>
      <c r="Q570" s="34" t="str">
        <f t="shared" si="81"/>
        <v/>
      </c>
      <c r="R570" s="34" t="str">
        <f t="shared" si="85"/>
        <v/>
      </c>
      <c r="S570" s="70" t="str">
        <f t="shared" si="82"/>
        <v/>
      </c>
    </row>
    <row r="571" spans="1:19" x14ac:dyDescent="0.25">
      <c r="A571" s="34" t="str">
        <f t="shared" si="89"/>
        <v/>
      </c>
      <c r="B571" s="34" t="str">
        <f t="shared" si="86"/>
        <v/>
      </c>
      <c r="C571" s="34" t="str">
        <f t="shared" si="87"/>
        <v/>
      </c>
      <c r="D571" s="34" t="str">
        <f t="shared" si="88"/>
        <v/>
      </c>
      <c r="K571" s="34" t="str">
        <f t="shared" si="83"/>
        <v/>
      </c>
      <c r="L571" s="34" t="str">
        <f>IF(Data!$I258="","",Data!I258)</f>
        <v/>
      </c>
      <c r="M571" s="34" t="str">
        <f>IF(Data!$I258="","",IF(Data!K258=0,"dns",Data!K258))</f>
        <v/>
      </c>
      <c r="N571" s="34" t="str">
        <f>IF(Data!$I258="","","GP"&amp;Data!$B258&amp;", "&amp;Data!$K$1)</f>
        <v/>
      </c>
      <c r="O571" s="34" t="str">
        <f t="shared" si="84"/>
        <v/>
      </c>
      <c r="P571" s="34" t="str">
        <f>IF($L571="","",Data!B258)</f>
        <v/>
      </c>
      <c r="Q571" s="34" t="str">
        <f t="shared" si="81"/>
        <v/>
      </c>
      <c r="R571" s="34" t="str">
        <f t="shared" si="85"/>
        <v/>
      </c>
      <c r="S571" s="70" t="str">
        <f t="shared" si="82"/>
        <v/>
      </c>
    </row>
    <row r="572" spans="1:19" x14ac:dyDescent="0.25">
      <c r="A572" s="34" t="str">
        <f t="shared" si="89"/>
        <v/>
      </c>
      <c r="B572" s="34" t="str">
        <f t="shared" si="86"/>
        <v/>
      </c>
      <c r="C572" s="34" t="str">
        <f t="shared" si="87"/>
        <v/>
      </c>
      <c r="D572" s="34" t="str">
        <f t="shared" si="88"/>
        <v/>
      </c>
      <c r="K572" s="34" t="str">
        <f t="shared" si="83"/>
        <v/>
      </c>
      <c r="L572" s="34" t="str">
        <f>IF(Data!$I259="","",Data!I259)</f>
        <v/>
      </c>
      <c r="M572" s="34" t="str">
        <f>IF(Data!$I259="","",IF(Data!K259=0,"dns",Data!K259))</f>
        <v/>
      </c>
      <c r="N572" s="34" t="str">
        <f>IF(Data!$I259="","","GP"&amp;Data!$B259&amp;", "&amp;Data!$K$1)</f>
        <v/>
      </c>
      <c r="O572" s="34" t="str">
        <f t="shared" si="84"/>
        <v/>
      </c>
      <c r="P572" s="34" t="str">
        <f>IF($L572="","",Data!B259)</f>
        <v/>
      </c>
      <c r="Q572" s="34" t="str">
        <f t="shared" ref="Q572:Q603" si="90">IF($L572="","",RIGHT(N572,1))</f>
        <v/>
      </c>
      <c r="R572" s="34" t="str">
        <f t="shared" si="85"/>
        <v/>
      </c>
      <c r="S572" s="70" t="str">
        <f t="shared" ref="S572:S603" si="91">IF($L572="","",O572/1000+P572/100000+Q572/1000000+R572/1000000000)</f>
        <v/>
      </c>
    </row>
    <row r="573" spans="1:19" x14ac:dyDescent="0.25">
      <c r="A573" s="34" t="str">
        <f t="shared" si="89"/>
        <v/>
      </c>
      <c r="B573" s="34" t="str">
        <f t="shared" si="86"/>
        <v/>
      </c>
      <c r="C573" s="34" t="str">
        <f t="shared" si="87"/>
        <v/>
      </c>
      <c r="D573" s="34" t="str">
        <f t="shared" si="88"/>
        <v/>
      </c>
      <c r="K573" s="34" t="str">
        <f t="shared" si="83"/>
        <v/>
      </c>
      <c r="L573" s="34" t="str">
        <f>IF(Data!$I260="","",Data!I260)</f>
        <v/>
      </c>
      <c r="M573" s="34" t="str">
        <f>IF(Data!$I260="","",IF(Data!K260=0,"dns",Data!K260))</f>
        <v/>
      </c>
      <c r="N573" s="34" t="str">
        <f>IF(Data!$I260="","","GP"&amp;Data!$B260&amp;", "&amp;Data!$K$1)</f>
        <v/>
      </c>
      <c r="O573" s="34" t="str">
        <f t="shared" si="84"/>
        <v/>
      </c>
      <c r="P573" s="34" t="str">
        <f>IF($L573="","",Data!B260)</f>
        <v/>
      </c>
      <c r="Q573" s="34" t="str">
        <f t="shared" si="90"/>
        <v/>
      </c>
      <c r="R573" s="34" t="str">
        <f t="shared" si="85"/>
        <v/>
      </c>
      <c r="S573" s="70" t="str">
        <f t="shared" si="91"/>
        <v/>
      </c>
    </row>
    <row r="574" spans="1:19" x14ac:dyDescent="0.25">
      <c r="A574" s="34" t="str">
        <f t="shared" si="89"/>
        <v/>
      </c>
      <c r="B574" s="34" t="str">
        <f t="shared" si="86"/>
        <v/>
      </c>
      <c r="C574" s="34" t="str">
        <f t="shared" si="87"/>
        <v/>
      </c>
      <c r="D574" s="34" t="str">
        <f t="shared" si="88"/>
        <v/>
      </c>
      <c r="K574" s="34" t="str">
        <f t="shared" si="83"/>
        <v/>
      </c>
      <c r="L574" s="34" t="str">
        <f>IF(Data!$I261="","",Data!I261)</f>
        <v/>
      </c>
      <c r="M574" s="34" t="str">
        <f>IF(Data!$I261="","",IF(Data!K261=0,"dns",Data!K261))</f>
        <v/>
      </c>
      <c r="N574" s="34" t="str">
        <f>IF(Data!$I261="","","GP"&amp;Data!$B261&amp;", "&amp;Data!$K$1)</f>
        <v/>
      </c>
      <c r="O574" s="34" t="str">
        <f t="shared" si="84"/>
        <v/>
      </c>
      <c r="P574" s="34" t="str">
        <f>IF($L574="","",Data!B261)</f>
        <v/>
      </c>
      <c r="Q574" s="34" t="str">
        <f t="shared" si="90"/>
        <v/>
      </c>
      <c r="R574" s="34" t="str">
        <f t="shared" si="85"/>
        <v/>
      </c>
      <c r="S574" s="70" t="str">
        <f t="shared" si="91"/>
        <v/>
      </c>
    </row>
    <row r="575" spans="1:19" x14ac:dyDescent="0.25">
      <c r="A575" s="34" t="str">
        <f t="shared" si="89"/>
        <v/>
      </c>
      <c r="B575" s="34" t="str">
        <f t="shared" si="86"/>
        <v/>
      </c>
      <c r="C575" s="34" t="str">
        <f t="shared" si="87"/>
        <v/>
      </c>
      <c r="D575" s="34" t="str">
        <f t="shared" si="88"/>
        <v/>
      </c>
      <c r="K575" s="34" t="str">
        <f t="shared" si="83"/>
        <v/>
      </c>
      <c r="L575" s="34" t="str">
        <f>IF(Data!$I262="","",Data!I262)</f>
        <v/>
      </c>
      <c r="M575" s="34" t="str">
        <f>IF(Data!$I262="","",IF(Data!K262=0,"dns",Data!K262))</f>
        <v/>
      </c>
      <c r="N575" s="34" t="str">
        <f>IF(Data!$I262="","","GP"&amp;Data!$B262&amp;", "&amp;Data!$K$1)</f>
        <v/>
      </c>
      <c r="O575" s="34" t="str">
        <f t="shared" si="84"/>
        <v/>
      </c>
      <c r="P575" s="34" t="str">
        <f>IF($L575="","",Data!B262)</f>
        <v/>
      </c>
      <c r="Q575" s="34" t="str">
        <f t="shared" si="90"/>
        <v/>
      </c>
      <c r="R575" s="34" t="str">
        <f t="shared" si="85"/>
        <v/>
      </c>
      <c r="S575" s="70" t="str">
        <f t="shared" si="91"/>
        <v/>
      </c>
    </row>
    <row r="576" spans="1:19" x14ac:dyDescent="0.25">
      <c r="A576" s="34" t="str">
        <f t="shared" si="89"/>
        <v/>
      </c>
      <c r="B576" s="34" t="str">
        <f t="shared" si="86"/>
        <v/>
      </c>
      <c r="C576" s="34" t="str">
        <f t="shared" si="87"/>
        <v/>
      </c>
      <c r="D576" s="34" t="str">
        <f t="shared" si="88"/>
        <v/>
      </c>
      <c r="K576" s="34" t="str">
        <f t="shared" si="83"/>
        <v/>
      </c>
      <c r="L576" s="34" t="str">
        <f>IF(Data!$I263="","",Data!I263)</f>
        <v/>
      </c>
      <c r="M576" s="34" t="str">
        <f>IF(Data!$I263="","",IF(Data!K263=0,"dns",Data!K263))</f>
        <v/>
      </c>
      <c r="N576" s="34" t="str">
        <f>IF(Data!$I263="","","GP"&amp;Data!$B263&amp;", "&amp;Data!$K$1)</f>
        <v/>
      </c>
      <c r="O576" s="34" t="str">
        <f t="shared" si="84"/>
        <v/>
      </c>
      <c r="P576" s="34" t="str">
        <f>IF($L576="","",Data!B263)</f>
        <v/>
      </c>
      <c r="Q576" s="34" t="str">
        <f t="shared" si="90"/>
        <v/>
      </c>
      <c r="R576" s="34" t="str">
        <f t="shared" si="85"/>
        <v/>
      </c>
      <c r="S576" s="70" t="str">
        <f t="shared" si="91"/>
        <v/>
      </c>
    </row>
    <row r="577" spans="1:19" x14ac:dyDescent="0.25">
      <c r="A577" s="34" t="str">
        <f t="shared" si="89"/>
        <v/>
      </c>
      <c r="B577" s="34" t="str">
        <f t="shared" si="86"/>
        <v/>
      </c>
      <c r="C577" s="34" t="str">
        <f t="shared" si="87"/>
        <v/>
      </c>
      <c r="D577" s="34" t="str">
        <f t="shared" si="88"/>
        <v/>
      </c>
      <c r="K577" s="34" t="str">
        <f t="shared" si="83"/>
        <v/>
      </c>
      <c r="L577" s="34" t="str">
        <f>IF(Data!$I264="","",Data!I264)</f>
        <v/>
      </c>
      <c r="M577" s="34" t="str">
        <f>IF(Data!$I264="","",IF(Data!K264=0,"dns",Data!K264))</f>
        <v/>
      </c>
      <c r="N577" s="34" t="str">
        <f>IF(Data!$I264="","","GP"&amp;Data!$B264&amp;", "&amp;Data!$K$1)</f>
        <v/>
      </c>
      <c r="O577" s="34" t="str">
        <f t="shared" si="84"/>
        <v/>
      </c>
      <c r="P577" s="34" t="str">
        <f>IF($L577="","",Data!B264)</f>
        <v/>
      </c>
      <c r="Q577" s="34" t="str">
        <f t="shared" si="90"/>
        <v/>
      </c>
      <c r="R577" s="34" t="str">
        <f t="shared" si="85"/>
        <v/>
      </c>
      <c r="S577" s="70" t="str">
        <f t="shared" si="91"/>
        <v/>
      </c>
    </row>
    <row r="578" spans="1:19" x14ac:dyDescent="0.25">
      <c r="A578" s="34" t="str">
        <f t="shared" si="89"/>
        <v/>
      </c>
      <c r="B578" s="34" t="str">
        <f t="shared" si="86"/>
        <v/>
      </c>
      <c r="C578" s="34" t="str">
        <f t="shared" si="87"/>
        <v/>
      </c>
      <c r="D578" s="34" t="str">
        <f t="shared" si="88"/>
        <v/>
      </c>
      <c r="K578" s="34" t="str">
        <f t="shared" si="83"/>
        <v/>
      </c>
      <c r="L578" s="34" t="str">
        <f>IF(Data!$I265="","",Data!I265)</f>
        <v/>
      </c>
      <c r="M578" s="34" t="str">
        <f>IF(Data!$I265="","",IF(Data!K265=0,"dns",Data!K265))</f>
        <v/>
      </c>
      <c r="N578" s="34" t="str">
        <f>IF(Data!$I265="","","GP"&amp;Data!$B265&amp;", "&amp;Data!$K$1)</f>
        <v/>
      </c>
      <c r="O578" s="34" t="str">
        <f t="shared" si="84"/>
        <v/>
      </c>
      <c r="P578" s="34" t="str">
        <f>IF($L578="","",Data!B265)</f>
        <v/>
      </c>
      <c r="Q578" s="34" t="str">
        <f t="shared" si="90"/>
        <v/>
      </c>
      <c r="R578" s="34" t="str">
        <f t="shared" si="85"/>
        <v/>
      </c>
      <c r="S578" s="70" t="str">
        <f t="shared" si="91"/>
        <v/>
      </c>
    </row>
    <row r="579" spans="1:19" x14ac:dyDescent="0.25">
      <c r="A579" s="34" t="str">
        <f t="shared" si="89"/>
        <v/>
      </c>
      <c r="B579" s="34" t="str">
        <f t="shared" si="86"/>
        <v/>
      </c>
      <c r="C579" s="34" t="str">
        <f t="shared" si="87"/>
        <v/>
      </c>
      <c r="D579" s="34" t="str">
        <f t="shared" si="88"/>
        <v/>
      </c>
      <c r="K579" s="34" t="str">
        <f t="shared" si="83"/>
        <v/>
      </c>
      <c r="L579" s="34" t="str">
        <f>IF(Data!$I266="","",Data!I266)</f>
        <v/>
      </c>
      <c r="M579" s="34" t="str">
        <f>IF(Data!$I266="","",IF(Data!K266=0,"dns",Data!K266))</f>
        <v/>
      </c>
      <c r="N579" s="34" t="str">
        <f>IF(Data!$I266="","","GP"&amp;Data!$B266&amp;", "&amp;Data!$K$1)</f>
        <v/>
      </c>
      <c r="O579" s="34" t="str">
        <f t="shared" si="84"/>
        <v/>
      </c>
      <c r="P579" s="34" t="str">
        <f>IF($L579="","",Data!B266)</f>
        <v/>
      </c>
      <c r="Q579" s="34" t="str">
        <f t="shared" si="90"/>
        <v/>
      </c>
      <c r="R579" s="34" t="str">
        <f t="shared" si="85"/>
        <v/>
      </c>
      <c r="S579" s="70" t="str">
        <f t="shared" si="91"/>
        <v/>
      </c>
    </row>
    <row r="580" spans="1:19" x14ac:dyDescent="0.25">
      <c r="A580" s="34" t="str">
        <f t="shared" si="89"/>
        <v/>
      </c>
      <c r="B580" s="34" t="str">
        <f t="shared" si="86"/>
        <v/>
      </c>
      <c r="C580" s="34" t="str">
        <f t="shared" si="87"/>
        <v/>
      </c>
      <c r="D580" s="34" t="str">
        <f t="shared" si="88"/>
        <v/>
      </c>
      <c r="K580" s="34" t="str">
        <f t="shared" ref="K580:K626" si="92">IF($L580="","",_xlfn.RANK.EQ($S580,$S$3:$S$626,1))</f>
        <v/>
      </c>
      <c r="L580" s="34" t="str">
        <f>IF(Data!$I267="","",Data!I267)</f>
        <v/>
      </c>
      <c r="M580" s="34" t="str">
        <f>IF(Data!$I267="","",IF(Data!K267=0,"dns",Data!K267))</f>
        <v/>
      </c>
      <c r="N580" s="34" t="str">
        <f>IF(Data!$I267="","","GP"&amp;Data!$B267&amp;", "&amp;Data!$K$1)</f>
        <v/>
      </c>
      <c r="O580" s="34" t="str">
        <f t="shared" ref="O580:O626" si="93">IF(L580="","",IFERROR(_xlfn.RANK.EQ($M580,$M$3:$M$626,0),COUNTA($L$3:$L$626)+1))</f>
        <v/>
      </c>
      <c r="P580" s="34" t="str">
        <f>IF($L580="","",Data!B267)</f>
        <v/>
      </c>
      <c r="Q580" s="34" t="str">
        <f t="shared" si="90"/>
        <v/>
      </c>
      <c r="R580" s="34" t="str">
        <f t="shared" ref="R580:R626" si="94">IF($L580="","",ROW())</f>
        <v/>
      </c>
      <c r="S580" s="70" t="str">
        <f t="shared" si="91"/>
        <v/>
      </c>
    </row>
    <row r="581" spans="1:19" x14ac:dyDescent="0.25">
      <c r="A581" s="34" t="str">
        <f t="shared" si="89"/>
        <v/>
      </c>
      <c r="B581" s="34" t="str">
        <f t="shared" ref="B581:B626" si="95">IF($A581="","",VLOOKUP($A581,$K$3:$N$626,L$1,0))</f>
        <v/>
      </c>
      <c r="C581" s="34" t="str">
        <f t="shared" ref="C581:C626" si="96">IF($A581="","",VLOOKUP($A581,$K$3:$N$626,M$1,0))</f>
        <v/>
      </c>
      <c r="D581" s="34" t="str">
        <f t="shared" ref="D581:D626" si="97">IF($A581="","",VLOOKUP($A581,$K$3:$N$626,N$1,0))</f>
        <v/>
      </c>
      <c r="K581" s="34" t="str">
        <f t="shared" si="92"/>
        <v/>
      </c>
      <c r="L581" s="34" t="str">
        <f>IF(Data!$I268="","",Data!I268)</f>
        <v/>
      </c>
      <c r="M581" s="34" t="str">
        <f>IF(Data!$I268="","",IF(Data!K268=0,"dns",Data!K268))</f>
        <v/>
      </c>
      <c r="N581" s="34" t="str">
        <f>IF(Data!$I268="","","GP"&amp;Data!$B268&amp;", "&amp;Data!$K$1)</f>
        <v/>
      </c>
      <c r="O581" s="34" t="str">
        <f t="shared" si="93"/>
        <v/>
      </c>
      <c r="P581" s="34" t="str">
        <f>IF($L581="","",Data!B268)</f>
        <v/>
      </c>
      <c r="Q581" s="34" t="str">
        <f t="shared" si="90"/>
        <v/>
      </c>
      <c r="R581" s="34" t="str">
        <f t="shared" si="94"/>
        <v/>
      </c>
      <c r="S581" s="70" t="str">
        <f t="shared" si="91"/>
        <v/>
      </c>
    </row>
    <row r="582" spans="1:19" x14ac:dyDescent="0.25">
      <c r="A582" s="34" t="str">
        <f t="shared" ref="A582:A626" si="98">IFERROR(IF(A581+1&gt;MAX($K$3:$K$626),"",A581+1),"")</f>
        <v/>
      </c>
      <c r="B582" s="34" t="str">
        <f t="shared" si="95"/>
        <v/>
      </c>
      <c r="C582" s="34" t="str">
        <f t="shared" si="96"/>
        <v/>
      </c>
      <c r="D582" s="34" t="str">
        <f t="shared" si="97"/>
        <v/>
      </c>
      <c r="K582" s="34" t="str">
        <f t="shared" si="92"/>
        <v/>
      </c>
      <c r="L582" s="34" t="str">
        <f>IF(Data!$I269="","",Data!I269)</f>
        <v/>
      </c>
      <c r="M582" s="34" t="str">
        <f>IF(Data!$I269="","",IF(Data!K269=0,"dns",Data!K269))</f>
        <v/>
      </c>
      <c r="N582" s="34" t="str">
        <f>IF(Data!$I269="","","GP"&amp;Data!$B269&amp;", "&amp;Data!$K$1)</f>
        <v/>
      </c>
      <c r="O582" s="34" t="str">
        <f t="shared" si="93"/>
        <v/>
      </c>
      <c r="P582" s="34" t="str">
        <f>IF($L582="","",Data!B269)</f>
        <v/>
      </c>
      <c r="Q582" s="34" t="str">
        <f t="shared" si="90"/>
        <v/>
      </c>
      <c r="R582" s="34" t="str">
        <f t="shared" si="94"/>
        <v/>
      </c>
      <c r="S582" s="70" t="str">
        <f t="shared" si="91"/>
        <v/>
      </c>
    </row>
    <row r="583" spans="1:19" x14ac:dyDescent="0.25">
      <c r="A583" s="34" t="str">
        <f t="shared" si="98"/>
        <v/>
      </c>
      <c r="B583" s="34" t="str">
        <f t="shared" si="95"/>
        <v/>
      </c>
      <c r="C583" s="34" t="str">
        <f t="shared" si="96"/>
        <v/>
      </c>
      <c r="D583" s="34" t="str">
        <f t="shared" si="97"/>
        <v/>
      </c>
      <c r="K583" s="34" t="str">
        <f t="shared" si="92"/>
        <v/>
      </c>
      <c r="L583" s="34" t="str">
        <f>IF(Data!$I270="","",Data!I270)</f>
        <v/>
      </c>
      <c r="M583" s="34" t="str">
        <f>IF(Data!$I270="","",IF(Data!K270=0,"dns",Data!K270))</f>
        <v/>
      </c>
      <c r="N583" s="34" t="str">
        <f>IF(Data!$I270="","","GP"&amp;Data!$B270&amp;", "&amp;Data!$K$1)</f>
        <v/>
      </c>
      <c r="O583" s="34" t="str">
        <f t="shared" si="93"/>
        <v/>
      </c>
      <c r="P583" s="34" t="str">
        <f>IF($L583="","",Data!B270)</f>
        <v/>
      </c>
      <c r="Q583" s="34" t="str">
        <f t="shared" si="90"/>
        <v/>
      </c>
      <c r="R583" s="34" t="str">
        <f t="shared" si="94"/>
        <v/>
      </c>
      <c r="S583" s="70" t="str">
        <f t="shared" si="91"/>
        <v/>
      </c>
    </row>
    <row r="584" spans="1:19" x14ac:dyDescent="0.25">
      <c r="A584" s="34" t="str">
        <f t="shared" si="98"/>
        <v/>
      </c>
      <c r="B584" s="34" t="str">
        <f t="shared" si="95"/>
        <v/>
      </c>
      <c r="C584" s="34" t="str">
        <f t="shared" si="96"/>
        <v/>
      </c>
      <c r="D584" s="34" t="str">
        <f t="shared" si="97"/>
        <v/>
      </c>
      <c r="K584" s="34" t="str">
        <f t="shared" si="92"/>
        <v/>
      </c>
      <c r="L584" s="34" t="str">
        <f>IF(Data!$I271="","",Data!I271)</f>
        <v/>
      </c>
      <c r="M584" s="34" t="str">
        <f>IF(Data!$I271="","",IF(Data!K271=0,"dns",Data!K271))</f>
        <v/>
      </c>
      <c r="N584" s="34" t="str">
        <f>IF(Data!$I271="","","GP"&amp;Data!$B271&amp;", "&amp;Data!$K$1)</f>
        <v/>
      </c>
      <c r="O584" s="34" t="str">
        <f t="shared" si="93"/>
        <v/>
      </c>
      <c r="P584" s="34" t="str">
        <f>IF($L584="","",Data!B271)</f>
        <v/>
      </c>
      <c r="Q584" s="34" t="str">
        <f t="shared" si="90"/>
        <v/>
      </c>
      <c r="R584" s="34" t="str">
        <f t="shared" si="94"/>
        <v/>
      </c>
      <c r="S584" s="70" t="str">
        <f t="shared" si="91"/>
        <v/>
      </c>
    </row>
    <row r="585" spans="1:19" x14ac:dyDescent="0.25">
      <c r="A585" s="34" t="str">
        <f t="shared" si="98"/>
        <v/>
      </c>
      <c r="B585" s="34" t="str">
        <f t="shared" si="95"/>
        <v/>
      </c>
      <c r="C585" s="34" t="str">
        <f t="shared" si="96"/>
        <v/>
      </c>
      <c r="D585" s="34" t="str">
        <f t="shared" si="97"/>
        <v/>
      </c>
      <c r="K585" s="34" t="str">
        <f t="shared" si="92"/>
        <v/>
      </c>
      <c r="L585" s="34" t="str">
        <f>IF(Data!$I272="","",Data!I272)</f>
        <v/>
      </c>
      <c r="M585" s="34" t="str">
        <f>IF(Data!$I272="","",IF(Data!K272=0,"dns",Data!K272))</f>
        <v/>
      </c>
      <c r="N585" s="34" t="str">
        <f>IF(Data!$I272="","","GP"&amp;Data!$B272&amp;", "&amp;Data!$K$1)</f>
        <v/>
      </c>
      <c r="O585" s="34" t="str">
        <f t="shared" si="93"/>
        <v/>
      </c>
      <c r="P585" s="34" t="str">
        <f>IF($L585="","",Data!B272)</f>
        <v/>
      </c>
      <c r="Q585" s="34" t="str">
        <f t="shared" si="90"/>
        <v/>
      </c>
      <c r="R585" s="34" t="str">
        <f t="shared" si="94"/>
        <v/>
      </c>
      <c r="S585" s="70" t="str">
        <f t="shared" si="91"/>
        <v/>
      </c>
    </row>
    <row r="586" spans="1:19" x14ac:dyDescent="0.25">
      <c r="A586" s="34" t="str">
        <f t="shared" si="98"/>
        <v/>
      </c>
      <c r="B586" s="34" t="str">
        <f t="shared" si="95"/>
        <v/>
      </c>
      <c r="C586" s="34" t="str">
        <f t="shared" si="96"/>
        <v/>
      </c>
      <c r="D586" s="34" t="str">
        <f t="shared" si="97"/>
        <v/>
      </c>
      <c r="K586" s="34" t="str">
        <f t="shared" si="92"/>
        <v/>
      </c>
      <c r="L586" s="34" t="str">
        <f>IF(Data!$I273="","",Data!I273)</f>
        <v/>
      </c>
      <c r="M586" s="34" t="str">
        <f>IF(Data!$I273="","",IF(Data!K273=0,"dns",Data!K273))</f>
        <v/>
      </c>
      <c r="N586" s="34" t="str">
        <f>IF(Data!$I273="","","GP"&amp;Data!$B273&amp;", "&amp;Data!$K$1)</f>
        <v/>
      </c>
      <c r="O586" s="34" t="str">
        <f t="shared" si="93"/>
        <v/>
      </c>
      <c r="P586" s="34" t="str">
        <f>IF($L586="","",Data!B273)</f>
        <v/>
      </c>
      <c r="Q586" s="34" t="str">
        <f t="shared" si="90"/>
        <v/>
      </c>
      <c r="R586" s="34" t="str">
        <f t="shared" si="94"/>
        <v/>
      </c>
      <c r="S586" s="70" t="str">
        <f t="shared" si="91"/>
        <v/>
      </c>
    </row>
    <row r="587" spans="1:19" x14ac:dyDescent="0.25">
      <c r="A587" s="34" t="str">
        <f t="shared" si="98"/>
        <v/>
      </c>
      <c r="B587" s="34" t="str">
        <f t="shared" si="95"/>
        <v/>
      </c>
      <c r="C587" s="34" t="str">
        <f t="shared" si="96"/>
        <v/>
      </c>
      <c r="D587" s="34" t="str">
        <f t="shared" si="97"/>
        <v/>
      </c>
      <c r="K587" s="34" t="str">
        <f t="shared" si="92"/>
        <v/>
      </c>
      <c r="L587" s="34" t="str">
        <f>IF(Data!$I274="","",Data!I274)</f>
        <v/>
      </c>
      <c r="M587" s="34" t="str">
        <f>IF(Data!$I274="","",IF(Data!K274=0,"dns",Data!K274))</f>
        <v/>
      </c>
      <c r="N587" s="34" t="str">
        <f>IF(Data!$I274="","","GP"&amp;Data!$B274&amp;", "&amp;Data!$K$1)</f>
        <v/>
      </c>
      <c r="O587" s="34" t="str">
        <f t="shared" si="93"/>
        <v/>
      </c>
      <c r="P587" s="34" t="str">
        <f>IF($L587="","",Data!B274)</f>
        <v/>
      </c>
      <c r="Q587" s="34" t="str">
        <f t="shared" si="90"/>
        <v/>
      </c>
      <c r="R587" s="34" t="str">
        <f t="shared" si="94"/>
        <v/>
      </c>
      <c r="S587" s="70" t="str">
        <f t="shared" si="91"/>
        <v/>
      </c>
    </row>
    <row r="588" spans="1:19" x14ac:dyDescent="0.25">
      <c r="A588" s="34" t="str">
        <f t="shared" si="98"/>
        <v/>
      </c>
      <c r="B588" s="34" t="str">
        <f t="shared" si="95"/>
        <v/>
      </c>
      <c r="C588" s="34" t="str">
        <f t="shared" si="96"/>
        <v/>
      </c>
      <c r="D588" s="34" t="str">
        <f t="shared" si="97"/>
        <v/>
      </c>
      <c r="K588" s="34" t="str">
        <f t="shared" si="92"/>
        <v/>
      </c>
      <c r="L588" s="34" t="str">
        <f>IF(Data!$I275="","",Data!I275)</f>
        <v/>
      </c>
      <c r="M588" s="34" t="str">
        <f>IF(Data!$I275="","",IF(Data!K275=0,"dns",Data!K275))</f>
        <v/>
      </c>
      <c r="N588" s="34" t="str">
        <f>IF(Data!$I275="","","GP"&amp;Data!$B275&amp;", "&amp;Data!$K$1)</f>
        <v/>
      </c>
      <c r="O588" s="34" t="str">
        <f t="shared" si="93"/>
        <v/>
      </c>
      <c r="P588" s="34" t="str">
        <f>IF($L588="","",Data!B275)</f>
        <v/>
      </c>
      <c r="Q588" s="34" t="str">
        <f t="shared" si="90"/>
        <v/>
      </c>
      <c r="R588" s="34" t="str">
        <f t="shared" si="94"/>
        <v/>
      </c>
      <c r="S588" s="70" t="str">
        <f t="shared" si="91"/>
        <v/>
      </c>
    </row>
    <row r="589" spans="1:19" x14ac:dyDescent="0.25">
      <c r="A589" s="34" t="str">
        <f t="shared" si="98"/>
        <v/>
      </c>
      <c r="B589" s="34" t="str">
        <f t="shared" si="95"/>
        <v/>
      </c>
      <c r="C589" s="34" t="str">
        <f t="shared" si="96"/>
        <v/>
      </c>
      <c r="D589" s="34" t="str">
        <f t="shared" si="97"/>
        <v/>
      </c>
      <c r="K589" s="34" t="str">
        <f t="shared" si="92"/>
        <v/>
      </c>
      <c r="L589" s="34" t="str">
        <f>IF(Data!$I276="","",Data!I276)</f>
        <v/>
      </c>
      <c r="M589" s="34" t="str">
        <f>IF(Data!$I276="","",IF(Data!K276=0,"dns",Data!K276))</f>
        <v/>
      </c>
      <c r="N589" s="34" t="str">
        <f>IF(Data!$I276="","","GP"&amp;Data!$B276&amp;", "&amp;Data!$K$1)</f>
        <v/>
      </c>
      <c r="O589" s="34" t="str">
        <f t="shared" si="93"/>
        <v/>
      </c>
      <c r="P589" s="34" t="str">
        <f>IF($L589="","",Data!B276)</f>
        <v/>
      </c>
      <c r="Q589" s="34" t="str">
        <f t="shared" si="90"/>
        <v/>
      </c>
      <c r="R589" s="34" t="str">
        <f t="shared" si="94"/>
        <v/>
      </c>
      <c r="S589" s="70" t="str">
        <f t="shared" si="91"/>
        <v/>
      </c>
    </row>
    <row r="590" spans="1:19" x14ac:dyDescent="0.25">
      <c r="A590" s="34" t="str">
        <f t="shared" si="98"/>
        <v/>
      </c>
      <c r="B590" s="34" t="str">
        <f t="shared" si="95"/>
        <v/>
      </c>
      <c r="C590" s="34" t="str">
        <f t="shared" si="96"/>
        <v/>
      </c>
      <c r="D590" s="34" t="str">
        <f t="shared" si="97"/>
        <v/>
      </c>
      <c r="K590" s="34" t="str">
        <f t="shared" si="92"/>
        <v/>
      </c>
      <c r="L590" s="34" t="str">
        <f>IF(Data!$I277="","",Data!I277)</f>
        <v/>
      </c>
      <c r="M590" s="34" t="str">
        <f>IF(Data!$I277="","",IF(Data!K277=0,"dns",Data!K277))</f>
        <v/>
      </c>
      <c r="N590" s="34" t="str">
        <f>IF(Data!$I277="","","GP"&amp;Data!$B277&amp;", "&amp;Data!$K$1)</f>
        <v/>
      </c>
      <c r="O590" s="34" t="str">
        <f t="shared" si="93"/>
        <v/>
      </c>
      <c r="P590" s="34" t="str">
        <f>IF($L590="","",Data!B277)</f>
        <v/>
      </c>
      <c r="Q590" s="34" t="str">
        <f t="shared" si="90"/>
        <v/>
      </c>
      <c r="R590" s="34" t="str">
        <f t="shared" si="94"/>
        <v/>
      </c>
      <c r="S590" s="70" t="str">
        <f t="shared" si="91"/>
        <v/>
      </c>
    </row>
    <row r="591" spans="1:19" x14ac:dyDescent="0.25">
      <c r="A591" s="34" t="str">
        <f t="shared" si="98"/>
        <v/>
      </c>
      <c r="B591" s="34" t="str">
        <f t="shared" si="95"/>
        <v/>
      </c>
      <c r="C591" s="34" t="str">
        <f t="shared" si="96"/>
        <v/>
      </c>
      <c r="D591" s="34" t="str">
        <f t="shared" si="97"/>
        <v/>
      </c>
      <c r="K591" s="34" t="str">
        <f t="shared" si="92"/>
        <v/>
      </c>
      <c r="L591" s="34" t="str">
        <f>IF(Data!$I278="","",Data!I278)</f>
        <v/>
      </c>
      <c r="M591" s="34" t="str">
        <f>IF(Data!$I278="","",IF(Data!K278=0,"dns",Data!K278))</f>
        <v/>
      </c>
      <c r="N591" s="34" t="str">
        <f>IF(Data!$I278="","","GP"&amp;Data!$B278&amp;", "&amp;Data!$K$1)</f>
        <v/>
      </c>
      <c r="O591" s="34" t="str">
        <f t="shared" si="93"/>
        <v/>
      </c>
      <c r="P591" s="34" t="str">
        <f>IF($L591="","",Data!B278)</f>
        <v/>
      </c>
      <c r="Q591" s="34" t="str">
        <f t="shared" si="90"/>
        <v/>
      </c>
      <c r="R591" s="34" t="str">
        <f t="shared" si="94"/>
        <v/>
      </c>
      <c r="S591" s="70" t="str">
        <f t="shared" si="91"/>
        <v/>
      </c>
    </row>
    <row r="592" spans="1:19" x14ac:dyDescent="0.25">
      <c r="A592" s="34" t="str">
        <f t="shared" si="98"/>
        <v/>
      </c>
      <c r="B592" s="34" t="str">
        <f t="shared" si="95"/>
        <v/>
      </c>
      <c r="C592" s="34" t="str">
        <f t="shared" si="96"/>
        <v/>
      </c>
      <c r="D592" s="34" t="str">
        <f t="shared" si="97"/>
        <v/>
      </c>
      <c r="K592" s="34" t="str">
        <f t="shared" si="92"/>
        <v/>
      </c>
      <c r="L592" s="34" t="str">
        <f>IF(Data!$I279="","",Data!I279)</f>
        <v/>
      </c>
      <c r="M592" s="34" t="str">
        <f>IF(Data!$I279="","",IF(Data!K279=0,"dns",Data!K279))</f>
        <v/>
      </c>
      <c r="N592" s="34" t="str">
        <f>IF(Data!$I279="","","GP"&amp;Data!$B279&amp;", "&amp;Data!$K$1)</f>
        <v/>
      </c>
      <c r="O592" s="34" t="str">
        <f t="shared" si="93"/>
        <v/>
      </c>
      <c r="P592" s="34" t="str">
        <f>IF($L592="","",Data!B279)</f>
        <v/>
      </c>
      <c r="Q592" s="34" t="str">
        <f t="shared" si="90"/>
        <v/>
      </c>
      <c r="R592" s="34" t="str">
        <f t="shared" si="94"/>
        <v/>
      </c>
      <c r="S592" s="70" t="str">
        <f t="shared" si="91"/>
        <v/>
      </c>
    </row>
    <row r="593" spans="1:19" x14ac:dyDescent="0.25">
      <c r="A593" s="34" t="str">
        <f t="shared" si="98"/>
        <v/>
      </c>
      <c r="B593" s="34" t="str">
        <f t="shared" si="95"/>
        <v/>
      </c>
      <c r="C593" s="34" t="str">
        <f t="shared" si="96"/>
        <v/>
      </c>
      <c r="D593" s="34" t="str">
        <f t="shared" si="97"/>
        <v/>
      </c>
      <c r="K593" s="34" t="str">
        <f t="shared" si="92"/>
        <v/>
      </c>
      <c r="L593" s="34" t="str">
        <f>IF(Data!$I280="","",Data!I280)</f>
        <v/>
      </c>
      <c r="M593" s="34" t="str">
        <f>IF(Data!$I280="","",IF(Data!K280=0,"dns",Data!K280))</f>
        <v/>
      </c>
      <c r="N593" s="34" t="str">
        <f>IF(Data!$I280="","","GP"&amp;Data!$B280&amp;", "&amp;Data!$K$1)</f>
        <v/>
      </c>
      <c r="O593" s="34" t="str">
        <f t="shared" si="93"/>
        <v/>
      </c>
      <c r="P593" s="34" t="str">
        <f>IF($L593="","",Data!B280)</f>
        <v/>
      </c>
      <c r="Q593" s="34" t="str">
        <f t="shared" si="90"/>
        <v/>
      </c>
      <c r="R593" s="34" t="str">
        <f t="shared" si="94"/>
        <v/>
      </c>
      <c r="S593" s="70" t="str">
        <f t="shared" si="91"/>
        <v/>
      </c>
    </row>
    <row r="594" spans="1:19" x14ac:dyDescent="0.25">
      <c r="A594" s="34" t="str">
        <f t="shared" si="98"/>
        <v/>
      </c>
      <c r="B594" s="34" t="str">
        <f t="shared" si="95"/>
        <v/>
      </c>
      <c r="C594" s="34" t="str">
        <f t="shared" si="96"/>
        <v/>
      </c>
      <c r="D594" s="34" t="str">
        <f t="shared" si="97"/>
        <v/>
      </c>
      <c r="K594" s="34" t="str">
        <f t="shared" si="92"/>
        <v/>
      </c>
      <c r="L594" s="34" t="str">
        <f>IF(Data!$I281="","",Data!I281)</f>
        <v/>
      </c>
      <c r="M594" s="34" t="str">
        <f>IF(Data!$I281="","",IF(Data!K281=0,"dns",Data!K281))</f>
        <v/>
      </c>
      <c r="N594" s="34" t="str">
        <f>IF(Data!$I281="","","GP"&amp;Data!$B281&amp;", "&amp;Data!$K$1)</f>
        <v/>
      </c>
      <c r="O594" s="34" t="str">
        <f t="shared" si="93"/>
        <v/>
      </c>
      <c r="P594" s="34" t="str">
        <f>IF($L594="","",Data!B281)</f>
        <v/>
      </c>
      <c r="Q594" s="34" t="str">
        <f t="shared" si="90"/>
        <v/>
      </c>
      <c r="R594" s="34" t="str">
        <f t="shared" si="94"/>
        <v/>
      </c>
      <c r="S594" s="70" t="str">
        <f t="shared" si="91"/>
        <v/>
      </c>
    </row>
    <row r="595" spans="1:19" x14ac:dyDescent="0.25">
      <c r="A595" s="34" t="str">
        <f t="shared" si="98"/>
        <v/>
      </c>
      <c r="B595" s="34" t="str">
        <f t="shared" si="95"/>
        <v/>
      </c>
      <c r="C595" s="34" t="str">
        <f t="shared" si="96"/>
        <v/>
      </c>
      <c r="D595" s="34" t="str">
        <f t="shared" si="97"/>
        <v/>
      </c>
      <c r="K595" s="34" t="str">
        <f t="shared" si="92"/>
        <v/>
      </c>
      <c r="L595" s="34" t="str">
        <f>IF(Data!$I282="","",Data!I282)</f>
        <v/>
      </c>
      <c r="M595" s="34" t="str">
        <f>IF(Data!$I282="","",IF(Data!K282=0,"dns",Data!K282))</f>
        <v/>
      </c>
      <c r="N595" s="34" t="str">
        <f>IF(Data!$I282="","","GP"&amp;Data!$B282&amp;", "&amp;Data!$K$1)</f>
        <v/>
      </c>
      <c r="O595" s="34" t="str">
        <f t="shared" si="93"/>
        <v/>
      </c>
      <c r="P595" s="34" t="str">
        <f>IF($L595="","",Data!B282)</f>
        <v/>
      </c>
      <c r="Q595" s="34" t="str">
        <f t="shared" si="90"/>
        <v/>
      </c>
      <c r="R595" s="34" t="str">
        <f t="shared" si="94"/>
        <v/>
      </c>
      <c r="S595" s="70" t="str">
        <f t="shared" si="91"/>
        <v/>
      </c>
    </row>
    <row r="596" spans="1:19" x14ac:dyDescent="0.25">
      <c r="A596" s="34" t="str">
        <f t="shared" si="98"/>
        <v/>
      </c>
      <c r="B596" s="34" t="str">
        <f t="shared" si="95"/>
        <v/>
      </c>
      <c r="C596" s="34" t="str">
        <f t="shared" si="96"/>
        <v/>
      </c>
      <c r="D596" s="34" t="str">
        <f t="shared" si="97"/>
        <v/>
      </c>
      <c r="K596" s="34" t="str">
        <f t="shared" si="92"/>
        <v/>
      </c>
      <c r="L596" s="34" t="str">
        <f>IF(Data!$I283="","",Data!I283)</f>
        <v/>
      </c>
      <c r="M596" s="34" t="str">
        <f>IF(Data!$I283="","",IF(Data!K283=0,"dns",Data!K283))</f>
        <v/>
      </c>
      <c r="N596" s="34" t="str">
        <f>IF(Data!$I283="","","GP"&amp;Data!$B283&amp;", "&amp;Data!$K$1)</f>
        <v/>
      </c>
      <c r="O596" s="34" t="str">
        <f t="shared" si="93"/>
        <v/>
      </c>
      <c r="P596" s="34" t="str">
        <f>IF($L596="","",Data!B283)</f>
        <v/>
      </c>
      <c r="Q596" s="34" t="str">
        <f t="shared" si="90"/>
        <v/>
      </c>
      <c r="R596" s="34" t="str">
        <f t="shared" si="94"/>
        <v/>
      </c>
      <c r="S596" s="70" t="str">
        <f t="shared" si="91"/>
        <v/>
      </c>
    </row>
    <row r="597" spans="1:19" x14ac:dyDescent="0.25">
      <c r="A597" s="34" t="str">
        <f t="shared" si="98"/>
        <v/>
      </c>
      <c r="B597" s="34" t="str">
        <f t="shared" si="95"/>
        <v/>
      </c>
      <c r="C597" s="34" t="str">
        <f t="shared" si="96"/>
        <v/>
      </c>
      <c r="D597" s="34" t="str">
        <f t="shared" si="97"/>
        <v/>
      </c>
      <c r="K597" s="34" t="str">
        <f t="shared" si="92"/>
        <v/>
      </c>
      <c r="L597" s="34" t="str">
        <f>IF(Data!$I284="","",Data!I284)</f>
        <v/>
      </c>
      <c r="M597" s="34" t="str">
        <f>IF(Data!$I284="","",IF(Data!K284=0,"dns",Data!K284))</f>
        <v/>
      </c>
      <c r="N597" s="34" t="str">
        <f>IF(Data!$I284="","","GP"&amp;Data!$B284&amp;", "&amp;Data!$K$1)</f>
        <v/>
      </c>
      <c r="O597" s="34" t="str">
        <f t="shared" si="93"/>
        <v/>
      </c>
      <c r="P597" s="34" t="str">
        <f>IF($L597="","",Data!B284)</f>
        <v/>
      </c>
      <c r="Q597" s="34" t="str">
        <f t="shared" si="90"/>
        <v/>
      </c>
      <c r="R597" s="34" t="str">
        <f t="shared" si="94"/>
        <v/>
      </c>
      <c r="S597" s="70" t="str">
        <f t="shared" si="91"/>
        <v/>
      </c>
    </row>
    <row r="598" spans="1:19" x14ac:dyDescent="0.25">
      <c r="A598" s="34" t="str">
        <f t="shared" si="98"/>
        <v/>
      </c>
      <c r="B598" s="34" t="str">
        <f t="shared" si="95"/>
        <v/>
      </c>
      <c r="C598" s="34" t="str">
        <f t="shared" si="96"/>
        <v/>
      </c>
      <c r="D598" s="34" t="str">
        <f t="shared" si="97"/>
        <v/>
      </c>
      <c r="K598" s="34" t="str">
        <f t="shared" si="92"/>
        <v/>
      </c>
      <c r="L598" s="34" t="str">
        <f>IF(Data!$I285="","",Data!I285)</f>
        <v/>
      </c>
      <c r="M598" s="34" t="str">
        <f>IF(Data!$I285="","",IF(Data!K285=0,"dns",Data!K285))</f>
        <v/>
      </c>
      <c r="N598" s="34" t="str">
        <f>IF(Data!$I285="","","GP"&amp;Data!$B285&amp;", "&amp;Data!$K$1)</f>
        <v/>
      </c>
      <c r="O598" s="34" t="str">
        <f t="shared" si="93"/>
        <v/>
      </c>
      <c r="P598" s="34" t="str">
        <f>IF($L598="","",Data!B285)</f>
        <v/>
      </c>
      <c r="Q598" s="34" t="str">
        <f t="shared" si="90"/>
        <v/>
      </c>
      <c r="R598" s="34" t="str">
        <f t="shared" si="94"/>
        <v/>
      </c>
      <c r="S598" s="70" t="str">
        <f t="shared" si="91"/>
        <v/>
      </c>
    </row>
    <row r="599" spans="1:19" x14ac:dyDescent="0.25">
      <c r="A599" s="34" t="str">
        <f t="shared" si="98"/>
        <v/>
      </c>
      <c r="B599" s="34" t="str">
        <f t="shared" si="95"/>
        <v/>
      </c>
      <c r="C599" s="34" t="str">
        <f t="shared" si="96"/>
        <v/>
      </c>
      <c r="D599" s="34" t="str">
        <f t="shared" si="97"/>
        <v/>
      </c>
      <c r="K599" s="34" t="str">
        <f t="shared" si="92"/>
        <v/>
      </c>
      <c r="L599" s="34" t="str">
        <f>IF(Data!$I286="","",Data!I286)</f>
        <v/>
      </c>
      <c r="M599" s="34" t="str">
        <f>IF(Data!$I286="","",IF(Data!K286=0,"dns",Data!K286))</f>
        <v/>
      </c>
      <c r="N599" s="34" t="str">
        <f>IF(Data!$I286="","","GP"&amp;Data!$B286&amp;", "&amp;Data!$K$1)</f>
        <v/>
      </c>
      <c r="O599" s="34" t="str">
        <f t="shared" si="93"/>
        <v/>
      </c>
      <c r="P599" s="34" t="str">
        <f>IF($L599="","",Data!B286)</f>
        <v/>
      </c>
      <c r="Q599" s="34" t="str">
        <f t="shared" si="90"/>
        <v/>
      </c>
      <c r="R599" s="34" t="str">
        <f t="shared" si="94"/>
        <v/>
      </c>
      <c r="S599" s="70" t="str">
        <f t="shared" si="91"/>
        <v/>
      </c>
    </row>
    <row r="600" spans="1:19" x14ac:dyDescent="0.25">
      <c r="A600" s="34" t="str">
        <f t="shared" si="98"/>
        <v/>
      </c>
      <c r="B600" s="34" t="str">
        <f t="shared" si="95"/>
        <v/>
      </c>
      <c r="C600" s="34" t="str">
        <f t="shared" si="96"/>
        <v/>
      </c>
      <c r="D600" s="34" t="str">
        <f t="shared" si="97"/>
        <v/>
      </c>
      <c r="K600" s="34" t="str">
        <f t="shared" si="92"/>
        <v/>
      </c>
      <c r="L600" s="34" t="str">
        <f>IF(Data!$I287="","",Data!I287)</f>
        <v/>
      </c>
      <c r="M600" s="34" t="str">
        <f>IF(Data!$I287="","",IF(Data!K287=0,"dns",Data!K287))</f>
        <v/>
      </c>
      <c r="N600" s="34" t="str">
        <f>IF(Data!$I287="","","GP"&amp;Data!$B287&amp;", "&amp;Data!$K$1)</f>
        <v/>
      </c>
      <c r="O600" s="34" t="str">
        <f t="shared" si="93"/>
        <v/>
      </c>
      <c r="P600" s="34" t="str">
        <f>IF($L600="","",Data!B287)</f>
        <v/>
      </c>
      <c r="Q600" s="34" t="str">
        <f t="shared" si="90"/>
        <v/>
      </c>
      <c r="R600" s="34" t="str">
        <f t="shared" si="94"/>
        <v/>
      </c>
      <c r="S600" s="70" t="str">
        <f t="shared" si="91"/>
        <v/>
      </c>
    </row>
    <row r="601" spans="1:19" x14ac:dyDescent="0.25">
      <c r="A601" s="34" t="str">
        <f t="shared" si="98"/>
        <v/>
      </c>
      <c r="B601" s="34" t="str">
        <f t="shared" si="95"/>
        <v/>
      </c>
      <c r="C601" s="34" t="str">
        <f t="shared" si="96"/>
        <v/>
      </c>
      <c r="D601" s="34" t="str">
        <f t="shared" si="97"/>
        <v/>
      </c>
      <c r="K601" s="34" t="str">
        <f t="shared" si="92"/>
        <v/>
      </c>
      <c r="L601" s="34" t="str">
        <f>IF(Data!$I288="","",Data!I288)</f>
        <v/>
      </c>
      <c r="M601" s="34" t="str">
        <f>IF(Data!$I288="","",IF(Data!K288=0,"dns",Data!K288))</f>
        <v/>
      </c>
      <c r="N601" s="34" t="str">
        <f>IF(Data!$I288="","","GP"&amp;Data!$B288&amp;", "&amp;Data!$K$1)</f>
        <v/>
      </c>
      <c r="O601" s="34" t="str">
        <f t="shared" si="93"/>
        <v/>
      </c>
      <c r="P601" s="34" t="str">
        <f>IF($L601="","",Data!B288)</f>
        <v/>
      </c>
      <c r="Q601" s="34" t="str">
        <f t="shared" si="90"/>
        <v/>
      </c>
      <c r="R601" s="34" t="str">
        <f t="shared" si="94"/>
        <v/>
      </c>
      <c r="S601" s="70" t="str">
        <f t="shared" si="91"/>
        <v/>
      </c>
    </row>
    <row r="602" spans="1:19" x14ac:dyDescent="0.25">
      <c r="A602" s="34" t="str">
        <f t="shared" si="98"/>
        <v/>
      </c>
      <c r="B602" s="34" t="str">
        <f t="shared" si="95"/>
        <v/>
      </c>
      <c r="C602" s="34" t="str">
        <f t="shared" si="96"/>
        <v/>
      </c>
      <c r="D602" s="34" t="str">
        <f t="shared" si="97"/>
        <v/>
      </c>
      <c r="K602" s="34" t="str">
        <f t="shared" si="92"/>
        <v/>
      </c>
      <c r="L602" s="34" t="str">
        <f>IF(Data!$I289="","",Data!I289)</f>
        <v/>
      </c>
      <c r="M602" s="34" t="str">
        <f>IF(Data!$I289="","",IF(Data!K289=0,"dns",Data!K289))</f>
        <v/>
      </c>
      <c r="N602" s="34" t="str">
        <f>IF(Data!$I289="","","GP"&amp;Data!$B289&amp;", "&amp;Data!$K$1)</f>
        <v/>
      </c>
      <c r="O602" s="34" t="str">
        <f t="shared" si="93"/>
        <v/>
      </c>
      <c r="P602" s="34" t="str">
        <f>IF($L602="","",Data!B289)</f>
        <v/>
      </c>
      <c r="Q602" s="34" t="str">
        <f t="shared" si="90"/>
        <v/>
      </c>
      <c r="R602" s="34" t="str">
        <f t="shared" si="94"/>
        <v/>
      </c>
      <c r="S602" s="70" t="str">
        <f t="shared" si="91"/>
        <v/>
      </c>
    </row>
    <row r="603" spans="1:19" x14ac:dyDescent="0.25">
      <c r="A603" s="34" t="str">
        <f t="shared" si="98"/>
        <v/>
      </c>
      <c r="B603" s="34" t="str">
        <f t="shared" si="95"/>
        <v/>
      </c>
      <c r="C603" s="34" t="str">
        <f t="shared" si="96"/>
        <v/>
      </c>
      <c r="D603" s="34" t="str">
        <f t="shared" si="97"/>
        <v/>
      </c>
      <c r="K603" s="34" t="str">
        <f t="shared" si="92"/>
        <v/>
      </c>
      <c r="L603" s="34" t="str">
        <f>IF(Data!$I290="","",Data!I290)</f>
        <v/>
      </c>
      <c r="M603" s="34" t="str">
        <f>IF(Data!$I290="","",IF(Data!K290=0,"dns",Data!K290))</f>
        <v/>
      </c>
      <c r="N603" s="34" t="str">
        <f>IF(Data!$I290="","","GP"&amp;Data!$B290&amp;", "&amp;Data!$K$1)</f>
        <v/>
      </c>
      <c r="O603" s="34" t="str">
        <f t="shared" si="93"/>
        <v/>
      </c>
      <c r="P603" s="34" t="str">
        <f>IF($L603="","",Data!B290)</f>
        <v/>
      </c>
      <c r="Q603" s="34" t="str">
        <f t="shared" si="90"/>
        <v/>
      </c>
      <c r="R603" s="34" t="str">
        <f t="shared" si="94"/>
        <v/>
      </c>
      <c r="S603" s="70" t="str">
        <f t="shared" si="91"/>
        <v/>
      </c>
    </row>
    <row r="604" spans="1:19" x14ac:dyDescent="0.25">
      <c r="A604" s="34" t="str">
        <f t="shared" si="98"/>
        <v/>
      </c>
      <c r="B604" s="34" t="str">
        <f t="shared" si="95"/>
        <v/>
      </c>
      <c r="C604" s="34" t="str">
        <f t="shared" si="96"/>
        <v/>
      </c>
      <c r="D604" s="34" t="str">
        <f t="shared" si="97"/>
        <v/>
      </c>
      <c r="K604" s="34" t="str">
        <f t="shared" si="92"/>
        <v/>
      </c>
      <c r="L604" s="34" t="str">
        <f>IF(Data!$I291="","",Data!I291)</f>
        <v/>
      </c>
      <c r="M604" s="34" t="str">
        <f>IF(Data!$I291="","",IF(Data!K291=0,"dns",Data!K291))</f>
        <v/>
      </c>
      <c r="N604" s="34" t="str">
        <f>IF(Data!$I291="","","GP"&amp;Data!$B291&amp;", "&amp;Data!$K$1)</f>
        <v/>
      </c>
      <c r="O604" s="34" t="str">
        <f t="shared" si="93"/>
        <v/>
      </c>
      <c r="P604" s="34" t="str">
        <f>IF($L604="","",Data!B291)</f>
        <v/>
      </c>
      <c r="Q604" s="34" t="str">
        <f t="shared" ref="Q604:Q626" si="99">IF($L604="","",RIGHT(N604,1))</f>
        <v/>
      </c>
      <c r="R604" s="34" t="str">
        <f t="shared" si="94"/>
        <v/>
      </c>
      <c r="S604" s="70" t="str">
        <f t="shared" ref="S604:S626" si="100">IF($L604="","",O604/1000+P604/100000+Q604/1000000+R604/1000000000)</f>
        <v/>
      </c>
    </row>
    <row r="605" spans="1:19" x14ac:dyDescent="0.25">
      <c r="A605" s="34" t="str">
        <f t="shared" si="98"/>
        <v/>
      </c>
      <c r="B605" s="34" t="str">
        <f t="shared" si="95"/>
        <v/>
      </c>
      <c r="C605" s="34" t="str">
        <f t="shared" si="96"/>
        <v/>
      </c>
      <c r="D605" s="34" t="str">
        <f t="shared" si="97"/>
        <v/>
      </c>
      <c r="K605" s="34" t="str">
        <f t="shared" si="92"/>
        <v/>
      </c>
      <c r="L605" s="34" t="str">
        <f>IF(Data!$I292="","",Data!I292)</f>
        <v/>
      </c>
      <c r="M605" s="34" t="str">
        <f>IF(Data!$I292="","",IF(Data!K292=0,"dns",Data!K292))</f>
        <v/>
      </c>
      <c r="N605" s="34" t="str">
        <f>IF(Data!$I292="","","GP"&amp;Data!$B292&amp;", "&amp;Data!$K$1)</f>
        <v/>
      </c>
      <c r="O605" s="34" t="str">
        <f t="shared" si="93"/>
        <v/>
      </c>
      <c r="P605" s="34" t="str">
        <f>IF($L605="","",Data!B292)</f>
        <v/>
      </c>
      <c r="Q605" s="34" t="str">
        <f t="shared" si="99"/>
        <v/>
      </c>
      <c r="R605" s="34" t="str">
        <f t="shared" si="94"/>
        <v/>
      </c>
      <c r="S605" s="70" t="str">
        <f t="shared" si="100"/>
        <v/>
      </c>
    </row>
    <row r="606" spans="1:19" x14ac:dyDescent="0.25">
      <c r="A606" s="34" t="str">
        <f t="shared" si="98"/>
        <v/>
      </c>
      <c r="B606" s="34" t="str">
        <f t="shared" si="95"/>
        <v/>
      </c>
      <c r="C606" s="34" t="str">
        <f t="shared" si="96"/>
        <v/>
      </c>
      <c r="D606" s="34" t="str">
        <f t="shared" si="97"/>
        <v/>
      </c>
      <c r="K606" s="34" t="str">
        <f t="shared" si="92"/>
        <v/>
      </c>
      <c r="L606" s="34" t="str">
        <f>IF(Data!$I293="","",Data!I293)</f>
        <v/>
      </c>
      <c r="M606" s="34" t="str">
        <f>IF(Data!$I293="","",IF(Data!K293=0,"dns",Data!K293))</f>
        <v/>
      </c>
      <c r="N606" s="34" t="str">
        <f>IF(Data!$I293="","","GP"&amp;Data!$B293&amp;", "&amp;Data!$K$1)</f>
        <v/>
      </c>
      <c r="O606" s="34" t="str">
        <f t="shared" si="93"/>
        <v/>
      </c>
      <c r="P606" s="34" t="str">
        <f>IF($L606="","",Data!B293)</f>
        <v/>
      </c>
      <c r="Q606" s="34" t="str">
        <f t="shared" si="99"/>
        <v/>
      </c>
      <c r="R606" s="34" t="str">
        <f t="shared" si="94"/>
        <v/>
      </c>
      <c r="S606" s="70" t="str">
        <f t="shared" si="100"/>
        <v/>
      </c>
    </row>
    <row r="607" spans="1:19" x14ac:dyDescent="0.25">
      <c r="A607" s="34" t="str">
        <f t="shared" si="98"/>
        <v/>
      </c>
      <c r="B607" s="34" t="str">
        <f t="shared" si="95"/>
        <v/>
      </c>
      <c r="C607" s="34" t="str">
        <f t="shared" si="96"/>
        <v/>
      </c>
      <c r="D607" s="34" t="str">
        <f t="shared" si="97"/>
        <v/>
      </c>
      <c r="K607" s="34" t="str">
        <f t="shared" si="92"/>
        <v/>
      </c>
      <c r="L607" s="34" t="str">
        <f>IF(Data!$I294="","",Data!I294)</f>
        <v/>
      </c>
      <c r="M607" s="34" t="str">
        <f>IF(Data!$I294="","",IF(Data!K294=0,"dns",Data!K294))</f>
        <v/>
      </c>
      <c r="N607" s="34" t="str">
        <f>IF(Data!$I294="","","GP"&amp;Data!$B294&amp;", "&amp;Data!$K$1)</f>
        <v/>
      </c>
      <c r="O607" s="34" t="str">
        <f t="shared" si="93"/>
        <v/>
      </c>
      <c r="P607" s="34" t="str">
        <f>IF($L607="","",Data!B294)</f>
        <v/>
      </c>
      <c r="Q607" s="34" t="str">
        <f t="shared" si="99"/>
        <v/>
      </c>
      <c r="R607" s="34" t="str">
        <f t="shared" si="94"/>
        <v/>
      </c>
      <c r="S607" s="70" t="str">
        <f t="shared" si="100"/>
        <v/>
      </c>
    </row>
    <row r="608" spans="1:19" x14ac:dyDescent="0.25">
      <c r="A608" s="34" t="str">
        <f t="shared" si="98"/>
        <v/>
      </c>
      <c r="B608" s="34" t="str">
        <f t="shared" si="95"/>
        <v/>
      </c>
      <c r="C608" s="34" t="str">
        <f t="shared" si="96"/>
        <v/>
      </c>
      <c r="D608" s="34" t="str">
        <f t="shared" si="97"/>
        <v/>
      </c>
      <c r="K608" s="34" t="str">
        <f t="shared" si="92"/>
        <v/>
      </c>
      <c r="L608" s="34" t="str">
        <f>IF(Data!$I295="","",Data!I295)</f>
        <v/>
      </c>
      <c r="M608" s="34" t="str">
        <f>IF(Data!$I295="","",IF(Data!K295=0,"dns",Data!K295))</f>
        <v/>
      </c>
      <c r="N608" s="34" t="str">
        <f>IF(Data!$I295="","","GP"&amp;Data!$B295&amp;", "&amp;Data!$K$1)</f>
        <v/>
      </c>
      <c r="O608" s="34" t="str">
        <f t="shared" si="93"/>
        <v/>
      </c>
      <c r="P608" s="34" t="str">
        <f>IF($L608="","",Data!B295)</f>
        <v/>
      </c>
      <c r="Q608" s="34" t="str">
        <f t="shared" si="99"/>
        <v/>
      </c>
      <c r="R608" s="34" t="str">
        <f t="shared" si="94"/>
        <v/>
      </c>
      <c r="S608" s="70" t="str">
        <f t="shared" si="100"/>
        <v/>
      </c>
    </row>
    <row r="609" spans="1:19" x14ac:dyDescent="0.25">
      <c r="A609" s="34" t="str">
        <f t="shared" si="98"/>
        <v/>
      </c>
      <c r="B609" s="34" t="str">
        <f t="shared" si="95"/>
        <v/>
      </c>
      <c r="C609" s="34" t="str">
        <f t="shared" si="96"/>
        <v/>
      </c>
      <c r="D609" s="34" t="str">
        <f t="shared" si="97"/>
        <v/>
      </c>
      <c r="K609" s="34" t="str">
        <f t="shared" si="92"/>
        <v/>
      </c>
      <c r="L609" s="34" t="str">
        <f>IF(Data!$I296="","",Data!I296)</f>
        <v/>
      </c>
      <c r="M609" s="34" t="str">
        <f>IF(Data!$I296="","",IF(Data!K296=0,"dns",Data!K296))</f>
        <v/>
      </c>
      <c r="N609" s="34" t="str">
        <f>IF(Data!$I296="","","GP"&amp;Data!$B296&amp;", "&amp;Data!$K$1)</f>
        <v/>
      </c>
      <c r="O609" s="34" t="str">
        <f t="shared" si="93"/>
        <v/>
      </c>
      <c r="P609" s="34" t="str">
        <f>IF($L609="","",Data!B296)</f>
        <v/>
      </c>
      <c r="Q609" s="34" t="str">
        <f t="shared" si="99"/>
        <v/>
      </c>
      <c r="R609" s="34" t="str">
        <f t="shared" si="94"/>
        <v/>
      </c>
      <c r="S609" s="70" t="str">
        <f t="shared" si="100"/>
        <v/>
      </c>
    </row>
    <row r="610" spans="1:19" x14ac:dyDescent="0.25">
      <c r="A610" s="34" t="str">
        <f t="shared" si="98"/>
        <v/>
      </c>
      <c r="B610" s="34" t="str">
        <f t="shared" si="95"/>
        <v/>
      </c>
      <c r="C610" s="34" t="str">
        <f t="shared" si="96"/>
        <v/>
      </c>
      <c r="D610" s="34" t="str">
        <f t="shared" si="97"/>
        <v/>
      </c>
      <c r="K610" s="34" t="str">
        <f t="shared" si="92"/>
        <v/>
      </c>
      <c r="L610" s="34" t="str">
        <f>IF(Data!$I297="","",Data!I297)</f>
        <v/>
      </c>
      <c r="M610" s="34" t="str">
        <f>IF(Data!$I297="","",IF(Data!K297=0,"dns",Data!K297))</f>
        <v/>
      </c>
      <c r="N610" s="34" t="str">
        <f>IF(Data!$I297="","","GP"&amp;Data!$B297&amp;", "&amp;Data!$K$1)</f>
        <v/>
      </c>
      <c r="O610" s="34" t="str">
        <f t="shared" si="93"/>
        <v/>
      </c>
      <c r="P610" s="34" t="str">
        <f>IF($L610="","",Data!B297)</f>
        <v/>
      </c>
      <c r="Q610" s="34" t="str">
        <f t="shared" si="99"/>
        <v/>
      </c>
      <c r="R610" s="34" t="str">
        <f t="shared" si="94"/>
        <v/>
      </c>
      <c r="S610" s="70" t="str">
        <f t="shared" si="100"/>
        <v/>
      </c>
    </row>
    <row r="611" spans="1:19" x14ac:dyDescent="0.25">
      <c r="A611" s="34" t="str">
        <f t="shared" si="98"/>
        <v/>
      </c>
      <c r="B611" s="34" t="str">
        <f t="shared" si="95"/>
        <v/>
      </c>
      <c r="C611" s="34" t="str">
        <f t="shared" si="96"/>
        <v/>
      </c>
      <c r="D611" s="34" t="str">
        <f t="shared" si="97"/>
        <v/>
      </c>
      <c r="K611" s="34" t="str">
        <f t="shared" si="92"/>
        <v/>
      </c>
      <c r="L611" s="34" t="str">
        <f>IF(Data!$I298="","",Data!I298)</f>
        <v/>
      </c>
      <c r="M611" s="34" t="str">
        <f>IF(Data!$I298="","",IF(Data!K298=0,"dns",Data!K298))</f>
        <v/>
      </c>
      <c r="N611" s="34" t="str">
        <f>IF(Data!$I298="","","GP"&amp;Data!$B298&amp;", "&amp;Data!$K$1)</f>
        <v/>
      </c>
      <c r="O611" s="34" t="str">
        <f t="shared" si="93"/>
        <v/>
      </c>
      <c r="P611" s="34" t="str">
        <f>IF($L611="","",Data!B298)</f>
        <v/>
      </c>
      <c r="Q611" s="34" t="str">
        <f t="shared" si="99"/>
        <v/>
      </c>
      <c r="R611" s="34" t="str">
        <f t="shared" si="94"/>
        <v/>
      </c>
      <c r="S611" s="70" t="str">
        <f t="shared" si="100"/>
        <v/>
      </c>
    </row>
    <row r="612" spans="1:19" x14ac:dyDescent="0.25">
      <c r="A612" s="34" t="str">
        <f t="shared" si="98"/>
        <v/>
      </c>
      <c r="B612" s="34" t="str">
        <f t="shared" si="95"/>
        <v/>
      </c>
      <c r="C612" s="34" t="str">
        <f t="shared" si="96"/>
        <v/>
      </c>
      <c r="D612" s="34" t="str">
        <f t="shared" si="97"/>
        <v/>
      </c>
      <c r="K612" s="34" t="str">
        <f t="shared" si="92"/>
        <v/>
      </c>
      <c r="L612" s="34" t="str">
        <f>IF(Data!$I299="","",Data!I299)</f>
        <v/>
      </c>
      <c r="M612" s="34" t="str">
        <f>IF(Data!$I299="","",IF(Data!K299=0,"dns",Data!K299))</f>
        <v/>
      </c>
      <c r="N612" s="34" t="str">
        <f>IF(Data!$I299="","","GP"&amp;Data!$B299&amp;", "&amp;Data!$K$1)</f>
        <v/>
      </c>
      <c r="O612" s="34" t="str">
        <f t="shared" si="93"/>
        <v/>
      </c>
      <c r="P612" s="34" t="str">
        <f>IF($L612="","",Data!B299)</f>
        <v/>
      </c>
      <c r="Q612" s="34" t="str">
        <f t="shared" si="99"/>
        <v/>
      </c>
      <c r="R612" s="34" t="str">
        <f t="shared" si="94"/>
        <v/>
      </c>
      <c r="S612" s="70" t="str">
        <f t="shared" si="100"/>
        <v/>
      </c>
    </row>
    <row r="613" spans="1:19" x14ac:dyDescent="0.25">
      <c r="A613" s="34" t="str">
        <f t="shared" si="98"/>
        <v/>
      </c>
      <c r="B613" s="34" t="str">
        <f t="shared" si="95"/>
        <v/>
      </c>
      <c r="C613" s="34" t="str">
        <f t="shared" si="96"/>
        <v/>
      </c>
      <c r="D613" s="34" t="str">
        <f t="shared" si="97"/>
        <v/>
      </c>
      <c r="K613" s="34" t="str">
        <f t="shared" si="92"/>
        <v/>
      </c>
      <c r="L613" s="34" t="str">
        <f>IF(Data!$I300="","",Data!I300)</f>
        <v/>
      </c>
      <c r="M613" s="34" t="str">
        <f>IF(Data!$I300="","",IF(Data!K300=0,"dns",Data!K300))</f>
        <v/>
      </c>
      <c r="N613" s="34" t="str">
        <f>IF(Data!$I300="","","GP"&amp;Data!$B300&amp;", "&amp;Data!$K$1)</f>
        <v/>
      </c>
      <c r="O613" s="34" t="str">
        <f t="shared" si="93"/>
        <v/>
      </c>
      <c r="P613" s="34" t="str">
        <f>IF($L613="","",Data!B300)</f>
        <v/>
      </c>
      <c r="Q613" s="34" t="str">
        <f t="shared" si="99"/>
        <v/>
      </c>
      <c r="R613" s="34" t="str">
        <f t="shared" si="94"/>
        <v/>
      </c>
      <c r="S613" s="70" t="str">
        <f t="shared" si="100"/>
        <v/>
      </c>
    </row>
    <row r="614" spans="1:19" x14ac:dyDescent="0.25">
      <c r="A614" s="34" t="str">
        <f t="shared" si="98"/>
        <v/>
      </c>
      <c r="B614" s="34" t="str">
        <f t="shared" si="95"/>
        <v/>
      </c>
      <c r="C614" s="34" t="str">
        <f t="shared" si="96"/>
        <v/>
      </c>
      <c r="D614" s="34" t="str">
        <f t="shared" si="97"/>
        <v/>
      </c>
      <c r="K614" s="34" t="str">
        <f t="shared" si="92"/>
        <v/>
      </c>
      <c r="L614" s="34" t="str">
        <f>IF(Data!$I301="","",Data!I301)</f>
        <v/>
      </c>
      <c r="M614" s="34" t="str">
        <f>IF(Data!$I301="","",IF(Data!K301=0,"dns",Data!K301))</f>
        <v/>
      </c>
      <c r="N614" s="34" t="str">
        <f>IF(Data!$I301="","","GP"&amp;Data!$B301&amp;", "&amp;Data!$K$1)</f>
        <v/>
      </c>
      <c r="O614" s="34" t="str">
        <f t="shared" si="93"/>
        <v/>
      </c>
      <c r="P614" s="34" t="str">
        <f>IF($L614="","",Data!B301)</f>
        <v/>
      </c>
      <c r="Q614" s="34" t="str">
        <f t="shared" si="99"/>
        <v/>
      </c>
      <c r="R614" s="34" t="str">
        <f t="shared" si="94"/>
        <v/>
      </c>
      <c r="S614" s="70" t="str">
        <f t="shared" si="100"/>
        <v/>
      </c>
    </row>
    <row r="615" spans="1:19" x14ac:dyDescent="0.25">
      <c r="A615" s="34" t="str">
        <f t="shared" si="98"/>
        <v/>
      </c>
      <c r="B615" s="34" t="str">
        <f t="shared" si="95"/>
        <v/>
      </c>
      <c r="C615" s="34" t="str">
        <f t="shared" si="96"/>
        <v/>
      </c>
      <c r="D615" s="34" t="str">
        <f t="shared" si="97"/>
        <v/>
      </c>
      <c r="K615" s="34" t="str">
        <f t="shared" si="92"/>
        <v/>
      </c>
      <c r="L615" s="34" t="str">
        <f>IF(Data!$I302="","",Data!I302)</f>
        <v/>
      </c>
      <c r="M615" s="34" t="str">
        <f>IF(Data!$I302="","",IF(Data!K302=0,"dns",Data!K302))</f>
        <v/>
      </c>
      <c r="N615" s="34" t="str">
        <f>IF(Data!$I302="","","GP"&amp;Data!$B302&amp;", "&amp;Data!$K$1)</f>
        <v/>
      </c>
      <c r="O615" s="34" t="str">
        <f t="shared" si="93"/>
        <v/>
      </c>
      <c r="P615" s="34" t="str">
        <f>IF($L615="","",Data!B302)</f>
        <v/>
      </c>
      <c r="Q615" s="34" t="str">
        <f t="shared" si="99"/>
        <v/>
      </c>
      <c r="R615" s="34" t="str">
        <f t="shared" si="94"/>
        <v/>
      </c>
      <c r="S615" s="70" t="str">
        <f t="shared" si="100"/>
        <v/>
      </c>
    </row>
    <row r="616" spans="1:19" x14ac:dyDescent="0.25">
      <c r="A616" s="34" t="str">
        <f t="shared" si="98"/>
        <v/>
      </c>
      <c r="B616" s="34" t="str">
        <f t="shared" si="95"/>
        <v/>
      </c>
      <c r="C616" s="34" t="str">
        <f t="shared" si="96"/>
        <v/>
      </c>
      <c r="D616" s="34" t="str">
        <f t="shared" si="97"/>
        <v/>
      </c>
      <c r="K616" s="34" t="str">
        <f t="shared" si="92"/>
        <v/>
      </c>
      <c r="L616" s="34" t="str">
        <f>IF(Data!$I303="","",Data!I303)</f>
        <v/>
      </c>
      <c r="M616" s="34" t="str">
        <f>IF(Data!$I303="","",IF(Data!K303=0,"dns",Data!K303))</f>
        <v/>
      </c>
      <c r="N616" s="34" t="str">
        <f>IF(Data!$I303="","","GP"&amp;Data!$B303&amp;", "&amp;Data!$K$1)</f>
        <v/>
      </c>
      <c r="O616" s="34" t="str">
        <f t="shared" si="93"/>
        <v/>
      </c>
      <c r="P616" s="34" t="str">
        <f>IF($L616="","",Data!B303)</f>
        <v/>
      </c>
      <c r="Q616" s="34" t="str">
        <f t="shared" si="99"/>
        <v/>
      </c>
      <c r="R616" s="34" t="str">
        <f t="shared" si="94"/>
        <v/>
      </c>
      <c r="S616" s="70" t="str">
        <f t="shared" si="100"/>
        <v/>
      </c>
    </row>
    <row r="617" spans="1:19" x14ac:dyDescent="0.25">
      <c r="A617" s="34" t="str">
        <f t="shared" si="98"/>
        <v/>
      </c>
      <c r="B617" s="34" t="str">
        <f t="shared" si="95"/>
        <v/>
      </c>
      <c r="C617" s="34" t="str">
        <f t="shared" si="96"/>
        <v/>
      </c>
      <c r="D617" s="34" t="str">
        <f t="shared" si="97"/>
        <v/>
      </c>
      <c r="K617" s="34" t="str">
        <f t="shared" si="92"/>
        <v/>
      </c>
      <c r="L617" s="34" t="str">
        <f>IF(Data!$I304="","",Data!I304)</f>
        <v/>
      </c>
      <c r="M617" s="34" t="str">
        <f>IF(Data!$I304="","",IF(Data!K304=0,"dns",Data!K304))</f>
        <v/>
      </c>
      <c r="N617" s="34" t="str">
        <f>IF(Data!$I304="","","GP"&amp;Data!$B304&amp;", "&amp;Data!$K$1)</f>
        <v/>
      </c>
      <c r="O617" s="34" t="str">
        <f t="shared" si="93"/>
        <v/>
      </c>
      <c r="P617" s="34" t="str">
        <f>IF($L617="","",Data!B304)</f>
        <v/>
      </c>
      <c r="Q617" s="34" t="str">
        <f t="shared" si="99"/>
        <v/>
      </c>
      <c r="R617" s="34" t="str">
        <f t="shared" si="94"/>
        <v/>
      </c>
      <c r="S617" s="70" t="str">
        <f t="shared" si="100"/>
        <v/>
      </c>
    </row>
    <row r="618" spans="1:19" x14ac:dyDescent="0.25">
      <c r="A618" s="34" t="str">
        <f t="shared" si="98"/>
        <v/>
      </c>
      <c r="B618" s="34" t="str">
        <f t="shared" si="95"/>
        <v/>
      </c>
      <c r="C618" s="34" t="str">
        <f t="shared" si="96"/>
        <v/>
      </c>
      <c r="D618" s="34" t="str">
        <f t="shared" si="97"/>
        <v/>
      </c>
      <c r="K618" s="34" t="str">
        <f t="shared" si="92"/>
        <v/>
      </c>
      <c r="L618" s="34" t="str">
        <f>IF(Data!$I305="","",Data!I305)</f>
        <v/>
      </c>
      <c r="M618" s="34" t="str">
        <f>IF(Data!$I305="","",IF(Data!K305=0,"dns",Data!K305))</f>
        <v/>
      </c>
      <c r="N618" s="34" t="str">
        <f>IF(Data!$I305="","","GP"&amp;Data!$B305&amp;", "&amp;Data!$K$1)</f>
        <v/>
      </c>
      <c r="O618" s="34" t="str">
        <f t="shared" si="93"/>
        <v/>
      </c>
      <c r="P618" s="34" t="str">
        <f>IF($L618="","",Data!B305)</f>
        <v/>
      </c>
      <c r="Q618" s="34" t="str">
        <f t="shared" si="99"/>
        <v/>
      </c>
      <c r="R618" s="34" t="str">
        <f t="shared" si="94"/>
        <v/>
      </c>
      <c r="S618" s="70" t="str">
        <f t="shared" si="100"/>
        <v/>
      </c>
    </row>
    <row r="619" spans="1:19" x14ac:dyDescent="0.25">
      <c r="A619" s="34" t="str">
        <f t="shared" si="98"/>
        <v/>
      </c>
      <c r="B619" s="34" t="str">
        <f t="shared" si="95"/>
        <v/>
      </c>
      <c r="C619" s="34" t="str">
        <f t="shared" si="96"/>
        <v/>
      </c>
      <c r="D619" s="34" t="str">
        <f t="shared" si="97"/>
        <v/>
      </c>
      <c r="K619" s="34" t="str">
        <f t="shared" si="92"/>
        <v/>
      </c>
      <c r="L619" s="34" t="str">
        <f>IF(Data!$I306="","",Data!I306)</f>
        <v/>
      </c>
      <c r="M619" s="34" t="str">
        <f>IF(Data!$I306="","",IF(Data!K306=0,"dns",Data!K306))</f>
        <v/>
      </c>
      <c r="N619" s="34" t="str">
        <f>IF(Data!$I306="","","GP"&amp;Data!$B306&amp;", "&amp;Data!$K$1)</f>
        <v/>
      </c>
      <c r="O619" s="34" t="str">
        <f t="shared" si="93"/>
        <v/>
      </c>
      <c r="P619" s="34" t="str">
        <f>IF($L619="","",Data!B306)</f>
        <v/>
      </c>
      <c r="Q619" s="34" t="str">
        <f t="shared" si="99"/>
        <v/>
      </c>
      <c r="R619" s="34" t="str">
        <f t="shared" si="94"/>
        <v/>
      </c>
      <c r="S619" s="70" t="str">
        <f t="shared" si="100"/>
        <v/>
      </c>
    </row>
    <row r="620" spans="1:19" x14ac:dyDescent="0.25">
      <c r="A620" s="34" t="str">
        <f t="shared" si="98"/>
        <v/>
      </c>
      <c r="B620" s="34" t="str">
        <f t="shared" si="95"/>
        <v/>
      </c>
      <c r="C620" s="34" t="str">
        <f t="shared" si="96"/>
        <v/>
      </c>
      <c r="D620" s="34" t="str">
        <f t="shared" si="97"/>
        <v/>
      </c>
      <c r="K620" s="34" t="str">
        <f t="shared" si="92"/>
        <v/>
      </c>
      <c r="L620" s="34" t="str">
        <f>IF(Data!$I307="","",Data!I307)</f>
        <v/>
      </c>
      <c r="M620" s="34" t="str">
        <f>IF(Data!$I307="","",IF(Data!K307=0,"dns",Data!K307))</f>
        <v/>
      </c>
      <c r="N620" s="34" t="str">
        <f>IF(Data!$I307="","","GP"&amp;Data!$B307&amp;", "&amp;Data!$K$1)</f>
        <v/>
      </c>
      <c r="O620" s="34" t="str">
        <f t="shared" si="93"/>
        <v/>
      </c>
      <c r="P620" s="34" t="str">
        <f>IF($L620="","",Data!B307)</f>
        <v/>
      </c>
      <c r="Q620" s="34" t="str">
        <f t="shared" si="99"/>
        <v/>
      </c>
      <c r="R620" s="34" t="str">
        <f t="shared" si="94"/>
        <v/>
      </c>
      <c r="S620" s="70" t="str">
        <f t="shared" si="100"/>
        <v/>
      </c>
    </row>
    <row r="621" spans="1:19" x14ac:dyDescent="0.25">
      <c r="A621" s="34" t="str">
        <f t="shared" si="98"/>
        <v/>
      </c>
      <c r="B621" s="34" t="str">
        <f t="shared" si="95"/>
        <v/>
      </c>
      <c r="C621" s="34" t="str">
        <f t="shared" si="96"/>
        <v/>
      </c>
      <c r="D621" s="34" t="str">
        <f t="shared" si="97"/>
        <v/>
      </c>
      <c r="K621" s="34" t="str">
        <f t="shared" si="92"/>
        <v/>
      </c>
      <c r="L621" s="34" t="str">
        <f>IF(Data!$I308="","",Data!I308)</f>
        <v/>
      </c>
      <c r="M621" s="34" t="str">
        <f>IF(Data!$I308="","",IF(Data!K308=0,"dns",Data!K308))</f>
        <v/>
      </c>
      <c r="N621" s="34" t="str">
        <f>IF(Data!$I308="","","GP"&amp;Data!$B308&amp;", "&amp;Data!$K$1)</f>
        <v/>
      </c>
      <c r="O621" s="34" t="str">
        <f t="shared" si="93"/>
        <v/>
      </c>
      <c r="P621" s="34" t="str">
        <f>IF($L621="","",Data!B308)</f>
        <v/>
      </c>
      <c r="Q621" s="34" t="str">
        <f t="shared" si="99"/>
        <v/>
      </c>
      <c r="R621" s="34" t="str">
        <f t="shared" si="94"/>
        <v/>
      </c>
      <c r="S621" s="70" t="str">
        <f t="shared" si="100"/>
        <v/>
      </c>
    </row>
    <row r="622" spans="1:19" x14ac:dyDescent="0.25">
      <c r="A622" s="34" t="str">
        <f t="shared" si="98"/>
        <v/>
      </c>
      <c r="B622" s="34" t="str">
        <f t="shared" si="95"/>
        <v/>
      </c>
      <c r="C622" s="34" t="str">
        <f t="shared" si="96"/>
        <v/>
      </c>
      <c r="D622" s="34" t="str">
        <f t="shared" si="97"/>
        <v/>
      </c>
      <c r="K622" s="34" t="str">
        <f t="shared" si="92"/>
        <v/>
      </c>
      <c r="L622" s="34" t="str">
        <f>IF(Data!$I309="","",Data!I309)</f>
        <v/>
      </c>
      <c r="M622" s="34" t="str">
        <f>IF(Data!$I309="","",IF(Data!K309=0,"dns",Data!K309))</f>
        <v/>
      </c>
      <c r="N622" s="34" t="str">
        <f>IF(Data!$I309="","","GP"&amp;Data!$B309&amp;", "&amp;Data!$K$1)</f>
        <v/>
      </c>
      <c r="O622" s="34" t="str">
        <f t="shared" si="93"/>
        <v/>
      </c>
      <c r="P622" s="34" t="str">
        <f>IF($L622="","",Data!B309)</f>
        <v/>
      </c>
      <c r="Q622" s="34" t="str">
        <f t="shared" si="99"/>
        <v/>
      </c>
      <c r="R622" s="34" t="str">
        <f t="shared" si="94"/>
        <v/>
      </c>
      <c r="S622" s="70" t="str">
        <f t="shared" si="100"/>
        <v/>
      </c>
    </row>
    <row r="623" spans="1:19" x14ac:dyDescent="0.25">
      <c r="A623" s="34" t="str">
        <f t="shared" si="98"/>
        <v/>
      </c>
      <c r="B623" s="34" t="str">
        <f t="shared" si="95"/>
        <v/>
      </c>
      <c r="C623" s="34" t="str">
        <f t="shared" si="96"/>
        <v/>
      </c>
      <c r="D623" s="34" t="str">
        <f t="shared" si="97"/>
        <v/>
      </c>
      <c r="K623" s="34" t="str">
        <f t="shared" si="92"/>
        <v/>
      </c>
      <c r="L623" s="34" t="str">
        <f>IF(Data!$I310="","",Data!I310)</f>
        <v/>
      </c>
      <c r="M623" s="34" t="str">
        <f>IF(Data!$I310="","",IF(Data!K310=0,"dns",Data!K310))</f>
        <v/>
      </c>
      <c r="N623" s="34" t="str">
        <f>IF(Data!$I310="","","GP"&amp;Data!$B310&amp;", "&amp;Data!$K$1)</f>
        <v/>
      </c>
      <c r="O623" s="34" t="str">
        <f t="shared" si="93"/>
        <v/>
      </c>
      <c r="P623" s="34" t="str">
        <f>IF($L623="","",Data!B310)</f>
        <v/>
      </c>
      <c r="Q623" s="34" t="str">
        <f t="shared" si="99"/>
        <v/>
      </c>
      <c r="R623" s="34" t="str">
        <f t="shared" si="94"/>
        <v/>
      </c>
      <c r="S623" s="70" t="str">
        <f t="shared" si="100"/>
        <v/>
      </c>
    </row>
    <row r="624" spans="1:19" x14ac:dyDescent="0.25">
      <c r="A624" s="34" t="str">
        <f t="shared" si="98"/>
        <v/>
      </c>
      <c r="B624" s="34" t="str">
        <f t="shared" si="95"/>
        <v/>
      </c>
      <c r="C624" s="34" t="str">
        <f t="shared" si="96"/>
        <v/>
      </c>
      <c r="D624" s="34" t="str">
        <f t="shared" si="97"/>
        <v/>
      </c>
      <c r="K624" s="34" t="str">
        <f t="shared" si="92"/>
        <v/>
      </c>
      <c r="L624" s="34" t="str">
        <f>IF(Data!$I311="","",Data!I311)</f>
        <v/>
      </c>
      <c r="M624" s="34" t="str">
        <f>IF(Data!$I311="","",IF(Data!K311=0,"dns",Data!K311))</f>
        <v/>
      </c>
      <c r="N624" s="34" t="str">
        <f>IF(Data!$I311="","","GP"&amp;Data!$B311&amp;", "&amp;Data!$K$1)</f>
        <v/>
      </c>
      <c r="O624" s="34" t="str">
        <f t="shared" si="93"/>
        <v/>
      </c>
      <c r="P624" s="34" t="str">
        <f>IF($L624="","",Data!B311)</f>
        <v/>
      </c>
      <c r="Q624" s="34" t="str">
        <f t="shared" si="99"/>
        <v/>
      </c>
      <c r="R624" s="34" t="str">
        <f t="shared" si="94"/>
        <v/>
      </c>
      <c r="S624" s="70" t="str">
        <f t="shared" si="100"/>
        <v/>
      </c>
    </row>
    <row r="625" spans="1:19" x14ac:dyDescent="0.25">
      <c r="A625" s="34" t="str">
        <f t="shared" si="98"/>
        <v/>
      </c>
      <c r="B625" s="34" t="str">
        <f t="shared" si="95"/>
        <v/>
      </c>
      <c r="C625" s="34" t="str">
        <f t="shared" si="96"/>
        <v/>
      </c>
      <c r="D625" s="34" t="str">
        <f t="shared" si="97"/>
        <v/>
      </c>
      <c r="K625" s="34" t="str">
        <f t="shared" si="92"/>
        <v/>
      </c>
      <c r="L625" s="34" t="str">
        <f>IF(Data!$I312="","",Data!I312)</f>
        <v/>
      </c>
      <c r="M625" s="34" t="str">
        <f>IF(Data!$I312="","",IF(Data!K312=0,"dns",Data!K312))</f>
        <v/>
      </c>
      <c r="N625" s="34" t="str">
        <f>IF(Data!$I312="","","GP"&amp;Data!$B312&amp;", "&amp;Data!$K$1)</f>
        <v/>
      </c>
      <c r="O625" s="34" t="str">
        <f t="shared" si="93"/>
        <v/>
      </c>
      <c r="P625" s="34" t="str">
        <f>IF($L625="","",Data!B312)</f>
        <v/>
      </c>
      <c r="Q625" s="34" t="str">
        <f t="shared" si="99"/>
        <v/>
      </c>
      <c r="R625" s="34" t="str">
        <f t="shared" si="94"/>
        <v/>
      </c>
      <c r="S625" s="70" t="str">
        <f t="shared" si="100"/>
        <v/>
      </c>
    </row>
    <row r="626" spans="1:19" x14ac:dyDescent="0.25">
      <c r="A626" s="34" t="str">
        <f t="shared" si="98"/>
        <v/>
      </c>
      <c r="B626" s="34" t="str">
        <f t="shared" si="95"/>
        <v/>
      </c>
      <c r="C626" s="34" t="str">
        <f t="shared" si="96"/>
        <v/>
      </c>
      <c r="D626" s="34" t="str">
        <f t="shared" si="97"/>
        <v/>
      </c>
      <c r="K626" s="34" t="str">
        <f t="shared" si="92"/>
        <v/>
      </c>
      <c r="L626" s="34" t="str">
        <f>IF(Data!$I313="","",Data!I313)</f>
        <v/>
      </c>
      <c r="M626" s="34" t="str">
        <f>IF(Data!$I313="","",IF(Data!K313=0,"dns",Data!K313))</f>
        <v/>
      </c>
      <c r="N626" s="34" t="str">
        <f>IF(Data!$I313="","","GP"&amp;Data!$B313&amp;", "&amp;Data!$K$1)</f>
        <v/>
      </c>
      <c r="O626" s="34" t="str">
        <f t="shared" si="93"/>
        <v/>
      </c>
      <c r="P626" s="34" t="str">
        <f>IF($L626="","",Data!B313)</f>
        <v/>
      </c>
      <c r="Q626" s="34" t="str">
        <f t="shared" si="99"/>
        <v/>
      </c>
      <c r="R626" s="34" t="str">
        <f t="shared" si="94"/>
        <v/>
      </c>
      <c r="S626" s="70" t="str">
        <f t="shared" si="100"/>
        <v/>
      </c>
    </row>
    <row r="627" spans="1:19" x14ac:dyDescent="0.25">
      <c r="A627" s="34" t="str">
        <f t="shared" ref="A627" si="101">IFERROR(IF(A626+1&gt;MAX($K$3:$K$626),"",A626+1),"")</f>
        <v/>
      </c>
      <c r="B627" s="34" t="str">
        <f t="shared" ref="B627" si="102">IF($A627="","",VLOOKUP($A627,$K$3:$N$626,L$1,0))</f>
        <v/>
      </c>
      <c r="C627" s="34" t="str">
        <f t="shared" ref="C627" si="103">IF($A627="","",VLOOKUP($A627,$K$3:$N$626,M$1,0))</f>
        <v/>
      </c>
      <c r="D627" s="34" t="str">
        <f t="shared" ref="D627" si="104">IF($A627="","",VLOOKUP($A627,$K$3:$N$626,N$1,0))</f>
        <v/>
      </c>
      <c r="J627" s="34" t="s">
        <v>48</v>
      </c>
      <c r="K627" s="34" t="s">
        <v>48</v>
      </c>
      <c r="L627" s="34" t="s">
        <v>48</v>
      </c>
      <c r="M627" s="34" t="s">
        <v>48</v>
      </c>
      <c r="N627" s="34" t="s">
        <v>48</v>
      </c>
      <c r="O627" s="34" t="s">
        <v>48</v>
      </c>
      <c r="P627" s="34" t="s">
        <v>48</v>
      </c>
      <c r="Q627" s="34" t="s">
        <v>48</v>
      </c>
      <c r="R627" s="34" t="s">
        <v>48</v>
      </c>
      <c r="S627" s="34" t="s">
        <v>48</v>
      </c>
    </row>
    <row r="628" spans="1:19" x14ac:dyDescent="0.25">
      <c r="A628" s="34" t="str">
        <f>IFERROR(IF(A627+1&gt;MAX($K$3:$K$626),"",A627+1),"")</f>
        <v/>
      </c>
      <c r="B628" s="34" t="str">
        <f>IF($A628="","",VLOOKUP($A628,$K$3:$N$626,L$1,0))</f>
        <v/>
      </c>
      <c r="C628" s="34" t="str">
        <f>IF($A628="","",VLOOKUP($A628,$K$3:$N$626,M$1,0))</f>
        <v/>
      </c>
      <c r="D628" s="34" t="str">
        <f>IF($A628="","",VLOOKUP($A628,$K$3:$N$626,N$1,0))</f>
        <v/>
      </c>
    </row>
    <row r="629" spans="1:19" x14ac:dyDescent="0.25">
      <c r="A629" s="34" t="s">
        <v>48</v>
      </c>
      <c r="B629" s="34" t="s">
        <v>48</v>
      </c>
      <c r="C629" s="34" t="s">
        <v>48</v>
      </c>
      <c r="D629" s="34" t="s">
        <v>48</v>
      </c>
      <c r="E629" s="34" t="s">
        <v>48</v>
      </c>
      <c r="F629" s="34" t="s">
        <v>48</v>
      </c>
      <c r="G629" s="34" t="s">
        <v>48</v>
      </c>
      <c r="H629" s="34" t="s">
        <v>48</v>
      </c>
      <c r="I629" s="34" t="s">
        <v>48</v>
      </c>
    </row>
  </sheetData>
  <autoFilter ref="K2:S627" xr:uid="{71E181F2-E8F4-485A-999D-145A163E976B}"/>
  <conditionalFormatting sqref="F4:I4">
    <cfRule type="expression" dxfId="233" priority="1">
      <formula>IF($F$4="",FALSE,TRUE)</formula>
    </cfRule>
  </conditionalFormatting>
  <pageMargins left="0.7" right="0.7" top="0.75" bottom="0.75" header="0.3" footer="0.3"/>
  <pageSetup paperSize="9" scale="9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AAF7-AA3A-4312-A404-C1FD72E5BF78}">
  <dimension ref="A1:S626"/>
  <sheetViews>
    <sheetView zoomScaleNormal="100" workbookViewId="0"/>
  </sheetViews>
  <sheetFormatPr defaultColWidth="8.85546875" defaultRowHeight="15" x14ac:dyDescent="0.25"/>
  <cols>
    <col min="1" max="1" width="3.7109375" style="34" customWidth="1"/>
    <col min="2" max="2" width="18.85546875" style="34" customWidth="1"/>
    <col min="3" max="3" width="6.7109375" style="34" customWidth="1"/>
    <col min="4" max="4" width="12.7109375" style="34" customWidth="1"/>
    <col min="5" max="5" width="2.7109375" style="34" customWidth="1"/>
    <col min="6" max="6" width="3.7109375" style="34" customWidth="1"/>
    <col min="7" max="7" width="18.7109375" style="34" customWidth="1"/>
    <col min="8" max="8" width="6.7109375" style="34" customWidth="1"/>
    <col min="9" max="9" width="12.7109375" style="34" customWidth="1"/>
    <col min="10" max="13" width="8.85546875" style="34"/>
    <col min="14" max="14" width="11.28515625" style="34" customWidth="1"/>
    <col min="15" max="18" width="8.85546875" style="34"/>
    <col min="19" max="19" width="12.42578125" style="34" bestFit="1" customWidth="1"/>
    <col min="20" max="16384" width="8.85546875" style="34"/>
  </cols>
  <sheetData>
    <row r="1" spans="1:19" x14ac:dyDescent="0.25">
      <c r="A1" s="9" t="str">
        <f>otsikko</f>
        <v>Kaatokerho, 2024-25</v>
      </c>
      <c r="K1" s="34">
        <v>1</v>
      </c>
      <c r="L1" s="34">
        <v>2</v>
      </c>
      <c r="M1" s="34">
        <v>3</v>
      </c>
      <c r="N1" s="34">
        <v>4</v>
      </c>
    </row>
    <row r="2" spans="1:19" ht="26.25" x14ac:dyDescent="0.4">
      <c r="A2" s="11" t="str">
        <f>"GP-tulosten ranking, TOP "&amp;MIN(100,MAX($A$5:$A$626))</f>
        <v>GP-tulosten ranking, TOP 100</v>
      </c>
      <c r="K2" s="34" t="s">
        <v>25</v>
      </c>
      <c r="L2" s="34" t="s">
        <v>7</v>
      </c>
      <c r="M2" s="34" t="s">
        <v>9</v>
      </c>
      <c r="N2" s="34" t="s">
        <v>44</v>
      </c>
      <c r="O2" s="34" t="s">
        <v>45</v>
      </c>
      <c r="P2" s="34" t="s">
        <v>36</v>
      </c>
      <c r="Q2" s="34" t="s">
        <v>19</v>
      </c>
      <c r="R2" s="34" t="s">
        <v>47</v>
      </c>
    </row>
    <row r="3" spans="1:19" ht="6" customHeight="1" x14ac:dyDescent="0.25">
      <c r="K3" s="34">
        <f>IF($L3="","",_xlfn.RANK.EQ($R3,$R$3:$R$314,1))</f>
        <v>113</v>
      </c>
      <c r="L3" s="34" t="str">
        <f>IF(Data!$I2="","",Data!I2)</f>
        <v>Henri Verho</v>
      </c>
      <c r="M3" s="34">
        <f>IF(Data!$I2="","",IF(Data!L2=0,"dns",Data!L2))</f>
        <v>213</v>
      </c>
      <c r="N3" s="34" t="str">
        <f>IF(Data!$I2="","","GP"&amp;Data!$B2)</f>
        <v>GP1</v>
      </c>
      <c r="O3" s="34">
        <f>IF(L3="","",IFERROR(_xlfn.RANK.EQ($M3,$M$3:$M$314,0),COUNTA($L$3:$L$314)+1))</f>
        <v>113</v>
      </c>
      <c r="P3" s="34">
        <f>IF($L3="","",Data!B2)</f>
        <v>1</v>
      </c>
      <c r="Q3" s="34">
        <f>IF($L3="","",ROW())</f>
        <v>3</v>
      </c>
      <c r="R3" s="34">
        <f>IF($L3="","",O3/1000+P3/100000+Q3/100000000)</f>
        <v>0.11301003</v>
      </c>
      <c r="S3" s="70"/>
    </row>
    <row r="4" spans="1:19" x14ac:dyDescent="0.25">
      <c r="A4" s="71" t="s">
        <v>6</v>
      </c>
      <c r="B4" s="71" t="s">
        <v>7</v>
      </c>
      <c r="C4" s="71" t="s">
        <v>9</v>
      </c>
      <c r="D4" s="71" t="s">
        <v>44</v>
      </c>
      <c r="F4" s="72" t="str">
        <f>IF(F5="","",A4)</f>
        <v>Sija</v>
      </c>
      <c r="G4" s="72" t="str">
        <f t="shared" ref="G4:I4" si="0">IF(G5="","",B4)</f>
        <v>Nimi</v>
      </c>
      <c r="H4" s="72" t="str">
        <f t="shared" si="0"/>
        <v>Pisteet</v>
      </c>
      <c r="I4" s="72" t="str">
        <f t="shared" si="0"/>
        <v>Heittoajankohta</v>
      </c>
      <c r="K4" s="34">
        <f t="shared" ref="K4:K67" si="1">IF($L4="","",_xlfn.RANK.EQ($R4,$R$3:$R$314,1))</f>
        <v>120</v>
      </c>
      <c r="L4" s="34" t="str">
        <f>IF(Data!$I3="","",Data!I3)</f>
        <v>Niko Reunanen</v>
      </c>
      <c r="M4" s="34">
        <f>IF(Data!$I3="","",IF(Data!L3=0,"dns",Data!L3))</f>
        <v>201</v>
      </c>
      <c r="N4" s="34" t="str">
        <f>IF(Data!$I3="","","GP"&amp;Data!$B3)</f>
        <v>GP1</v>
      </c>
      <c r="O4" s="34">
        <f t="shared" ref="O4:O67" si="2">IF(L4="","",IFERROR(_xlfn.RANK.EQ($M4,$M$3:$M$314,0),COUNTA($L$3:$L$314)+1))</f>
        <v>120</v>
      </c>
      <c r="P4" s="34">
        <f>IF($L4="","",Data!B3)</f>
        <v>1</v>
      </c>
      <c r="Q4" s="34">
        <f t="shared" ref="Q4:Q67" si="3">IF($L4="","",ROW())</f>
        <v>4</v>
      </c>
      <c r="R4" s="34">
        <f t="shared" ref="R4:R67" si="4">IF($L4="","",O4/1000+P4/100000+Q4/100000000)</f>
        <v>0.12001004</v>
      </c>
      <c r="S4" s="70"/>
    </row>
    <row r="5" spans="1:19" x14ac:dyDescent="0.25">
      <c r="A5" s="34">
        <f>IF(keilatut=0,"",1)</f>
        <v>1</v>
      </c>
      <c r="B5" s="34" t="str">
        <f t="shared" ref="B5:D6" si="5">IF($A5="","",VLOOKUP($A5,$K$3:$N$626,L$1,0))</f>
        <v>Ossi Oksa</v>
      </c>
      <c r="C5" s="34">
        <f t="shared" si="5"/>
        <v>401</v>
      </c>
      <c r="D5" s="34" t="str">
        <f t="shared" si="5"/>
        <v>GP3</v>
      </c>
      <c r="F5" s="34">
        <f>IF(A55="","",A55)</f>
        <v>51</v>
      </c>
      <c r="G5" s="34" t="str">
        <f t="shared" ref="G5:I20" si="6">IF(B55="","",B55)</f>
        <v>Miika Nordblad</v>
      </c>
      <c r="H5" s="34">
        <f t="shared" si="6"/>
        <v>281</v>
      </c>
      <c r="I5" s="34" t="str">
        <f t="shared" si="6"/>
        <v>GP4</v>
      </c>
      <c r="K5" s="34">
        <f t="shared" si="1"/>
        <v>100</v>
      </c>
      <c r="L5" s="34" t="str">
        <f>IF(Data!$I4="","",Data!I4)</f>
        <v>Tatu Erlin</v>
      </c>
      <c r="M5" s="34">
        <f>IF(Data!$I4="","",IF(Data!L4=0,"dns",Data!L4))</f>
        <v>230</v>
      </c>
      <c r="N5" s="34" t="str">
        <f>IF(Data!$I4="","","GP"&amp;Data!$B4)</f>
        <v>GP1</v>
      </c>
      <c r="O5" s="34">
        <f t="shared" si="2"/>
        <v>100</v>
      </c>
      <c r="P5" s="34">
        <f>IF($L5="","",Data!B4)</f>
        <v>1</v>
      </c>
      <c r="Q5" s="34">
        <f t="shared" si="3"/>
        <v>5</v>
      </c>
      <c r="R5" s="34">
        <f t="shared" si="4"/>
        <v>0.10001005</v>
      </c>
      <c r="S5" s="70"/>
    </row>
    <row r="6" spans="1:19" x14ac:dyDescent="0.25">
      <c r="A6" s="34">
        <f>IFERROR(IF(A5+1&gt;MAX($K$3:$K$316),"",A5+1),"")</f>
        <v>2</v>
      </c>
      <c r="B6" s="34" t="str">
        <f t="shared" si="5"/>
        <v>Jami Kallio</v>
      </c>
      <c r="C6" s="34">
        <f t="shared" si="5"/>
        <v>386</v>
      </c>
      <c r="D6" s="34" t="str">
        <f t="shared" si="5"/>
        <v>GP4</v>
      </c>
      <c r="F6" s="34">
        <f t="shared" ref="F6:I21" si="7">IF(A56="","",A56)</f>
        <v>52</v>
      </c>
      <c r="G6" s="34" t="str">
        <f t="shared" si="6"/>
        <v>Henri Verho</v>
      </c>
      <c r="H6" s="34">
        <f t="shared" si="6"/>
        <v>280</v>
      </c>
      <c r="I6" s="34" t="str">
        <f t="shared" si="6"/>
        <v>GP8</v>
      </c>
      <c r="K6" s="34">
        <f t="shared" si="1"/>
        <v>73</v>
      </c>
      <c r="L6" s="34" t="str">
        <f>IF(Data!$I5="","",Data!I5)</f>
        <v>Kaleva Latvala</v>
      </c>
      <c r="M6" s="34">
        <f>IF(Data!$I5="","",IF(Data!L5=0,"dns",Data!L5))</f>
        <v>259</v>
      </c>
      <c r="N6" s="34" t="str">
        <f>IF(Data!$I5="","","GP"&amp;Data!$B5)</f>
        <v>GP1</v>
      </c>
      <c r="O6" s="34">
        <f t="shared" si="2"/>
        <v>73</v>
      </c>
      <c r="P6" s="34">
        <f>IF($L6="","",Data!B5)</f>
        <v>1</v>
      </c>
      <c r="Q6" s="34">
        <f t="shared" si="3"/>
        <v>6</v>
      </c>
      <c r="R6" s="34">
        <f t="shared" si="4"/>
        <v>7.3010059999999988E-2</v>
      </c>
      <c r="S6" s="70"/>
    </row>
    <row r="7" spans="1:19" x14ac:dyDescent="0.25">
      <c r="A7" s="34">
        <f t="shared" ref="A7:A70" si="8">IFERROR(IF(A6+1&gt;MAX($K$3:$K$316),"",A6+1),"")</f>
        <v>3</v>
      </c>
      <c r="B7" s="34" t="str">
        <f t="shared" ref="B7:B70" si="9">IF($A7="","",VLOOKUP($A7,$K$3:$N$626,L$1,0))</f>
        <v>Frans Hartman</v>
      </c>
      <c r="C7" s="34">
        <f t="shared" ref="C7:C70" si="10">IF($A7="","",VLOOKUP($A7,$K$3:$N$626,M$1,0))</f>
        <v>350</v>
      </c>
      <c r="D7" s="34" t="str">
        <f t="shared" ref="D7:D70" si="11">IF($A7="","",VLOOKUP($A7,$K$3:$N$626,N$1,0))</f>
        <v>GP6</v>
      </c>
      <c r="F7" s="34">
        <f t="shared" si="7"/>
        <v>53</v>
      </c>
      <c r="G7" s="34" t="str">
        <f t="shared" si="6"/>
        <v>Ossi Oksa</v>
      </c>
      <c r="H7" s="34">
        <f t="shared" si="6"/>
        <v>280</v>
      </c>
      <c r="I7" s="34" t="str">
        <f t="shared" si="6"/>
        <v>GP9</v>
      </c>
      <c r="K7" s="34">
        <f t="shared" si="1"/>
        <v>123</v>
      </c>
      <c r="L7" s="34" t="str">
        <f>IF(Data!$I6="","",Data!I6)</f>
        <v>Miikka Korventausta</v>
      </c>
      <c r="M7" s="34">
        <f>IF(Data!$I6="","",IF(Data!L6=0,"dns",Data!L6))</f>
        <v>180</v>
      </c>
      <c r="N7" s="34" t="str">
        <f>IF(Data!$I6="","","GP"&amp;Data!$B6)</f>
        <v>GP1</v>
      </c>
      <c r="O7" s="34">
        <f t="shared" si="2"/>
        <v>123</v>
      </c>
      <c r="P7" s="34">
        <f>IF($L7="","",Data!B6)</f>
        <v>1</v>
      </c>
      <c r="Q7" s="34">
        <f t="shared" si="3"/>
        <v>7</v>
      </c>
      <c r="R7" s="34">
        <f t="shared" si="4"/>
        <v>0.12301007</v>
      </c>
      <c r="S7" s="70"/>
    </row>
    <row r="8" spans="1:19" x14ac:dyDescent="0.25">
      <c r="A8" s="34">
        <f t="shared" si="8"/>
        <v>4</v>
      </c>
      <c r="B8" s="34" t="str">
        <f t="shared" si="9"/>
        <v>Miika Nordblad</v>
      </c>
      <c r="C8" s="34">
        <f t="shared" si="10"/>
        <v>343</v>
      </c>
      <c r="D8" s="34" t="str">
        <f t="shared" si="11"/>
        <v>GP8</v>
      </c>
      <c r="F8" s="34">
        <f t="shared" si="7"/>
        <v>54</v>
      </c>
      <c r="G8" s="34" t="str">
        <f t="shared" si="6"/>
        <v>Kaleva Latvala</v>
      </c>
      <c r="H8" s="34">
        <f t="shared" si="6"/>
        <v>279</v>
      </c>
      <c r="I8" s="34" t="str">
        <f t="shared" si="6"/>
        <v>GP4</v>
      </c>
      <c r="K8" s="34">
        <f t="shared" si="1"/>
        <v>122</v>
      </c>
      <c r="L8" s="34" t="str">
        <f>IF(Data!$I7="","",Data!I7)</f>
        <v>Sakari Leinonen</v>
      </c>
      <c r="M8" s="34">
        <f>IF(Data!$I7="","",IF(Data!L7=0,"dns",Data!L7))</f>
        <v>192</v>
      </c>
      <c r="N8" s="34" t="str">
        <f>IF(Data!$I7="","","GP"&amp;Data!$B7)</f>
        <v>GP1</v>
      </c>
      <c r="O8" s="34">
        <f t="shared" si="2"/>
        <v>122</v>
      </c>
      <c r="P8" s="34">
        <f>IF($L8="","",Data!B7)</f>
        <v>1</v>
      </c>
      <c r="Q8" s="34">
        <f t="shared" si="3"/>
        <v>8</v>
      </c>
      <c r="R8" s="34">
        <f t="shared" si="4"/>
        <v>0.12201007999999999</v>
      </c>
      <c r="S8" s="70"/>
    </row>
    <row r="9" spans="1:19" x14ac:dyDescent="0.25">
      <c r="A9" s="34">
        <f t="shared" si="8"/>
        <v>5</v>
      </c>
      <c r="B9" s="34" t="str">
        <f t="shared" si="9"/>
        <v>Frans Hartman</v>
      </c>
      <c r="C9" s="34">
        <f t="shared" si="10"/>
        <v>333</v>
      </c>
      <c r="D9" s="34" t="str">
        <f t="shared" si="11"/>
        <v>GP2</v>
      </c>
      <c r="F9" s="34">
        <f t="shared" si="7"/>
        <v>55</v>
      </c>
      <c r="G9" s="34" t="str">
        <f t="shared" si="6"/>
        <v>Mika Sola</v>
      </c>
      <c r="H9" s="34">
        <f t="shared" si="6"/>
        <v>278</v>
      </c>
      <c r="I9" s="34" t="str">
        <f t="shared" si="6"/>
        <v>GP5</v>
      </c>
      <c r="K9" s="34">
        <f t="shared" si="1"/>
        <v>90</v>
      </c>
      <c r="L9" s="34" t="str">
        <f>IF(Data!$I8="","",Data!I8)</f>
        <v>Frans Hartman</v>
      </c>
      <c r="M9" s="34">
        <f>IF(Data!$I8="","",IF(Data!L8=0,"dns",Data!L8))</f>
        <v>241</v>
      </c>
      <c r="N9" s="34" t="str">
        <f>IF(Data!$I8="","","GP"&amp;Data!$B8)</f>
        <v>GP1</v>
      </c>
      <c r="O9" s="34">
        <f t="shared" si="2"/>
        <v>90</v>
      </c>
      <c r="P9" s="34">
        <f>IF($L9="","",Data!B8)</f>
        <v>1</v>
      </c>
      <c r="Q9" s="34">
        <f t="shared" si="3"/>
        <v>9</v>
      </c>
      <c r="R9" s="34">
        <f t="shared" si="4"/>
        <v>9.0010089999999987E-2</v>
      </c>
      <c r="S9" s="70"/>
    </row>
    <row r="10" spans="1:19" x14ac:dyDescent="0.25">
      <c r="A10" s="34">
        <f t="shared" si="8"/>
        <v>6</v>
      </c>
      <c r="B10" s="34" t="str">
        <f t="shared" si="9"/>
        <v>Miika Nordblad</v>
      </c>
      <c r="C10" s="34">
        <f t="shared" si="10"/>
        <v>333</v>
      </c>
      <c r="D10" s="34" t="str">
        <f t="shared" si="11"/>
        <v>GP2</v>
      </c>
      <c r="F10" s="34">
        <f t="shared" si="7"/>
        <v>56</v>
      </c>
      <c r="G10" s="34" t="str">
        <f t="shared" si="6"/>
        <v>Mikko Mansikkamäki</v>
      </c>
      <c r="H10" s="34">
        <f t="shared" si="6"/>
        <v>278</v>
      </c>
      <c r="I10" s="34" t="str">
        <f t="shared" si="6"/>
        <v>GP9</v>
      </c>
      <c r="K10" s="34">
        <f t="shared" si="1"/>
        <v>121</v>
      </c>
      <c r="L10" s="34" t="str">
        <f>IF(Data!$I9="","",Data!I9)</f>
        <v>Jami Kallio</v>
      </c>
      <c r="M10" s="34">
        <f>IF(Data!$I9="","",IF(Data!L9=0,"dns",Data!L9))</f>
        <v>199</v>
      </c>
      <c r="N10" s="34" t="str">
        <f>IF(Data!$I9="","","GP"&amp;Data!$B9)</f>
        <v>GP1</v>
      </c>
      <c r="O10" s="34">
        <f t="shared" si="2"/>
        <v>121</v>
      </c>
      <c r="P10" s="34">
        <f>IF($L10="","",Data!B9)</f>
        <v>1</v>
      </c>
      <c r="Q10" s="34">
        <f t="shared" si="3"/>
        <v>10</v>
      </c>
      <c r="R10" s="34">
        <f t="shared" si="4"/>
        <v>0.1210101</v>
      </c>
      <c r="S10" s="70"/>
    </row>
    <row r="11" spans="1:19" x14ac:dyDescent="0.25">
      <c r="A11" s="34">
        <f t="shared" si="8"/>
        <v>7</v>
      </c>
      <c r="B11" s="34" t="str">
        <f t="shared" si="9"/>
        <v>Niko Reunanen</v>
      </c>
      <c r="C11" s="34">
        <f t="shared" si="10"/>
        <v>333</v>
      </c>
      <c r="D11" s="34" t="str">
        <f t="shared" si="11"/>
        <v>GP4</v>
      </c>
      <c r="F11" s="34">
        <f t="shared" si="7"/>
        <v>57</v>
      </c>
      <c r="G11" s="34" t="str">
        <f t="shared" si="6"/>
        <v>Jami Kallio</v>
      </c>
      <c r="H11" s="34">
        <f t="shared" si="6"/>
        <v>277</v>
      </c>
      <c r="I11" s="34" t="str">
        <f t="shared" si="6"/>
        <v>GP10</v>
      </c>
      <c r="K11" s="34">
        <f t="shared" si="1"/>
        <v>91</v>
      </c>
      <c r="L11" s="34" t="str">
        <f>IF(Data!$I10="","",Data!I10)</f>
        <v>Ossi Oksa</v>
      </c>
      <c r="M11" s="34">
        <f>IF(Data!$I10="","",IF(Data!L10=0,"dns",Data!L10))</f>
        <v>241</v>
      </c>
      <c r="N11" s="34" t="str">
        <f>IF(Data!$I10="","","GP"&amp;Data!$B10)</f>
        <v>GP1</v>
      </c>
      <c r="O11" s="34">
        <f t="shared" si="2"/>
        <v>90</v>
      </c>
      <c r="P11" s="34">
        <f>IF($L11="","",Data!B10)</f>
        <v>1</v>
      </c>
      <c r="Q11" s="34">
        <f t="shared" si="3"/>
        <v>11</v>
      </c>
      <c r="R11" s="34">
        <f t="shared" si="4"/>
        <v>9.001010999999999E-2</v>
      </c>
      <c r="S11" s="70"/>
    </row>
    <row r="12" spans="1:19" x14ac:dyDescent="0.25">
      <c r="A12" s="34">
        <f t="shared" si="8"/>
        <v>8</v>
      </c>
      <c r="B12" s="34" t="str">
        <f t="shared" si="9"/>
        <v>Miika Nordblad</v>
      </c>
      <c r="C12" s="34">
        <f t="shared" si="10"/>
        <v>333</v>
      </c>
      <c r="D12" s="34" t="str">
        <f t="shared" si="11"/>
        <v>GP5</v>
      </c>
      <c r="F12" s="34">
        <f t="shared" si="7"/>
        <v>58</v>
      </c>
      <c r="G12" s="34" t="str">
        <f t="shared" si="6"/>
        <v>Niko Reunanen</v>
      </c>
      <c r="H12" s="34">
        <f t="shared" si="6"/>
        <v>275</v>
      </c>
      <c r="I12" s="34" t="str">
        <f t="shared" si="6"/>
        <v>GP3</v>
      </c>
      <c r="K12" s="34">
        <f t="shared" si="1"/>
        <v>82</v>
      </c>
      <c r="L12" s="34" t="str">
        <f>IF(Data!$I11="","",Data!I11)</f>
        <v>Mika Sola</v>
      </c>
      <c r="M12" s="34">
        <f>IF(Data!$I11="","",IF(Data!L11=0,"dns",Data!L11))</f>
        <v>248</v>
      </c>
      <c r="N12" s="34" t="str">
        <f>IF(Data!$I11="","","GP"&amp;Data!$B11)</f>
        <v>GP1</v>
      </c>
      <c r="O12" s="34">
        <f t="shared" si="2"/>
        <v>82</v>
      </c>
      <c r="P12" s="34">
        <f>IF($L12="","",Data!B11)</f>
        <v>1</v>
      </c>
      <c r="Q12" s="34">
        <f t="shared" si="3"/>
        <v>12</v>
      </c>
      <c r="R12" s="34">
        <f t="shared" si="4"/>
        <v>8.2010120000000006E-2</v>
      </c>
      <c r="S12" s="70"/>
    </row>
    <row r="13" spans="1:19" x14ac:dyDescent="0.25">
      <c r="A13" s="34">
        <f t="shared" si="8"/>
        <v>9</v>
      </c>
      <c r="B13" s="34" t="str">
        <f t="shared" si="9"/>
        <v>Sakari Leinonen</v>
      </c>
      <c r="C13" s="34">
        <f t="shared" si="10"/>
        <v>332</v>
      </c>
      <c r="D13" s="34" t="str">
        <f t="shared" si="11"/>
        <v>GP2</v>
      </c>
      <c r="F13" s="34">
        <f t="shared" si="7"/>
        <v>59</v>
      </c>
      <c r="G13" s="34" t="str">
        <f t="shared" si="6"/>
        <v>Iiro Riikonen</v>
      </c>
      <c r="H13" s="34">
        <f t="shared" si="6"/>
        <v>275</v>
      </c>
      <c r="I13" s="34" t="str">
        <f t="shared" si="6"/>
        <v>GP4</v>
      </c>
      <c r="K13" s="34">
        <f t="shared" si="1"/>
        <v>116</v>
      </c>
      <c r="L13" s="34" t="str">
        <f>IF(Data!$I12="","",Data!I12)</f>
        <v>Roope Warro</v>
      </c>
      <c r="M13" s="34">
        <f>IF(Data!$I12="","",IF(Data!L12=0,"dns",Data!L12))</f>
        <v>204</v>
      </c>
      <c r="N13" s="34" t="str">
        <f>IF(Data!$I12="","","GP"&amp;Data!$B12)</f>
        <v>GP1</v>
      </c>
      <c r="O13" s="34">
        <f t="shared" si="2"/>
        <v>116</v>
      </c>
      <c r="P13" s="34">
        <f>IF($L13="","",Data!B12)</f>
        <v>1</v>
      </c>
      <c r="Q13" s="34">
        <f t="shared" si="3"/>
        <v>13</v>
      </c>
      <c r="R13" s="34">
        <f t="shared" si="4"/>
        <v>0.11601013</v>
      </c>
      <c r="S13" s="70"/>
    </row>
    <row r="14" spans="1:19" x14ac:dyDescent="0.25">
      <c r="A14" s="34">
        <f t="shared" si="8"/>
        <v>10</v>
      </c>
      <c r="B14" s="34" t="str">
        <f t="shared" si="9"/>
        <v>Asko Haaksi</v>
      </c>
      <c r="C14" s="34">
        <f t="shared" si="10"/>
        <v>332</v>
      </c>
      <c r="D14" s="34" t="str">
        <f t="shared" si="11"/>
        <v>GP7</v>
      </c>
      <c r="F14" s="34">
        <f t="shared" si="7"/>
        <v>60</v>
      </c>
      <c r="G14" s="34" t="str">
        <f t="shared" si="6"/>
        <v>Juho Korpi</v>
      </c>
      <c r="H14" s="34">
        <f t="shared" si="6"/>
        <v>275</v>
      </c>
      <c r="I14" s="34" t="str">
        <f t="shared" si="6"/>
        <v>GP8</v>
      </c>
      <c r="K14" s="34">
        <f t="shared" si="1"/>
        <v>127</v>
      </c>
      <c r="L14" s="34" t="str">
        <f>IF(Data!$I13="","",Data!I13)</f>
        <v>Joonas Ollonqvist</v>
      </c>
      <c r="M14" s="34" t="str">
        <f>IF(Data!$I13="","",IF(Data!L13=0,"dns",Data!L13))</f>
        <v>dns</v>
      </c>
      <c r="N14" s="34" t="str">
        <f>IF(Data!$I13="","","GP"&amp;Data!$B13)</f>
        <v>GP1</v>
      </c>
      <c r="O14" s="34">
        <f t="shared" si="2"/>
        <v>313</v>
      </c>
      <c r="P14" s="34">
        <f>IF($L14="","",Data!B13)</f>
        <v>1</v>
      </c>
      <c r="Q14" s="34">
        <f t="shared" si="3"/>
        <v>14</v>
      </c>
      <c r="R14" s="34">
        <f t="shared" si="4"/>
        <v>0.31301013999999999</v>
      </c>
      <c r="S14" s="70"/>
    </row>
    <row r="15" spans="1:19" x14ac:dyDescent="0.25">
      <c r="A15" s="34">
        <f t="shared" si="8"/>
        <v>11</v>
      </c>
      <c r="B15" s="34" t="str">
        <f t="shared" si="9"/>
        <v>Miika Nordblad</v>
      </c>
      <c r="C15" s="34">
        <f t="shared" si="10"/>
        <v>327</v>
      </c>
      <c r="D15" s="34" t="str">
        <f t="shared" si="11"/>
        <v>GP3</v>
      </c>
      <c r="F15" s="34">
        <f t="shared" si="7"/>
        <v>61</v>
      </c>
      <c r="G15" s="34" t="str">
        <f t="shared" si="6"/>
        <v>Kaleva Latvala</v>
      </c>
      <c r="H15" s="34">
        <f t="shared" si="6"/>
        <v>272</v>
      </c>
      <c r="I15" s="34" t="str">
        <f t="shared" si="6"/>
        <v>GP9</v>
      </c>
      <c r="K15" s="34">
        <f t="shared" si="1"/>
        <v>128</v>
      </c>
      <c r="L15" s="34" t="str">
        <f>IF(Data!$I14="","",Data!I14)</f>
        <v>Miika Nordblad</v>
      </c>
      <c r="M15" s="34" t="str">
        <f>IF(Data!$I14="","",IF(Data!L14=0,"dns",Data!L14))</f>
        <v>dns</v>
      </c>
      <c r="N15" s="34" t="str">
        <f>IF(Data!$I14="","","GP"&amp;Data!$B14)</f>
        <v>GP1</v>
      </c>
      <c r="O15" s="34">
        <f t="shared" si="2"/>
        <v>313</v>
      </c>
      <c r="P15" s="34">
        <f>IF($L15="","",Data!B14)</f>
        <v>1</v>
      </c>
      <c r="Q15" s="34">
        <f t="shared" si="3"/>
        <v>15</v>
      </c>
      <c r="R15" s="34">
        <f t="shared" si="4"/>
        <v>0.31301014999999999</v>
      </c>
      <c r="S15" s="70"/>
    </row>
    <row r="16" spans="1:19" x14ac:dyDescent="0.25">
      <c r="A16" s="34">
        <f t="shared" si="8"/>
        <v>12</v>
      </c>
      <c r="B16" s="34" t="str">
        <f t="shared" si="9"/>
        <v>Miikka Korventausta</v>
      </c>
      <c r="C16" s="34">
        <f t="shared" si="10"/>
        <v>327</v>
      </c>
      <c r="D16" s="34" t="str">
        <f t="shared" si="11"/>
        <v>GP5</v>
      </c>
      <c r="F16" s="34">
        <f t="shared" si="7"/>
        <v>62</v>
      </c>
      <c r="G16" s="34" t="str">
        <f t="shared" si="6"/>
        <v>Olli Kajava</v>
      </c>
      <c r="H16" s="34">
        <f t="shared" si="6"/>
        <v>271</v>
      </c>
      <c r="I16" s="34" t="str">
        <f t="shared" si="6"/>
        <v>GP9</v>
      </c>
      <c r="K16" s="34">
        <f t="shared" si="1"/>
        <v>129</v>
      </c>
      <c r="L16" s="34" t="str">
        <f>IF(Data!$I15="","",Data!I15)</f>
        <v>Juho Korpi</v>
      </c>
      <c r="M16" s="34" t="str">
        <f>IF(Data!$I15="","",IF(Data!L15=0,"dns",Data!L15))</f>
        <v>dns</v>
      </c>
      <c r="N16" s="34" t="str">
        <f>IF(Data!$I15="","","GP"&amp;Data!$B15)</f>
        <v>GP1</v>
      </c>
      <c r="O16" s="34">
        <f t="shared" si="2"/>
        <v>313</v>
      </c>
      <c r="P16" s="34">
        <f>IF($L16="","",Data!B15)</f>
        <v>1</v>
      </c>
      <c r="Q16" s="34">
        <f t="shared" si="3"/>
        <v>16</v>
      </c>
      <c r="R16" s="34">
        <f t="shared" si="4"/>
        <v>0.31301016000000004</v>
      </c>
      <c r="S16" s="70"/>
    </row>
    <row r="17" spans="1:19" x14ac:dyDescent="0.25">
      <c r="A17" s="34">
        <f t="shared" si="8"/>
        <v>13</v>
      </c>
      <c r="B17" s="34" t="str">
        <f t="shared" si="9"/>
        <v>Jami Kallio</v>
      </c>
      <c r="C17" s="34">
        <f t="shared" si="10"/>
        <v>326</v>
      </c>
      <c r="D17" s="34" t="str">
        <f t="shared" si="11"/>
        <v>GP2</v>
      </c>
      <c r="F17" s="34">
        <f t="shared" si="7"/>
        <v>63</v>
      </c>
      <c r="G17" s="34" t="str">
        <f t="shared" si="6"/>
        <v>Juho Korpi</v>
      </c>
      <c r="H17" s="34">
        <f t="shared" si="6"/>
        <v>270</v>
      </c>
      <c r="I17" s="34" t="str">
        <f t="shared" si="6"/>
        <v>GP7</v>
      </c>
      <c r="K17" s="34">
        <f t="shared" si="1"/>
        <v>130</v>
      </c>
      <c r="L17" s="34" t="str">
        <f>IF(Data!$I16="","",Data!I16)</f>
        <v>Asko Haaksi</v>
      </c>
      <c r="M17" s="34" t="str">
        <f>IF(Data!$I16="","",IF(Data!L16=0,"dns",Data!L16))</f>
        <v>dns</v>
      </c>
      <c r="N17" s="34" t="str">
        <f>IF(Data!$I16="","","GP"&amp;Data!$B16)</f>
        <v>GP1</v>
      </c>
      <c r="O17" s="34">
        <f t="shared" si="2"/>
        <v>313</v>
      </c>
      <c r="P17" s="34">
        <f>IF($L17="","",Data!B16)</f>
        <v>1</v>
      </c>
      <c r="Q17" s="34">
        <f t="shared" si="3"/>
        <v>17</v>
      </c>
      <c r="R17" s="34">
        <f t="shared" si="4"/>
        <v>0.31301017000000003</v>
      </c>
      <c r="S17" s="70"/>
    </row>
    <row r="18" spans="1:19" x14ac:dyDescent="0.25">
      <c r="A18" s="34">
        <f t="shared" si="8"/>
        <v>14</v>
      </c>
      <c r="B18" s="34" t="str">
        <f t="shared" si="9"/>
        <v>Henri Verho</v>
      </c>
      <c r="C18" s="34">
        <f t="shared" si="10"/>
        <v>320</v>
      </c>
      <c r="D18" s="34" t="str">
        <f t="shared" si="11"/>
        <v>GP4</v>
      </c>
      <c r="F18" s="34">
        <f t="shared" si="7"/>
        <v>64</v>
      </c>
      <c r="G18" s="34" t="str">
        <f t="shared" si="6"/>
        <v>Joonas Ollonqvist</v>
      </c>
      <c r="H18" s="34">
        <f t="shared" si="6"/>
        <v>267</v>
      </c>
      <c r="I18" s="34" t="str">
        <f t="shared" si="6"/>
        <v>GP5</v>
      </c>
      <c r="K18" s="34">
        <f t="shared" si="1"/>
        <v>131</v>
      </c>
      <c r="L18" s="34" t="str">
        <f>IF(Data!$I17="","",Data!I17)</f>
        <v>Iiro Riikonen</v>
      </c>
      <c r="M18" s="34" t="str">
        <f>IF(Data!$I17="","",IF(Data!L17=0,"dns",Data!L17))</f>
        <v>dns</v>
      </c>
      <c r="N18" s="34" t="str">
        <f>IF(Data!$I17="","","GP"&amp;Data!$B17)</f>
        <v>GP1</v>
      </c>
      <c r="O18" s="34">
        <f t="shared" si="2"/>
        <v>313</v>
      </c>
      <c r="P18" s="34">
        <f>IF($L18="","",Data!B17)</f>
        <v>1</v>
      </c>
      <c r="Q18" s="34">
        <f t="shared" si="3"/>
        <v>18</v>
      </c>
      <c r="R18" s="34">
        <f t="shared" si="4"/>
        <v>0.31301018000000003</v>
      </c>
      <c r="S18" s="70"/>
    </row>
    <row r="19" spans="1:19" x14ac:dyDescent="0.25">
      <c r="A19" s="34">
        <f t="shared" si="8"/>
        <v>15</v>
      </c>
      <c r="B19" s="34" t="str">
        <f t="shared" si="9"/>
        <v>Ossi Oksa</v>
      </c>
      <c r="C19" s="34">
        <f t="shared" si="10"/>
        <v>320</v>
      </c>
      <c r="D19" s="34" t="str">
        <f t="shared" si="11"/>
        <v>GP5</v>
      </c>
      <c r="F19" s="34">
        <f t="shared" si="7"/>
        <v>65</v>
      </c>
      <c r="G19" s="34" t="str">
        <f t="shared" si="6"/>
        <v>Miikka Korventausta</v>
      </c>
      <c r="H19" s="34">
        <f t="shared" si="6"/>
        <v>266</v>
      </c>
      <c r="I19" s="34" t="str">
        <f t="shared" si="6"/>
        <v>GP4</v>
      </c>
      <c r="K19" s="34">
        <f t="shared" si="1"/>
        <v>132</v>
      </c>
      <c r="L19" s="34" t="str">
        <f>IF(Data!$I18="","",Data!I18)</f>
        <v>Olli Kajava</v>
      </c>
      <c r="M19" s="34" t="str">
        <f>IF(Data!$I18="","",IF(Data!L18=0,"dns",Data!L18))</f>
        <v>dns</v>
      </c>
      <c r="N19" s="34" t="str">
        <f>IF(Data!$I18="","","GP"&amp;Data!$B18)</f>
        <v>GP1</v>
      </c>
      <c r="O19" s="34">
        <f t="shared" si="2"/>
        <v>313</v>
      </c>
      <c r="P19" s="34">
        <f>IF($L19="","",Data!B18)</f>
        <v>1</v>
      </c>
      <c r="Q19" s="34">
        <f t="shared" si="3"/>
        <v>19</v>
      </c>
      <c r="R19" s="34">
        <f t="shared" si="4"/>
        <v>0.31301019000000002</v>
      </c>
      <c r="S19" s="70"/>
    </row>
    <row r="20" spans="1:19" x14ac:dyDescent="0.25">
      <c r="A20" s="34">
        <f t="shared" si="8"/>
        <v>16</v>
      </c>
      <c r="B20" s="34" t="str">
        <f t="shared" si="9"/>
        <v>Ossi Oksa</v>
      </c>
      <c r="C20" s="34">
        <f t="shared" si="10"/>
        <v>319</v>
      </c>
      <c r="D20" s="34" t="str">
        <f t="shared" si="11"/>
        <v>GP8</v>
      </c>
      <c r="F20" s="34">
        <f t="shared" si="7"/>
        <v>66</v>
      </c>
      <c r="G20" s="34" t="str">
        <f t="shared" si="6"/>
        <v>Miikka Korventausta</v>
      </c>
      <c r="H20" s="34">
        <f t="shared" si="6"/>
        <v>265</v>
      </c>
      <c r="I20" s="34" t="str">
        <f t="shared" si="6"/>
        <v>GP7</v>
      </c>
      <c r="K20" s="34">
        <f t="shared" si="1"/>
        <v>133</v>
      </c>
      <c r="L20" s="34" t="str">
        <f>IF(Data!$I19="","",Data!I19)</f>
        <v>Mikko Mansikkamäki</v>
      </c>
      <c r="M20" s="34" t="str">
        <f>IF(Data!$I19="","",IF(Data!L19=0,"dns",Data!L19))</f>
        <v>dns</v>
      </c>
      <c r="N20" s="34" t="str">
        <f>IF(Data!$I19="","","GP"&amp;Data!$B19)</f>
        <v>GP1</v>
      </c>
      <c r="O20" s="34">
        <f t="shared" si="2"/>
        <v>313</v>
      </c>
      <c r="P20" s="34">
        <f>IF($L20="","",Data!B19)</f>
        <v>1</v>
      </c>
      <c r="Q20" s="34">
        <f t="shared" si="3"/>
        <v>20</v>
      </c>
      <c r="R20" s="34">
        <f t="shared" si="4"/>
        <v>0.31301020000000002</v>
      </c>
      <c r="S20" s="70"/>
    </row>
    <row r="21" spans="1:19" x14ac:dyDescent="0.25">
      <c r="A21" s="34">
        <f t="shared" si="8"/>
        <v>17</v>
      </c>
      <c r="B21" s="34" t="str">
        <f t="shared" si="9"/>
        <v>Mika Sola</v>
      </c>
      <c r="C21" s="34">
        <f t="shared" si="10"/>
        <v>318</v>
      </c>
      <c r="D21" s="34" t="str">
        <f t="shared" si="11"/>
        <v>GP8</v>
      </c>
      <c r="F21" s="34">
        <f t="shared" si="7"/>
        <v>67</v>
      </c>
      <c r="G21" s="34" t="str">
        <f t="shared" si="7"/>
        <v>Iiro Riikonen</v>
      </c>
      <c r="H21" s="34">
        <f t="shared" si="7"/>
        <v>264</v>
      </c>
      <c r="I21" s="34" t="str">
        <f t="shared" si="7"/>
        <v>GP8</v>
      </c>
      <c r="K21" s="34">
        <f t="shared" si="1"/>
        <v>83</v>
      </c>
      <c r="L21" s="34" t="str">
        <f>IF(Data!$I20="","",Data!I20)</f>
        <v>Joonas Ollonqvist</v>
      </c>
      <c r="M21" s="34">
        <f>IF(Data!$I20="","",IF(Data!L20=0,"dns",Data!L20))</f>
        <v>247</v>
      </c>
      <c r="N21" s="34" t="str">
        <f>IF(Data!$I20="","","GP"&amp;Data!$B20)</f>
        <v>GP2</v>
      </c>
      <c r="O21" s="34">
        <f t="shared" si="2"/>
        <v>83</v>
      </c>
      <c r="P21" s="34">
        <f>IF($L21="","",Data!B20)</f>
        <v>2</v>
      </c>
      <c r="Q21" s="34">
        <f t="shared" si="3"/>
        <v>21</v>
      </c>
      <c r="R21" s="34">
        <f t="shared" si="4"/>
        <v>8.3020210000000011E-2</v>
      </c>
      <c r="S21" s="70"/>
    </row>
    <row r="22" spans="1:19" x14ac:dyDescent="0.25">
      <c r="A22" s="34">
        <f t="shared" si="8"/>
        <v>18</v>
      </c>
      <c r="B22" s="34" t="str">
        <f t="shared" si="9"/>
        <v>Henri Verho</v>
      </c>
      <c r="C22" s="34">
        <f t="shared" si="10"/>
        <v>317</v>
      </c>
      <c r="D22" s="34" t="str">
        <f t="shared" si="11"/>
        <v>GP2</v>
      </c>
      <c r="F22" s="34">
        <f t="shared" ref="F22:I37" si="12">IF(A72="","",A72)</f>
        <v>68</v>
      </c>
      <c r="G22" s="34" t="str">
        <f t="shared" si="12"/>
        <v>Mikko Mansikkamäki</v>
      </c>
      <c r="H22" s="34">
        <f t="shared" si="12"/>
        <v>264</v>
      </c>
      <c r="I22" s="34" t="str">
        <f t="shared" si="12"/>
        <v>GP10</v>
      </c>
      <c r="K22" s="34">
        <f t="shared" si="1"/>
        <v>108</v>
      </c>
      <c r="L22" s="34" t="str">
        <f>IF(Data!$I21="","",Data!I21)</f>
        <v>Tatu Erlin</v>
      </c>
      <c r="M22" s="34">
        <f>IF(Data!$I21="","",IF(Data!L21=0,"dns",Data!L21))</f>
        <v>223</v>
      </c>
      <c r="N22" s="34" t="str">
        <f>IF(Data!$I21="","","GP"&amp;Data!$B21)</f>
        <v>GP2</v>
      </c>
      <c r="O22" s="34">
        <f t="shared" si="2"/>
        <v>108</v>
      </c>
      <c r="P22" s="34">
        <f>IF($L22="","",Data!B21)</f>
        <v>2</v>
      </c>
      <c r="Q22" s="34">
        <f t="shared" si="3"/>
        <v>22</v>
      </c>
      <c r="R22" s="34">
        <f t="shared" si="4"/>
        <v>0.10802022</v>
      </c>
      <c r="S22" s="70"/>
    </row>
    <row r="23" spans="1:19" x14ac:dyDescent="0.25">
      <c r="A23" s="34">
        <f t="shared" si="8"/>
        <v>19</v>
      </c>
      <c r="B23" s="34" t="str">
        <f t="shared" si="9"/>
        <v>Jami Kallio</v>
      </c>
      <c r="C23" s="34">
        <f t="shared" si="10"/>
        <v>313</v>
      </c>
      <c r="D23" s="34" t="str">
        <f t="shared" si="11"/>
        <v>GP6</v>
      </c>
      <c r="F23" s="34">
        <f t="shared" si="12"/>
        <v>69</v>
      </c>
      <c r="G23" s="34" t="str">
        <f t="shared" si="12"/>
        <v>Asko Haaksi</v>
      </c>
      <c r="H23" s="34">
        <f t="shared" si="12"/>
        <v>263</v>
      </c>
      <c r="I23" s="34" t="str">
        <f t="shared" si="12"/>
        <v>GP9</v>
      </c>
      <c r="K23" s="34">
        <f t="shared" si="1"/>
        <v>92</v>
      </c>
      <c r="L23" s="34" t="str">
        <f>IF(Data!$I22="","",Data!I22)</f>
        <v>Juho Korpi</v>
      </c>
      <c r="M23" s="34">
        <f>IF(Data!$I22="","",IF(Data!L22=0,"dns",Data!L22))</f>
        <v>241</v>
      </c>
      <c r="N23" s="34" t="str">
        <f>IF(Data!$I22="","","GP"&amp;Data!$B22)</f>
        <v>GP2</v>
      </c>
      <c r="O23" s="34">
        <f t="shared" si="2"/>
        <v>90</v>
      </c>
      <c r="P23" s="34">
        <f>IF($L23="","",Data!B22)</f>
        <v>2</v>
      </c>
      <c r="Q23" s="34">
        <f t="shared" si="3"/>
        <v>23</v>
      </c>
      <c r="R23" s="34">
        <f t="shared" si="4"/>
        <v>9.0020230000000007E-2</v>
      </c>
      <c r="S23" s="70"/>
    </row>
    <row r="24" spans="1:19" x14ac:dyDescent="0.25">
      <c r="A24" s="34">
        <f t="shared" si="8"/>
        <v>20</v>
      </c>
      <c r="B24" s="34" t="str">
        <f t="shared" si="9"/>
        <v>Miika Nordblad</v>
      </c>
      <c r="C24" s="34">
        <f t="shared" si="10"/>
        <v>313</v>
      </c>
      <c r="D24" s="34" t="str">
        <f t="shared" si="11"/>
        <v>GP10</v>
      </c>
      <c r="F24" s="34">
        <f t="shared" si="12"/>
        <v>70</v>
      </c>
      <c r="G24" s="34" t="str">
        <f t="shared" si="12"/>
        <v>Kaleva Latvala</v>
      </c>
      <c r="H24" s="34">
        <f t="shared" si="12"/>
        <v>261</v>
      </c>
      <c r="I24" s="34" t="str">
        <f t="shared" si="12"/>
        <v>GP2</v>
      </c>
      <c r="K24" s="34">
        <f t="shared" si="1"/>
        <v>23</v>
      </c>
      <c r="L24" s="34" t="str">
        <f>IF(Data!$I23="","",Data!I23)</f>
        <v>Ossi Oksa</v>
      </c>
      <c r="M24" s="34">
        <f>IF(Data!$I23="","",IF(Data!L23=0,"dns",Data!L23))</f>
        <v>308</v>
      </c>
      <c r="N24" s="34" t="str">
        <f>IF(Data!$I23="","","GP"&amp;Data!$B23)</f>
        <v>GP2</v>
      </c>
      <c r="O24" s="34">
        <f t="shared" si="2"/>
        <v>23</v>
      </c>
      <c r="P24" s="34">
        <f>IF($L24="","",Data!B23)</f>
        <v>2</v>
      </c>
      <c r="Q24" s="34">
        <f t="shared" si="3"/>
        <v>24</v>
      </c>
      <c r="R24" s="34">
        <f t="shared" si="4"/>
        <v>2.3020239999999997E-2</v>
      </c>
      <c r="S24" s="70"/>
    </row>
    <row r="25" spans="1:19" x14ac:dyDescent="0.25">
      <c r="A25" s="34">
        <f t="shared" si="8"/>
        <v>21</v>
      </c>
      <c r="B25" s="34" t="str">
        <f t="shared" si="9"/>
        <v>Jami Kallio</v>
      </c>
      <c r="C25" s="34">
        <f t="shared" si="10"/>
        <v>312</v>
      </c>
      <c r="D25" s="34" t="str">
        <f t="shared" si="11"/>
        <v>GP7</v>
      </c>
      <c r="F25" s="34">
        <f t="shared" si="12"/>
        <v>71</v>
      </c>
      <c r="G25" s="34" t="str">
        <f t="shared" si="12"/>
        <v>Niko Reunanen</v>
      </c>
      <c r="H25" s="34">
        <f t="shared" si="12"/>
        <v>261</v>
      </c>
      <c r="I25" s="34" t="str">
        <f t="shared" si="12"/>
        <v>GP7</v>
      </c>
      <c r="K25" s="34">
        <f t="shared" si="1"/>
        <v>70</v>
      </c>
      <c r="L25" s="34" t="str">
        <f>IF(Data!$I24="","",Data!I24)</f>
        <v>Kaleva Latvala</v>
      </c>
      <c r="M25" s="34">
        <f>IF(Data!$I24="","",IF(Data!L24=0,"dns",Data!L24))</f>
        <v>261</v>
      </c>
      <c r="N25" s="34" t="str">
        <f>IF(Data!$I24="","","GP"&amp;Data!$B24)</f>
        <v>GP2</v>
      </c>
      <c r="O25" s="34">
        <f t="shared" si="2"/>
        <v>70</v>
      </c>
      <c r="P25" s="34">
        <f>IF($L25="","",Data!B24)</f>
        <v>2</v>
      </c>
      <c r="Q25" s="34">
        <f t="shared" si="3"/>
        <v>25</v>
      </c>
      <c r="R25" s="34">
        <f t="shared" si="4"/>
        <v>7.0020250000000006E-2</v>
      </c>
      <c r="S25" s="70"/>
    </row>
    <row r="26" spans="1:19" x14ac:dyDescent="0.25">
      <c r="A26" s="34">
        <f t="shared" si="8"/>
        <v>22</v>
      </c>
      <c r="B26" s="34" t="str">
        <f t="shared" si="9"/>
        <v>Miika Nordblad</v>
      </c>
      <c r="C26" s="34">
        <f t="shared" si="10"/>
        <v>309</v>
      </c>
      <c r="D26" s="34" t="str">
        <f t="shared" si="11"/>
        <v>GP7</v>
      </c>
      <c r="F26" s="34">
        <f t="shared" si="12"/>
        <v>72</v>
      </c>
      <c r="G26" s="34" t="str">
        <f t="shared" si="12"/>
        <v>Asko Haaksi</v>
      </c>
      <c r="H26" s="34">
        <f t="shared" si="12"/>
        <v>260</v>
      </c>
      <c r="I26" s="34" t="str">
        <f t="shared" si="12"/>
        <v>GP8</v>
      </c>
      <c r="K26" s="34">
        <f t="shared" si="1"/>
        <v>18</v>
      </c>
      <c r="L26" s="34" t="str">
        <f>IF(Data!$I25="","",Data!I25)</f>
        <v>Henri Verho</v>
      </c>
      <c r="M26" s="34">
        <f>IF(Data!$I25="","",IF(Data!L25=0,"dns",Data!L25))</f>
        <v>317</v>
      </c>
      <c r="N26" s="34" t="str">
        <f>IF(Data!$I25="","","GP"&amp;Data!$B25)</f>
        <v>GP2</v>
      </c>
      <c r="O26" s="34">
        <f t="shared" si="2"/>
        <v>18</v>
      </c>
      <c r="P26" s="34">
        <f>IF($L26="","",Data!B25)</f>
        <v>2</v>
      </c>
      <c r="Q26" s="34">
        <f t="shared" si="3"/>
        <v>26</v>
      </c>
      <c r="R26" s="34">
        <f t="shared" si="4"/>
        <v>1.8020259999999996E-2</v>
      </c>
      <c r="S26" s="70"/>
    </row>
    <row r="27" spans="1:19" x14ac:dyDescent="0.25">
      <c r="A27" s="34">
        <f t="shared" si="8"/>
        <v>23</v>
      </c>
      <c r="B27" s="34" t="str">
        <f t="shared" si="9"/>
        <v>Ossi Oksa</v>
      </c>
      <c r="C27" s="34">
        <f t="shared" si="10"/>
        <v>308</v>
      </c>
      <c r="D27" s="34" t="str">
        <f t="shared" si="11"/>
        <v>GP2</v>
      </c>
      <c r="F27" s="34">
        <f t="shared" si="12"/>
        <v>73</v>
      </c>
      <c r="G27" s="34" t="str">
        <f t="shared" si="12"/>
        <v>Kaleva Latvala</v>
      </c>
      <c r="H27" s="34">
        <f t="shared" si="12"/>
        <v>259</v>
      </c>
      <c r="I27" s="34" t="str">
        <f t="shared" si="12"/>
        <v>GP1</v>
      </c>
      <c r="K27" s="34">
        <f t="shared" si="1"/>
        <v>78</v>
      </c>
      <c r="L27" s="34" t="str">
        <f>IF(Data!$I26="","",Data!I26)</f>
        <v>Olli Kajava</v>
      </c>
      <c r="M27" s="34">
        <f>IF(Data!$I26="","",IF(Data!L26=0,"dns",Data!L26))</f>
        <v>253</v>
      </c>
      <c r="N27" s="34" t="str">
        <f>IF(Data!$I26="","","GP"&amp;Data!$B26)</f>
        <v>GP2</v>
      </c>
      <c r="O27" s="34">
        <f t="shared" si="2"/>
        <v>78</v>
      </c>
      <c r="P27" s="34">
        <f>IF($L27="","",Data!B26)</f>
        <v>2</v>
      </c>
      <c r="Q27" s="34">
        <f t="shared" si="3"/>
        <v>27</v>
      </c>
      <c r="R27" s="34">
        <f t="shared" si="4"/>
        <v>7.8020270000000003E-2</v>
      </c>
      <c r="S27" s="70"/>
    </row>
    <row r="28" spans="1:19" x14ac:dyDescent="0.25">
      <c r="A28" s="34">
        <f t="shared" si="8"/>
        <v>24</v>
      </c>
      <c r="B28" s="34" t="str">
        <f t="shared" si="9"/>
        <v>Asko Haaksi</v>
      </c>
      <c r="C28" s="34">
        <f t="shared" si="10"/>
        <v>307</v>
      </c>
      <c r="D28" s="34" t="str">
        <f t="shared" si="11"/>
        <v>GP2</v>
      </c>
      <c r="F28" s="34">
        <f t="shared" si="12"/>
        <v>74</v>
      </c>
      <c r="G28" s="34" t="str">
        <f t="shared" si="12"/>
        <v>Miikka Korventausta</v>
      </c>
      <c r="H28" s="34">
        <f t="shared" si="12"/>
        <v>258</v>
      </c>
      <c r="I28" s="34" t="str">
        <f t="shared" si="12"/>
        <v>GP3</v>
      </c>
      <c r="K28" s="34">
        <f t="shared" si="1"/>
        <v>13</v>
      </c>
      <c r="L28" s="34" t="str">
        <f>IF(Data!$I27="","",Data!I27)</f>
        <v>Jami Kallio</v>
      </c>
      <c r="M28" s="34">
        <f>IF(Data!$I27="","",IF(Data!L27=0,"dns",Data!L27))</f>
        <v>326</v>
      </c>
      <c r="N28" s="34" t="str">
        <f>IF(Data!$I27="","","GP"&amp;Data!$B27)</f>
        <v>GP2</v>
      </c>
      <c r="O28" s="34">
        <f t="shared" si="2"/>
        <v>13</v>
      </c>
      <c r="P28" s="34">
        <f>IF($L28="","",Data!B27)</f>
        <v>2</v>
      </c>
      <c r="Q28" s="34">
        <f t="shared" si="3"/>
        <v>28</v>
      </c>
      <c r="R28" s="34">
        <f t="shared" si="4"/>
        <v>1.3020279999999999E-2</v>
      </c>
      <c r="S28" s="70"/>
    </row>
    <row r="29" spans="1:19" x14ac:dyDescent="0.25">
      <c r="A29" s="34">
        <f t="shared" si="8"/>
        <v>25</v>
      </c>
      <c r="B29" s="34" t="str">
        <f t="shared" si="9"/>
        <v>Roope Warro</v>
      </c>
      <c r="C29" s="34">
        <f t="shared" si="10"/>
        <v>307</v>
      </c>
      <c r="D29" s="34" t="str">
        <f t="shared" si="11"/>
        <v>GP8</v>
      </c>
      <c r="F29" s="34">
        <f t="shared" si="12"/>
        <v>75</v>
      </c>
      <c r="G29" s="34" t="str">
        <f t="shared" si="12"/>
        <v>Miika Nordblad</v>
      </c>
      <c r="H29" s="34">
        <f t="shared" si="12"/>
        <v>256</v>
      </c>
      <c r="I29" s="34" t="str">
        <f t="shared" si="12"/>
        <v>GP6</v>
      </c>
      <c r="K29" s="34">
        <f t="shared" si="1"/>
        <v>32</v>
      </c>
      <c r="L29" s="34" t="str">
        <f>IF(Data!$I28="","",Data!I28)</f>
        <v>Iiro Riikonen</v>
      </c>
      <c r="M29" s="34">
        <f>IF(Data!$I28="","",IF(Data!L28=0,"dns",Data!L28))</f>
        <v>297</v>
      </c>
      <c r="N29" s="34" t="str">
        <f>IF(Data!$I28="","","GP"&amp;Data!$B28)</f>
        <v>GP2</v>
      </c>
      <c r="O29" s="34">
        <f t="shared" si="2"/>
        <v>32</v>
      </c>
      <c r="P29" s="34">
        <f>IF($L29="","",Data!B28)</f>
        <v>2</v>
      </c>
      <c r="Q29" s="34">
        <f t="shared" si="3"/>
        <v>29</v>
      </c>
      <c r="R29" s="34">
        <f t="shared" si="4"/>
        <v>3.202029E-2</v>
      </c>
      <c r="S29" s="70"/>
    </row>
    <row r="30" spans="1:19" x14ac:dyDescent="0.25">
      <c r="A30" s="34">
        <f t="shared" si="8"/>
        <v>26</v>
      </c>
      <c r="B30" s="34" t="str">
        <f t="shared" si="9"/>
        <v>Jami Kallio</v>
      </c>
      <c r="C30" s="34">
        <f t="shared" si="10"/>
        <v>307</v>
      </c>
      <c r="D30" s="34" t="str">
        <f t="shared" si="11"/>
        <v>GP9</v>
      </c>
      <c r="F30" s="34">
        <f t="shared" si="12"/>
        <v>76</v>
      </c>
      <c r="G30" s="34" t="str">
        <f t="shared" si="12"/>
        <v>Henri Verho</v>
      </c>
      <c r="H30" s="34">
        <f t="shared" si="12"/>
        <v>256</v>
      </c>
      <c r="I30" s="34" t="str">
        <f t="shared" si="12"/>
        <v>GP9</v>
      </c>
      <c r="K30" s="34">
        <f t="shared" si="1"/>
        <v>111</v>
      </c>
      <c r="L30" s="34" t="str">
        <f>IF(Data!$I29="","",Data!I29)</f>
        <v>Miikka Korventausta</v>
      </c>
      <c r="M30" s="34">
        <f>IF(Data!$I29="","",IF(Data!L29=0,"dns",Data!L29))</f>
        <v>217</v>
      </c>
      <c r="N30" s="34" t="str">
        <f>IF(Data!$I29="","","GP"&amp;Data!$B29)</f>
        <v>GP2</v>
      </c>
      <c r="O30" s="34">
        <f t="shared" si="2"/>
        <v>111</v>
      </c>
      <c r="P30" s="34">
        <f>IF($L30="","",Data!B29)</f>
        <v>2</v>
      </c>
      <c r="Q30" s="34">
        <f t="shared" si="3"/>
        <v>30</v>
      </c>
      <c r="R30" s="34">
        <f t="shared" si="4"/>
        <v>0.1110203</v>
      </c>
      <c r="S30" s="70"/>
    </row>
    <row r="31" spans="1:19" x14ac:dyDescent="0.25">
      <c r="A31" s="34">
        <f t="shared" si="8"/>
        <v>27</v>
      </c>
      <c r="B31" s="34" t="str">
        <f t="shared" si="9"/>
        <v>Niko Reunanen</v>
      </c>
      <c r="C31" s="34">
        <f t="shared" si="10"/>
        <v>307</v>
      </c>
      <c r="D31" s="34" t="str">
        <f t="shared" si="11"/>
        <v>GP9</v>
      </c>
      <c r="F31" s="34">
        <f t="shared" si="12"/>
        <v>77</v>
      </c>
      <c r="G31" s="34" t="str">
        <f t="shared" si="12"/>
        <v>Mika Sola</v>
      </c>
      <c r="H31" s="34">
        <f t="shared" si="12"/>
        <v>254</v>
      </c>
      <c r="I31" s="34" t="str">
        <f t="shared" si="12"/>
        <v>GP6</v>
      </c>
      <c r="K31" s="34">
        <f t="shared" si="1"/>
        <v>9</v>
      </c>
      <c r="L31" s="34" t="str">
        <f>IF(Data!$I30="","",Data!I30)</f>
        <v>Sakari Leinonen</v>
      </c>
      <c r="M31" s="34">
        <f>IF(Data!$I30="","",IF(Data!L30=0,"dns",Data!L30))</f>
        <v>332</v>
      </c>
      <c r="N31" s="34" t="str">
        <f>IF(Data!$I30="","","GP"&amp;Data!$B30)</f>
        <v>GP2</v>
      </c>
      <c r="O31" s="34">
        <f t="shared" si="2"/>
        <v>9</v>
      </c>
      <c r="P31" s="34">
        <f>IF($L31="","",Data!B30)</f>
        <v>2</v>
      </c>
      <c r="Q31" s="34">
        <f t="shared" si="3"/>
        <v>31</v>
      </c>
      <c r="R31" s="34">
        <f t="shared" si="4"/>
        <v>9.0203099999999984E-3</v>
      </c>
      <c r="S31" s="70"/>
    </row>
    <row r="32" spans="1:19" x14ac:dyDescent="0.25">
      <c r="A32" s="34">
        <f t="shared" si="8"/>
        <v>28</v>
      </c>
      <c r="B32" s="34" t="str">
        <f t="shared" si="9"/>
        <v>Jami Kallio</v>
      </c>
      <c r="C32" s="34">
        <f t="shared" si="10"/>
        <v>305</v>
      </c>
      <c r="D32" s="34" t="str">
        <f t="shared" si="11"/>
        <v>GP5</v>
      </c>
      <c r="F32" s="34">
        <f t="shared" si="12"/>
        <v>78</v>
      </c>
      <c r="G32" s="34" t="str">
        <f t="shared" si="12"/>
        <v>Olli Kajava</v>
      </c>
      <c r="H32" s="34">
        <f t="shared" si="12"/>
        <v>253</v>
      </c>
      <c r="I32" s="34" t="str">
        <f t="shared" si="12"/>
        <v>GP2</v>
      </c>
      <c r="K32" s="34">
        <f t="shared" si="1"/>
        <v>5</v>
      </c>
      <c r="L32" s="34" t="str">
        <f>IF(Data!$I31="","",Data!I31)</f>
        <v>Frans Hartman</v>
      </c>
      <c r="M32" s="34">
        <f>IF(Data!$I31="","",IF(Data!L31=0,"dns",Data!L31))</f>
        <v>333</v>
      </c>
      <c r="N32" s="34" t="str">
        <f>IF(Data!$I31="","","GP"&amp;Data!$B31)</f>
        <v>GP2</v>
      </c>
      <c r="O32" s="34">
        <f t="shared" si="2"/>
        <v>5</v>
      </c>
      <c r="P32" s="34">
        <f>IF($L32="","",Data!B31)</f>
        <v>2</v>
      </c>
      <c r="Q32" s="34">
        <f t="shared" si="3"/>
        <v>32</v>
      </c>
      <c r="R32" s="34">
        <f t="shared" si="4"/>
        <v>5.02032E-3</v>
      </c>
      <c r="S32" s="70"/>
    </row>
    <row r="33" spans="1:19" x14ac:dyDescent="0.25">
      <c r="A33" s="34">
        <f t="shared" si="8"/>
        <v>29</v>
      </c>
      <c r="B33" s="34" t="str">
        <f t="shared" si="9"/>
        <v>Iiro Riikonen</v>
      </c>
      <c r="C33" s="34">
        <f t="shared" si="10"/>
        <v>304</v>
      </c>
      <c r="D33" s="34" t="str">
        <f t="shared" si="11"/>
        <v>GP6</v>
      </c>
      <c r="F33" s="34">
        <f t="shared" si="12"/>
        <v>79</v>
      </c>
      <c r="G33" s="34" t="str">
        <f t="shared" si="12"/>
        <v>Juho Korpi</v>
      </c>
      <c r="H33" s="34">
        <f t="shared" si="12"/>
        <v>253</v>
      </c>
      <c r="I33" s="34" t="str">
        <f t="shared" si="12"/>
        <v>GP10</v>
      </c>
      <c r="K33" s="34">
        <f t="shared" si="1"/>
        <v>24</v>
      </c>
      <c r="L33" s="34" t="str">
        <f>IF(Data!$I32="","",Data!I32)</f>
        <v>Asko Haaksi</v>
      </c>
      <c r="M33" s="34">
        <f>IF(Data!$I32="","",IF(Data!L32=0,"dns",Data!L32))</f>
        <v>307</v>
      </c>
      <c r="N33" s="34" t="str">
        <f>IF(Data!$I32="","","GP"&amp;Data!$B32)</f>
        <v>GP2</v>
      </c>
      <c r="O33" s="34">
        <f t="shared" si="2"/>
        <v>24</v>
      </c>
      <c r="P33" s="34">
        <f>IF($L33="","",Data!B32)</f>
        <v>2</v>
      </c>
      <c r="Q33" s="34">
        <f t="shared" si="3"/>
        <v>33</v>
      </c>
      <c r="R33" s="34">
        <f t="shared" si="4"/>
        <v>2.4020329999999999E-2</v>
      </c>
      <c r="S33" s="70"/>
    </row>
    <row r="34" spans="1:19" x14ac:dyDescent="0.25">
      <c r="A34" s="34">
        <f t="shared" si="8"/>
        <v>30</v>
      </c>
      <c r="B34" s="34" t="str">
        <f t="shared" si="9"/>
        <v>Frans Hartman</v>
      </c>
      <c r="C34" s="34">
        <f t="shared" si="10"/>
        <v>302</v>
      </c>
      <c r="D34" s="34" t="str">
        <f t="shared" si="11"/>
        <v>GP9</v>
      </c>
      <c r="F34" s="34">
        <f t="shared" si="12"/>
        <v>80</v>
      </c>
      <c r="G34" s="34" t="str">
        <f t="shared" si="12"/>
        <v>Juho Korpi</v>
      </c>
      <c r="H34" s="34">
        <f t="shared" si="12"/>
        <v>250</v>
      </c>
      <c r="I34" s="34" t="str">
        <f t="shared" si="12"/>
        <v>GP3</v>
      </c>
      <c r="K34" s="34">
        <f t="shared" si="1"/>
        <v>6</v>
      </c>
      <c r="L34" s="34" t="str">
        <f>IF(Data!$I33="","",Data!I33)</f>
        <v>Miika Nordblad</v>
      </c>
      <c r="M34" s="34">
        <f>IF(Data!$I33="","",IF(Data!L33=0,"dns",Data!L33))</f>
        <v>333</v>
      </c>
      <c r="N34" s="34" t="str">
        <f>IF(Data!$I33="","","GP"&amp;Data!$B33)</f>
        <v>GP2</v>
      </c>
      <c r="O34" s="34">
        <f t="shared" si="2"/>
        <v>5</v>
      </c>
      <c r="P34" s="34">
        <f>IF($L34="","",Data!B33)</f>
        <v>2</v>
      </c>
      <c r="Q34" s="34">
        <f t="shared" si="3"/>
        <v>34</v>
      </c>
      <c r="R34" s="34">
        <f t="shared" si="4"/>
        <v>5.0203399999999999E-3</v>
      </c>
      <c r="S34" s="70"/>
    </row>
    <row r="35" spans="1:19" x14ac:dyDescent="0.25">
      <c r="A35" s="34">
        <f t="shared" si="8"/>
        <v>31</v>
      </c>
      <c r="B35" s="34" t="str">
        <f t="shared" si="9"/>
        <v>Henri Verho</v>
      </c>
      <c r="C35" s="34">
        <f t="shared" si="10"/>
        <v>298</v>
      </c>
      <c r="D35" s="34" t="str">
        <f t="shared" si="11"/>
        <v>GP6</v>
      </c>
      <c r="F35" s="34">
        <f t="shared" si="12"/>
        <v>81</v>
      </c>
      <c r="G35" s="34" t="str">
        <f t="shared" si="12"/>
        <v>Mika Sola</v>
      </c>
      <c r="H35" s="34">
        <f t="shared" si="12"/>
        <v>250</v>
      </c>
      <c r="I35" s="34" t="str">
        <f t="shared" si="12"/>
        <v>GP10</v>
      </c>
      <c r="K35" s="34">
        <f t="shared" si="1"/>
        <v>101</v>
      </c>
      <c r="L35" s="34" t="str">
        <f>IF(Data!$I34="","",Data!I34)</f>
        <v>Mika Sola</v>
      </c>
      <c r="M35" s="34">
        <f>IF(Data!$I34="","",IF(Data!L34=0,"dns",Data!L34))</f>
        <v>230</v>
      </c>
      <c r="N35" s="34" t="str">
        <f>IF(Data!$I34="","","GP"&amp;Data!$B34)</f>
        <v>GP2</v>
      </c>
      <c r="O35" s="34">
        <f t="shared" si="2"/>
        <v>100</v>
      </c>
      <c r="P35" s="34">
        <f>IF($L35="","",Data!B34)</f>
        <v>2</v>
      </c>
      <c r="Q35" s="34">
        <f t="shared" si="3"/>
        <v>35</v>
      </c>
      <c r="R35" s="34">
        <f t="shared" si="4"/>
        <v>0.10002035000000001</v>
      </c>
      <c r="S35" s="70"/>
    </row>
    <row r="36" spans="1:19" x14ac:dyDescent="0.25">
      <c r="A36" s="34">
        <f t="shared" si="8"/>
        <v>32</v>
      </c>
      <c r="B36" s="34" t="str">
        <f t="shared" si="9"/>
        <v>Iiro Riikonen</v>
      </c>
      <c r="C36" s="34">
        <f t="shared" si="10"/>
        <v>297</v>
      </c>
      <c r="D36" s="34" t="str">
        <f t="shared" si="11"/>
        <v>GP2</v>
      </c>
      <c r="F36" s="34">
        <f t="shared" si="12"/>
        <v>82</v>
      </c>
      <c r="G36" s="34" t="str">
        <f t="shared" si="12"/>
        <v>Mika Sola</v>
      </c>
      <c r="H36" s="34">
        <f t="shared" si="12"/>
        <v>248</v>
      </c>
      <c r="I36" s="34" t="str">
        <f t="shared" si="12"/>
        <v>GP1</v>
      </c>
      <c r="K36" s="34">
        <f t="shared" si="1"/>
        <v>134</v>
      </c>
      <c r="L36" s="34" t="str">
        <f>IF(Data!$I35="","",Data!I35)</f>
        <v>Niko Reunanen</v>
      </c>
      <c r="M36" s="34" t="str">
        <f>IF(Data!$I35="","",IF(Data!L35=0,"dns",Data!L35))</f>
        <v>dns</v>
      </c>
      <c r="N36" s="34" t="str">
        <f>IF(Data!$I35="","","GP"&amp;Data!$B35)</f>
        <v>GP2</v>
      </c>
      <c r="O36" s="34">
        <f t="shared" si="2"/>
        <v>313</v>
      </c>
      <c r="P36" s="34">
        <f>IF($L36="","",Data!B35)</f>
        <v>2</v>
      </c>
      <c r="Q36" s="34">
        <f t="shared" si="3"/>
        <v>36</v>
      </c>
      <c r="R36" s="34">
        <f t="shared" si="4"/>
        <v>0.31302036</v>
      </c>
      <c r="S36" s="70"/>
    </row>
    <row r="37" spans="1:19" x14ac:dyDescent="0.25">
      <c r="A37" s="34">
        <f t="shared" si="8"/>
        <v>33</v>
      </c>
      <c r="B37" s="34" t="str">
        <f t="shared" si="9"/>
        <v>Mika Sola</v>
      </c>
      <c r="C37" s="34">
        <f t="shared" si="10"/>
        <v>295</v>
      </c>
      <c r="D37" s="34" t="str">
        <f t="shared" si="11"/>
        <v>GP7</v>
      </c>
      <c r="F37" s="34">
        <f t="shared" si="12"/>
        <v>83</v>
      </c>
      <c r="G37" s="34" t="str">
        <f t="shared" si="12"/>
        <v>Joonas Ollonqvist</v>
      </c>
      <c r="H37" s="34">
        <f t="shared" si="12"/>
        <v>247</v>
      </c>
      <c r="I37" s="34" t="str">
        <f t="shared" si="12"/>
        <v>GP2</v>
      </c>
      <c r="K37" s="34">
        <f t="shared" si="1"/>
        <v>135</v>
      </c>
      <c r="L37" s="34" t="str">
        <f>IF(Data!$I36="","",Data!I36)</f>
        <v>Mikko Mansikkamäki</v>
      </c>
      <c r="M37" s="34" t="str">
        <f>IF(Data!$I36="","",IF(Data!L36=0,"dns",Data!L36))</f>
        <v>dns</v>
      </c>
      <c r="N37" s="34" t="str">
        <f>IF(Data!$I36="","","GP"&amp;Data!$B36)</f>
        <v>GP2</v>
      </c>
      <c r="O37" s="34">
        <f t="shared" si="2"/>
        <v>313</v>
      </c>
      <c r="P37" s="34">
        <f>IF($L37="","",Data!B36)</f>
        <v>2</v>
      </c>
      <c r="Q37" s="34">
        <f t="shared" si="3"/>
        <v>37</v>
      </c>
      <c r="R37" s="34">
        <f t="shared" si="4"/>
        <v>0.31302037000000005</v>
      </c>
      <c r="S37" s="70"/>
    </row>
    <row r="38" spans="1:19" x14ac:dyDescent="0.25">
      <c r="A38" s="34">
        <f t="shared" si="8"/>
        <v>34</v>
      </c>
      <c r="B38" s="34" t="str">
        <f t="shared" si="9"/>
        <v>Jami Kallio</v>
      </c>
      <c r="C38" s="34">
        <f t="shared" si="10"/>
        <v>294</v>
      </c>
      <c r="D38" s="34" t="str">
        <f t="shared" si="11"/>
        <v>GP8</v>
      </c>
      <c r="F38" s="34">
        <f t="shared" ref="F38:I53" si="13">IF(A88="","",A88)</f>
        <v>84</v>
      </c>
      <c r="G38" s="34" t="str">
        <f t="shared" si="13"/>
        <v>Ossi Oksa</v>
      </c>
      <c r="H38" s="34">
        <f t="shared" si="13"/>
        <v>247</v>
      </c>
      <c r="I38" s="34" t="str">
        <f t="shared" si="13"/>
        <v>GP7</v>
      </c>
      <c r="K38" s="34">
        <f t="shared" si="1"/>
        <v>136</v>
      </c>
      <c r="L38" s="34" t="str">
        <f>IF(Data!$I37="","",Data!I37)</f>
        <v>Roope Warro</v>
      </c>
      <c r="M38" s="34" t="str">
        <f>IF(Data!$I37="","",IF(Data!L37=0,"dns",Data!L37))</f>
        <v>dns</v>
      </c>
      <c r="N38" s="34" t="str">
        <f>IF(Data!$I37="","","GP"&amp;Data!$B37)</f>
        <v>GP2</v>
      </c>
      <c r="O38" s="34">
        <f t="shared" si="2"/>
        <v>313</v>
      </c>
      <c r="P38" s="34">
        <f>IF($L38="","",Data!B37)</f>
        <v>2</v>
      </c>
      <c r="Q38" s="34">
        <f t="shared" si="3"/>
        <v>38</v>
      </c>
      <c r="R38" s="34">
        <f t="shared" si="4"/>
        <v>0.31302038000000004</v>
      </c>
      <c r="S38" s="70"/>
    </row>
    <row r="39" spans="1:19" x14ac:dyDescent="0.25">
      <c r="A39" s="34">
        <f t="shared" si="8"/>
        <v>35</v>
      </c>
      <c r="B39" s="34" t="str">
        <f t="shared" si="9"/>
        <v>Henri Verho</v>
      </c>
      <c r="C39" s="34">
        <f t="shared" si="10"/>
        <v>293</v>
      </c>
      <c r="D39" s="34" t="str">
        <f t="shared" si="11"/>
        <v>GP5</v>
      </c>
      <c r="F39" s="34">
        <f t="shared" si="13"/>
        <v>85</v>
      </c>
      <c r="G39" s="34" t="str">
        <f t="shared" si="13"/>
        <v>Niko Reunanen</v>
      </c>
      <c r="H39" s="34">
        <f t="shared" si="13"/>
        <v>246</v>
      </c>
      <c r="I39" s="34" t="str">
        <f t="shared" si="13"/>
        <v>GP10</v>
      </c>
      <c r="K39" s="34">
        <f t="shared" si="1"/>
        <v>115</v>
      </c>
      <c r="L39" s="34" t="str">
        <f>IF(Data!$I38="","",Data!I38)</f>
        <v>Mikko Mansikkamäki</v>
      </c>
      <c r="M39" s="34">
        <f>IF(Data!$I38="","",IF(Data!L38=0,"dns",Data!L38))</f>
        <v>209</v>
      </c>
      <c r="N39" s="34" t="str">
        <f>IF(Data!$I38="","","GP"&amp;Data!$B38)</f>
        <v>GP3</v>
      </c>
      <c r="O39" s="34">
        <f t="shared" si="2"/>
        <v>115</v>
      </c>
      <c r="P39" s="34">
        <f>IF($L39="","",Data!B38)</f>
        <v>3</v>
      </c>
      <c r="Q39" s="34">
        <f t="shared" si="3"/>
        <v>39</v>
      </c>
      <c r="R39" s="34">
        <f t="shared" si="4"/>
        <v>0.11503039000000001</v>
      </c>
      <c r="S39" s="70"/>
    </row>
    <row r="40" spans="1:19" x14ac:dyDescent="0.25">
      <c r="A40" s="34">
        <f t="shared" si="8"/>
        <v>36</v>
      </c>
      <c r="B40" s="34" t="str">
        <f t="shared" si="9"/>
        <v>Sakari Leinonen</v>
      </c>
      <c r="C40" s="34">
        <f t="shared" si="10"/>
        <v>292</v>
      </c>
      <c r="D40" s="34" t="str">
        <f t="shared" si="11"/>
        <v>GP5</v>
      </c>
      <c r="F40" s="34">
        <f t="shared" si="13"/>
        <v>86</v>
      </c>
      <c r="G40" s="34" t="str">
        <f t="shared" si="13"/>
        <v>Mika Sola</v>
      </c>
      <c r="H40" s="34">
        <f t="shared" si="13"/>
        <v>245</v>
      </c>
      <c r="I40" s="34" t="str">
        <f t="shared" si="13"/>
        <v>GP4</v>
      </c>
      <c r="K40" s="34">
        <f t="shared" si="1"/>
        <v>58</v>
      </c>
      <c r="L40" s="34" t="str">
        <f>IF(Data!$I39="","",Data!I39)</f>
        <v>Niko Reunanen</v>
      </c>
      <c r="M40" s="34">
        <f>IF(Data!$I39="","",IF(Data!L39=0,"dns",Data!L39))</f>
        <v>275</v>
      </c>
      <c r="N40" s="34" t="str">
        <f>IF(Data!$I39="","","GP"&amp;Data!$B39)</f>
        <v>GP3</v>
      </c>
      <c r="O40" s="34">
        <f t="shared" si="2"/>
        <v>58</v>
      </c>
      <c r="P40" s="34">
        <f>IF($L40="","",Data!B39)</f>
        <v>3</v>
      </c>
      <c r="Q40" s="34">
        <f t="shared" si="3"/>
        <v>40</v>
      </c>
      <c r="R40" s="34">
        <f t="shared" si="4"/>
        <v>5.8030400000000003E-2</v>
      </c>
      <c r="S40" s="70"/>
    </row>
    <row r="41" spans="1:19" x14ac:dyDescent="0.25">
      <c r="A41" s="34">
        <f t="shared" si="8"/>
        <v>37</v>
      </c>
      <c r="B41" s="34" t="str">
        <f t="shared" si="9"/>
        <v>Olli Kajava</v>
      </c>
      <c r="C41" s="34">
        <f t="shared" si="10"/>
        <v>292</v>
      </c>
      <c r="D41" s="34" t="str">
        <f t="shared" si="11"/>
        <v>GP7</v>
      </c>
      <c r="F41" s="34">
        <f t="shared" si="13"/>
        <v>87</v>
      </c>
      <c r="G41" s="34" t="str">
        <f t="shared" si="13"/>
        <v>Henri Verho</v>
      </c>
      <c r="H41" s="34">
        <f t="shared" si="13"/>
        <v>244</v>
      </c>
      <c r="I41" s="34" t="str">
        <f t="shared" si="13"/>
        <v>GP3</v>
      </c>
      <c r="K41" s="34">
        <f t="shared" si="1"/>
        <v>11</v>
      </c>
      <c r="L41" s="34" t="str">
        <f>IF(Data!$I40="","",Data!I40)</f>
        <v>Miika Nordblad</v>
      </c>
      <c r="M41" s="34">
        <f>IF(Data!$I40="","",IF(Data!L40=0,"dns",Data!L40))</f>
        <v>327</v>
      </c>
      <c r="N41" s="34" t="str">
        <f>IF(Data!$I40="","","GP"&amp;Data!$B40)</f>
        <v>GP3</v>
      </c>
      <c r="O41" s="34">
        <f t="shared" si="2"/>
        <v>11</v>
      </c>
      <c r="P41" s="34">
        <f>IF($L41="","",Data!B40)</f>
        <v>3</v>
      </c>
      <c r="Q41" s="34">
        <f t="shared" si="3"/>
        <v>41</v>
      </c>
      <c r="R41" s="34">
        <f t="shared" si="4"/>
        <v>1.1030409999999999E-2</v>
      </c>
      <c r="S41" s="70"/>
    </row>
    <row r="42" spans="1:19" x14ac:dyDescent="0.25">
      <c r="A42" s="34">
        <f t="shared" si="8"/>
        <v>38</v>
      </c>
      <c r="B42" s="34" t="str">
        <f t="shared" si="9"/>
        <v>Mika Sola</v>
      </c>
      <c r="C42" s="34">
        <f t="shared" si="10"/>
        <v>291</v>
      </c>
      <c r="D42" s="34" t="str">
        <f t="shared" si="11"/>
        <v>GP3</v>
      </c>
      <c r="F42" s="34">
        <f t="shared" si="13"/>
        <v>88</v>
      </c>
      <c r="G42" s="34" t="str">
        <f t="shared" si="13"/>
        <v>Niko Reunanen</v>
      </c>
      <c r="H42" s="34">
        <f t="shared" si="13"/>
        <v>243</v>
      </c>
      <c r="I42" s="34" t="str">
        <f t="shared" si="13"/>
        <v>GP5</v>
      </c>
      <c r="K42" s="34">
        <f t="shared" si="1"/>
        <v>1</v>
      </c>
      <c r="L42" s="34" t="str">
        <f>IF(Data!$I41="","",Data!I41)</f>
        <v>Ossi Oksa</v>
      </c>
      <c r="M42" s="34">
        <f>IF(Data!$I41="","",IF(Data!L41=0,"dns",Data!L41))</f>
        <v>401</v>
      </c>
      <c r="N42" s="34" t="str">
        <f>IF(Data!$I41="","","GP"&amp;Data!$B41)</f>
        <v>GP3</v>
      </c>
      <c r="O42" s="34">
        <f t="shared" si="2"/>
        <v>1</v>
      </c>
      <c r="P42" s="34">
        <f>IF($L42="","",Data!B41)</f>
        <v>3</v>
      </c>
      <c r="Q42" s="34">
        <f t="shared" si="3"/>
        <v>42</v>
      </c>
      <c r="R42" s="34">
        <f t="shared" si="4"/>
        <v>1.0304200000000002E-3</v>
      </c>
      <c r="S42" s="70"/>
    </row>
    <row r="43" spans="1:19" x14ac:dyDescent="0.25">
      <c r="A43" s="34">
        <f t="shared" si="8"/>
        <v>39</v>
      </c>
      <c r="B43" s="34" t="str">
        <f t="shared" si="9"/>
        <v>Henri Verho</v>
      </c>
      <c r="C43" s="34">
        <f t="shared" si="10"/>
        <v>291</v>
      </c>
      <c r="D43" s="34" t="str">
        <f t="shared" si="11"/>
        <v>GP10</v>
      </c>
      <c r="F43" s="34">
        <f t="shared" si="13"/>
        <v>89</v>
      </c>
      <c r="G43" s="34" t="str">
        <f t="shared" si="13"/>
        <v>Niko Reunanen</v>
      </c>
      <c r="H43" s="34">
        <f t="shared" si="13"/>
        <v>242</v>
      </c>
      <c r="I43" s="34" t="str">
        <f t="shared" si="13"/>
        <v>GP8</v>
      </c>
      <c r="K43" s="34">
        <f t="shared" si="1"/>
        <v>87</v>
      </c>
      <c r="L43" s="34" t="str">
        <f>IF(Data!$I42="","",Data!I42)</f>
        <v>Henri Verho</v>
      </c>
      <c r="M43" s="34">
        <f>IF(Data!$I42="","",IF(Data!L42=0,"dns",Data!L42))</f>
        <v>244</v>
      </c>
      <c r="N43" s="34" t="str">
        <f>IF(Data!$I42="","","GP"&amp;Data!$B42)</f>
        <v>GP3</v>
      </c>
      <c r="O43" s="34">
        <f t="shared" si="2"/>
        <v>87</v>
      </c>
      <c r="P43" s="34">
        <f>IF($L43="","",Data!B42)</f>
        <v>3</v>
      </c>
      <c r="Q43" s="34">
        <f t="shared" si="3"/>
        <v>43</v>
      </c>
      <c r="R43" s="34">
        <f t="shared" si="4"/>
        <v>8.7030429999999992E-2</v>
      </c>
      <c r="S43" s="70"/>
    </row>
    <row r="44" spans="1:19" x14ac:dyDescent="0.25">
      <c r="A44" s="34">
        <f t="shared" si="8"/>
        <v>40</v>
      </c>
      <c r="B44" s="34" t="str">
        <f t="shared" si="9"/>
        <v>Juho Korpi</v>
      </c>
      <c r="C44" s="34">
        <f t="shared" si="10"/>
        <v>290</v>
      </c>
      <c r="D44" s="34" t="str">
        <f t="shared" si="11"/>
        <v>GP6</v>
      </c>
      <c r="F44" s="34">
        <f t="shared" si="13"/>
        <v>90</v>
      </c>
      <c r="G44" s="34" t="str">
        <f t="shared" si="13"/>
        <v>Frans Hartman</v>
      </c>
      <c r="H44" s="34">
        <f t="shared" si="13"/>
        <v>241</v>
      </c>
      <c r="I44" s="34" t="str">
        <f t="shared" si="13"/>
        <v>GP1</v>
      </c>
      <c r="K44" s="34">
        <f t="shared" si="1"/>
        <v>38</v>
      </c>
      <c r="L44" s="34" t="str">
        <f>IF(Data!$I43="","",Data!I43)</f>
        <v>Mika Sola</v>
      </c>
      <c r="M44" s="34">
        <f>IF(Data!$I43="","",IF(Data!L43=0,"dns",Data!L43))</f>
        <v>291</v>
      </c>
      <c r="N44" s="34" t="str">
        <f>IF(Data!$I43="","","GP"&amp;Data!$B43)</f>
        <v>GP3</v>
      </c>
      <c r="O44" s="34">
        <f t="shared" si="2"/>
        <v>38</v>
      </c>
      <c r="P44" s="34">
        <f>IF($L44="","",Data!B43)</f>
        <v>3</v>
      </c>
      <c r="Q44" s="34">
        <f t="shared" si="3"/>
        <v>44</v>
      </c>
      <c r="R44" s="34">
        <f t="shared" si="4"/>
        <v>3.8030439999999999E-2</v>
      </c>
      <c r="S44" s="70"/>
    </row>
    <row r="45" spans="1:19" x14ac:dyDescent="0.25">
      <c r="A45" s="34">
        <f t="shared" si="8"/>
        <v>41</v>
      </c>
      <c r="B45" s="34" t="str">
        <f t="shared" si="9"/>
        <v>Miika Nordblad</v>
      </c>
      <c r="C45" s="34">
        <f t="shared" si="10"/>
        <v>290</v>
      </c>
      <c r="D45" s="34" t="str">
        <f t="shared" si="11"/>
        <v>GP9</v>
      </c>
      <c r="F45" s="34">
        <f t="shared" si="13"/>
        <v>91</v>
      </c>
      <c r="G45" s="34" t="str">
        <f t="shared" si="13"/>
        <v>Ossi Oksa</v>
      </c>
      <c r="H45" s="34">
        <f t="shared" si="13"/>
        <v>241</v>
      </c>
      <c r="I45" s="34" t="str">
        <f t="shared" si="13"/>
        <v>GP1</v>
      </c>
      <c r="K45" s="34">
        <f t="shared" si="1"/>
        <v>104</v>
      </c>
      <c r="L45" s="34" t="str">
        <f>IF(Data!$I44="","",Data!I44)</f>
        <v>Sakari Leinonen</v>
      </c>
      <c r="M45" s="34">
        <f>IF(Data!$I44="","",IF(Data!L44=0,"dns",Data!L44))</f>
        <v>226</v>
      </c>
      <c r="N45" s="34" t="str">
        <f>IF(Data!$I44="","","GP"&amp;Data!$B44)</f>
        <v>GP3</v>
      </c>
      <c r="O45" s="34">
        <f t="shared" si="2"/>
        <v>104</v>
      </c>
      <c r="P45" s="34">
        <f>IF($L45="","",Data!B44)</f>
        <v>3</v>
      </c>
      <c r="Q45" s="34">
        <f t="shared" si="3"/>
        <v>45</v>
      </c>
      <c r="R45" s="34">
        <f t="shared" si="4"/>
        <v>0.10403045</v>
      </c>
      <c r="S45" s="70"/>
    </row>
    <row r="46" spans="1:19" x14ac:dyDescent="0.25">
      <c r="A46" s="34">
        <f t="shared" si="8"/>
        <v>42</v>
      </c>
      <c r="B46" s="34" t="str">
        <f t="shared" si="9"/>
        <v>Asko Haaksi</v>
      </c>
      <c r="C46" s="34">
        <f t="shared" si="10"/>
        <v>289</v>
      </c>
      <c r="D46" s="34" t="str">
        <f t="shared" si="11"/>
        <v>GP4</v>
      </c>
      <c r="F46" s="34">
        <f t="shared" si="13"/>
        <v>92</v>
      </c>
      <c r="G46" s="34" t="str">
        <f t="shared" si="13"/>
        <v>Juho Korpi</v>
      </c>
      <c r="H46" s="34">
        <f t="shared" si="13"/>
        <v>241</v>
      </c>
      <c r="I46" s="34" t="str">
        <f t="shared" si="13"/>
        <v>GP2</v>
      </c>
      <c r="K46" s="34">
        <f t="shared" si="1"/>
        <v>50</v>
      </c>
      <c r="L46" s="34" t="str">
        <f>IF(Data!$I45="","",Data!I45)</f>
        <v>Jami Kallio</v>
      </c>
      <c r="M46" s="34">
        <f>IF(Data!$I45="","",IF(Data!L45=0,"dns",Data!L45))</f>
        <v>282</v>
      </c>
      <c r="N46" s="34" t="str">
        <f>IF(Data!$I45="","","GP"&amp;Data!$B45)</f>
        <v>GP3</v>
      </c>
      <c r="O46" s="34">
        <f t="shared" si="2"/>
        <v>50</v>
      </c>
      <c r="P46" s="34">
        <f>IF($L46="","",Data!B45)</f>
        <v>3</v>
      </c>
      <c r="Q46" s="34">
        <f t="shared" si="3"/>
        <v>46</v>
      </c>
      <c r="R46" s="34">
        <f t="shared" si="4"/>
        <v>5.0030460000000006E-2</v>
      </c>
      <c r="S46" s="70"/>
    </row>
    <row r="47" spans="1:19" x14ac:dyDescent="0.25">
      <c r="A47" s="34">
        <f t="shared" si="8"/>
        <v>43</v>
      </c>
      <c r="B47" s="34" t="str">
        <f t="shared" si="9"/>
        <v>Juho Korpi</v>
      </c>
      <c r="C47" s="34">
        <f t="shared" si="10"/>
        <v>289</v>
      </c>
      <c r="D47" s="34" t="str">
        <f t="shared" si="11"/>
        <v>GP5</v>
      </c>
      <c r="F47" s="34">
        <f t="shared" si="13"/>
        <v>93</v>
      </c>
      <c r="G47" s="34" t="str">
        <f t="shared" si="13"/>
        <v>Joonas Ollonqvist</v>
      </c>
      <c r="H47" s="34">
        <f t="shared" si="13"/>
        <v>241</v>
      </c>
      <c r="I47" s="34" t="str">
        <f t="shared" si="13"/>
        <v>GP6</v>
      </c>
      <c r="K47" s="34">
        <f t="shared" si="1"/>
        <v>80</v>
      </c>
      <c r="L47" s="34" t="str">
        <f>IF(Data!$I46="","",Data!I46)</f>
        <v>Juho Korpi</v>
      </c>
      <c r="M47" s="34">
        <f>IF(Data!$I46="","",IF(Data!L46=0,"dns",Data!L46))</f>
        <v>250</v>
      </c>
      <c r="N47" s="34" t="str">
        <f>IF(Data!$I46="","","GP"&amp;Data!$B46)</f>
        <v>GP3</v>
      </c>
      <c r="O47" s="34">
        <f t="shared" si="2"/>
        <v>80</v>
      </c>
      <c r="P47" s="34">
        <f>IF($L47="","",Data!B46)</f>
        <v>3</v>
      </c>
      <c r="Q47" s="34">
        <f t="shared" si="3"/>
        <v>47</v>
      </c>
      <c r="R47" s="34">
        <f t="shared" si="4"/>
        <v>8.0030470000000006E-2</v>
      </c>
      <c r="S47" s="70"/>
    </row>
    <row r="48" spans="1:19" x14ac:dyDescent="0.25">
      <c r="A48" s="34">
        <f t="shared" si="8"/>
        <v>44</v>
      </c>
      <c r="B48" s="34" t="str">
        <f t="shared" si="9"/>
        <v>Niko Reunanen</v>
      </c>
      <c r="C48" s="34">
        <f t="shared" si="10"/>
        <v>289</v>
      </c>
      <c r="D48" s="34" t="str">
        <f t="shared" si="11"/>
        <v>GP6</v>
      </c>
      <c r="F48" s="34">
        <f t="shared" si="13"/>
        <v>94</v>
      </c>
      <c r="G48" s="34" t="str">
        <f t="shared" si="13"/>
        <v>Sakari Leinonen</v>
      </c>
      <c r="H48" s="34">
        <f t="shared" si="13"/>
        <v>240</v>
      </c>
      <c r="I48" s="34" t="str">
        <f t="shared" si="13"/>
        <v>GP10</v>
      </c>
      <c r="K48" s="34">
        <f t="shared" si="1"/>
        <v>99</v>
      </c>
      <c r="L48" s="34" t="str">
        <f>IF(Data!$I47="","",Data!I47)</f>
        <v>Kaleva Latvala</v>
      </c>
      <c r="M48" s="34">
        <f>IF(Data!$I47="","",IF(Data!L47=0,"dns",Data!L47))</f>
        <v>232</v>
      </c>
      <c r="N48" s="34" t="str">
        <f>IF(Data!$I47="","","GP"&amp;Data!$B47)</f>
        <v>GP3</v>
      </c>
      <c r="O48" s="34">
        <f t="shared" si="2"/>
        <v>99</v>
      </c>
      <c r="P48" s="34">
        <f>IF($L48="","",Data!B47)</f>
        <v>3</v>
      </c>
      <c r="Q48" s="34">
        <f t="shared" si="3"/>
        <v>48</v>
      </c>
      <c r="R48" s="34">
        <f t="shared" si="4"/>
        <v>9.9030480000000004E-2</v>
      </c>
      <c r="S48" s="70"/>
    </row>
    <row r="49" spans="1:19" x14ac:dyDescent="0.25">
      <c r="A49" s="34">
        <f t="shared" si="8"/>
        <v>45</v>
      </c>
      <c r="B49" s="34" t="str">
        <f t="shared" si="9"/>
        <v>Asko Haaksi</v>
      </c>
      <c r="C49" s="34">
        <f t="shared" si="10"/>
        <v>288</v>
      </c>
      <c r="D49" s="34" t="str">
        <f t="shared" si="11"/>
        <v>GP5</v>
      </c>
      <c r="F49" s="34">
        <f t="shared" si="13"/>
        <v>95</v>
      </c>
      <c r="G49" s="34" t="str">
        <f t="shared" si="13"/>
        <v>Sakari Leinonen</v>
      </c>
      <c r="H49" s="34">
        <f t="shared" si="13"/>
        <v>237</v>
      </c>
      <c r="I49" s="34" t="str">
        <f t="shared" si="13"/>
        <v>GP6</v>
      </c>
      <c r="K49" s="34">
        <f t="shared" si="1"/>
        <v>74</v>
      </c>
      <c r="L49" s="34" t="str">
        <f>IF(Data!$I48="","",Data!I48)</f>
        <v>Miikka Korventausta</v>
      </c>
      <c r="M49" s="34">
        <f>IF(Data!$I48="","",IF(Data!L48=0,"dns",Data!L48))</f>
        <v>258</v>
      </c>
      <c r="N49" s="34" t="str">
        <f>IF(Data!$I48="","","GP"&amp;Data!$B48)</f>
        <v>GP3</v>
      </c>
      <c r="O49" s="34">
        <f t="shared" si="2"/>
        <v>74</v>
      </c>
      <c r="P49" s="34">
        <f>IF($L49="","",Data!B48)</f>
        <v>3</v>
      </c>
      <c r="Q49" s="34">
        <f t="shared" si="3"/>
        <v>49</v>
      </c>
      <c r="R49" s="34">
        <f t="shared" si="4"/>
        <v>7.4030490000000004E-2</v>
      </c>
      <c r="S49" s="70"/>
    </row>
    <row r="50" spans="1:19" x14ac:dyDescent="0.25">
      <c r="A50" s="34">
        <f t="shared" si="8"/>
        <v>46</v>
      </c>
      <c r="B50" s="34" t="str">
        <f t="shared" si="9"/>
        <v>Henri Verho</v>
      </c>
      <c r="C50" s="34">
        <f t="shared" si="10"/>
        <v>288</v>
      </c>
      <c r="D50" s="34" t="str">
        <f t="shared" si="11"/>
        <v>GP7</v>
      </c>
      <c r="F50" s="34">
        <f t="shared" si="13"/>
        <v>96</v>
      </c>
      <c r="G50" s="34" t="str">
        <f t="shared" si="13"/>
        <v>Joonas Ollonqvist</v>
      </c>
      <c r="H50" s="34">
        <f t="shared" si="13"/>
        <v>236</v>
      </c>
      <c r="I50" s="34" t="str">
        <f t="shared" si="13"/>
        <v>GP8</v>
      </c>
      <c r="K50" s="34">
        <f t="shared" si="1"/>
        <v>137</v>
      </c>
      <c r="L50" s="34" t="str">
        <f>IF(Data!$I49="","",Data!I49)</f>
        <v>Joonas Ollonqvist</v>
      </c>
      <c r="M50" s="34" t="str">
        <f>IF(Data!$I49="","",IF(Data!L49=0,"dns",Data!L49))</f>
        <v>dns</v>
      </c>
      <c r="N50" s="34" t="str">
        <f>IF(Data!$I49="","","GP"&amp;Data!$B49)</f>
        <v>GP3</v>
      </c>
      <c r="O50" s="34">
        <f t="shared" si="2"/>
        <v>313</v>
      </c>
      <c r="P50" s="34">
        <f>IF($L50="","",Data!B49)</f>
        <v>3</v>
      </c>
      <c r="Q50" s="34">
        <f t="shared" si="3"/>
        <v>50</v>
      </c>
      <c r="R50" s="34">
        <f t="shared" si="4"/>
        <v>0.31303049999999999</v>
      </c>
      <c r="S50" s="70"/>
    </row>
    <row r="51" spans="1:19" x14ac:dyDescent="0.25">
      <c r="A51" s="34">
        <f t="shared" si="8"/>
        <v>47</v>
      </c>
      <c r="B51" s="34" t="str">
        <f t="shared" si="9"/>
        <v>Olli Kajava</v>
      </c>
      <c r="C51" s="34">
        <f t="shared" si="10"/>
        <v>286</v>
      </c>
      <c r="D51" s="34" t="str">
        <f t="shared" si="11"/>
        <v>GP6</v>
      </c>
      <c r="F51" s="34">
        <f t="shared" si="13"/>
        <v>97</v>
      </c>
      <c r="G51" s="34" t="str">
        <f t="shared" si="13"/>
        <v>Joonas Ollonqvist</v>
      </c>
      <c r="H51" s="34">
        <f t="shared" si="13"/>
        <v>233</v>
      </c>
      <c r="I51" s="34" t="str">
        <f t="shared" si="13"/>
        <v>GP7</v>
      </c>
      <c r="K51" s="34">
        <f t="shared" si="1"/>
        <v>138</v>
      </c>
      <c r="L51" s="34" t="str">
        <f>IF(Data!$I50="","",Data!I50)</f>
        <v>Tatu Erlin</v>
      </c>
      <c r="M51" s="34" t="str">
        <f>IF(Data!$I50="","",IF(Data!L50=0,"dns",Data!L50))</f>
        <v>dns</v>
      </c>
      <c r="N51" s="34" t="str">
        <f>IF(Data!$I50="","","GP"&amp;Data!$B50)</f>
        <v>GP3</v>
      </c>
      <c r="O51" s="34">
        <f t="shared" si="2"/>
        <v>313</v>
      </c>
      <c r="P51" s="34">
        <f>IF($L51="","",Data!B50)</f>
        <v>3</v>
      </c>
      <c r="Q51" s="34">
        <f t="shared" si="3"/>
        <v>51</v>
      </c>
      <c r="R51" s="34">
        <f t="shared" si="4"/>
        <v>0.31303050999999998</v>
      </c>
      <c r="S51" s="70"/>
    </row>
    <row r="52" spans="1:19" x14ac:dyDescent="0.25">
      <c r="A52" s="34">
        <f t="shared" si="8"/>
        <v>48</v>
      </c>
      <c r="B52" s="34" t="str">
        <f t="shared" si="9"/>
        <v>Olli Kajava</v>
      </c>
      <c r="C52" s="34">
        <f t="shared" si="10"/>
        <v>284</v>
      </c>
      <c r="D52" s="34" t="str">
        <f t="shared" si="11"/>
        <v>GP4</v>
      </c>
      <c r="F52" s="34">
        <f t="shared" si="13"/>
        <v>98</v>
      </c>
      <c r="G52" s="34" t="str">
        <f t="shared" si="13"/>
        <v>Miikka Korventausta</v>
      </c>
      <c r="H52" s="34">
        <f t="shared" si="13"/>
        <v>233</v>
      </c>
      <c r="I52" s="34" t="str">
        <f t="shared" si="13"/>
        <v>GP8</v>
      </c>
      <c r="K52" s="34">
        <f t="shared" si="1"/>
        <v>139</v>
      </c>
      <c r="L52" s="34" t="str">
        <f>IF(Data!$I51="","",Data!I51)</f>
        <v>Olli Kajava</v>
      </c>
      <c r="M52" s="34" t="str">
        <f>IF(Data!$I51="","",IF(Data!L51=0,"dns",Data!L51))</f>
        <v>dns</v>
      </c>
      <c r="N52" s="34" t="str">
        <f>IF(Data!$I51="","","GP"&amp;Data!$B51)</f>
        <v>GP3</v>
      </c>
      <c r="O52" s="34">
        <f t="shared" si="2"/>
        <v>313</v>
      </c>
      <c r="P52" s="34">
        <f>IF($L52="","",Data!B51)</f>
        <v>3</v>
      </c>
      <c r="Q52" s="34">
        <f t="shared" si="3"/>
        <v>52</v>
      </c>
      <c r="R52" s="34">
        <f t="shared" si="4"/>
        <v>0.31303051999999998</v>
      </c>
      <c r="S52" s="70"/>
    </row>
    <row r="53" spans="1:19" x14ac:dyDescent="0.25">
      <c r="A53" s="34">
        <f t="shared" si="8"/>
        <v>49</v>
      </c>
      <c r="B53" s="34" t="str">
        <f t="shared" si="9"/>
        <v>Olli Kajava</v>
      </c>
      <c r="C53" s="34">
        <f t="shared" si="10"/>
        <v>284</v>
      </c>
      <c r="D53" s="34" t="str">
        <f t="shared" si="11"/>
        <v>GP5</v>
      </c>
      <c r="F53" s="34">
        <f t="shared" si="13"/>
        <v>99</v>
      </c>
      <c r="G53" s="34" t="str">
        <f t="shared" si="13"/>
        <v>Kaleva Latvala</v>
      </c>
      <c r="H53" s="34">
        <f t="shared" si="13"/>
        <v>232</v>
      </c>
      <c r="I53" s="34" t="str">
        <f t="shared" si="13"/>
        <v>GP3</v>
      </c>
      <c r="K53" s="34">
        <f t="shared" si="1"/>
        <v>140</v>
      </c>
      <c r="L53" s="34" t="str">
        <f>IF(Data!$I52="","",Data!I52)</f>
        <v>Iiro Riikonen</v>
      </c>
      <c r="M53" s="34" t="str">
        <f>IF(Data!$I52="","",IF(Data!L52=0,"dns",Data!L52))</f>
        <v>dns</v>
      </c>
      <c r="N53" s="34" t="str">
        <f>IF(Data!$I52="","","GP"&amp;Data!$B52)</f>
        <v>GP3</v>
      </c>
      <c r="O53" s="34">
        <f t="shared" si="2"/>
        <v>313</v>
      </c>
      <c r="P53" s="34">
        <f>IF($L53="","",Data!B52)</f>
        <v>3</v>
      </c>
      <c r="Q53" s="34">
        <f t="shared" si="3"/>
        <v>53</v>
      </c>
      <c r="R53" s="34">
        <f t="shared" si="4"/>
        <v>0.31303052999999997</v>
      </c>
      <c r="S53" s="70"/>
    </row>
    <row r="54" spans="1:19" x14ac:dyDescent="0.25">
      <c r="A54" s="34">
        <f t="shared" si="8"/>
        <v>50</v>
      </c>
      <c r="B54" s="34" t="str">
        <f t="shared" si="9"/>
        <v>Jami Kallio</v>
      </c>
      <c r="C54" s="34">
        <f t="shared" si="10"/>
        <v>282</v>
      </c>
      <c r="D54" s="34" t="str">
        <f t="shared" si="11"/>
        <v>GP3</v>
      </c>
      <c r="F54" s="34">
        <f t="shared" ref="F54:I54" si="14">IF(A104="","",A104)</f>
        <v>100</v>
      </c>
      <c r="G54" s="34" t="str">
        <f t="shared" si="14"/>
        <v>Tatu Erlin</v>
      </c>
      <c r="H54" s="34">
        <f t="shared" si="14"/>
        <v>230</v>
      </c>
      <c r="I54" s="34" t="str">
        <f t="shared" si="14"/>
        <v>GP1</v>
      </c>
      <c r="K54" s="34">
        <f t="shared" si="1"/>
        <v>141</v>
      </c>
      <c r="L54" s="34" t="str">
        <f>IF(Data!$I53="","",Data!I53)</f>
        <v>Frans Hartman</v>
      </c>
      <c r="M54" s="34" t="str">
        <f>IF(Data!$I53="","",IF(Data!L53=0,"dns",Data!L53))</f>
        <v>dns</v>
      </c>
      <c r="N54" s="34" t="str">
        <f>IF(Data!$I53="","","GP"&amp;Data!$B53)</f>
        <v>GP3</v>
      </c>
      <c r="O54" s="34">
        <f t="shared" si="2"/>
        <v>313</v>
      </c>
      <c r="P54" s="34">
        <f>IF($L54="","",Data!B53)</f>
        <v>3</v>
      </c>
      <c r="Q54" s="34">
        <f t="shared" si="3"/>
        <v>54</v>
      </c>
      <c r="R54" s="34">
        <f t="shared" si="4"/>
        <v>0.31303053999999997</v>
      </c>
      <c r="S54" s="70"/>
    </row>
    <row r="55" spans="1:19" x14ac:dyDescent="0.25">
      <c r="A55" s="34">
        <f t="shared" si="8"/>
        <v>51</v>
      </c>
      <c r="B55" s="34" t="str">
        <f t="shared" si="9"/>
        <v>Miika Nordblad</v>
      </c>
      <c r="C55" s="34">
        <f t="shared" si="10"/>
        <v>281</v>
      </c>
      <c r="D55" s="34" t="str">
        <f t="shared" si="11"/>
        <v>GP4</v>
      </c>
      <c r="K55" s="34">
        <f t="shared" si="1"/>
        <v>142</v>
      </c>
      <c r="L55" s="34" t="str">
        <f>IF(Data!$I54="","",Data!I54)</f>
        <v>Asko Haaksi</v>
      </c>
      <c r="M55" s="34" t="str">
        <f>IF(Data!$I54="","",IF(Data!L54=0,"dns",Data!L54))</f>
        <v>dns</v>
      </c>
      <c r="N55" s="34" t="str">
        <f>IF(Data!$I54="","","GP"&amp;Data!$B54)</f>
        <v>GP3</v>
      </c>
      <c r="O55" s="34">
        <f t="shared" si="2"/>
        <v>313</v>
      </c>
      <c r="P55" s="34">
        <f>IF($L55="","",Data!B54)</f>
        <v>3</v>
      </c>
      <c r="Q55" s="34">
        <f t="shared" si="3"/>
        <v>55</v>
      </c>
      <c r="R55" s="34">
        <f t="shared" si="4"/>
        <v>0.31303054999999996</v>
      </c>
      <c r="S55" s="70"/>
    </row>
    <row r="56" spans="1:19" x14ac:dyDescent="0.25">
      <c r="A56" s="34">
        <f t="shared" si="8"/>
        <v>52</v>
      </c>
      <c r="B56" s="34" t="str">
        <f t="shared" si="9"/>
        <v>Henri Verho</v>
      </c>
      <c r="C56" s="34">
        <f t="shared" si="10"/>
        <v>280</v>
      </c>
      <c r="D56" s="34" t="str">
        <f t="shared" si="11"/>
        <v>GP8</v>
      </c>
      <c r="K56" s="34">
        <f t="shared" si="1"/>
        <v>143</v>
      </c>
      <c r="L56" s="34" t="str">
        <f>IF(Data!$I55="","",Data!I55)</f>
        <v>Roope Warro</v>
      </c>
      <c r="M56" s="34" t="str">
        <f>IF(Data!$I55="","",IF(Data!L55=0,"dns",Data!L55))</f>
        <v>dns</v>
      </c>
      <c r="N56" s="34" t="str">
        <f>IF(Data!$I55="","","GP"&amp;Data!$B55)</f>
        <v>GP3</v>
      </c>
      <c r="O56" s="34">
        <f t="shared" si="2"/>
        <v>313</v>
      </c>
      <c r="P56" s="34">
        <f>IF($L56="","",Data!B55)</f>
        <v>3</v>
      </c>
      <c r="Q56" s="34">
        <f t="shared" si="3"/>
        <v>56</v>
      </c>
      <c r="R56" s="34">
        <f t="shared" si="4"/>
        <v>0.31303055999999996</v>
      </c>
      <c r="S56" s="70"/>
    </row>
    <row r="57" spans="1:19" x14ac:dyDescent="0.25">
      <c r="A57" s="34">
        <f t="shared" si="8"/>
        <v>53</v>
      </c>
      <c r="B57" s="34" t="str">
        <f t="shared" si="9"/>
        <v>Ossi Oksa</v>
      </c>
      <c r="C57" s="34">
        <f t="shared" si="10"/>
        <v>280</v>
      </c>
      <c r="D57" s="34" t="str">
        <f t="shared" si="11"/>
        <v>GP9</v>
      </c>
      <c r="K57" s="34">
        <f t="shared" si="1"/>
        <v>7</v>
      </c>
      <c r="L57" s="34" t="str">
        <f>IF(Data!$I56="","",Data!I56)</f>
        <v>Niko Reunanen</v>
      </c>
      <c r="M57" s="34">
        <f>IF(Data!$I56="","",IF(Data!L56=0,"dns",Data!L56))</f>
        <v>333</v>
      </c>
      <c r="N57" s="34" t="str">
        <f>IF(Data!$I56="","","GP"&amp;Data!$B56)</f>
        <v>GP4</v>
      </c>
      <c r="O57" s="34">
        <f t="shared" si="2"/>
        <v>5</v>
      </c>
      <c r="P57" s="34">
        <f>IF($L57="","",Data!B56)</f>
        <v>4</v>
      </c>
      <c r="Q57" s="34">
        <f t="shared" si="3"/>
        <v>57</v>
      </c>
      <c r="R57" s="34">
        <f t="shared" si="4"/>
        <v>5.0405700000000003E-3</v>
      </c>
      <c r="S57" s="70"/>
    </row>
    <row r="58" spans="1:19" x14ac:dyDescent="0.25">
      <c r="A58" s="34">
        <f t="shared" si="8"/>
        <v>54</v>
      </c>
      <c r="B58" s="34" t="str">
        <f t="shared" si="9"/>
        <v>Kaleva Latvala</v>
      </c>
      <c r="C58" s="34">
        <f t="shared" si="10"/>
        <v>279</v>
      </c>
      <c r="D58" s="34" t="str">
        <f t="shared" si="11"/>
        <v>GP4</v>
      </c>
      <c r="K58" s="34">
        <f t="shared" si="1"/>
        <v>106</v>
      </c>
      <c r="L58" s="34" t="str">
        <f>IF(Data!$I57="","",Data!I57)</f>
        <v>Roope Warro</v>
      </c>
      <c r="M58" s="34">
        <f>IF(Data!$I57="","",IF(Data!L57=0,"dns",Data!L57))</f>
        <v>224</v>
      </c>
      <c r="N58" s="34" t="str">
        <f>IF(Data!$I57="","","GP"&amp;Data!$B57)</f>
        <v>GP4</v>
      </c>
      <c r="O58" s="34">
        <f t="shared" si="2"/>
        <v>106</v>
      </c>
      <c r="P58" s="34">
        <f>IF($L58="","",Data!B57)</f>
        <v>4</v>
      </c>
      <c r="Q58" s="34">
        <f t="shared" si="3"/>
        <v>58</v>
      </c>
      <c r="R58" s="34">
        <f t="shared" si="4"/>
        <v>0.10604058</v>
      </c>
      <c r="S58" s="70"/>
    </row>
    <row r="59" spans="1:19" x14ac:dyDescent="0.25">
      <c r="A59" s="34">
        <f t="shared" si="8"/>
        <v>55</v>
      </c>
      <c r="B59" s="34" t="str">
        <f t="shared" si="9"/>
        <v>Mika Sola</v>
      </c>
      <c r="C59" s="34">
        <f t="shared" si="10"/>
        <v>278</v>
      </c>
      <c r="D59" s="34" t="str">
        <f t="shared" si="11"/>
        <v>GP5</v>
      </c>
      <c r="K59" s="34">
        <f t="shared" si="1"/>
        <v>65</v>
      </c>
      <c r="L59" s="34" t="str">
        <f>IF(Data!$I58="","",Data!I58)</f>
        <v>Miikka Korventausta</v>
      </c>
      <c r="M59" s="34">
        <f>IF(Data!$I58="","",IF(Data!L58=0,"dns",Data!L58))</f>
        <v>266</v>
      </c>
      <c r="N59" s="34" t="str">
        <f>IF(Data!$I58="","","GP"&amp;Data!$B58)</f>
        <v>GP4</v>
      </c>
      <c r="O59" s="34">
        <f t="shared" si="2"/>
        <v>65</v>
      </c>
      <c r="P59" s="34">
        <f>IF($L59="","",Data!B58)</f>
        <v>4</v>
      </c>
      <c r="Q59" s="34">
        <f t="shared" si="3"/>
        <v>59</v>
      </c>
      <c r="R59" s="34">
        <f t="shared" si="4"/>
        <v>6.5040589999999995E-2</v>
      </c>
      <c r="S59" s="70"/>
    </row>
    <row r="60" spans="1:19" x14ac:dyDescent="0.25">
      <c r="A60" s="34">
        <f t="shared" si="8"/>
        <v>56</v>
      </c>
      <c r="B60" s="34" t="str">
        <f t="shared" si="9"/>
        <v>Mikko Mansikkamäki</v>
      </c>
      <c r="C60" s="34">
        <f t="shared" si="10"/>
        <v>278</v>
      </c>
      <c r="D60" s="34" t="str">
        <f t="shared" si="11"/>
        <v>GP9</v>
      </c>
      <c r="K60" s="34">
        <f t="shared" si="1"/>
        <v>118</v>
      </c>
      <c r="L60" s="34" t="str">
        <f>IF(Data!$I59="","",Data!I59)</f>
        <v>Joonas Ollonqvist</v>
      </c>
      <c r="M60" s="34">
        <f>IF(Data!$I59="","",IF(Data!L59=0,"dns",Data!L59))</f>
        <v>203</v>
      </c>
      <c r="N60" s="34" t="str">
        <f>IF(Data!$I59="","","GP"&amp;Data!$B59)</f>
        <v>GP4</v>
      </c>
      <c r="O60" s="34">
        <f t="shared" si="2"/>
        <v>118</v>
      </c>
      <c r="P60" s="34">
        <f>IF($L60="","",Data!B59)</f>
        <v>4</v>
      </c>
      <c r="Q60" s="34">
        <f t="shared" si="3"/>
        <v>60</v>
      </c>
      <c r="R60" s="34">
        <f t="shared" si="4"/>
        <v>0.1180406</v>
      </c>
      <c r="S60" s="70"/>
    </row>
    <row r="61" spans="1:19" x14ac:dyDescent="0.25">
      <c r="A61" s="34">
        <f t="shared" si="8"/>
        <v>57</v>
      </c>
      <c r="B61" s="34" t="str">
        <f t="shared" si="9"/>
        <v>Jami Kallio</v>
      </c>
      <c r="C61" s="34">
        <f t="shared" si="10"/>
        <v>277</v>
      </c>
      <c r="D61" s="34" t="str">
        <f t="shared" si="11"/>
        <v>GP10</v>
      </c>
      <c r="K61" s="34">
        <f t="shared" si="1"/>
        <v>59</v>
      </c>
      <c r="L61" s="34" t="str">
        <f>IF(Data!$I60="","",Data!I60)</f>
        <v>Iiro Riikonen</v>
      </c>
      <c r="M61" s="34">
        <f>IF(Data!$I60="","",IF(Data!L60=0,"dns",Data!L60))</f>
        <v>275</v>
      </c>
      <c r="N61" s="34" t="str">
        <f>IF(Data!$I60="","","GP"&amp;Data!$B60)</f>
        <v>GP4</v>
      </c>
      <c r="O61" s="34">
        <f t="shared" si="2"/>
        <v>58</v>
      </c>
      <c r="P61" s="34">
        <f>IF($L61="","",Data!B60)</f>
        <v>4</v>
      </c>
      <c r="Q61" s="34">
        <f t="shared" si="3"/>
        <v>61</v>
      </c>
      <c r="R61" s="34">
        <f t="shared" si="4"/>
        <v>5.8040609999999999E-2</v>
      </c>
      <c r="S61" s="70"/>
    </row>
    <row r="62" spans="1:19" x14ac:dyDescent="0.25">
      <c r="A62" s="34">
        <f t="shared" si="8"/>
        <v>58</v>
      </c>
      <c r="B62" s="34" t="str">
        <f t="shared" si="9"/>
        <v>Niko Reunanen</v>
      </c>
      <c r="C62" s="34">
        <f t="shared" si="10"/>
        <v>275</v>
      </c>
      <c r="D62" s="34" t="str">
        <f t="shared" si="11"/>
        <v>GP3</v>
      </c>
      <c r="K62" s="34">
        <f t="shared" si="1"/>
        <v>102</v>
      </c>
      <c r="L62" s="34" t="str">
        <f>IF(Data!$I61="","",Data!I61)</f>
        <v>Juho Korpi</v>
      </c>
      <c r="M62" s="34">
        <f>IF(Data!$I61="","",IF(Data!L61=0,"dns",Data!L61))</f>
        <v>229</v>
      </c>
      <c r="N62" s="34" t="str">
        <f>IF(Data!$I61="","","GP"&amp;Data!$B61)</f>
        <v>GP4</v>
      </c>
      <c r="O62" s="34">
        <f t="shared" si="2"/>
        <v>102</v>
      </c>
      <c r="P62" s="34">
        <f>IF($L62="","",Data!B61)</f>
        <v>4</v>
      </c>
      <c r="Q62" s="34">
        <f t="shared" si="3"/>
        <v>62</v>
      </c>
      <c r="R62" s="34">
        <f t="shared" si="4"/>
        <v>0.10204062</v>
      </c>
      <c r="S62" s="70"/>
    </row>
    <row r="63" spans="1:19" x14ac:dyDescent="0.25">
      <c r="A63" s="34">
        <f t="shared" si="8"/>
        <v>59</v>
      </c>
      <c r="B63" s="34" t="str">
        <f t="shared" si="9"/>
        <v>Iiro Riikonen</v>
      </c>
      <c r="C63" s="34">
        <f t="shared" si="10"/>
        <v>275</v>
      </c>
      <c r="D63" s="34" t="str">
        <f t="shared" si="11"/>
        <v>GP4</v>
      </c>
      <c r="K63" s="34">
        <f t="shared" si="1"/>
        <v>42</v>
      </c>
      <c r="L63" s="34" t="str">
        <f>IF(Data!$I62="","",Data!I62)</f>
        <v>Asko Haaksi</v>
      </c>
      <c r="M63" s="34">
        <f>IF(Data!$I62="","",IF(Data!L62=0,"dns",Data!L62))</f>
        <v>289</v>
      </c>
      <c r="N63" s="34" t="str">
        <f>IF(Data!$I62="","","GP"&amp;Data!$B62)</f>
        <v>GP4</v>
      </c>
      <c r="O63" s="34">
        <f t="shared" si="2"/>
        <v>42</v>
      </c>
      <c r="P63" s="34">
        <f>IF($L63="","",Data!B62)</f>
        <v>4</v>
      </c>
      <c r="Q63" s="34">
        <f t="shared" si="3"/>
        <v>63</v>
      </c>
      <c r="R63" s="34">
        <f t="shared" si="4"/>
        <v>4.2040630000000002E-2</v>
      </c>
      <c r="S63" s="70"/>
    </row>
    <row r="64" spans="1:19" x14ac:dyDescent="0.25">
      <c r="A64" s="34">
        <f t="shared" si="8"/>
        <v>60</v>
      </c>
      <c r="B64" s="34" t="str">
        <f t="shared" si="9"/>
        <v>Juho Korpi</v>
      </c>
      <c r="C64" s="34">
        <f t="shared" si="10"/>
        <v>275</v>
      </c>
      <c r="D64" s="34" t="str">
        <f t="shared" si="11"/>
        <v>GP8</v>
      </c>
      <c r="K64" s="34">
        <f t="shared" si="1"/>
        <v>14</v>
      </c>
      <c r="L64" s="34" t="str">
        <f>IF(Data!$I63="","",Data!I63)</f>
        <v>Henri Verho</v>
      </c>
      <c r="M64" s="34">
        <f>IF(Data!$I63="","",IF(Data!L63=0,"dns",Data!L63))</f>
        <v>320</v>
      </c>
      <c r="N64" s="34" t="str">
        <f>IF(Data!$I63="","","GP"&amp;Data!$B63)</f>
        <v>GP4</v>
      </c>
      <c r="O64" s="34">
        <f t="shared" si="2"/>
        <v>14</v>
      </c>
      <c r="P64" s="34">
        <f>IF($L64="","",Data!B63)</f>
        <v>4</v>
      </c>
      <c r="Q64" s="34">
        <f t="shared" si="3"/>
        <v>64</v>
      </c>
      <c r="R64" s="34">
        <f t="shared" si="4"/>
        <v>1.404064E-2</v>
      </c>
      <c r="S64" s="70"/>
    </row>
    <row r="65" spans="1:19" x14ac:dyDescent="0.25">
      <c r="A65" s="34">
        <f t="shared" si="8"/>
        <v>61</v>
      </c>
      <c r="B65" s="34" t="str">
        <f t="shared" si="9"/>
        <v>Kaleva Latvala</v>
      </c>
      <c r="C65" s="34">
        <f t="shared" si="10"/>
        <v>272</v>
      </c>
      <c r="D65" s="34" t="str">
        <f t="shared" si="11"/>
        <v>GP9</v>
      </c>
      <c r="K65" s="34">
        <f t="shared" si="1"/>
        <v>54</v>
      </c>
      <c r="L65" s="34" t="str">
        <f>IF(Data!$I64="","",Data!I64)</f>
        <v>Kaleva Latvala</v>
      </c>
      <c r="M65" s="34">
        <f>IF(Data!$I64="","",IF(Data!L64=0,"dns",Data!L64))</f>
        <v>279</v>
      </c>
      <c r="N65" s="34" t="str">
        <f>IF(Data!$I64="","","GP"&amp;Data!$B64)</f>
        <v>GP4</v>
      </c>
      <c r="O65" s="34">
        <f t="shared" si="2"/>
        <v>54</v>
      </c>
      <c r="P65" s="34">
        <f>IF($L65="","",Data!B64)</f>
        <v>4</v>
      </c>
      <c r="Q65" s="34">
        <f t="shared" si="3"/>
        <v>65</v>
      </c>
      <c r="R65" s="34">
        <f t="shared" si="4"/>
        <v>5.4040649999999996E-2</v>
      </c>
      <c r="S65" s="70"/>
    </row>
    <row r="66" spans="1:19" x14ac:dyDescent="0.25">
      <c r="A66" s="34">
        <f t="shared" si="8"/>
        <v>62</v>
      </c>
      <c r="B66" s="34" t="str">
        <f t="shared" si="9"/>
        <v>Olli Kajava</v>
      </c>
      <c r="C66" s="34">
        <f t="shared" si="10"/>
        <v>271</v>
      </c>
      <c r="D66" s="34" t="str">
        <f t="shared" si="11"/>
        <v>GP9</v>
      </c>
      <c r="K66" s="34">
        <f t="shared" si="1"/>
        <v>2</v>
      </c>
      <c r="L66" s="34" t="str">
        <f>IF(Data!$I65="","",Data!I65)</f>
        <v>Jami Kallio</v>
      </c>
      <c r="M66" s="34">
        <f>IF(Data!$I65="","",IF(Data!L65=0,"dns",Data!L65))</f>
        <v>386</v>
      </c>
      <c r="N66" s="34" t="str">
        <f>IF(Data!$I65="","","GP"&amp;Data!$B65)</f>
        <v>GP4</v>
      </c>
      <c r="O66" s="34">
        <f t="shared" si="2"/>
        <v>2</v>
      </c>
      <c r="P66" s="34">
        <f>IF($L66="","",Data!B65)</f>
        <v>4</v>
      </c>
      <c r="Q66" s="34">
        <f t="shared" si="3"/>
        <v>66</v>
      </c>
      <c r="R66" s="34">
        <f t="shared" si="4"/>
        <v>2.0406600000000001E-3</v>
      </c>
      <c r="S66" s="70"/>
    </row>
    <row r="67" spans="1:19" x14ac:dyDescent="0.25">
      <c r="A67" s="34">
        <f t="shared" si="8"/>
        <v>63</v>
      </c>
      <c r="B67" s="34" t="str">
        <f t="shared" si="9"/>
        <v>Juho Korpi</v>
      </c>
      <c r="C67" s="34">
        <f t="shared" si="10"/>
        <v>270</v>
      </c>
      <c r="D67" s="34" t="str">
        <f t="shared" si="11"/>
        <v>GP7</v>
      </c>
      <c r="K67" s="34">
        <f t="shared" si="1"/>
        <v>51</v>
      </c>
      <c r="L67" s="34" t="str">
        <f>IF(Data!$I66="","",Data!I66)</f>
        <v>Miika Nordblad</v>
      </c>
      <c r="M67" s="34">
        <f>IF(Data!$I66="","",IF(Data!L66=0,"dns",Data!L66))</f>
        <v>281</v>
      </c>
      <c r="N67" s="34" t="str">
        <f>IF(Data!$I66="","","GP"&amp;Data!$B66)</f>
        <v>GP4</v>
      </c>
      <c r="O67" s="34">
        <f t="shared" si="2"/>
        <v>51</v>
      </c>
      <c r="P67" s="34">
        <f>IF($L67="","",Data!B66)</f>
        <v>4</v>
      </c>
      <c r="Q67" s="34">
        <f t="shared" si="3"/>
        <v>67</v>
      </c>
      <c r="R67" s="34">
        <f t="shared" si="4"/>
        <v>5.1040669999999996E-2</v>
      </c>
      <c r="S67" s="70"/>
    </row>
    <row r="68" spans="1:19" x14ac:dyDescent="0.25">
      <c r="A68" s="34">
        <f t="shared" si="8"/>
        <v>64</v>
      </c>
      <c r="B68" s="34" t="str">
        <f t="shared" si="9"/>
        <v>Joonas Ollonqvist</v>
      </c>
      <c r="C68" s="34">
        <f t="shared" si="10"/>
        <v>267</v>
      </c>
      <c r="D68" s="34" t="str">
        <f t="shared" si="11"/>
        <v>GP5</v>
      </c>
      <c r="K68" s="34">
        <f t="shared" ref="K68:K131" si="15">IF($L68="","",_xlfn.RANK.EQ($R68,$R$3:$R$314,1))</f>
        <v>126</v>
      </c>
      <c r="L68" s="34" t="str">
        <f>IF(Data!$I67="","",Data!I67)</f>
        <v>Mikko Mansikkamäki</v>
      </c>
      <c r="M68" s="34">
        <f>IF(Data!$I67="","",IF(Data!L67=0,"dns",Data!L67))</f>
        <v>148</v>
      </c>
      <c r="N68" s="34" t="str">
        <f>IF(Data!$I67="","","GP"&amp;Data!$B67)</f>
        <v>GP4</v>
      </c>
      <c r="O68" s="34">
        <f t="shared" ref="O68:O131" si="16">IF(L68="","",IFERROR(_xlfn.RANK.EQ($M68,$M$3:$M$314,0),COUNTA($L$3:$L$314)+1))</f>
        <v>126</v>
      </c>
      <c r="P68" s="34">
        <f>IF($L68="","",Data!B67)</f>
        <v>4</v>
      </c>
      <c r="Q68" s="34">
        <f t="shared" ref="Q68:Q131" si="17">IF($L68="","",ROW())</f>
        <v>68</v>
      </c>
      <c r="R68" s="34">
        <f t="shared" ref="R68:R131" si="18">IF($L68="","",O68/1000+P68/100000+Q68/100000000)</f>
        <v>0.12604068000000002</v>
      </c>
      <c r="S68" s="70"/>
    </row>
    <row r="69" spans="1:19" x14ac:dyDescent="0.25">
      <c r="A69" s="34">
        <f t="shared" si="8"/>
        <v>65</v>
      </c>
      <c r="B69" s="34" t="str">
        <f t="shared" si="9"/>
        <v>Miikka Korventausta</v>
      </c>
      <c r="C69" s="34">
        <f t="shared" si="10"/>
        <v>266</v>
      </c>
      <c r="D69" s="34" t="str">
        <f t="shared" si="11"/>
        <v>GP4</v>
      </c>
      <c r="K69" s="34">
        <f t="shared" si="15"/>
        <v>48</v>
      </c>
      <c r="L69" s="34" t="str">
        <f>IF(Data!$I68="","",Data!I68)</f>
        <v>Olli Kajava</v>
      </c>
      <c r="M69" s="34">
        <f>IF(Data!$I68="","",IF(Data!L68=0,"dns",Data!L68))</f>
        <v>284</v>
      </c>
      <c r="N69" s="34" t="str">
        <f>IF(Data!$I68="","","GP"&amp;Data!$B68)</f>
        <v>GP4</v>
      </c>
      <c r="O69" s="34">
        <f t="shared" si="16"/>
        <v>48</v>
      </c>
      <c r="P69" s="34">
        <f>IF($L69="","",Data!B68)</f>
        <v>4</v>
      </c>
      <c r="Q69" s="34">
        <f t="shared" si="17"/>
        <v>69</v>
      </c>
      <c r="R69" s="34">
        <f t="shared" si="18"/>
        <v>4.8040689999999997E-2</v>
      </c>
      <c r="S69" s="70"/>
    </row>
    <row r="70" spans="1:19" x14ac:dyDescent="0.25">
      <c r="A70" s="34">
        <f t="shared" si="8"/>
        <v>66</v>
      </c>
      <c r="B70" s="34" t="str">
        <f t="shared" si="9"/>
        <v>Miikka Korventausta</v>
      </c>
      <c r="C70" s="34">
        <f t="shared" si="10"/>
        <v>265</v>
      </c>
      <c r="D70" s="34" t="str">
        <f t="shared" si="11"/>
        <v>GP7</v>
      </c>
      <c r="K70" s="34">
        <f t="shared" si="15"/>
        <v>86</v>
      </c>
      <c r="L70" s="34" t="str">
        <f>IF(Data!$I69="","",Data!I69)</f>
        <v>Mika Sola</v>
      </c>
      <c r="M70" s="34">
        <f>IF(Data!$I69="","",IF(Data!L69=0,"dns",Data!L69))</f>
        <v>245</v>
      </c>
      <c r="N70" s="34" t="str">
        <f>IF(Data!$I69="","","GP"&amp;Data!$B69)</f>
        <v>GP4</v>
      </c>
      <c r="O70" s="34">
        <f t="shared" si="16"/>
        <v>86</v>
      </c>
      <c r="P70" s="34">
        <f>IF($L70="","",Data!B69)</f>
        <v>4</v>
      </c>
      <c r="Q70" s="34">
        <f t="shared" si="17"/>
        <v>70</v>
      </c>
      <c r="R70" s="34">
        <f t="shared" si="18"/>
        <v>8.6040699999999998E-2</v>
      </c>
      <c r="S70" s="70"/>
    </row>
    <row r="71" spans="1:19" x14ac:dyDescent="0.25">
      <c r="A71" s="34">
        <f t="shared" ref="A71:A134" si="19">IFERROR(IF(A70+1&gt;MAX($K$3:$K$316),"",A70+1),"")</f>
        <v>67</v>
      </c>
      <c r="B71" s="34" t="str">
        <f t="shared" ref="B71:B134" si="20">IF($A71="","",VLOOKUP($A71,$K$3:$N$626,L$1,0))</f>
        <v>Iiro Riikonen</v>
      </c>
      <c r="C71" s="34">
        <f t="shared" ref="C71:C134" si="21">IF($A71="","",VLOOKUP($A71,$K$3:$N$626,M$1,0))</f>
        <v>264</v>
      </c>
      <c r="D71" s="34" t="str">
        <f t="shared" ref="D71:D134" si="22">IF($A71="","",VLOOKUP($A71,$K$3:$N$626,N$1,0))</f>
        <v>GP8</v>
      </c>
      <c r="K71" s="34">
        <f t="shared" si="15"/>
        <v>144</v>
      </c>
      <c r="L71" s="34" t="str">
        <f>IF(Data!$I70="","",Data!I70)</f>
        <v>Ossi Oksa</v>
      </c>
      <c r="M71" s="34" t="str">
        <f>IF(Data!$I70="","",IF(Data!L70=0,"dns",Data!L70))</f>
        <v>dns</v>
      </c>
      <c r="N71" s="34" t="str">
        <f>IF(Data!$I70="","","GP"&amp;Data!$B70)</f>
        <v>GP4</v>
      </c>
      <c r="O71" s="34">
        <f t="shared" si="16"/>
        <v>313</v>
      </c>
      <c r="P71" s="34">
        <f>IF($L71="","",Data!B70)</f>
        <v>4</v>
      </c>
      <c r="Q71" s="34">
        <f t="shared" si="17"/>
        <v>71</v>
      </c>
      <c r="R71" s="34">
        <f t="shared" si="18"/>
        <v>0.31304071</v>
      </c>
      <c r="S71" s="70"/>
    </row>
    <row r="72" spans="1:19" x14ac:dyDescent="0.25">
      <c r="A72" s="34">
        <f t="shared" si="19"/>
        <v>68</v>
      </c>
      <c r="B72" s="34" t="str">
        <f t="shared" si="20"/>
        <v>Mikko Mansikkamäki</v>
      </c>
      <c r="C72" s="34">
        <f t="shared" si="21"/>
        <v>264</v>
      </c>
      <c r="D72" s="34" t="str">
        <f t="shared" si="22"/>
        <v>GP10</v>
      </c>
      <c r="K72" s="34">
        <f t="shared" si="15"/>
        <v>145</v>
      </c>
      <c r="L72" s="34" t="str">
        <f>IF(Data!$I71="","",Data!I71)</f>
        <v>Sakari Leinonen</v>
      </c>
      <c r="M72" s="34" t="str">
        <f>IF(Data!$I71="","",IF(Data!L71=0,"dns",Data!L71))</f>
        <v>dns</v>
      </c>
      <c r="N72" s="34" t="str">
        <f>IF(Data!$I71="","","GP"&amp;Data!$B71)</f>
        <v>GP4</v>
      </c>
      <c r="O72" s="34">
        <f t="shared" si="16"/>
        <v>313</v>
      </c>
      <c r="P72" s="34">
        <f>IF($L72="","",Data!B71)</f>
        <v>4</v>
      </c>
      <c r="Q72" s="34">
        <f t="shared" si="17"/>
        <v>72</v>
      </c>
      <c r="R72" s="34">
        <f t="shared" si="18"/>
        <v>0.31304071999999999</v>
      </c>
      <c r="S72" s="70"/>
    </row>
    <row r="73" spans="1:19" x14ac:dyDescent="0.25">
      <c r="A73" s="34">
        <f t="shared" si="19"/>
        <v>69</v>
      </c>
      <c r="B73" s="34" t="str">
        <f t="shared" si="20"/>
        <v>Asko Haaksi</v>
      </c>
      <c r="C73" s="34">
        <f t="shared" si="21"/>
        <v>263</v>
      </c>
      <c r="D73" s="34" t="str">
        <f t="shared" si="22"/>
        <v>GP9</v>
      </c>
      <c r="K73" s="34">
        <f t="shared" si="15"/>
        <v>146</v>
      </c>
      <c r="L73" s="34" t="str">
        <f>IF(Data!$I72="","",Data!I72)</f>
        <v>Tatu Erlin</v>
      </c>
      <c r="M73" s="34" t="str">
        <f>IF(Data!$I72="","",IF(Data!L72=0,"dns",Data!L72))</f>
        <v>dns</v>
      </c>
      <c r="N73" s="34" t="str">
        <f>IF(Data!$I72="","","GP"&amp;Data!$B72)</f>
        <v>GP4</v>
      </c>
      <c r="O73" s="34">
        <f t="shared" si="16"/>
        <v>313</v>
      </c>
      <c r="P73" s="34">
        <f>IF($L73="","",Data!B72)</f>
        <v>4</v>
      </c>
      <c r="Q73" s="34">
        <f t="shared" si="17"/>
        <v>73</v>
      </c>
      <c r="R73" s="34">
        <f t="shared" si="18"/>
        <v>0.31304072999999999</v>
      </c>
      <c r="S73" s="70"/>
    </row>
    <row r="74" spans="1:19" x14ac:dyDescent="0.25">
      <c r="A74" s="34">
        <f t="shared" si="19"/>
        <v>70</v>
      </c>
      <c r="B74" s="34" t="str">
        <f t="shared" si="20"/>
        <v>Kaleva Latvala</v>
      </c>
      <c r="C74" s="34">
        <f t="shared" si="21"/>
        <v>261</v>
      </c>
      <c r="D74" s="34" t="str">
        <f t="shared" si="22"/>
        <v>GP2</v>
      </c>
      <c r="K74" s="34">
        <f t="shared" si="15"/>
        <v>147</v>
      </c>
      <c r="L74" s="34" t="str">
        <f>IF(Data!$I73="","",Data!I73)</f>
        <v>Frans Hartman</v>
      </c>
      <c r="M74" s="34" t="str">
        <f>IF(Data!$I73="","",IF(Data!L73=0,"dns",Data!L73))</f>
        <v>dns</v>
      </c>
      <c r="N74" s="34" t="str">
        <f>IF(Data!$I73="","","GP"&amp;Data!$B73)</f>
        <v>GP4</v>
      </c>
      <c r="O74" s="34">
        <f t="shared" si="16"/>
        <v>313</v>
      </c>
      <c r="P74" s="34">
        <f>IF($L74="","",Data!B73)</f>
        <v>4</v>
      </c>
      <c r="Q74" s="34">
        <f t="shared" si="17"/>
        <v>74</v>
      </c>
      <c r="R74" s="34">
        <f t="shared" si="18"/>
        <v>0.31304073999999998</v>
      </c>
      <c r="S74" s="70"/>
    </row>
    <row r="75" spans="1:19" x14ac:dyDescent="0.25">
      <c r="A75" s="34">
        <f t="shared" si="19"/>
        <v>71</v>
      </c>
      <c r="B75" s="34" t="str">
        <f t="shared" si="20"/>
        <v>Niko Reunanen</v>
      </c>
      <c r="C75" s="34">
        <f t="shared" si="21"/>
        <v>261</v>
      </c>
      <c r="D75" s="34" t="str">
        <f t="shared" si="22"/>
        <v>GP7</v>
      </c>
      <c r="K75" s="34">
        <f t="shared" si="15"/>
        <v>45</v>
      </c>
      <c r="L75" s="34" t="str">
        <f>IF(Data!$I74="","",Data!I74)</f>
        <v>Asko Haaksi</v>
      </c>
      <c r="M75" s="34">
        <f>IF(Data!$I74="","",IF(Data!L74=0,"dns",Data!L74))</f>
        <v>288</v>
      </c>
      <c r="N75" s="34" t="str">
        <f>IF(Data!$I74="","","GP"&amp;Data!$B74)</f>
        <v>GP5</v>
      </c>
      <c r="O75" s="34">
        <f t="shared" si="16"/>
        <v>45</v>
      </c>
      <c r="P75" s="34">
        <f>IF($L75="","",Data!B74)</f>
        <v>5</v>
      </c>
      <c r="Q75" s="34">
        <f t="shared" si="17"/>
        <v>75</v>
      </c>
      <c r="R75" s="34">
        <f t="shared" si="18"/>
        <v>4.5050750000000001E-2</v>
      </c>
      <c r="S75" s="70"/>
    </row>
    <row r="76" spans="1:19" x14ac:dyDescent="0.25">
      <c r="A76" s="34">
        <f t="shared" si="19"/>
        <v>72</v>
      </c>
      <c r="B76" s="34" t="str">
        <f t="shared" si="20"/>
        <v>Asko Haaksi</v>
      </c>
      <c r="C76" s="34">
        <f t="shared" si="21"/>
        <v>260</v>
      </c>
      <c r="D76" s="34" t="str">
        <f t="shared" si="22"/>
        <v>GP8</v>
      </c>
      <c r="K76" s="34">
        <f t="shared" si="15"/>
        <v>43</v>
      </c>
      <c r="L76" s="34" t="str">
        <f>IF(Data!$I75="","",Data!I75)</f>
        <v>Juho Korpi</v>
      </c>
      <c r="M76" s="34">
        <f>IF(Data!$I75="","",IF(Data!L75=0,"dns",Data!L75))</f>
        <v>289</v>
      </c>
      <c r="N76" s="34" t="str">
        <f>IF(Data!$I75="","","GP"&amp;Data!$B75)</f>
        <v>GP5</v>
      </c>
      <c r="O76" s="34">
        <f t="shared" si="16"/>
        <v>42</v>
      </c>
      <c r="P76" s="34">
        <f>IF($L76="","",Data!B75)</f>
        <v>5</v>
      </c>
      <c r="Q76" s="34">
        <f t="shared" si="17"/>
        <v>76</v>
      </c>
      <c r="R76" s="34">
        <f t="shared" si="18"/>
        <v>4.2050760000000006E-2</v>
      </c>
      <c r="S76" s="70"/>
    </row>
    <row r="77" spans="1:19" x14ac:dyDescent="0.25">
      <c r="A77" s="34">
        <f t="shared" si="19"/>
        <v>73</v>
      </c>
      <c r="B77" s="34" t="str">
        <f t="shared" si="20"/>
        <v>Kaleva Latvala</v>
      </c>
      <c r="C77" s="34">
        <f t="shared" si="21"/>
        <v>259</v>
      </c>
      <c r="D77" s="34" t="str">
        <f t="shared" si="22"/>
        <v>GP1</v>
      </c>
      <c r="K77" s="34">
        <f t="shared" si="15"/>
        <v>15</v>
      </c>
      <c r="L77" s="34" t="str">
        <f>IF(Data!$I76="","",Data!I76)</f>
        <v>Ossi Oksa</v>
      </c>
      <c r="M77" s="34">
        <f>IF(Data!$I76="","",IF(Data!L76=0,"dns",Data!L76))</f>
        <v>320</v>
      </c>
      <c r="N77" s="34" t="str">
        <f>IF(Data!$I76="","","GP"&amp;Data!$B76)</f>
        <v>GP5</v>
      </c>
      <c r="O77" s="34">
        <f t="shared" si="16"/>
        <v>14</v>
      </c>
      <c r="P77" s="34">
        <f>IF($L77="","",Data!B76)</f>
        <v>5</v>
      </c>
      <c r="Q77" s="34">
        <f t="shared" si="17"/>
        <v>77</v>
      </c>
      <c r="R77" s="34">
        <f t="shared" si="18"/>
        <v>1.4050770000000001E-2</v>
      </c>
      <c r="S77" s="70"/>
    </row>
    <row r="78" spans="1:19" x14ac:dyDescent="0.25">
      <c r="A78" s="34">
        <f t="shared" si="19"/>
        <v>74</v>
      </c>
      <c r="B78" s="34" t="str">
        <f t="shared" si="20"/>
        <v>Miikka Korventausta</v>
      </c>
      <c r="C78" s="34">
        <f t="shared" si="21"/>
        <v>258</v>
      </c>
      <c r="D78" s="34" t="str">
        <f t="shared" si="22"/>
        <v>GP3</v>
      </c>
      <c r="K78" s="34">
        <f t="shared" si="15"/>
        <v>28</v>
      </c>
      <c r="L78" s="34" t="str">
        <f>IF(Data!$I77="","",Data!I77)</f>
        <v>Jami Kallio</v>
      </c>
      <c r="M78" s="34">
        <f>IF(Data!$I77="","",IF(Data!L77=0,"dns",Data!L77))</f>
        <v>305</v>
      </c>
      <c r="N78" s="34" t="str">
        <f>IF(Data!$I77="","","GP"&amp;Data!$B77)</f>
        <v>GP5</v>
      </c>
      <c r="O78" s="34">
        <f t="shared" si="16"/>
        <v>28</v>
      </c>
      <c r="P78" s="34">
        <f>IF($L78="","",Data!B77)</f>
        <v>5</v>
      </c>
      <c r="Q78" s="34">
        <f t="shared" si="17"/>
        <v>78</v>
      </c>
      <c r="R78" s="34">
        <f t="shared" si="18"/>
        <v>2.8050780000000001E-2</v>
      </c>
      <c r="S78" s="70"/>
    </row>
    <row r="79" spans="1:19" x14ac:dyDescent="0.25">
      <c r="A79" s="34">
        <f t="shared" si="19"/>
        <v>75</v>
      </c>
      <c r="B79" s="34" t="str">
        <f t="shared" si="20"/>
        <v>Miika Nordblad</v>
      </c>
      <c r="C79" s="34">
        <f t="shared" si="21"/>
        <v>256</v>
      </c>
      <c r="D79" s="34" t="str">
        <f t="shared" si="22"/>
        <v>GP6</v>
      </c>
      <c r="K79" s="34">
        <f t="shared" si="15"/>
        <v>8</v>
      </c>
      <c r="L79" s="34" t="str">
        <f>IF(Data!$I78="","",Data!I78)</f>
        <v>Miika Nordblad</v>
      </c>
      <c r="M79" s="34">
        <f>IF(Data!$I78="","",IF(Data!L78=0,"dns",Data!L78))</f>
        <v>333</v>
      </c>
      <c r="N79" s="34" t="str">
        <f>IF(Data!$I78="","","GP"&amp;Data!$B78)</f>
        <v>GP5</v>
      </c>
      <c r="O79" s="34">
        <f t="shared" si="16"/>
        <v>5</v>
      </c>
      <c r="P79" s="34">
        <f>IF($L79="","",Data!B78)</f>
        <v>5</v>
      </c>
      <c r="Q79" s="34">
        <f t="shared" si="17"/>
        <v>79</v>
      </c>
      <c r="R79" s="34">
        <f t="shared" si="18"/>
        <v>5.0507899999999994E-3</v>
      </c>
      <c r="S79" s="70"/>
    </row>
    <row r="80" spans="1:19" x14ac:dyDescent="0.25">
      <c r="A80" s="34">
        <f t="shared" si="19"/>
        <v>76</v>
      </c>
      <c r="B80" s="34" t="str">
        <f t="shared" si="20"/>
        <v>Henri Verho</v>
      </c>
      <c r="C80" s="34">
        <f t="shared" si="21"/>
        <v>256</v>
      </c>
      <c r="D80" s="34" t="str">
        <f t="shared" si="22"/>
        <v>GP9</v>
      </c>
      <c r="K80" s="34">
        <f t="shared" si="15"/>
        <v>35</v>
      </c>
      <c r="L80" s="34" t="str">
        <f>IF(Data!$I79="","",Data!I79)</f>
        <v>Henri Verho</v>
      </c>
      <c r="M80" s="34">
        <f>IF(Data!$I79="","",IF(Data!L79=0,"dns",Data!L79))</f>
        <v>293</v>
      </c>
      <c r="N80" s="34" t="str">
        <f>IF(Data!$I79="","","GP"&amp;Data!$B79)</f>
        <v>GP5</v>
      </c>
      <c r="O80" s="34">
        <f t="shared" si="16"/>
        <v>35</v>
      </c>
      <c r="P80" s="34">
        <f>IF($L80="","",Data!B79)</f>
        <v>5</v>
      </c>
      <c r="Q80" s="34">
        <f t="shared" si="17"/>
        <v>80</v>
      </c>
      <c r="R80" s="34">
        <f t="shared" si="18"/>
        <v>3.5050800000000007E-2</v>
      </c>
      <c r="S80" s="70"/>
    </row>
    <row r="81" spans="1:19" x14ac:dyDescent="0.25">
      <c r="A81" s="34">
        <f t="shared" si="19"/>
        <v>77</v>
      </c>
      <c r="B81" s="34" t="str">
        <f t="shared" si="20"/>
        <v>Mika Sola</v>
      </c>
      <c r="C81" s="34">
        <f t="shared" si="21"/>
        <v>254</v>
      </c>
      <c r="D81" s="34" t="str">
        <f t="shared" si="22"/>
        <v>GP6</v>
      </c>
      <c r="K81" s="34">
        <f t="shared" si="15"/>
        <v>64</v>
      </c>
      <c r="L81" s="34" t="str">
        <f>IF(Data!$I80="","",Data!I80)</f>
        <v>Joonas Ollonqvist</v>
      </c>
      <c r="M81" s="34">
        <f>IF(Data!$I80="","",IF(Data!L80=0,"dns",Data!L80))</f>
        <v>267</v>
      </c>
      <c r="N81" s="34" t="str">
        <f>IF(Data!$I80="","","GP"&amp;Data!$B80)</f>
        <v>GP5</v>
      </c>
      <c r="O81" s="34">
        <f t="shared" si="16"/>
        <v>64</v>
      </c>
      <c r="P81" s="34">
        <f>IF($L81="","",Data!B80)</f>
        <v>5</v>
      </c>
      <c r="Q81" s="34">
        <f t="shared" si="17"/>
        <v>81</v>
      </c>
      <c r="R81" s="34">
        <f t="shared" si="18"/>
        <v>6.405081E-2</v>
      </c>
      <c r="S81" s="70"/>
    </row>
    <row r="82" spans="1:19" x14ac:dyDescent="0.25">
      <c r="A82" s="34">
        <f t="shared" si="19"/>
        <v>78</v>
      </c>
      <c r="B82" s="34" t="str">
        <f t="shared" si="20"/>
        <v>Olli Kajava</v>
      </c>
      <c r="C82" s="34">
        <f t="shared" si="21"/>
        <v>253</v>
      </c>
      <c r="D82" s="34" t="str">
        <f t="shared" si="22"/>
        <v>GP2</v>
      </c>
      <c r="K82" s="34">
        <f t="shared" si="15"/>
        <v>88</v>
      </c>
      <c r="L82" s="34" t="str">
        <f>IF(Data!$I81="","",Data!I81)</f>
        <v>Niko Reunanen</v>
      </c>
      <c r="M82" s="34">
        <f>IF(Data!$I81="","",IF(Data!L81=0,"dns",Data!L81))</f>
        <v>243</v>
      </c>
      <c r="N82" s="34" t="str">
        <f>IF(Data!$I81="","","GP"&amp;Data!$B81)</f>
        <v>GP5</v>
      </c>
      <c r="O82" s="34">
        <f t="shared" si="16"/>
        <v>88</v>
      </c>
      <c r="P82" s="34">
        <f>IF($L82="","",Data!B81)</f>
        <v>5</v>
      </c>
      <c r="Q82" s="34">
        <f t="shared" si="17"/>
        <v>82</v>
      </c>
      <c r="R82" s="34">
        <f t="shared" si="18"/>
        <v>8.8050819999999988E-2</v>
      </c>
      <c r="S82" s="70"/>
    </row>
    <row r="83" spans="1:19" x14ac:dyDescent="0.25">
      <c r="A83" s="34">
        <f t="shared" si="19"/>
        <v>79</v>
      </c>
      <c r="B83" s="34" t="str">
        <f t="shared" si="20"/>
        <v>Juho Korpi</v>
      </c>
      <c r="C83" s="34">
        <f t="shared" si="21"/>
        <v>253</v>
      </c>
      <c r="D83" s="34" t="str">
        <f t="shared" si="22"/>
        <v>GP10</v>
      </c>
      <c r="K83" s="34">
        <f t="shared" si="15"/>
        <v>49</v>
      </c>
      <c r="L83" s="34" t="str">
        <f>IF(Data!$I82="","",Data!I82)</f>
        <v>Olli Kajava</v>
      </c>
      <c r="M83" s="34">
        <f>IF(Data!$I82="","",IF(Data!L82=0,"dns",Data!L82))</f>
        <v>284</v>
      </c>
      <c r="N83" s="34" t="str">
        <f>IF(Data!$I82="","","GP"&amp;Data!$B82)</f>
        <v>GP5</v>
      </c>
      <c r="O83" s="34">
        <f t="shared" si="16"/>
        <v>48</v>
      </c>
      <c r="P83" s="34">
        <f>IF($L83="","",Data!B82)</f>
        <v>5</v>
      </c>
      <c r="Q83" s="34">
        <f t="shared" si="17"/>
        <v>83</v>
      </c>
      <c r="R83" s="34">
        <f t="shared" si="18"/>
        <v>4.8050830000000003E-2</v>
      </c>
      <c r="S83" s="70"/>
    </row>
    <row r="84" spans="1:19" x14ac:dyDescent="0.25">
      <c r="A84" s="34">
        <f t="shared" si="19"/>
        <v>80</v>
      </c>
      <c r="B84" s="34" t="str">
        <f t="shared" si="20"/>
        <v>Juho Korpi</v>
      </c>
      <c r="C84" s="34">
        <f t="shared" si="21"/>
        <v>250</v>
      </c>
      <c r="D84" s="34" t="str">
        <f t="shared" si="22"/>
        <v>GP3</v>
      </c>
      <c r="K84" s="34">
        <f t="shared" si="15"/>
        <v>55</v>
      </c>
      <c r="L84" s="34" t="str">
        <f>IF(Data!$I83="","",Data!I83)</f>
        <v>Mika Sola</v>
      </c>
      <c r="M84" s="34">
        <f>IF(Data!$I83="","",IF(Data!L83=0,"dns",Data!L83))</f>
        <v>278</v>
      </c>
      <c r="N84" s="34" t="str">
        <f>IF(Data!$I83="","","GP"&amp;Data!$B83)</f>
        <v>GP5</v>
      </c>
      <c r="O84" s="34">
        <f t="shared" si="16"/>
        <v>55</v>
      </c>
      <c r="P84" s="34">
        <f>IF($L84="","",Data!B83)</f>
        <v>5</v>
      </c>
      <c r="Q84" s="34">
        <f t="shared" si="17"/>
        <v>84</v>
      </c>
      <c r="R84" s="34">
        <f t="shared" si="18"/>
        <v>5.5050840000000004E-2</v>
      </c>
      <c r="S84" s="70"/>
    </row>
    <row r="85" spans="1:19" x14ac:dyDescent="0.25">
      <c r="A85" s="34">
        <f t="shared" si="19"/>
        <v>81</v>
      </c>
      <c r="B85" s="34" t="str">
        <f t="shared" si="20"/>
        <v>Mika Sola</v>
      </c>
      <c r="C85" s="34">
        <f t="shared" si="21"/>
        <v>250</v>
      </c>
      <c r="D85" s="34" t="str">
        <f t="shared" si="22"/>
        <v>GP10</v>
      </c>
      <c r="K85" s="34">
        <f t="shared" si="15"/>
        <v>36</v>
      </c>
      <c r="L85" s="34" t="str">
        <f>IF(Data!$I84="","",Data!I84)</f>
        <v>Sakari Leinonen</v>
      </c>
      <c r="M85" s="34">
        <f>IF(Data!$I84="","",IF(Data!L84=0,"dns",Data!L84))</f>
        <v>292</v>
      </c>
      <c r="N85" s="34" t="str">
        <f>IF(Data!$I84="","","GP"&amp;Data!$B84)</f>
        <v>GP5</v>
      </c>
      <c r="O85" s="34">
        <f t="shared" si="16"/>
        <v>36</v>
      </c>
      <c r="P85" s="34">
        <f>IF($L85="","",Data!B84)</f>
        <v>5</v>
      </c>
      <c r="Q85" s="34">
        <f t="shared" si="17"/>
        <v>85</v>
      </c>
      <c r="R85" s="34">
        <f t="shared" si="18"/>
        <v>3.6050849999999995E-2</v>
      </c>
      <c r="S85" s="70"/>
    </row>
    <row r="86" spans="1:19" x14ac:dyDescent="0.25">
      <c r="A86" s="34">
        <f t="shared" si="19"/>
        <v>82</v>
      </c>
      <c r="B86" s="34" t="str">
        <f t="shared" si="20"/>
        <v>Mika Sola</v>
      </c>
      <c r="C86" s="34">
        <f t="shared" si="21"/>
        <v>248</v>
      </c>
      <c r="D86" s="34" t="str">
        <f t="shared" si="22"/>
        <v>GP1</v>
      </c>
      <c r="K86" s="34">
        <f t="shared" si="15"/>
        <v>12</v>
      </c>
      <c r="L86" s="34" t="str">
        <f>IF(Data!$I85="","",Data!I85)</f>
        <v>Miikka Korventausta</v>
      </c>
      <c r="M86" s="34">
        <f>IF(Data!$I85="","",IF(Data!L85=0,"dns",Data!L85))</f>
        <v>327</v>
      </c>
      <c r="N86" s="34" t="str">
        <f>IF(Data!$I85="","","GP"&amp;Data!$B85)</f>
        <v>GP5</v>
      </c>
      <c r="O86" s="34">
        <f t="shared" si="16"/>
        <v>11</v>
      </c>
      <c r="P86" s="34">
        <f>IF($L86="","",Data!B85)</f>
        <v>5</v>
      </c>
      <c r="Q86" s="34">
        <f t="shared" si="17"/>
        <v>86</v>
      </c>
      <c r="R86" s="34">
        <f t="shared" si="18"/>
        <v>1.1050859999999999E-2</v>
      </c>
      <c r="S86" s="70"/>
    </row>
    <row r="87" spans="1:19" x14ac:dyDescent="0.25">
      <c r="A87" s="34">
        <f t="shared" si="19"/>
        <v>83</v>
      </c>
      <c r="B87" s="34" t="str">
        <f t="shared" si="20"/>
        <v>Joonas Ollonqvist</v>
      </c>
      <c r="C87" s="34">
        <f t="shared" si="21"/>
        <v>247</v>
      </c>
      <c r="D87" s="34" t="str">
        <f t="shared" si="22"/>
        <v>GP2</v>
      </c>
      <c r="K87" s="34">
        <f t="shared" si="15"/>
        <v>148</v>
      </c>
      <c r="L87" s="34" t="str">
        <f>IF(Data!$I86="","",Data!I86)</f>
        <v>Roope Warro</v>
      </c>
      <c r="M87" s="34" t="str">
        <f>IF(Data!$I86="","",IF(Data!L86=0,"dns",Data!L86))</f>
        <v>dns</v>
      </c>
      <c r="N87" s="34" t="str">
        <f>IF(Data!$I86="","","GP"&amp;Data!$B86)</f>
        <v>GP5</v>
      </c>
      <c r="O87" s="34">
        <f t="shared" si="16"/>
        <v>313</v>
      </c>
      <c r="P87" s="34">
        <f>IF($L87="","",Data!B86)</f>
        <v>5</v>
      </c>
      <c r="Q87" s="34">
        <f t="shared" si="17"/>
        <v>87</v>
      </c>
      <c r="R87" s="34">
        <f t="shared" si="18"/>
        <v>0.31305086999999998</v>
      </c>
      <c r="S87" s="70"/>
    </row>
    <row r="88" spans="1:19" x14ac:dyDescent="0.25">
      <c r="A88" s="34">
        <f t="shared" si="19"/>
        <v>84</v>
      </c>
      <c r="B88" s="34" t="str">
        <f t="shared" si="20"/>
        <v>Ossi Oksa</v>
      </c>
      <c r="C88" s="34">
        <f t="shared" si="21"/>
        <v>247</v>
      </c>
      <c r="D88" s="34" t="str">
        <f t="shared" si="22"/>
        <v>GP7</v>
      </c>
      <c r="K88" s="34">
        <f t="shared" si="15"/>
        <v>149</v>
      </c>
      <c r="L88" s="34" t="str">
        <f>IF(Data!$I87="","",Data!I87)</f>
        <v>Iiro Riikonen</v>
      </c>
      <c r="M88" s="34" t="str">
        <f>IF(Data!$I87="","",IF(Data!L87=0,"dns",Data!L87))</f>
        <v>dns</v>
      </c>
      <c r="N88" s="34" t="str">
        <f>IF(Data!$I87="","","GP"&amp;Data!$B87)</f>
        <v>GP5</v>
      </c>
      <c r="O88" s="34">
        <f t="shared" si="16"/>
        <v>313</v>
      </c>
      <c r="P88" s="34">
        <f>IF($L88="","",Data!B87)</f>
        <v>5</v>
      </c>
      <c r="Q88" s="34">
        <f t="shared" si="17"/>
        <v>88</v>
      </c>
      <c r="R88" s="34">
        <f t="shared" si="18"/>
        <v>0.31305087999999998</v>
      </c>
      <c r="S88" s="70"/>
    </row>
    <row r="89" spans="1:19" x14ac:dyDescent="0.25">
      <c r="A89" s="34">
        <f t="shared" si="19"/>
        <v>85</v>
      </c>
      <c r="B89" s="34" t="str">
        <f t="shared" si="20"/>
        <v>Niko Reunanen</v>
      </c>
      <c r="C89" s="34">
        <f t="shared" si="21"/>
        <v>246</v>
      </c>
      <c r="D89" s="34" t="str">
        <f t="shared" si="22"/>
        <v>GP10</v>
      </c>
      <c r="K89" s="34">
        <f t="shared" si="15"/>
        <v>150</v>
      </c>
      <c r="L89" s="34" t="str">
        <f>IF(Data!$I88="","",Data!I88)</f>
        <v>Kaleva Latvala</v>
      </c>
      <c r="M89" s="34" t="str">
        <f>IF(Data!$I88="","",IF(Data!L88=0,"dns",Data!L88))</f>
        <v>dns</v>
      </c>
      <c r="N89" s="34" t="str">
        <f>IF(Data!$I88="","","GP"&amp;Data!$B88)</f>
        <v>GP5</v>
      </c>
      <c r="O89" s="34">
        <f t="shared" si="16"/>
        <v>313</v>
      </c>
      <c r="P89" s="34">
        <f>IF($L89="","",Data!B88)</f>
        <v>5</v>
      </c>
      <c r="Q89" s="34">
        <f t="shared" si="17"/>
        <v>89</v>
      </c>
      <c r="R89" s="34">
        <f t="shared" si="18"/>
        <v>0.31305088999999997</v>
      </c>
      <c r="S89" s="70"/>
    </row>
    <row r="90" spans="1:19" x14ac:dyDescent="0.25">
      <c r="A90" s="34">
        <f t="shared" si="19"/>
        <v>86</v>
      </c>
      <c r="B90" s="34" t="str">
        <f t="shared" si="20"/>
        <v>Mika Sola</v>
      </c>
      <c r="C90" s="34">
        <f t="shared" si="21"/>
        <v>245</v>
      </c>
      <c r="D90" s="34" t="str">
        <f t="shared" si="22"/>
        <v>GP4</v>
      </c>
      <c r="K90" s="34">
        <f t="shared" si="15"/>
        <v>151</v>
      </c>
      <c r="L90" s="34" t="str">
        <f>IF(Data!$I89="","",Data!I89)</f>
        <v>Mikko Mansikkamäki</v>
      </c>
      <c r="M90" s="34" t="str">
        <f>IF(Data!$I89="","",IF(Data!L89=0,"dns",Data!L89))</f>
        <v>dns</v>
      </c>
      <c r="N90" s="34" t="str">
        <f>IF(Data!$I89="","","GP"&amp;Data!$B89)</f>
        <v>GP5</v>
      </c>
      <c r="O90" s="34">
        <f t="shared" si="16"/>
        <v>313</v>
      </c>
      <c r="P90" s="34">
        <f>IF($L90="","",Data!B89)</f>
        <v>5</v>
      </c>
      <c r="Q90" s="34">
        <f t="shared" si="17"/>
        <v>90</v>
      </c>
      <c r="R90" s="34">
        <f t="shared" si="18"/>
        <v>0.31305090000000002</v>
      </c>
      <c r="S90" s="70"/>
    </row>
    <row r="91" spans="1:19" x14ac:dyDescent="0.25">
      <c r="A91" s="34">
        <f t="shared" si="19"/>
        <v>87</v>
      </c>
      <c r="B91" s="34" t="str">
        <f t="shared" si="20"/>
        <v>Henri Verho</v>
      </c>
      <c r="C91" s="34">
        <f t="shared" si="21"/>
        <v>244</v>
      </c>
      <c r="D91" s="34" t="str">
        <f t="shared" si="22"/>
        <v>GP3</v>
      </c>
      <c r="K91" s="34">
        <f t="shared" si="15"/>
        <v>152</v>
      </c>
      <c r="L91" s="34" t="str">
        <f>IF(Data!$I90="","",Data!I90)</f>
        <v>Tatu Erlin</v>
      </c>
      <c r="M91" s="34" t="str">
        <f>IF(Data!$I90="","",IF(Data!L90=0,"dns",Data!L90))</f>
        <v>dns</v>
      </c>
      <c r="N91" s="34" t="str">
        <f>IF(Data!$I90="","","GP"&amp;Data!$B90)</f>
        <v>GP5</v>
      </c>
      <c r="O91" s="34">
        <f t="shared" si="16"/>
        <v>313</v>
      </c>
      <c r="P91" s="34">
        <f>IF($L91="","",Data!B90)</f>
        <v>5</v>
      </c>
      <c r="Q91" s="34">
        <f t="shared" si="17"/>
        <v>91</v>
      </c>
      <c r="R91" s="34">
        <f t="shared" si="18"/>
        <v>0.31305091000000002</v>
      </c>
      <c r="S91" s="70"/>
    </row>
    <row r="92" spans="1:19" x14ac:dyDescent="0.25">
      <c r="A92" s="34">
        <f t="shared" si="19"/>
        <v>88</v>
      </c>
      <c r="B92" s="34" t="str">
        <f t="shared" si="20"/>
        <v>Niko Reunanen</v>
      </c>
      <c r="C92" s="34">
        <f t="shared" si="21"/>
        <v>243</v>
      </c>
      <c r="D92" s="34" t="str">
        <f t="shared" si="22"/>
        <v>GP5</v>
      </c>
      <c r="K92" s="34">
        <f t="shared" si="15"/>
        <v>153</v>
      </c>
      <c r="L92" s="34" t="str">
        <f>IF(Data!$I91="","",Data!I91)</f>
        <v>Frans Hartman</v>
      </c>
      <c r="M92" s="34" t="str">
        <f>IF(Data!$I91="","",IF(Data!L91=0,"dns",Data!L91))</f>
        <v>dns</v>
      </c>
      <c r="N92" s="34" t="str">
        <f>IF(Data!$I91="","","GP"&amp;Data!$B91)</f>
        <v>GP5</v>
      </c>
      <c r="O92" s="34">
        <f t="shared" si="16"/>
        <v>313</v>
      </c>
      <c r="P92" s="34">
        <f>IF($L92="","",Data!B91)</f>
        <v>5</v>
      </c>
      <c r="Q92" s="34">
        <f t="shared" si="17"/>
        <v>92</v>
      </c>
      <c r="R92" s="34">
        <f t="shared" si="18"/>
        <v>0.31305092000000001</v>
      </c>
      <c r="S92" s="70"/>
    </row>
    <row r="93" spans="1:19" x14ac:dyDescent="0.25">
      <c r="A93" s="34">
        <f t="shared" si="19"/>
        <v>89</v>
      </c>
      <c r="B93" s="34" t="str">
        <f t="shared" si="20"/>
        <v>Niko Reunanen</v>
      </c>
      <c r="C93" s="34">
        <f t="shared" si="21"/>
        <v>242</v>
      </c>
      <c r="D93" s="34" t="str">
        <f t="shared" si="22"/>
        <v>GP8</v>
      </c>
      <c r="K93" s="34">
        <f t="shared" si="15"/>
        <v>93</v>
      </c>
      <c r="L93" s="34" t="str">
        <f>IF(Data!$I92="","",Data!I92)</f>
        <v>Joonas Ollonqvist</v>
      </c>
      <c r="M93" s="34">
        <f>IF(Data!$I92="","",IF(Data!L92=0,"dns",Data!L92))</f>
        <v>241</v>
      </c>
      <c r="N93" s="34" t="str">
        <f>IF(Data!$I92="","","GP"&amp;Data!$B92)</f>
        <v>GP6</v>
      </c>
      <c r="O93" s="34">
        <f t="shared" si="16"/>
        <v>90</v>
      </c>
      <c r="P93" s="34">
        <f>IF($L93="","",Data!B92)</f>
        <v>6</v>
      </c>
      <c r="Q93" s="34">
        <f t="shared" si="17"/>
        <v>93</v>
      </c>
      <c r="R93" s="34">
        <f t="shared" si="18"/>
        <v>9.0060929999999997E-2</v>
      </c>
      <c r="S93" s="70"/>
    </row>
    <row r="94" spans="1:19" x14ac:dyDescent="0.25">
      <c r="A94" s="34">
        <f t="shared" si="19"/>
        <v>90</v>
      </c>
      <c r="B94" s="34" t="str">
        <f t="shared" si="20"/>
        <v>Frans Hartman</v>
      </c>
      <c r="C94" s="34">
        <f t="shared" si="21"/>
        <v>241</v>
      </c>
      <c r="D94" s="34" t="str">
        <f t="shared" si="22"/>
        <v>GP1</v>
      </c>
      <c r="K94" s="34">
        <f t="shared" si="15"/>
        <v>44</v>
      </c>
      <c r="L94" s="34" t="str">
        <f>IF(Data!$I93="","",Data!I93)</f>
        <v>Niko Reunanen</v>
      </c>
      <c r="M94" s="34">
        <f>IF(Data!$I93="","",IF(Data!L93=0,"dns",Data!L93))</f>
        <v>289</v>
      </c>
      <c r="N94" s="34" t="str">
        <f>IF(Data!$I93="","","GP"&amp;Data!$B93)</f>
        <v>GP6</v>
      </c>
      <c r="O94" s="34">
        <f t="shared" si="16"/>
        <v>42</v>
      </c>
      <c r="P94" s="34">
        <f>IF($L94="","",Data!B93)</f>
        <v>6</v>
      </c>
      <c r="Q94" s="34">
        <f t="shared" si="17"/>
        <v>94</v>
      </c>
      <c r="R94" s="34">
        <f t="shared" si="18"/>
        <v>4.2060939999999998E-2</v>
      </c>
      <c r="S94" s="70"/>
    </row>
    <row r="95" spans="1:19" x14ac:dyDescent="0.25">
      <c r="A95" s="34">
        <f t="shared" si="19"/>
        <v>91</v>
      </c>
      <c r="B95" s="34" t="str">
        <f t="shared" si="20"/>
        <v>Ossi Oksa</v>
      </c>
      <c r="C95" s="34">
        <f t="shared" si="21"/>
        <v>241</v>
      </c>
      <c r="D95" s="34" t="str">
        <f t="shared" si="22"/>
        <v>GP1</v>
      </c>
      <c r="K95" s="34">
        <f t="shared" si="15"/>
        <v>31</v>
      </c>
      <c r="L95" s="34" t="str">
        <f>IF(Data!$I94="","",Data!I94)</f>
        <v>Henri Verho</v>
      </c>
      <c r="M95" s="34">
        <f>IF(Data!$I94="","",IF(Data!L94=0,"dns",Data!L94))</f>
        <v>298</v>
      </c>
      <c r="N95" s="34" t="str">
        <f>IF(Data!$I94="","","GP"&amp;Data!$B94)</f>
        <v>GP6</v>
      </c>
      <c r="O95" s="34">
        <f t="shared" si="16"/>
        <v>31</v>
      </c>
      <c r="P95" s="34">
        <f>IF($L95="","",Data!B94)</f>
        <v>6</v>
      </c>
      <c r="Q95" s="34">
        <f t="shared" si="17"/>
        <v>95</v>
      </c>
      <c r="R95" s="34">
        <f t="shared" si="18"/>
        <v>3.106095E-2</v>
      </c>
      <c r="S95" s="70"/>
    </row>
    <row r="96" spans="1:19" x14ac:dyDescent="0.25">
      <c r="A96" s="34">
        <f t="shared" si="19"/>
        <v>92</v>
      </c>
      <c r="B96" s="34" t="str">
        <f t="shared" si="20"/>
        <v>Juho Korpi</v>
      </c>
      <c r="C96" s="34">
        <f t="shared" si="21"/>
        <v>241</v>
      </c>
      <c r="D96" s="34" t="str">
        <f t="shared" si="22"/>
        <v>GP2</v>
      </c>
      <c r="K96" s="34">
        <f t="shared" si="15"/>
        <v>40</v>
      </c>
      <c r="L96" s="34" t="str">
        <f>IF(Data!$I95="","",Data!I95)</f>
        <v>Juho Korpi</v>
      </c>
      <c r="M96" s="34">
        <f>IF(Data!$I95="","",IF(Data!L95=0,"dns",Data!L95))</f>
        <v>290</v>
      </c>
      <c r="N96" s="34" t="str">
        <f>IF(Data!$I95="","","GP"&amp;Data!$B95)</f>
        <v>GP6</v>
      </c>
      <c r="O96" s="34">
        <f t="shared" si="16"/>
        <v>40</v>
      </c>
      <c r="P96" s="34">
        <f>IF($L96="","",Data!B95)</f>
        <v>6</v>
      </c>
      <c r="Q96" s="34">
        <f t="shared" si="17"/>
        <v>96</v>
      </c>
      <c r="R96" s="34">
        <f t="shared" si="18"/>
        <v>4.006096E-2</v>
      </c>
      <c r="S96" s="70"/>
    </row>
    <row r="97" spans="1:19" x14ac:dyDescent="0.25">
      <c r="A97" s="34">
        <f t="shared" si="19"/>
        <v>93</v>
      </c>
      <c r="B97" s="34" t="str">
        <f t="shared" si="20"/>
        <v>Joonas Ollonqvist</v>
      </c>
      <c r="C97" s="34">
        <f t="shared" si="21"/>
        <v>241</v>
      </c>
      <c r="D97" s="34" t="str">
        <f t="shared" si="22"/>
        <v>GP6</v>
      </c>
      <c r="K97" s="34">
        <f t="shared" si="15"/>
        <v>19</v>
      </c>
      <c r="L97" s="34" t="str">
        <f>IF(Data!$I96="","",Data!I96)</f>
        <v>Jami Kallio</v>
      </c>
      <c r="M97" s="34">
        <f>IF(Data!$I96="","",IF(Data!L96=0,"dns",Data!L96))</f>
        <v>313</v>
      </c>
      <c r="N97" s="34" t="str">
        <f>IF(Data!$I96="","","GP"&amp;Data!$B96)</f>
        <v>GP6</v>
      </c>
      <c r="O97" s="34">
        <f t="shared" si="16"/>
        <v>19</v>
      </c>
      <c r="P97" s="34">
        <f>IF($L97="","",Data!B96)</f>
        <v>6</v>
      </c>
      <c r="Q97" s="34">
        <f t="shared" si="17"/>
        <v>97</v>
      </c>
      <c r="R97" s="34">
        <f t="shared" si="18"/>
        <v>1.906097E-2</v>
      </c>
      <c r="S97" s="70"/>
    </row>
    <row r="98" spans="1:19" x14ac:dyDescent="0.25">
      <c r="A98" s="34">
        <f t="shared" si="19"/>
        <v>94</v>
      </c>
      <c r="B98" s="34" t="str">
        <f t="shared" si="20"/>
        <v>Sakari Leinonen</v>
      </c>
      <c r="C98" s="34">
        <f t="shared" si="21"/>
        <v>240</v>
      </c>
      <c r="D98" s="34" t="str">
        <f t="shared" si="22"/>
        <v>GP10</v>
      </c>
      <c r="K98" s="34">
        <f t="shared" si="15"/>
        <v>125</v>
      </c>
      <c r="L98" s="34" t="str">
        <f>IF(Data!$I97="","",Data!I97)</f>
        <v>Tatu Erlin</v>
      </c>
      <c r="M98" s="34">
        <f>IF(Data!$I97="","",IF(Data!L97=0,"dns",Data!L97))</f>
        <v>173</v>
      </c>
      <c r="N98" s="34" t="str">
        <f>IF(Data!$I97="","","GP"&amp;Data!$B97)</f>
        <v>GP6</v>
      </c>
      <c r="O98" s="34">
        <f t="shared" si="16"/>
        <v>125</v>
      </c>
      <c r="P98" s="34">
        <f>IF($L98="","",Data!B97)</f>
        <v>6</v>
      </c>
      <c r="Q98" s="34">
        <f t="shared" si="17"/>
        <v>98</v>
      </c>
      <c r="R98" s="34">
        <f t="shared" si="18"/>
        <v>0.12506098000000002</v>
      </c>
      <c r="S98" s="70"/>
    </row>
    <row r="99" spans="1:19" x14ac:dyDescent="0.25">
      <c r="A99" s="34">
        <f t="shared" si="19"/>
        <v>95</v>
      </c>
      <c r="B99" s="34" t="str">
        <f t="shared" si="20"/>
        <v>Sakari Leinonen</v>
      </c>
      <c r="C99" s="34">
        <f t="shared" si="21"/>
        <v>237</v>
      </c>
      <c r="D99" s="34" t="str">
        <f t="shared" si="22"/>
        <v>GP6</v>
      </c>
      <c r="K99" s="34">
        <f t="shared" si="15"/>
        <v>77</v>
      </c>
      <c r="L99" s="34" t="str">
        <f>IF(Data!$I98="","",Data!I98)</f>
        <v>Mika Sola</v>
      </c>
      <c r="M99" s="34">
        <f>IF(Data!$I98="","",IF(Data!L98=0,"dns",Data!L98))</f>
        <v>254</v>
      </c>
      <c r="N99" s="34" t="str">
        <f>IF(Data!$I98="","","GP"&amp;Data!$B98)</f>
        <v>GP6</v>
      </c>
      <c r="O99" s="34">
        <f t="shared" si="16"/>
        <v>77</v>
      </c>
      <c r="P99" s="34">
        <f>IF($L99="","",Data!B98)</f>
        <v>6</v>
      </c>
      <c r="Q99" s="34">
        <f t="shared" si="17"/>
        <v>99</v>
      </c>
      <c r="R99" s="34">
        <f t="shared" si="18"/>
        <v>7.706099000000001E-2</v>
      </c>
      <c r="S99" s="70"/>
    </row>
    <row r="100" spans="1:19" x14ac:dyDescent="0.25">
      <c r="A100" s="34">
        <f t="shared" si="19"/>
        <v>96</v>
      </c>
      <c r="B100" s="34" t="str">
        <f t="shared" si="20"/>
        <v>Joonas Ollonqvist</v>
      </c>
      <c r="C100" s="34">
        <f t="shared" si="21"/>
        <v>236</v>
      </c>
      <c r="D100" s="34" t="str">
        <f t="shared" si="22"/>
        <v>GP8</v>
      </c>
      <c r="K100" s="34">
        <f t="shared" si="15"/>
        <v>47</v>
      </c>
      <c r="L100" s="34" t="str">
        <f>IF(Data!$I99="","",Data!I99)</f>
        <v>Olli Kajava</v>
      </c>
      <c r="M100" s="34">
        <f>IF(Data!$I99="","",IF(Data!L99=0,"dns",Data!L99))</f>
        <v>286</v>
      </c>
      <c r="N100" s="34" t="str">
        <f>IF(Data!$I99="","","GP"&amp;Data!$B99)</f>
        <v>GP6</v>
      </c>
      <c r="O100" s="34">
        <f t="shared" si="16"/>
        <v>47</v>
      </c>
      <c r="P100" s="34">
        <f>IF($L100="","",Data!B99)</f>
        <v>6</v>
      </c>
      <c r="Q100" s="34">
        <f t="shared" si="17"/>
        <v>100</v>
      </c>
      <c r="R100" s="34">
        <f t="shared" si="18"/>
        <v>4.7060999999999999E-2</v>
      </c>
      <c r="S100" s="70"/>
    </row>
    <row r="101" spans="1:19" x14ac:dyDescent="0.25">
      <c r="A101" s="34">
        <f t="shared" si="19"/>
        <v>97</v>
      </c>
      <c r="B101" s="34" t="str">
        <f t="shared" si="20"/>
        <v>Joonas Ollonqvist</v>
      </c>
      <c r="C101" s="34">
        <f t="shared" si="21"/>
        <v>233</v>
      </c>
      <c r="D101" s="34" t="str">
        <f t="shared" si="22"/>
        <v>GP7</v>
      </c>
      <c r="K101" s="34">
        <f t="shared" si="15"/>
        <v>29</v>
      </c>
      <c r="L101" s="34" t="str">
        <f>IF(Data!$I100="","",Data!I100)</f>
        <v>Iiro Riikonen</v>
      </c>
      <c r="M101" s="34">
        <f>IF(Data!$I100="","",IF(Data!L100=0,"dns",Data!L100))</f>
        <v>304</v>
      </c>
      <c r="N101" s="34" t="str">
        <f>IF(Data!$I100="","","GP"&amp;Data!$B100)</f>
        <v>GP6</v>
      </c>
      <c r="O101" s="34">
        <f t="shared" si="16"/>
        <v>29</v>
      </c>
      <c r="P101" s="34">
        <f>IF($L101="","",Data!B100)</f>
        <v>6</v>
      </c>
      <c r="Q101" s="34">
        <f t="shared" si="17"/>
        <v>101</v>
      </c>
      <c r="R101" s="34">
        <f t="shared" si="18"/>
        <v>2.9061010000000002E-2</v>
      </c>
      <c r="S101" s="70"/>
    </row>
    <row r="102" spans="1:19" x14ac:dyDescent="0.25">
      <c r="A102" s="34">
        <f t="shared" si="19"/>
        <v>98</v>
      </c>
      <c r="B102" s="34" t="str">
        <f t="shared" si="20"/>
        <v>Miikka Korventausta</v>
      </c>
      <c r="C102" s="34">
        <f t="shared" si="21"/>
        <v>233</v>
      </c>
      <c r="D102" s="34" t="str">
        <f t="shared" si="22"/>
        <v>GP8</v>
      </c>
      <c r="K102" s="34">
        <f t="shared" si="15"/>
        <v>3</v>
      </c>
      <c r="L102" s="34" t="str">
        <f>IF(Data!$I101="","",Data!I101)</f>
        <v>Frans Hartman</v>
      </c>
      <c r="M102" s="34">
        <f>IF(Data!$I101="","",IF(Data!L101=0,"dns",Data!L101))</f>
        <v>350</v>
      </c>
      <c r="N102" s="34" t="str">
        <f>IF(Data!$I101="","","GP"&amp;Data!$B101)</f>
        <v>GP6</v>
      </c>
      <c r="O102" s="34">
        <f t="shared" si="16"/>
        <v>3</v>
      </c>
      <c r="P102" s="34">
        <f>IF($L102="","",Data!B101)</f>
        <v>6</v>
      </c>
      <c r="Q102" s="34">
        <f t="shared" si="17"/>
        <v>102</v>
      </c>
      <c r="R102" s="34">
        <f t="shared" si="18"/>
        <v>3.0610200000000002E-3</v>
      </c>
      <c r="S102" s="70"/>
    </row>
    <row r="103" spans="1:19" x14ac:dyDescent="0.25">
      <c r="A103" s="34">
        <f t="shared" si="19"/>
        <v>99</v>
      </c>
      <c r="B103" s="34" t="str">
        <f t="shared" si="20"/>
        <v>Kaleva Latvala</v>
      </c>
      <c r="C103" s="34">
        <f t="shared" si="21"/>
        <v>232</v>
      </c>
      <c r="D103" s="34" t="str">
        <f t="shared" si="22"/>
        <v>GP3</v>
      </c>
      <c r="K103" s="34">
        <f t="shared" si="15"/>
        <v>110</v>
      </c>
      <c r="L103" s="34" t="str">
        <f>IF(Data!$I102="","",Data!I102)</f>
        <v>Kaleva Latvala</v>
      </c>
      <c r="M103" s="34">
        <f>IF(Data!$I102="","",IF(Data!L102=0,"dns",Data!L102))</f>
        <v>218</v>
      </c>
      <c r="N103" s="34" t="str">
        <f>IF(Data!$I102="","","GP"&amp;Data!$B102)</f>
        <v>GP6</v>
      </c>
      <c r="O103" s="34">
        <f t="shared" si="16"/>
        <v>110</v>
      </c>
      <c r="P103" s="34">
        <f>IF($L103="","",Data!B102)</f>
        <v>6</v>
      </c>
      <c r="Q103" s="34">
        <f t="shared" si="17"/>
        <v>103</v>
      </c>
      <c r="R103" s="34">
        <f t="shared" si="18"/>
        <v>0.11006103</v>
      </c>
      <c r="S103" s="70"/>
    </row>
    <row r="104" spans="1:19" x14ac:dyDescent="0.25">
      <c r="A104" s="34">
        <f t="shared" si="19"/>
        <v>100</v>
      </c>
      <c r="B104" s="34" t="str">
        <f t="shared" si="20"/>
        <v>Tatu Erlin</v>
      </c>
      <c r="C104" s="34">
        <f t="shared" si="21"/>
        <v>230</v>
      </c>
      <c r="D104" s="34" t="str">
        <f t="shared" si="22"/>
        <v>GP1</v>
      </c>
      <c r="K104" s="34">
        <f t="shared" si="15"/>
        <v>124</v>
      </c>
      <c r="L104" s="34" t="str">
        <f>IF(Data!$I103="","",Data!I103)</f>
        <v>Mikko Mansikkamäki</v>
      </c>
      <c r="M104" s="34">
        <f>IF(Data!$I103="","",IF(Data!L103=0,"dns",Data!L103))</f>
        <v>178</v>
      </c>
      <c r="N104" s="34" t="str">
        <f>IF(Data!$I103="","","GP"&amp;Data!$B103)</f>
        <v>GP6</v>
      </c>
      <c r="O104" s="34">
        <f t="shared" si="16"/>
        <v>124</v>
      </c>
      <c r="P104" s="34">
        <f>IF($L104="","",Data!B103)</f>
        <v>6</v>
      </c>
      <c r="Q104" s="34">
        <f t="shared" si="17"/>
        <v>104</v>
      </c>
      <c r="R104" s="34">
        <f t="shared" si="18"/>
        <v>0.12406104</v>
      </c>
      <c r="S104" s="70"/>
    </row>
    <row r="105" spans="1:19" x14ac:dyDescent="0.25">
      <c r="A105" s="34">
        <f t="shared" si="19"/>
        <v>101</v>
      </c>
      <c r="B105" s="34" t="str">
        <f t="shared" si="20"/>
        <v>Mika Sola</v>
      </c>
      <c r="C105" s="34">
        <f t="shared" si="21"/>
        <v>230</v>
      </c>
      <c r="D105" s="34" t="str">
        <f t="shared" si="22"/>
        <v>GP2</v>
      </c>
      <c r="K105" s="34">
        <f t="shared" si="15"/>
        <v>107</v>
      </c>
      <c r="L105" s="34" t="str">
        <f>IF(Data!$I104="","",Data!I104)</f>
        <v>Asko Haaksi</v>
      </c>
      <c r="M105" s="34">
        <f>IF(Data!$I104="","",IF(Data!L104=0,"dns",Data!L104))</f>
        <v>224</v>
      </c>
      <c r="N105" s="34" t="str">
        <f>IF(Data!$I104="","","GP"&amp;Data!$B104)</f>
        <v>GP6</v>
      </c>
      <c r="O105" s="34">
        <f t="shared" si="16"/>
        <v>106</v>
      </c>
      <c r="P105" s="34">
        <f>IF($L105="","",Data!B104)</f>
        <v>6</v>
      </c>
      <c r="Q105" s="34">
        <f t="shared" si="17"/>
        <v>105</v>
      </c>
      <c r="R105" s="34">
        <f t="shared" si="18"/>
        <v>0.10606105</v>
      </c>
      <c r="S105" s="70"/>
    </row>
    <row r="106" spans="1:19" x14ac:dyDescent="0.25">
      <c r="A106" s="34">
        <f t="shared" si="19"/>
        <v>102</v>
      </c>
      <c r="B106" s="34" t="str">
        <f t="shared" si="20"/>
        <v>Juho Korpi</v>
      </c>
      <c r="C106" s="34">
        <f t="shared" si="21"/>
        <v>229</v>
      </c>
      <c r="D106" s="34" t="str">
        <f t="shared" si="22"/>
        <v>GP4</v>
      </c>
      <c r="K106" s="34">
        <f t="shared" si="15"/>
        <v>75</v>
      </c>
      <c r="L106" s="34" t="str">
        <f>IF(Data!$I105="","",Data!I105)</f>
        <v>Miika Nordblad</v>
      </c>
      <c r="M106" s="34">
        <f>IF(Data!$I105="","",IF(Data!L105=0,"dns",Data!L105))</f>
        <v>256</v>
      </c>
      <c r="N106" s="34" t="str">
        <f>IF(Data!$I105="","","GP"&amp;Data!$B105)</f>
        <v>GP6</v>
      </c>
      <c r="O106" s="34">
        <f t="shared" si="16"/>
        <v>75</v>
      </c>
      <c r="P106" s="34">
        <f>IF($L106="","",Data!B105)</f>
        <v>6</v>
      </c>
      <c r="Q106" s="34">
        <f t="shared" si="17"/>
        <v>106</v>
      </c>
      <c r="R106" s="34">
        <f t="shared" si="18"/>
        <v>7.5061059999999999E-2</v>
      </c>
      <c r="S106" s="70"/>
    </row>
    <row r="107" spans="1:19" x14ac:dyDescent="0.25">
      <c r="A107" s="34">
        <f t="shared" si="19"/>
        <v>103</v>
      </c>
      <c r="B107" s="34" t="str">
        <f t="shared" si="20"/>
        <v>Mikko Mansikkamäki</v>
      </c>
      <c r="C107" s="34">
        <f t="shared" si="21"/>
        <v>228</v>
      </c>
      <c r="D107" s="34" t="str">
        <f t="shared" si="22"/>
        <v>GP8</v>
      </c>
      <c r="K107" s="34">
        <f t="shared" si="15"/>
        <v>95</v>
      </c>
      <c r="L107" s="34" t="str">
        <f>IF(Data!$I106="","",Data!I106)</f>
        <v>Sakari Leinonen</v>
      </c>
      <c r="M107" s="34">
        <f>IF(Data!$I106="","",IF(Data!L106=0,"dns",Data!L106))</f>
        <v>237</v>
      </c>
      <c r="N107" s="34" t="str">
        <f>IF(Data!$I106="","","GP"&amp;Data!$B106)</f>
        <v>GP6</v>
      </c>
      <c r="O107" s="34">
        <f t="shared" si="16"/>
        <v>95</v>
      </c>
      <c r="P107" s="34">
        <f>IF($L107="","",Data!B106)</f>
        <v>6</v>
      </c>
      <c r="Q107" s="34">
        <f t="shared" si="17"/>
        <v>107</v>
      </c>
      <c r="R107" s="34">
        <f t="shared" si="18"/>
        <v>9.5061070000000011E-2</v>
      </c>
      <c r="S107" s="70"/>
    </row>
    <row r="108" spans="1:19" x14ac:dyDescent="0.25">
      <c r="A108" s="34">
        <f t="shared" si="19"/>
        <v>104</v>
      </c>
      <c r="B108" s="34" t="str">
        <f t="shared" si="20"/>
        <v>Sakari Leinonen</v>
      </c>
      <c r="C108" s="34">
        <f t="shared" si="21"/>
        <v>226</v>
      </c>
      <c r="D108" s="34" t="str">
        <f t="shared" si="22"/>
        <v>GP3</v>
      </c>
      <c r="K108" s="34">
        <f t="shared" si="15"/>
        <v>154</v>
      </c>
      <c r="L108" s="34" t="str">
        <f>IF(Data!$I107="","",Data!I107)</f>
        <v>Ossi Oksa</v>
      </c>
      <c r="M108" s="34" t="str">
        <f>IF(Data!$I107="","",IF(Data!L107=0,"dns",Data!L107))</f>
        <v>dns</v>
      </c>
      <c r="N108" s="34" t="str">
        <f>IF(Data!$I107="","","GP"&amp;Data!$B107)</f>
        <v>GP6</v>
      </c>
      <c r="O108" s="34">
        <f t="shared" si="16"/>
        <v>313</v>
      </c>
      <c r="P108" s="34">
        <f>IF($L108="","",Data!B107)</f>
        <v>6</v>
      </c>
      <c r="Q108" s="34">
        <f t="shared" si="17"/>
        <v>108</v>
      </c>
      <c r="R108" s="34">
        <f t="shared" si="18"/>
        <v>0.31306107999999999</v>
      </c>
      <c r="S108" s="70"/>
    </row>
    <row r="109" spans="1:19" x14ac:dyDescent="0.25">
      <c r="A109" s="34">
        <f t="shared" si="19"/>
        <v>105</v>
      </c>
      <c r="B109" s="34" t="str">
        <f t="shared" si="20"/>
        <v>Olli Kajava</v>
      </c>
      <c r="C109" s="34">
        <f t="shared" si="21"/>
        <v>226</v>
      </c>
      <c r="D109" s="34" t="str">
        <f t="shared" si="22"/>
        <v>GP10</v>
      </c>
      <c r="K109" s="34">
        <f t="shared" si="15"/>
        <v>155</v>
      </c>
      <c r="L109" s="34" t="str">
        <f>IF(Data!$I108="","",Data!I108)</f>
        <v>Roope Warro</v>
      </c>
      <c r="M109" s="34" t="str">
        <f>IF(Data!$I108="","",IF(Data!L108=0,"dns",Data!L108))</f>
        <v>dns</v>
      </c>
      <c r="N109" s="34" t="str">
        <f>IF(Data!$I108="","","GP"&amp;Data!$B108)</f>
        <v>GP6</v>
      </c>
      <c r="O109" s="34">
        <f t="shared" si="16"/>
        <v>313</v>
      </c>
      <c r="P109" s="34">
        <f>IF($L109="","",Data!B108)</f>
        <v>6</v>
      </c>
      <c r="Q109" s="34">
        <f t="shared" si="17"/>
        <v>109</v>
      </c>
      <c r="R109" s="34">
        <f t="shared" si="18"/>
        <v>0.31306108999999999</v>
      </c>
      <c r="S109" s="70"/>
    </row>
    <row r="110" spans="1:19" x14ac:dyDescent="0.25">
      <c r="A110" s="34">
        <f t="shared" si="19"/>
        <v>106</v>
      </c>
      <c r="B110" s="34" t="str">
        <f t="shared" si="20"/>
        <v>Roope Warro</v>
      </c>
      <c r="C110" s="34">
        <f t="shared" si="21"/>
        <v>224</v>
      </c>
      <c r="D110" s="34" t="str">
        <f t="shared" si="22"/>
        <v>GP4</v>
      </c>
      <c r="K110" s="34">
        <f t="shared" si="15"/>
        <v>156</v>
      </c>
      <c r="L110" s="34" t="str">
        <f>IF(Data!$I109="","",Data!I109)</f>
        <v>Miikka Korventausta</v>
      </c>
      <c r="M110" s="34" t="str">
        <f>IF(Data!$I109="","",IF(Data!L109=0,"dns",Data!L109))</f>
        <v>dns</v>
      </c>
      <c r="N110" s="34" t="str">
        <f>IF(Data!$I109="","","GP"&amp;Data!$B109)</f>
        <v>GP6</v>
      </c>
      <c r="O110" s="34">
        <f t="shared" si="16"/>
        <v>313</v>
      </c>
      <c r="P110" s="34">
        <f>IF($L110="","",Data!B109)</f>
        <v>6</v>
      </c>
      <c r="Q110" s="34">
        <f t="shared" si="17"/>
        <v>110</v>
      </c>
      <c r="R110" s="34">
        <f t="shared" si="18"/>
        <v>0.31306109999999998</v>
      </c>
      <c r="S110" s="70"/>
    </row>
    <row r="111" spans="1:19" x14ac:dyDescent="0.25">
      <c r="A111" s="34">
        <f t="shared" si="19"/>
        <v>107</v>
      </c>
      <c r="B111" s="34" t="str">
        <f t="shared" si="20"/>
        <v>Asko Haaksi</v>
      </c>
      <c r="C111" s="34">
        <f t="shared" si="21"/>
        <v>224</v>
      </c>
      <c r="D111" s="34" t="str">
        <f t="shared" si="22"/>
        <v>GP6</v>
      </c>
      <c r="K111" s="34">
        <f t="shared" si="15"/>
        <v>66</v>
      </c>
      <c r="L111" s="34" t="str">
        <f>IF(Data!$I110="","",Data!I110)</f>
        <v>Miikka Korventausta</v>
      </c>
      <c r="M111" s="34">
        <f>IF(Data!$I110="","",IF(Data!L110=0,"dns",Data!L110))</f>
        <v>265</v>
      </c>
      <c r="N111" s="34" t="str">
        <f>IF(Data!$I110="","","GP"&amp;Data!$B110)</f>
        <v>GP7</v>
      </c>
      <c r="O111" s="34">
        <f t="shared" si="16"/>
        <v>66</v>
      </c>
      <c r="P111" s="34">
        <f>IF($L111="","",Data!B110)</f>
        <v>7</v>
      </c>
      <c r="Q111" s="34">
        <f t="shared" si="17"/>
        <v>111</v>
      </c>
      <c r="R111" s="34">
        <f t="shared" si="18"/>
        <v>6.6071110000000002E-2</v>
      </c>
      <c r="S111" s="70"/>
    </row>
    <row r="112" spans="1:19" x14ac:dyDescent="0.25">
      <c r="A112" s="34">
        <f t="shared" si="19"/>
        <v>108</v>
      </c>
      <c r="B112" s="34" t="str">
        <f t="shared" si="20"/>
        <v>Tatu Erlin</v>
      </c>
      <c r="C112" s="34">
        <f t="shared" si="21"/>
        <v>223</v>
      </c>
      <c r="D112" s="34" t="str">
        <f t="shared" si="22"/>
        <v>GP2</v>
      </c>
      <c r="K112" s="34">
        <f t="shared" si="15"/>
        <v>97</v>
      </c>
      <c r="L112" s="34" t="str">
        <f>IF(Data!$I111="","",Data!I111)</f>
        <v>Joonas Ollonqvist</v>
      </c>
      <c r="M112" s="34">
        <f>IF(Data!$I111="","",IF(Data!L111=0,"dns",Data!L111))</f>
        <v>233</v>
      </c>
      <c r="N112" s="34" t="str">
        <f>IF(Data!$I111="","","GP"&amp;Data!$B111)</f>
        <v>GP7</v>
      </c>
      <c r="O112" s="34">
        <f t="shared" si="16"/>
        <v>97</v>
      </c>
      <c r="P112" s="34">
        <f>IF($L112="","",Data!B111)</f>
        <v>7</v>
      </c>
      <c r="Q112" s="34">
        <f t="shared" si="17"/>
        <v>112</v>
      </c>
      <c r="R112" s="34">
        <f t="shared" si="18"/>
        <v>9.7071119999999997E-2</v>
      </c>
      <c r="S112" s="70"/>
    </row>
    <row r="113" spans="1:19" x14ac:dyDescent="0.25">
      <c r="A113" s="34">
        <f t="shared" si="19"/>
        <v>109</v>
      </c>
      <c r="B113" s="34" t="str">
        <f t="shared" si="20"/>
        <v>Joonas Ollonqvist</v>
      </c>
      <c r="C113" s="34">
        <f t="shared" si="21"/>
        <v>223</v>
      </c>
      <c r="D113" s="34" t="str">
        <f t="shared" si="22"/>
        <v>GP9</v>
      </c>
      <c r="K113" s="34">
        <f t="shared" si="15"/>
        <v>10</v>
      </c>
      <c r="L113" s="34" t="str">
        <f>IF(Data!$I112="","",Data!I112)</f>
        <v>Asko Haaksi</v>
      </c>
      <c r="M113" s="34">
        <f>IF(Data!$I112="","",IF(Data!L112=0,"dns",Data!L112))</f>
        <v>332</v>
      </c>
      <c r="N113" s="34" t="str">
        <f>IF(Data!$I112="","","GP"&amp;Data!$B112)</f>
        <v>GP7</v>
      </c>
      <c r="O113" s="34">
        <f t="shared" si="16"/>
        <v>9</v>
      </c>
      <c r="P113" s="34">
        <f>IF($L113="","",Data!B112)</f>
        <v>7</v>
      </c>
      <c r="Q113" s="34">
        <f t="shared" si="17"/>
        <v>113</v>
      </c>
      <c r="R113" s="34">
        <f t="shared" si="18"/>
        <v>9.0711300000000002E-3</v>
      </c>
      <c r="S113" s="70"/>
    </row>
    <row r="114" spans="1:19" x14ac:dyDescent="0.25">
      <c r="A114" s="34">
        <f t="shared" si="19"/>
        <v>110</v>
      </c>
      <c r="B114" s="34" t="str">
        <f t="shared" si="20"/>
        <v>Kaleva Latvala</v>
      </c>
      <c r="C114" s="34">
        <f t="shared" si="21"/>
        <v>218</v>
      </c>
      <c r="D114" s="34" t="str">
        <f t="shared" si="22"/>
        <v>GP6</v>
      </c>
      <c r="K114" s="34">
        <f t="shared" si="15"/>
        <v>46</v>
      </c>
      <c r="L114" s="34" t="str">
        <f>IF(Data!$I113="","",Data!I113)</f>
        <v>Henri Verho</v>
      </c>
      <c r="M114" s="34">
        <f>IF(Data!$I113="","",IF(Data!L113=0,"dns",Data!L113))</f>
        <v>288</v>
      </c>
      <c r="N114" s="34" t="str">
        <f>IF(Data!$I113="","","GP"&amp;Data!$B113)</f>
        <v>GP7</v>
      </c>
      <c r="O114" s="34">
        <f t="shared" si="16"/>
        <v>45</v>
      </c>
      <c r="P114" s="34">
        <f>IF($L114="","",Data!B113)</f>
        <v>7</v>
      </c>
      <c r="Q114" s="34">
        <f t="shared" si="17"/>
        <v>114</v>
      </c>
      <c r="R114" s="34">
        <f t="shared" si="18"/>
        <v>4.5071139999999996E-2</v>
      </c>
      <c r="S114" s="70"/>
    </row>
    <row r="115" spans="1:19" x14ac:dyDescent="0.25">
      <c r="A115" s="34">
        <f t="shared" si="19"/>
        <v>111</v>
      </c>
      <c r="B115" s="34" t="str">
        <f t="shared" si="20"/>
        <v>Miikka Korventausta</v>
      </c>
      <c r="C115" s="34">
        <f t="shared" si="21"/>
        <v>217</v>
      </c>
      <c r="D115" s="34" t="str">
        <f t="shared" si="22"/>
        <v>GP2</v>
      </c>
      <c r="K115" s="34">
        <f t="shared" si="15"/>
        <v>63</v>
      </c>
      <c r="L115" s="34" t="str">
        <f>IF(Data!$I114="","",Data!I114)</f>
        <v>Juho Korpi</v>
      </c>
      <c r="M115" s="34">
        <f>IF(Data!$I114="","",IF(Data!L114=0,"dns",Data!L114))</f>
        <v>270</v>
      </c>
      <c r="N115" s="34" t="str">
        <f>IF(Data!$I114="","","GP"&amp;Data!$B114)</f>
        <v>GP7</v>
      </c>
      <c r="O115" s="34">
        <f t="shared" si="16"/>
        <v>63</v>
      </c>
      <c r="P115" s="34">
        <f>IF($L115="","",Data!B114)</f>
        <v>7</v>
      </c>
      <c r="Q115" s="34">
        <f t="shared" si="17"/>
        <v>115</v>
      </c>
      <c r="R115" s="34">
        <f t="shared" si="18"/>
        <v>6.3071150000000006E-2</v>
      </c>
      <c r="S115" s="70"/>
    </row>
    <row r="116" spans="1:19" x14ac:dyDescent="0.25">
      <c r="A116" s="34">
        <f t="shared" si="19"/>
        <v>112</v>
      </c>
      <c r="B116" s="34" t="str">
        <f t="shared" si="20"/>
        <v>Kaleva Latvala</v>
      </c>
      <c r="C116" s="34">
        <f t="shared" si="21"/>
        <v>216</v>
      </c>
      <c r="D116" s="34" t="str">
        <f t="shared" si="22"/>
        <v>GP8</v>
      </c>
      <c r="K116" s="34">
        <f t="shared" si="15"/>
        <v>21</v>
      </c>
      <c r="L116" s="34" t="str">
        <f>IF(Data!$I115="","",Data!I115)</f>
        <v>Jami Kallio</v>
      </c>
      <c r="M116" s="34">
        <f>IF(Data!$I115="","",IF(Data!L115=0,"dns",Data!L115))</f>
        <v>312</v>
      </c>
      <c r="N116" s="34" t="str">
        <f>IF(Data!$I115="","","GP"&amp;Data!$B115)</f>
        <v>GP7</v>
      </c>
      <c r="O116" s="34">
        <f t="shared" si="16"/>
        <v>21</v>
      </c>
      <c r="P116" s="34">
        <f>IF($L116="","",Data!B115)</f>
        <v>7</v>
      </c>
      <c r="Q116" s="34">
        <f t="shared" si="17"/>
        <v>116</v>
      </c>
      <c r="R116" s="34">
        <f t="shared" si="18"/>
        <v>2.1071160000000002E-2</v>
      </c>
      <c r="S116" s="70"/>
    </row>
    <row r="117" spans="1:19" x14ac:dyDescent="0.25">
      <c r="A117" s="34">
        <f t="shared" si="19"/>
        <v>113</v>
      </c>
      <c r="B117" s="34" t="str">
        <f t="shared" si="20"/>
        <v>Henri Verho</v>
      </c>
      <c r="C117" s="34">
        <f t="shared" si="21"/>
        <v>213</v>
      </c>
      <c r="D117" s="34" t="str">
        <f t="shared" si="22"/>
        <v>GP1</v>
      </c>
      <c r="K117" s="34">
        <f t="shared" si="15"/>
        <v>37</v>
      </c>
      <c r="L117" s="34" t="str">
        <f>IF(Data!$I116="","",Data!I116)</f>
        <v>Olli Kajava</v>
      </c>
      <c r="M117" s="34">
        <f>IF(Data!$I116="","",IF(Data!L116=0,"dns",Data!L116))</f>
        <v>292</v>
      </c>
      <c r="N117" s="34" t="str">
        <f>IF(Data!$I116="","","GP"&amp;Data!$B116)</f>
        <v>GP7</v>
      </c>
      <c r="O117" s="34">
        <f t="shared" si="16"/>
        <v>36</v>
      </c>
      <c r="P117" s="34">
        <f>IF($L117="","",Data!B116)</f>
        <v>7</v>
      </c>
      <c r="Q117" s="34">
        <f t="shared" si="17"/>
        <v>117</v>
      </c>
      <c r="R117" s="34">
        <f t="shared" si="18"/>
        <v>3.607117E-2</v>
      </c>
      <c r="S117" s="70"/>
    </row>
    <row r="118" spans="1:19" x14ac:dyDescent="0.25">
      <c r="A118" s="34">
        <f t="shared" si="19"/>
        <v>114</v>
      </c>
      <c r="B118" s="34" t="str">
        <f t="shared" si="20"/>
        <v>Mika Sola</v>
      </c>
      <c r="C118" s="34">
        <f t="shared" si="21"/>
        <v>213</v>
      </c>
      <c r="D118" s="34" t="str">
        <f t="shared" si="22"/>
        <v>GP9</v>
      </c>
      <c r="K118" s="34">
        <f t="shared" si="15"/>
        <v>33</v>
      </c>
      <c r="L118" s="34" t="str">
        <f>IF(Data!$I117="","",Data!I117)</f>
        <v>Mika Sola</v>
      </c>
      <c r="M118" s="34">
        <f>IF(Data!$I117="","",IF(Data!L117=0,"dns",Data!L117))</f>
        <v>295</v>
      </c>
      <c r="N118" s="34" t="str">
        <f>IF(Data!$I117="","","GP"&amp;Data!$B117)</f>
        <v>GP7</v>
      </c>
      <c r="O118" s="34">
        <f t="shared" si="16"/>
        <v>33</v>
      </c>
      <c r="P118" s="34">
        <f>IF($L118="","",Data!B117)</f>
        <v>7</v>
      </c>
      <c r="Q118" s="34">
        <f t="shared" si="17"/>
        <v>118</v>
      </c>
      <c r="R118" s="34">
        <f t="shared" si="18"/>
        <v>3.3071180000000006E-2</v>
      </c>
      <c r="S118" s="70"/>
    </row>
    <row r="119" spans="1:19" x14ac:dyDescent="0.25">
      <c r="A119" s="34">
        <f t="shared" si="19"/>
        <v>115</v>
      </c>
      <c r="B119" s="34" t="str">
        <f t="shared" si="20"/>
        <v>Mikko Mansikkamäki</v>
      </c>
      <c r="C119" s="34">
        <f t="shared" si="21"/>
        <v>209</v>
      </c>
      <c r="D119" s="34" t="str">
        <f t="shared" si="22"/>
        <v>GP3</v>
      </c>
      <c r="K119" s="34">
        <f t="shared" si="15"/>
        <v>71</v>
      </c>
      <c r="L119" s="34" t="str">
        <f>IF(Data!$I118="","",Data!I118)</f>
        <v>Niko Reunanen</v>
      </c>
      <c r="M119" s="34">
        <f>IF(Data!$I118="","",IF(Data!L118=0,"dns",Data!L118))</f>
        <v>261</v>
      </c>
      <c r="N119" s="34" t="str">
        <f>IF(Data!$I118="","","GP"&amp;Data!$B118)</f>
        <v>GP7</v>
      </c>
      <c r="O119" s="34">
        <f t="shared" si="16"/>
        <v>70</v>
      </c>
      <c r="P119" s="34">
        <f>IF($L119="","",Data!B118)</f>
        <v>7</v>
      </c>
      <c r="Q119" s="34">
        <f t="shared" si="17"/>
        <v>119</v>
      </c>
      <c r="R119" s="34">
        <f t="shared" si="18"/>
        <v>7.0071190000000005E-2</v>
      </c>
      <c r="S119" s="70"/>
    </row>
    <row r="120" spans="1:19" x14ac:dyDescent="0.25">
      <c r="A120" s="34">
        <f t="shared" si="19"/>
        <v>116</v>
      </c>
      <c r="B120" s="34" t="str">
        <f t="shared" si="20"/>
        <v>Roope Warro</v>
      </c>
      <c r="C120" s="34">
        <f t="shared" si="21"/>
        <v>204</v>
      </c>
      <c r="D120" s="34" t="str">
        <f t="shared" si="22"/>
        <v>GP1</v>
      </c>
      <c r="K120" s="34">
        <f t="shared" si="15"/>
        <v>22</v>
      </c>
      <c r="L120" s="34" t="str">
        <f>IF(Data!$I119="","",Data!I119)</f>
        <v>Miika Nordblad</v>
      </c>
      <c r="M120" s="34">
        <f>IF(Data!$I119="","",IF(Data!L119=0,"dns",Data!L119))</f>
        <v>309</v>
      </c>
      <c r="N120" s="34" t="str">
        <f>IF(Data!$I119="","","GP"&amp;Data!$B119)</f>
        <v>GP7</v>
      </c>
      <c r="O120" s="34">
        <f t="shared" si="16"/>
        <v>22</v>
      </c>
      <c r="P120" s="34">
        <f>IF($L120="","",Data!B119)</f>
        <v>7</v>
      </c>
      <c r="Q120" s="34">
        <f t="shared" si="17"/>
        <v>120</v>
      </c>
      <c r="R120" s="34">
        <f t="shared" si="18"/>
        <v>2.2071199999999999E-2</v>
      </c>
      <c r="S120" s="70"/>
    </row>
    <row r="121" spans="1:19" x14ac:dyDescent="0.25">
      <c r="A121" s="34">
        <f t="shared" si="19"/>
        <v>117</v>
      </c>
      <c r="B121" s="34" t="str">
        <f t="shared" si="20"/>
        <v>Miikka Korventausta</v>
      </c>
      <c r="C121" s="34">
        <f t="shared" si="21"/>
        <v>204</v>
      </c>
      <c r="D121" s="34" t="str">
        <f t="shared" si="22"/>
        <v>GP9</v>
      </c>
      <c r="K121" s="34">
        <f t="shared" si="15"/>
        <v>84</v>
      </c>
      <c r="L121" s="34" t="str">
        <f>IF(Data!$I120="","",Data!I120)</f>
        <v>Ossi Oksa</v>
      </c>
      <c r="M121" s="34">
        <f>IF(Data!$I120="","",IF(Data!L120=0,"dns",Data!L120))</f>
        <v>247</v>
      </c>
      <c r="N121" s="34" t="str">
        <f>IF(Data!$I120="","","GP"&amp;Data!$B120)</f>
        <v>GP7</v>
      </c>
      <c r="O121" s="34">
        <f t="shared" si="16"/>
        <v>83</v>
      </c>
      <c r="P121" s="34">
        <f>IF($L121="","",Data!B120)</f>
        <v>7</v>
      </c>
      <c r="Q121" s="34">
        <f t="shared" si="17"/>
        <v>121</v>
      </c>
      <c r="R121" s="34">
        <f t="shared" si="18"/>
        <v>8.3071210000000006E-2</v>
      </c>
      <c r="S121" s="70"/>
    </row>
    <row r="122" spans="1:19" x14ac:dyDescent="0.25">
      <c r="A122" s="34">
        <f t="shared" si="19"/>
        <v>118</v>
      </c>
      <c r="B122" s="34" t="str">
        <f t="shared" si="20"/>
        <v>Joonas Ollonqvist</v>
      </c>
      <c r="C122" s="34">
        <f t="shared" si="21"/>
        <v>203</v>
      </c>
      <c r="D122" s="34" t="str">
        <f t="shared" si="22"/>
        <v>GP4</v>
      </c>
      <c r="K122" s="34">
        <f t="shared" si="15"/>
        <v>157</v>
      </c>
      <c r="L122" s="34" t="str">
        <f>IF(Data!$I121="","",Data!I121)</f>
        <v>Iiro Riikonen</v>
      </c>
      <c r="M122" s="34" t="str">
        <f>IF(Data!$I121="","",IF(Data!L121=0,"dns",Data!L121))</f>
        <v>dns</v>
      </c>
      <c r="N122" s="34" t="str">
        <f>IF(Data!$I121="","","GP"&amp;Data!$B121)</f>
        <v>GP7</v>
      </c>
      <c r="O122" s="34">
        <f t="shared" si="16"/>
        <v>313</v>
      </c>
      <c r="P122" s="34">
        <f>IF($L122="","",Data!B121)</f>
        <v>7</v>
      </c>
      <c r="Q122" s="34">
        <f t="shared" si="17"/>
        <v>122</v>
      </c>
      <c r="R122" s="34">
        <f t="shared" si="18"/>
        <v>0.31307122000000004</v>
      </c>
      <c r="S122" s="70"/>
    </row>
    <row r="123" spans="1:19" x14ac:dyDescent="0.25">
      <c r="A123" s="34">
        <f t="shared" si="19"/>
        <v>119</v>
      </c>
      <c r="B123" s="34" t="str">
        <f t="shared" si="20"/>
        <v>Ossi Oksa</v>
      </c>
      <c r="C123" s="34">
        <f t="shared" si="21"/>
        <v>203</v>
      </c>
      <c r="D123" s="34" t="str">
        <f t="shared" si="22"/>
        <v>GP10</v>
      </c>
      <c r="K123" s="34">
        <f t="shared" si="15"/>
        <v>158</v>
      </c>
      <c r="L123" s="34" t="str">
        <f>IF(Data!$I122="","",Data!I122)</f>
        <v>Frans Hartman</v>
      </c>
      <c r="M123" s="34" t="str">
        <f>IF(Data!$I122="","",IF(Data!L122=0,"dns",Data!L122))</f>
        <v>dns</v>
      </c>
      <c r="N123" s="34" t="str">
        <f>IF(Data!$I122="","","GP"&amp;Data!$B122)</f>
        <v>GP7</v>
      </c>
      <c r="O123" s="34">
        <f t="shared" si="16"/>
        <v>313</v>
      </c>
      <c r="P123" s="34">
        <f>IF($L123="","",Data!B122)</f>
        <v>7</v>
      </c>
      <c r="Q123" s="34">
        <f t="shared" si="17"/>
        <v>123</v>
      </c>
      <c r="R123" s="34">
        <f t="shared" si="18"/>
        <v>0.31307123000000003</v>
      </c>
      <c r="S123" s="70"/>
    </row>
    <row r="124" spans="1:19" x14ac:dyDescent="0.25">
      <c r="A124" s="34">
        <f t="shared" si="19"/>
        <v>120</v>
      </c>
      <c r="B124" s="34" t="str">
        <f t="shared" si="20"/>
        <v>Niko Reunanen</v>
      </c>
      <c r="C124" s="34">
        <f t="shared" si="21"/>
        <v>201</v>
      </c>
      <c r="D124" s="34" t="str">
        <f t="shared" si="22"/>
        <v>GP1</v>
      </c>
      <c r="K124" s="34">
        <f t="shared" si="15"/>
        <v>159</v>
      </c>
      <c r="L124" s="34" t="str">
        <f>IF(Data!$I123="","",Data!I123)</f>
        <v>Kaleva Latvala</v>
      </c>
      <c r="M124" s="34" t="str">
        <f>IF(Data!$I123="","",IF(Data!L123=0,"dns",Data!L123))</f>
        <v>dns</v>
      </c>
      <c r="N124" s="34" t="str">
        <f>IF(Data!$I123="","","GP"&amp;Data!$B123)</f>
        <v>GP7</v>
      </c>
      <c r="O124" s="34">
        <f t="shared" si="16"/>
        <v>313</v>
      </c>
      <c r="P124" s="34">
        <f>IF($L124="","",Data!B123)</f>
        <v>7</v>
      </c>
      <c r="Q124" s="34">
        <f t="shared" si="17"/>
        <v>124</v>
      </c>
      <c r="R124" s="34">
        <f t="shared" si="18"/>
        <v>0.31307124000000003</v>
      </c>
      <c r="S124" s="70"/>
    </row>
    <row r="125" spans="1:19" x14ac:dyDescent="0.25">
      <c r="A125" s="34">
        <f t="shared" si="19"/>
        <v>121</v>
      </c>
      <c r="B125" s="34" t="str">
        <f t="shared" si="20"/>
        <v>Jami Kallio</v>
      </c>
      <c r="C125" s="34">
        <f t="shared" si="21"/>
        <v>199</v>
      </c>
      <c r="D125" s="34" t="str">
        <f t="shared" si="22"/>
        <v>GP1</v>
      </c>
      <c r="K125" s="34">
        <f t="shared" si="15"/>
        <v>160</v>
      </c>
      <c r="L125" s="34" t="str">
        <f>IF(Data!$I124="","",Data!I124)</f>
        <v>Mikko Mansikkamäki</v>
      </c>
      <c r="M125" s="34" t="str">
        <f>IF(Data!$I124="","",IF(Data!L124=0,"dns",Data!L124))</f>
        <v>dns</v>
      </c>
      <c r="N125" s="34" t="str">
        <f>IF(Data!$I124="","","GP"&amp;Data!$B124)</f>
        <v>GP7</v>
      </c>
      <c r="O125" s="34">
        <f t="shared" si="16"/>
        <v>313</v>
      </c>
      <c r="P125" s="34">
        <f>IF($L125="","",Data!B124)</f>
        <v>7</v>
      </c>
      <c r="Q125" s="34">
        <f t="shared" si="17"/>
        <v>125</v>
      </c>
      <c r="R125" s="34">
        <f t="shared" si="18"/>
        <v>0.31307125000000002</v>
      </c>
      <c r="S125" s="70"/>
    </row>
    <row r="126" spans="1:19" x14ac:dyDescent="0.25">
      <c r="A126" s="34">
        <f t="shared" si="19"/>
        <v>122</v>
      </c>
      <c r="B126" s="34" t="str">
        <f t="shared" si="20"/>
        <v>Sakari Leinonen</v>
      </c>
      <c r="C126" s="34">
        <f t="shared" si="21"/>
        <v>192</v>
      </c>
      <c r="D126" s="34" t="str">
        <f t="shared" si="22"/>
        <v>GP1</v>
      </c>
      <c r="K126" s="34">
        <f t="shared" si="15"/>
        <v>161</v>
      </c>
      <c r="L126" s="34" t="str">
        <f>IF(Data!$I125="","",Data!I125)</f>
        <v>Sakari Leinonen</v>
      </c>
      <c r="M126" s="34" t="str">
        <f>IF(Data!$I125="","",IF(Data!L125=0,"dns",Data!L125))</f>
        <v>dns</v>
      </c>
      <c r="N126" s="34" t="str">
        <f>IF(Data!$I125="","","GP"&amp;Data!$B125)</f>
        <v>GP7</v>
      </c>
      <c r="O126" s="34">
        <f t="shared" si="16"/>
        <v>313</v>
      </c>
      <c r="P126" s="34">
        <f>IF($L126="","",Data!B125)</f>
        <v>7</v>
      </c>
      <c r="Q126" s="34">
        <f t="shared" si="17"/>
        <v>126</v>
      </c>
      <c r="R126" s="34">
        <f t="shared" si="18"/>
        <v>0.31307126000000002</v>
      </c>
      <c r="S126" s="70"/>
    </row>
    <row r="127" spans="1:19" x14ac:dyDescent="0.25">
      <c r="A127" s="34">
        <f t="shared" si="19"/>
        <v>123</v>
      </c>
      <c r="B127" s="34" t="str">
        <f t="shared" si="20"/>
        <v>Miikka Korventausta</v>
      </c>
      <c r="C127" s="34">
        <f t="shared" si="21"/>
        <v>180</v>
      </c>
      <c r="D127" s="34" t="str">
        <f t="shared" si="22"/>
        <v>GP1</v>
      </c>
      <c r="K127" s="34">
        <f t="shared" si="15"/>
        <v>162</v>
      </c>
      <c r="L127" s="34" t="str">
        <f>IF(Data!$I126="","",Data!I126)</f>
        <v>Roope Warro</v>
      </c>
      <c r="M127" s="34" t="str">
        <f>IF(Data!$I126="","",IF(Data!L126=0,"dns",Data!L126))</f>
        <v>dns</v>
      </c>
      <c r="N127" s="34" t="str">
        <f>IF(Data!$I126="","","GP"&amp;Data!$B126)</f>
        <v>GP7</v>
      </c>
      <c r="O127" s="34">
        <f t="shared" si="16"/>
        <v>313</v>
      </c>
      <c r="P127" s="34">
        <f>IF($L127="","",Data!B126)</f>
        <v>7</v>
      </c>
      <c r="Q127" s="34">
        <f t="shared" si="17"/>
        <v>127</v>
      </c>
      <c r="R127" s="34">
        <f t="shared" si="18"/>
        <v>0.31307127000000001</v>
      </c>
      <c r="S127" s="70"/>
    </row>
    <row r="128" spans="1:19" x14ac:dyDescent="0.25">
      <c r="A128" s="34">
        <f t="shared" si="19"/>
        <v>124</v>
      </c>
      <c r="B128" s="34" t="str">
        <f t="shared" si="20"/>
        <v>Mikko Mansikkamäki</v>
      </c>
      <c r="C128" s="34">
        <f t="shared" si="21"/>
        <v>178</v>
      </c>
      <c r="D128" s="34" t="str">
        <f t="shared" si="22"/>
        <v>GP6</v>
      </c>
      <c r="K128" s="34">
        <f t="shared" si="15"/>
        <v>163</v>
      </c>
      <c r="L128" s="34" t="str">
        <f>IF(Data!$I127="","",Data!I127)</f>
        <v>Tatu Erlin</v>
      </c>
      <c r="M128" s="34" t="str">
        <f>IF(Data!$I127="","",IF(Data!L127=0,"dns",Data!L127))</f>
        <v>dns</v>
      </c>
      <c r="N128" s="34" t="str">
        <f>IF(Data!$I127="","","GP"&amp;Data!$B127)</f>
        <v>GP7</v>
      </c>
      <c r="O128" s="34">
        <f t="shared" si="16"/>
        <v>313</v>
      </c>
      <c r="P128" s="34">
        <f>IF($L128="","",Data!B127)</f>
        <v>7</v>
      </c>
      <c r="Q128" s="34">
        <f t="shared" si="17"/>
        <v>128</v>
      </c>
      <c r="R128" s="34">
        <f t="shared" si="18"/>
        <v>0.31307128000000001</v>
      </c>
      <c r="S128" s="70"/>
    </row>
    <row r="129" spans="1:19" x14ac:dyDescent="0.25">
      <c r="A129" s="34">
        <f t="shared" si="19"/>
        <v>125</v>
      </c>
      <c r="B129" s="34" t="str">
        <f t="shared" si="20"/>
        <v>Tatu Erlin</v>
      </c>
      <c r="C129" s="34">
        <f t="shared" si="21"/>
        <v>173</v>
      </c>
      <c r="D129" s="34" t="str">
        <f t="shared" si="22"/>
        <v>GP6</v>
      </c>
      <c r="K129" s="34">
        <f t="shared" si="15"/>
        <v>60</v>
      </c>
      <c r="L129" s="34" t="str">
        <f>IF(Data!$I128="","",Data!I128)</f>
        <v>Juho Korpi</v>
      </c>
      <c r="M129" s="34">
        <f>IF(Data!$I128="","",IF(Data!L128=0,"dns",Data!L128))</f>
        <v>275</v>
      </c>
      <c r="N129" s="34" t="str">
        <f>IF(Data!$I128="","","GP"&amp;Data!$B128)</f>
        <v>GP8</v>
      </c>
      <c r="O129" s="34">
        <f t="shared" si="16"/>
        <v>58</v>
      </c>
      <c r="P129" s="34">
        <f>IF($L129="","",Data!B128)</f>
        <v>8</v>
      </c>
      <c r="Q129" s="34">
        <f t="shared" si="17"/>
        <v>129</v>
      </c>
      <c r="R129" s="34">
        <f t="shared" si="18"/>
        <v>5.8081290000000001E-2</v>
      </c>
      <c r="S129" s="70"/>
    </row>
    <row r="130" spans="1:19" x14ac:dyDescent="0.25">
      <c r="A130" s="34">
        <f t="shared" si="19"/>
        <v>126</v>
      </c>
      <c r="B130" s="34" t="str">
        <f t="shared" si="20"/>
        <v>Mikko Mansikkamäki</v>
      </c>
      <c r="C130" s="34">
        <f t="shared" si="21"/>
        <v>148</v>
      </c>
      <c r="D130" s="34" t="str">
        <f t="shared" si="22"/>
        <v>GP4</v>
      </c>
      <c r="K130" s="34">
        <f t="shared" si="15"/>
        <v>98</v>
      </c>
      <c r="L130" s="34" t="str">
        <f>IF(Data!$I129="","",Data!I129)</f>
        <v>Miikka Korventausta</v>
      </c>
      <c r="M130" s="34">
        <f>IF(Data!$I129="","",IF(Data!L129=0,"dns",Data!L129))</f>
        <v>233</v>
      </c>
      <c r="N130" s="34" t="str">
        <f>IF(Data!$I129="","","GP"&amp;Data!$B129)</f>
        <v>GP8</v>
      </c>
      <c r="O130" s="34">
        <f t="shared" si="16"/>
        <v>97</v>
      </c>
      <c r="P130" s="34">
        <f>IF($L130="","",Data!B129)</f>
        <v>8</v>
      </c>
      <c r="Q130" s="34">
        <f t="shared" si="17"/>
        <v>130</v>
      </c>
      <c r="R130" s="34">
        <f t="shared" si="18"/>
        <v>9.7081299999999995E-2</v>
      </c>
      <c r="S130" s="70"/>
    </row>
    <row r="131" spans="1:19" x14ac:dyDescent="0.25">
      <c r="A131" s="34">
        <f t="shared" si="19"/>
        <v>127</v>
      </c>
      <c r="B131" s="34" t="str">
        <f t="shared" si="20"/>
        <v>Joonas Ollonqvist</v>
      </c>
      <c r="C131" s="34" t="str">
        <f t="shared" si="21"/>
        <v>dns</v>
      </c>
      <c r="D131" s="34" t="str">
        <f t="shared" si="22"/>
        <v>GP1</v>
      </c>
      <c r="K131" s="34">
        <f t="shared" si="15"/>
        <v>25</v>
      </c>
      <c r="L131" s="34" t="str">
        <f>IF(Data!$I130="","",Data!I130)</f>
        <v>Roope Warro</v>
      </c>
      <c r="M131" s="34">
        <f>IF(Data!$I130="","",IF(Data!L130=0,"dns",Data!L130))</f>
        <v>307</v>
      </c>
      <c r="N131" s="34" t="str">
        <f>IF(Data!$I130="","","GP"&amp;Data!$B130)</f>
        <v>GP8</v>
      </c>
      <c r="O131" s="34">
        <f t="shared" si="16"/>
        <v>24</v>
      </c>
      <c r="P131" s="34">
        <f>IF($L131="","",Data!B130)</f>
        <v>8</v>
      </c>
      <c r="Q131" s="34">
        <f t="shared" si="17"/>
        <v>131</v>
      </c>
      <c r="R131" s="34">
        <f t="shared" si="18"/>
        <v>2.4081310000000002E-2</v>
      </c>
      <c r="S131" s="70"/>
    </row>
    <row r="132" spans="1:19" x14ac:dyDescent="0.25">
      <c r="A132" s="34">
        <f t="shared" si="19"/>
        <v>128</v>
      </c>
      <c r="B132" s="34" t="str">
        <f t="shared" si="20"/>
        <v>Miika Nordblad</v>
      </c>
      <c r="C132" s="34" t="str">
        <f t="shared" si="21"/>
        <v>dns</v>
      </c>
      <c r="D132" s="34" t="str">
        <f t="shared" si="22"/>
        <v>GP1</v>
      </c>
      <c r="K132" s="34">
        <f t="shared" ref="K132:K195" si="23">IF($L132="","",_xlfn.RANK.EQ($R132,$R$3:$R$314,1))</f>
        <v>112</v>
      </c>
      <c r="L132" s="34" t="str">
        <f>IF(Data!$I131="","",Data!I131)</f>
        <v>Kaleva Latvala</v>
      </c>
      <c r="M132" s="34">
        <f>IF(Data!$I131="","",IF(Data!L131=0,"dns",Data!L131))</f>
        <v>216</v>
      </c>
      <c r="N132" s="34" t="str">
        <f>IF(Data!$I131="","","GP"&amp;Data!$B131)</f>
        <v>GP8</v>
      </c>
      <c r="O132" s="34">
        <f t="shared" ref="O132:O195" si="24">IF(L132="","",IFERROR(_xlfn.RANK.EQ($M132,$M$3:$M$314,0),COUNTA($L$3:$L$314)+1))</f>
        <v>112</v>
      </c>
      <c r="P132" s="34">
        <f>IF($L132="","",Data!B131)</f>
        <v>8</v>
      </c>
      <c r="Q132" s="34">
        <f t="shared" ref="Q132:Q195" si="25">IF($L132="","",ROW())</f>
        <v>132</v>
      </c>
      <c r="R132" s="34">
        <f t="shared" ref="R132:R195" si="26">IF($L132="","",O132/1000+P132/100000+Q132/100000000)</f>
        <v>0.11208132</v>
      </c>
      <c r="S132" s="70"/>
    </row>
    <row r="133" spans="1:19" x14ac:dyDescent="0.25">
      <c r="A133" s="34">
        <f t="shared" si="19"/>
        <v>129</v>
      </c>
      <c r="B133" s="34" t="str">
        <f t="shared" si="20"/>
        <v>Juho Korpi</v>
      </c>
      <c r="C133" s="34" t="str">
        <f t="shared" si="21"/>
        <v>dns</v>
      </c>
      <c r="D133" s="34" t="str">
        <f t="shared" si="22"/>
        <v>GP1</v>
      </c>
      <c r="K133" s="34">
        <f t="shared" si="23"/>
        <v>34</v>
      </c>
      <c r="L133" s="34" t="str">
        <f>IF(Data!$I132="","",Data!I132)</f>
        <v>Jami Kallio</v>
      </c>
      <c r="M133" s="34">
        <f>IF(Data!$I132="","",IF(Data!L132=0,"dns",Data!L132))</f>
        <v>294</v>
      </c>
      <c r="N133" s="34" t="str">
        <f>IF(Data!$I132="","","GP"&amp;Data!$B132)</f>
        <v>GP8</v>
      </c>
      <c r="O133" s="34">
        <f t="shared" si="24"/>
        <v>34</v>
      </c>
      <c r="P133" s="34">
        <f>IF($L133="","",Data!B132)</f>
        <v>8</v>
      </c>
      <c r="Q133" s="34">
        <f t="shared" si="25"/>
        <v>133</v>
      </c>
      <c r="R133" s="34">
        <f t="shared" si="26"/>
        <v>3.408133E-2</v>
      </c>
      <c r="S133" s="70"/>
    </row>
    <row r="134" spans="1:19" x14ac:dyDescent="0.25">
      <c r="A134" s="34">
        <f t="shared" si="19"/>
        <v>130</v>
      </c>
      <c r="B134" s="34" t="str">
        <f t="shared" si="20"/>
        <v>Asko Haaksi</v>
      </c>
      <c r="C134" s="34" t="str">
        <f t="shared" si="21"/>
        <v>dns</v>
      </c>
      <c r="D134" s="34" t="str">
        <f t="shared" si="22"/>
        <v>GP1</v>
      </c>
      <c r="K134" s="34">
        <f t="shared" si="23"/>
        <v>72</v>
      </c>
      <c r="L134" s="34" t="str">
        <f>IF(Data!$I133="","",Data!I133)</f>
        <v>Asko Haaksi</v>
      </c>
      <c r="M134" s="34">
        <f>IF(Data!$I133="","",IF(Data!L133=0,"dns",Data!L133))</f>
        <v>260</v>
      </c>
      <c r="N134" s="34" t="str">
        <f>IF(Data!$I133="","","GP"&amp;Data!$B133)</f>
        <v>GP8</v>
      </c>
      <c r="O134" s="34">
        <f t="shared" si="24"/>
        <v>72</v>
      </c>
      <c r="P134" s="34">
        <f>IF($L134="","",Data!B133)</f>
        <v>8</v>
      </c>
      <c r="Q134" s="34">
        <f t="shared" si="25"/>
        <v>134</v>
      </c>
      <c r="R134" s="34">
        <f t="shared" si="26"/>
        <v>7.2081339999999994E-2</v>
      </c>
      <c r="S134" s="70"/>
    </row>
    <row r="135" spans="1:19" x14ac:dyDescent="0.25">
      <c r="A135" s="34">
        <f t="shared" ref="A135:A198" si="27">IFERROR(IF(A134+1&gt;MAX($K$3:$K$316),"",A134+1),"")</f>
        <v>131</v>
      </c>
      <c r="B135" s="34" t="str">
        <f t="shared" ref="B135:B198" si="28">IF($A135="","",VLOOKUP($A135,$K$3:$N$626,L$1,0))</f>
        <v>Iiro Riikonen</v>
      </c>
      <c r="C135" s="34" t="str">
        <f t="shared" ref="C135:C198" si="29">IF($A135="","",VLOOKUP($A135,$K$3:$N$626,M$1,0))</f>
        <v>dns</v>
      </c>
      <c r="D135" s="34" t="str">
        <f t="shared" ref="D135:D198" si="30">IF($A135="","",VLOOKUP($A135,$K$3:$N$626,N$1,0))</f>
        <v>GP1</v>
      </c>
      <c r="K135" s="34">
        <f t="shared" si="23"/>
        <v>96</v>
      </c>
      <c r="L135" s="34" t="str">
        <f>IF(Data!$I134="","",Data!I134)</f>
        <v>Joonas Ollonqvist</v>
      </c>
      <c r="M135" s="34">
        <f>IF(Data!$I134="","",IF(Data!L134=0,"dns",Data!L134))</f>
        <v>236</v>
      </c>
      <c r="N135" s="34" t="str">
        <f>IF(Data!$I134="","","GP"&amp;Data!$B134)</f>
        <v>GP8</v>
      </c>
      <c r="O135" s="34">
        <f t="shared" si="24"/>
        <v>96</v>
      </c>
      <c r="P135" s="34">
        <f>IF($L135="","",Data!B134)</f>
        <v>8</v>
      </c>
      <c r="Q135" s="34">
        <f t="shared" si="25"/>
        <v>135</v>
      </c>
      <c r="R135" s="34">
        <f t="shared" si="26"/>
        <v>9.6081349999999996E-2</v>
      </c>
      <c r="S135" s="70"/>
    </row>
    <row r="136" spans="1:19" x14ac:dyDescent="0.25">
      <c r="A136" s="34">
        <f t="shared" si="27"/>
        <v>132</v>
      </c>
      <c r="B136" s="34" t="str">
        <f t="shared" si="28"/>
        <v>Olli Kajava</v>
      </c>
      <c r="C136" s="34" t="str">
        <f t="shared" si="29"/>
        <v>dns</v>
      </c>
      <c r="D136" s="34" t="str">
        <f t="shared" si="30"/>
        <v>GP1</v>
      </c>
      <c r="K136" s="34">
        <f t="shared" si="23"/>
        <v>89</v>
      </c>
      <c r="L136" s="34" t="str">
        <f>IF(Data!$I135="","",Data!I135)</f>
        <v>Niko Reunanen</v>
      </c>
      <c r="M136" s="34">
        <f>IF(Data!$I135="","",IF(Data!L135=0,"dns",Data!L135))</f>
        <v>242</v>
      </c>
      <c r="N136" s="34" t="str">
        <f>IF(Data!$I135="","","GP"&amp;Data!$B135)</f>
        <v>GP8</v>
      </c>
      <c r="O136" s="34">
        <f t="shared" si="24"/>
        <v>89</v>
      </c>
      <c r="P136" s="34">
        <f>IF($L136="","",Data!B135)</f>
        <v>8</v>
      </c>
      <c r="Q136" s="34">
        <f t="shared" si="25"/>
        <v>136</v>
      </c>
      <c r="R136" s="34">
        <f t="shared" si="26"/>
        <v>8.9081359999999998E-2</v>
      </c>
      <c r="S136" s="70"/>
    </row>
    <row r="137" spans="1:19" x14ac:dyDescent="0.25">
      <c r="A137" s="34">
        <f t="shared" si="27"/>
        <v>133</v>
      </c>
      <c r="B137" s="34" t="str">
        <f t="shared" si="28"/>
        <v>Mikko Mansikkamäki</v>
      </c>
      <c r="C137" s="34" t="str">
        <f t="shared" si="29"/>
        <v>dns</v>
      </c>
      <c r="D137" s="34" t="str">
        <f t="shared" si="30"/>
        <v>GP1</v>
      </c>
      <c r="K137" s="34">
        <f t="shared" si="23"/>
        <v>16</v>
      </c>
      <c r="L137" s="34" t="str">
        <f>IF(Data!$I136="","",Data!I136)</f>
        <v>Ossi Oksa</v>
      </c>
      <c r="M137" s="34">
        <f>IF(Data!$I136="","",IF(Data!L136=0,"dns",Data!L136))</f>
        <v>319</v>
      </c>
      <c r="N137" s="34" t="str">
        <f>IF(Data!$I136="","","GP"&amp;Data!$B136)</f>
        <v>GP8</v>
      </c>
      <c r="O137" s="34">
        <f t="shared" si="24"/>
        <v>16</v>
      </c>
      <c r="P137" s="34">
        <f>IF($L137="","",Data!B136)</f>
        <v>8</v>
      </c>
      <c r="Q137" s="34">
        <f t="shared" si="25"/>
        <v>137</v>
      </c>
      <c r="R137" s="34">
        <f t="shared" si="26"/>
        <v>1.6081370000000001E-2</v>
      </c>
      <c r="S137" s="70"/>
    </row>
    <row r="138" spans="1:19" x14ac:dyDescent="0.25">
      <c r="A138" s="34">
        <f t="shared" si="27"/>
        <v>134</v>
      </c>
      <c r="B138" s="34" t="str">
        <f t="shared" si="28"/>
        <v>Niko Reunanen</v>
      </c>
      <c r="C138" s="34" t="str">
        <f t="shared" si="29"/>
        <v>dns</v>
      </c>
      <c r="D138" s="34" t="str">
        <f t="shared" si="30"/>
        <v>GP2</v>
      </c>
      <c r="K138" s="34">
        <f t="shared" si="23"/>
        <v>67</v>
      </c>
      <c r="L138" s="34" t="str">
        <f>IF(Data!$I137="","",Data!I137)</f>
        <v>Iiro Riikonen</v>
      </c>
      <c r="M138" s="34">
        <f>IF(Data!$I137="","",IF(Data!L137=0,"dns",Data!L137))</f>
        <v>264</v>
      </c>
      <c r="N138" s="34" t="str">
        <f>IF(Data!$I137="","","GP"&amp;Data!$B137)</f>
        <v>GP8</v>
      </c>
      <c r="O138" s="34">
        <f t="shared" si="24"/>
        <v>67</v>
      </c>
      <c r="P138" s="34">
        <f>IF($L138="","",Data!B137)</f>
        <v>8</v>
      </c>
      <c r="Q138" s="34">
        <f t="shared" si="25"/>
        <v>138</v>
      </c>
      <c r="R138" s="34">
        <f t="shared" si="26"/>
        <v>6.7081379999999996E-2</v>
      </c>
      <c r="S138" s="70"/>
    </row>
    <row r="139" spans="1:19" x14ac:dyDescent="0.25">
      <c r="A139" s="34">
        <f t="shared" si="27"/>
        <v>135</v>
      </c>
      <c r="B139" s="34" t="str">
        <f t="shared" si="28"/>
        <v>Mikko Mansikkamäki</v>
      </c>
      <c r="C139" s="34" t="str">
        <f t="shared" si="29"/>
        <v>dns</v>
      </c>
      <c r="D139" s="34" t="str">
        <f t="shared" si="30"/>
        <v>GP2</v>
      </c>
      <c r="K139" s="34">
        <f t="shared" si="23"/>
        <v>103</v>
      </c>
      <c r="L139" s="34" t="str">
        <f>IF(Data!$I138="","",Data!I138)</f>
        <v>Mikko Mansikkamäki</v>
      </c>
      <c r="M139" s="34">
        <f>IF(Data!$I138="","",IF(Data!L138=0,"dns",Data!L138))</f>
        <v>228</v>
      </c>
      <c r="N139" s="34" t="str">
        <f>IF(Data!$I138="","","GP"&amp;Data!$B138)</f>
        <v>GP8</v>
      </c>
      <c r="O139" s="34">
        <f t="shared" si="24"/>
        <v>103</v>
      </c>
      <c r="P139" s="34">
        <f>IF($L139="","",Data!B138)</f>
        <v>8</v>
      </c>
      <c r="Q139" s="34">
        <f t="shared" si="25"/>
        <v>139</v>
      </c>
      <c r="R139" s="34">
        <f t="shared" si="26"/>
        <v>0.10308138999999999</v>
      </c>
      <c r="S139" s="70"/>
    </row>
    <row r="140" spans="1:19" x14ac:dyDescent="0.25">
      <c r="A140" s="34">
        <f t="shared" si="27"/>
        <v>136</v>
      </c>
      <c r="B140" s="34" t="str">
        <f t="shared" si="28"/>
        <v>Roope Warro</v>
      </c>
      <c r="C140" s="34" t="str">
        <f t="shared" si="29"/>
        <v>dns</v>
      </c>
      <c r="D140" s="34" t="str">
        <f t="shared" si="30"/>
        <v>GP2</v>
      </c>
      <c r="K140" s="34">
        <f t="shared" si="23"/>
        <v>4</v>
      </c>
      <c r="L140" s="34" t="str">
        <f>IF(Data!$I139="","",Data!I139)</f>
        <v>Miika Nordblad</v>
      </c>
      <c r="M140" s="34">
        <f>IF(Data!$I139="","",IF(Data!L139=0,"dns",Data!L139))</f>
        <v>343</v>
      </c>
      <c r="N140" s="34" t="str">
        <f>IF(Data!$I139="","","GP"&amp;Data!$B139)</f>
        <v>GP8</v>
      </c>
      <c r="O140" s="34">
        <f t="shared" si="24"/>
        <v>4</v>
      </c>
      <c r="P140" s="34">
        <f>IF($L140="","",Data!B139)</f>
        <v>8</v>
      </c>
      <c r="Q140" s="34">
        <f t="shared" si="25"/>
        <v>140</v>
      </c>
      <c r="R140" s="34">
        <f t="shared" si="26"/>
        <v>4.0814000000000007E-3</v>
      </c>
      <c r="S140" s="70"/>
    </row>
    <row r="141" spans="1:19" x14ac:dyDescent="0.25">
      <c r="A141" s="34">
        <f t="shared" si="27"/>
        <v>137</v>
      </c>
      <c r="B141" s="34" t="str">
        <f t="shared" si="28"/>
        <v>Joonas Ollonqvist</v>
      </c>
      <c r="C141" s="34" t="str">
        <f t="shared" si="29"/>
        <v>dns</v>
      </c>
      <c r="D141" s="34" t="str">
        <f t="shared" si="30"/>
        <v>GP3</v>
      </c>
      <c r="K141" s="34">
        <f t="shared" si="23"/>
        <v>17</v>
      </c>
      <c r="L141" s="34" t="str">
        <f>IF(Data!$I140="","",Data!I140)</f>
        <v>Mika Sola</v>
      </c>
      <c r="M141" s="34">
        <f>IF(Data!$I140="","",IF(Data!L140=0,"dns",Data!L140))</f>
        <v>318</v>
      </c>
      <c r="N141" s="34" t="str">
        <f>IF(Data!$I140="","","GP"&amp;Data!$B140)</f>
        <v>GP8</v>
      </c>
      <c r="O141" s="34">
        <f t="shared" si="24"/>
        <v>17</v>
      </c>
      <c r="P141" s="34">
        <f>IF($L141="","",Data!B140)</f>
        <v>8</v>
      </c>
      <c r="Q141" s="34">
        <f t="shared" si="25"/>
        <v>141</v>
      </c>
      <c r="R141" s="34">
        <f t="shared" si="26"/>
        <v>1.7081410000000002E-2</v>
      </c>
      <c r="S141" s="70"/>
    </row>
    <row r="142" spans="1:19" x14ac:dyDescent="0.25">
      <c r="A142" s="34">
        <f t="shared" si="27"/>
        <v>138</v>
      </c>
      <c r="B142" s="34" t="str">
        <f t="shared" si="28"/>
        <v>Tatu Erlin</v>
      </c>
      <c r="C142" s="34" t="str">
        <f t="shared" si="29"/>
        <v>dns</v>
      </c>
      <c r="D142" s="34" t="str">
        <f t="shared" si="30"/>
        <v>GP3</v>
      </c>
      <c r="K142" s="34">
        <f t="shared" si="23"/>
        <v>52</v>
      </c>
      <c r="L142" s="34" t="str">
        <f>IF(Data!$I141="","",Data!I141)</f>
        <v>Henri Verho</v>
      </c>
      <c r="M142" s="34">
        <f>IF(Data!$I141="","",IF(Data!L141=0,"dns",Data!L141))</f>
        <v>280</v>
      </c>
      <c r="N142" s="34" t="str">
        <f>IF(Data!$I141="","","GP"&amp;Data!$B141)</f>
        <v>GP8</v>
      </c>
      <c r="O142" s="34">
        <f t="shared" si="24"/>
        <v>52</v>
      </c>
      <c r="P142" s="34">
        <f>IF($L142="","",Data!B141)</f>
        <v>8</v>
      </c>
      <c r="Q142" s="34">
        <f t="shared" si="25"/>
        <v>142</v>
      </c>
      <c r="R142" s="34">
        <f t="shared" si="26"/>
        <v>5.2081419999999996E-2</v>
      </c>
      <c r="S142" s="70"/>
    </row>
    <row r="143" spans="1:19" x14ac:dyDescent="0.25">
      <c r="A143" s="34">
        <f t="shared" si="27"/>
        <v>139</v>
      </c>
      <c r="B143" s="34" t="str">
        <f t="shared" si="28"/>
        <v>Olli Kajava</v>
      </c>
      <c r="C143" s="34" t="str">
        <f t="shared" si="29"/>
        <v>dns</v>
      </c>
      <c r="D143" s="34" t="str">
        <f t="shared" si="30"/>
        <v>GP3</v>
      </c>
      <c r="K143" s="34">
        <f t="shared" si="23"/>
        <v>164</v>
      </c>
      <c r="L143" s="34" t="str">
        <f>IF(Data!$I142="","",Data!I142)</f>
        <v>Olli Kajava</v>
      </c>
      <c r="M143" s="34" t="str">
        <f>IF(Data!$I142="","",IF(Data!L142=0,"dns",Data!L142))</f>
        <v>dns</v>
      </c>
      <c r="N143" s="34" t="str">
        <f>IF(Data!$I142="","","GP"&amp;Data!$B142)</f>
        <v>GP8</v>
      </c>
      <c r="O143" s="34">
        <f t="shared" si="24"/>
        <v>313</v>
      </c>
      <c r="P143" s="34">
        <f>IF($L143="","",Data!B142)</f>
        <v>8</v>
      </c>
      <c r="Q143" s="34">
        <f t="shared" si="25"/>
        <v>143</v>
      </c>
      <c r="R143" s="34">
        <f t="shared" si="26"/>
        <v>0.31308143000000005</v>
      </c>
      <c r="S143" s="70"/>
    </row>
    <row r="144" spans="1:19" x14ac:dyDescent="0.25">
      <c r="A144" s="34">
        <f t="shared" si="27"/>
        <v>140</v>
      </c>
      <c r="B144" s="34" t="str">
        <f t="shared" si="28"/>
        <v>Iiro Riikonen</v>
      </c>
      <c r="C144" s="34" t="str">
        <f t="shared" si="29"/>
        <v>dns</v>
      </c>
      <c r="D144" s="34" t="str">
        <f t="shared" si="30"/>
        <v>GP3</v>
      </c>
      <c r="K144" s="34">
        <f t="shared" si="23"/>
        <v>165</v>
      </c>
      <c r="L144" s="34" t="str">
        <f>IF(Data!$I143="","",Data!I143)</f>
        <v>Frans Hartman</v>
      </c>
      <c r="M144" s="34" t="str">
        <f>IF(Data!$I143="","",IF(Data!L143=0,"dns",Data!L143))</f>
        <v>dns</v>
      </c>
      <c r="N144" s="34" t="str">
        <f>IF(Data!$I143="","","GP"&amp;Data!$B143)</f>
        <v>GP8</v>
      </c>
      <c r="O144" s="34">
        <f t="shared" si="24"/>
        <v>313</v>
      </c>
      <c r="P144" s="34">
        <f>IF($L144="","",Data!B143)</f>
        <v>8</v>
      </c>
      <c r="Q144" s="34">
        <f t="shared" si="25"/>
        <v>144</v>
      </c>
      <c r="R144" s="34">
        <f t="shared" si="26"/>
        <v>0.31308144000000004</v>
      </c>
      <c r="S144" s="70"/>
    </row>
    <row r="145" spans="1:19" x14ac:dyDescent="0.25">
      <c r="A145" s="34">
        <f t="shared" si="27"/>
        <v>141</v>
      </c>
      <c r="B145" s="34" t="str">
        <f t="shared" si="28"/>
        <v>Frans Hartman</v>
      </c>
      <c r="C145" s="34" t="str">
        <f t="shared" si="29"/>
        <v>dns</v>
      </c>
      <c r="D145" s="34" t="str">
        <f t="shared" si="30"/>
        <v>GP3</v>
      </c>
      <c r="K145" s="34">
        <f t="shared" si="23"/>
        <v>166</v>
      </c>
      <c r="L145" s="34" t="str">
        <f>IF(Data!$I144="","",Data!I144)</f>
        <v>Sakari Leinonen</v>
      </c>
      <c r="M145" s="34" t="str">
        <f>IF(Data!$I144="","",IF(Data!L144=0,"dns",Data!L144))</f>
        <v>dns</v>
      </c>
      <c r="N145" s="34" t="str">
        <f>IF(Data!$I144="","","GP"&amp;Data!$B144)</f>
        <v>GP8</v>
      </c>
      <c r="O145" s="34">
        <f t="shared" si="24"/>
        <v>313</v>
      </c>
      <c r="P145" s="34">
        <f>IF($L145="","",Data!B144)</f>
        <v>8</v>
      </c>
      <c r="Q145" s="34">
        <f t="shared" si="25"/>
        <v>145</v>
      </c>
      <c r="R145" s="34">
        <f t="shared" si="26"/>
        <v>0.31308145000000004</v>
      </c>
      <c r="S145" s="70"/>
    </row>
    <row r="146" spans="1:19" x14ac:dyDescent="0.25">
      <c r="A146" s="34">
        <f t="shared" si="27"/>
        <v>142</v>
      </c>
      <c r="B146" s="34" t="str">
        <f t="shared" si="28"/>
        <v>Asko Haaksi</v>
      </c>
      <c r="C146" s="34" t="str">
        <f t="shared" si="29"/>
        <v>dns</v>
      </c>
      <c r="D146" s="34" t="str">
        <f t="shared" si="30"/>
        <v>GP3</v>
      </c>
      <c r="K146" s="34">
        <f t="shared" si="23"/>
        <v>167</v>
      </c>
      <c r="L146" s="34" t="str">
        <f>IF(Data!$I145="","",Data!I145)</f>
        <v>Tatu Erlin</v>
      </c>
      <c r="M146" s="34" t="str">
        <f>IF(Data!$I145="","",IF(Data!L145=0,"dns",Data!L145))</f>
        <v>dns</v>
      </c>
      <c r="N146" s="34" t="str">
        <f>IF(Data!$I145="","","GP"&amp;Data!$B145)</f>
        <v>GP8</v>
      </c>
      <c r="O146" s="34">
        <f t="shared" si="24"/>
        <v>313</v>
      </c>
      <c r="P146" s="34">
        <f>IF($L146="","",Data!B145)</f>
        <v>8</v>
      </c>
      <c r="Q146" s="34">
        <f t="shared" si="25"/>
        <v>146</v>
      </c>
      <c r="R146" s="34">
        <f t="shared" si="26"/>
        <v>0.31308146000000003</v>
      </c>
      <c r="S146" s="70"/>
    </row>
    <row r="147" spans="1:19" x14ac:dyDescent="0.25">
      <c r="A147" s="34">
        <f t="shared" si="27"/>
        <v>143</v>
      </c>
      <c r="B147" s="34" t="str">
        <f t="shared" si="28"/>
        <v>Roope Warro</v>
      </c>
      <c r="C147" s="34" t="str">
        <f t="shared" si="29"/>
        <v>dns</v>
      </c>
      <c r="D147" s="34" t="str">
        <f t="shared" si="30"/>
        <v>GP3</v>
      </c>
      <c r="K147" s="34">
        <f t="shared" si="23"/>
        <v>26</v>
      </c>
      <c r="L147" s="34" t="str">
        <f>IF(Data!$I146="","",Data!I146)</f>
        <v>Jami Kallio</v>
      </c>
      <c r="M147" s="34">
        <f>IF(Data!$I146="","",IF(Data!L146=0,"dns",Data!L146))</f>
        <v>307</v>
      </c>
      <c r="N147" s="34" t="str">
        <f>IF(Data!$I146="","","GP"&amp;Data!$B146)</f>
        <v>GP9</v>
      </c>
      <c r="O147" s="34">
        <f t="shared" si="24"/>
        <v>24</v>
      </c>
      <c r="P147" s="34">
        <f>IF($L147="","",Data!B146)</f>
        <v>9</v>
      </c>
      <c r="Q147" s="34">
        <f t="shared" si="25"/>
        <v>147</v>
      </c>
      <c r="R147" s="34">
        <f t="shared" si="26"/>
        <v>2.409147E-2</v>
      </c>
      <c r="S147" s="70"/>
    </row>
    <row r="148" spans="1:19" x14ac:dyDescent="0.25">
      <c r="A148" s="34">
        <f t="shared" si="27"/>
        <v>144</v>
      </c>
      <c r="B148" s="34" t="str">
        <f t="shared" si="28"/>
        <v>Ossi Oksa</v>
      </c>
      <c r="C148" s="34" t="str">
        <f t="shared" si="29"/>
        <v>dns</v>
      </c>
      <c r="D148" s="34" t="str">
        <f t="shared" si="30"/>
        <v>GP4</v>
      </c>
      <c r="K148" s="34">
        <f t="shared" si="23"/>
        <v>27</v>
      </c>
      <c r="L148" s="34" t="str">
        <f>IF(Data!$I147="","",Data!I147)</f>
        <v>Niko Reunanen</v>
      </c>
      <c r="M148" s="34">
        <f>IF(Data!$I147="","",IF(Data!L147=0,"dns",Data!L147))</f>
        <v>307</v>
      </c>
      <c r="N148" s="34" t="str">
        <f>IF(Data!$I147="","","GP"&amp;Data!$B147)</f>
        <v>GP9</v>
      </c>
      <c r="O148" s="34">
        <f t="shared" si="24"/>
        <v>24</v>
      </c>
      <c r="P148" s="34">
        <f>IF($L148="","",Data!B147)</f>
        <v>9</v>
      </c>
      <c r="Q148" s="34">
        <f t="shared" si="25"/>
        <v>148</v>
      </c>
      <c r="R148" s="34">
        <f t="shared" si="26"/>
        <v>2.4091480000000002E-2</v>
      </c>
      <c r="S148" s="70"/>
    </row>
    <row r="149" spans="1:19" x14ac:dyDescent="0.25">
      <c r="A149" s="34">
        <f t="shared" si="27"/>
        <v>145</v>
      </c>
      <c r="B149" s="34" t="str">
        <f t="shared" si="28"/>
        <v>Sakari Leinonen</v>
      </c>
      <c r="C149" s="34" t="str">
        <f t="shared" si="29"/>
        <v>dns</v>
      </c>
      <c r="D149" s="34" t="str">
        <f t="shared" si="30"/>
        <v>GP4</v>
      </c>
      <c r="K149" s="34">
        <f t="shared" si="23"/>
        <v>30</v>
      </c>
      <c r="L149" s="34" t="str">
        <f>IF(Data!$I148="","",Data!I148)</f>
        <v>Frans Hartman</v>
      </c>
      <c r="M149" s="34">
        <f>IF(Data!$I148="","",IF(Data!L148=0,"dns",Data!L148))</f>
        <v>302</v>
      </c>
      <c r="N149" s="34" t="str">
        <f>IF(Data!$I148="","","GP"&amp;Data!$B148)</f>
        <v>GP9</v>
      </c>
      <c r="O149" s="34">
        <f t="shared" si="24"/>
        <v>30</v>
      </c>
      <c r="P149" s="34">
        <f>IF($L149="","",Data!B148)</f>
        <v>9</v>
      </c>
      <c r="Q149" s="34">
        <f t="shared" si="25"/>
        <v>149</v>
      </c>
      <c r="R149" s="34">
        <f t="shared" si="26"/>
        <v>3.0091489999999999E-2</v>
      </c>
      <c r="S149" s="70"/>
    </row>
    <row r="150" spans="1:19" x14ac:dyDescent="0.25">
      <c r="A150" s="34">
        <f t="shared" si="27"/>
        <v>146</v>
      </c>
      <c r="B150" s="34" t="str">
        <f t="shared" si="28"/>
        <v>Tatu Erlin</v>
      </c>
      <c r="C150" s="34" t="str">
        <f t="shared" si="29"/>
        <v>dns</v>
      </c>
      <c r="D150" s="34" t="str">
        <f t="shared" si="30"/>
        <v>GP4</v>
      </c>
      <c r="K150" s="34">
        <f t="shared" si="23"/>
        <v>41</v>
      </c>
      <c r="L150" s="34" t="str">
        <f>IF(Data!$I149="","",Data!I149)</f>
        <v>Miika Nordblad</v>
      </c>
      <c r="M150" s="34">
        <f>IF(Data!$I149="","",IF(Data!L149=0,"dns",Data!L149))</f>
        <v>290</v>
      </c>
      <c r="N150" s="34" t="str">
        <f>IF(Data!$I149="","","GP"&amp;Data!$B149)</f>
        <v>GP9</v>
      </c>
      <c r="O150" s="34">
        <f t="shared" si="24"/>
        <v>40</v>
      </c>
      <c r="P150" s="34">
        <f>IF($L150="","",Data!B149)</f>
        <v>9</v>
      </c>
      <c r="Q150" s="34">
        <f t="shared" si="25"/>
        <v>150</v>
      </c>
      <c r="R150" s="34">
        <f t="shared" si="26"/>
        <v>4.0091500000000002E-2</v>
      </c>
      <c r="S150" s="70"/>
    </row>
    <row r="151" spans="1:19" x14ac:dyDescent="0.25">
      <c r="A151" s="34">
        <f t="shared" si="27"/>
        <v>147</v>
      </c>
      <c r="B151" s="34" t="str">
        <f t="shared" si="28"/>
        <v>Frans Hartman</v>
      </c>
      <c r="C151" s="34" t="str">
        <f t="shared" si="29"/>
        <v>dns</v>
      </c>
      <c r="D151" s="34" t="str">
        <f t="shared" si="30"/>
        <v>GP4</v>
      </c>
      <c r="K151" s="34">
        <f t="shared" si="23"/>
        <v>53</v>
      </c>
      <c r="L151" s="34" t="str">
        <f>IF(Data!$I150="","",Data!I150)</f>
        <v>Ossi Oksa</v>
      </c>
      <c r="M151" s="34">
        <f>IF(Data!$I150="","",IF(Data!L150=0,"dns",Data!L150))</f>
        <v>280</v>
      </c>
      <c r="N151" s="34" t="str">
        <f>IF(Data!$I150="","","GP"&amp;Data!$B150)</f>
        <v>GP9</v>
      </c>
      <c r="O151" s="34">
        <f t="shared" si="24"/>
        <v>52</v>
      </c>
      <c r="P151" s="34">
        <f>IF($L151="","",Data!B150)</f>
        <v>9</v>
      </c>
      <c r="Q151" s="34">
        <f t="shared" si="25"/>
        <v>151</v>
      </c>
      <c r="R151" s="34">
        <f t="shared" si="26"/>
        <v>5.2091510000000001E-2</v>
      </c>
      <c r="S151" s="70"/>
    </row>
    <row r="152" spans="1:19" x14ac:dyDescent="0.25">
      <c r="A152" s="34">
        <f t="shared" si="27"/>
        <v>148</v>
      </c>
      <c r="B152" s="34" t="str">
        <f t="shared" si="28"/>
        <v>Roope Warro</v>
      </c>
      <c r="C152" s="34" t="str">
        <f t="shared" si="29"/>
        <v>dns</v>
      </c>
      <c r="D152" s="34" t="str">
        <f t="shared" si="30"/>
        <v>GP5</v>
      </c>
      <c r="K152" s="34">
        <f t="shared" si="23"/>
        <v>56</v>
      </c>
      <c r="L152" s="34" t="str">
        <f>IF(Data!$I151="","",Data!I151)</f>
        <v>Mikko Mansikkamäki</v>
      </c>
      <c r="M152" s="34">
        <f>IF(Data!$I151="","",IF(Data!L151=0,"dns",Data!L151))</f>
        <v>278</v>
      </c>
      <c r="N152" s="34" t="str">
        <f>IF(Data!$I151="","","GP"&amp;Data!$B151)</f>
        <v>GP9</v>
      </c>
      <c r="O152" s="34">
        <f t="shared" si="24"/>
        <v>55</v>
      </c>
      <c r="P152" s="34">
        <f>IF($L152="","",Data!B151)</f>
        <v>9</v>
      </c>
      <c r="Q152" s="34">
        <f t="shared" si="25"/>
        <v>152</v>
      </c>
      <c r="R152" s="34">
        <f t="shared" si="26"/>
        <v>5.5091519999999998E-2</v>
      </c>
      <c r="S152" s="70"/>
    </row>
    <row r="153" spans="1:19" x14ac:dyDescent="0.25">
      <c r="A153" s="34">
        <f t="shared" si="27"/>
        <v>149</v>
      </c>
      <c r="B153" s="34" t="str">
        <f t="shared" si="28"/>
        <v>Iiro Riikonen</v>
      </c>
      <c r="C153" s="34" t="str">
        <f t="shared" si="29"/>
        <v>dns</v>
      </c>
      <c r="D153" s="34" t="str">
        <f t="shared" si="30"/>
        <v>GP5</v>
      </c>
      <c r="K153" s="34">
        <f t="shared" si="23"/>
        <v>61</v>
      </c>
      <c r="L153" s="34" t="str">
        <f>IF(Data!$I152="","",Data!I152)</f>
        <v>Kaleva Latvala</v>
      </c>
      <c r="M153" s="34">
        <f>IF(Data!$I152="","",IF(Data!L152=0,"dns",Data!L152))</f>
        <v>272</v>
      </c>
      <c r="N153" s="34" t="str">
        <f>IF(Data!$I152="","","GP"&amp;Data!$B152)</f>
        <v>GP9</v>
      </c>
      <c r="O153" s="34">
        <f t="shared" si="24"/>
        <v>61</v>
      </c>
      <c r="P153" s="34">
        <f>IF($L153="","",Data!B152)</f>
        <v>9</v>
      </c>
      <c r="Q153" s="34">
        <f t="shared" si="25"/>
        <v>153</v>
      </c>
      <c r="R153" s="34">
        <f t="shared" si="26"/>
        <v>6.1091529999999998E-2</v>
      </c>
      <c r="S153" s="70"/>
    </row>
    <row r="154" spans="1:19" x14ac:dyDescent="0.25">
      <c r="A154" s="34">
        <f t="shared" si="27"/>
        <v>150</v>
      </c>
      <c r="B154" s="34" t="str">
        <f t="shared" si="28"/>
        <v>Kaleva Latvala</v>
      </c>
      <c r="C154" s="34" t="str">
        <f t="shared" si="29"/>
        <v>dns</v>
      </c>
      <c r="D154" s="34" t="str">
        <f t="shared" si="30"/>
        <v>GP5</v>
      </c>
      <c r="K154" s="34">
        <f t="shared" si="23"/>
        <v>62</v>
      </c>
      <c r="L154" s="34" t="str">
        <f>IF(Data!$I153="","",Data!I153)</f>
        <v>Olli Kajava</v>
      </c>
      <c r="M154" s="34">
        <f>IF(Data!$I153="","",IF(Data!L153=0,"dns",Data!L153))</f>
        <v>271</v>
      </c>
      <c r="N154" s="34" t="str">
        <f>IF(Data!$I153="","","GP"&amp;Data!$B153)</f>
        <v>GP9</v>
      </c>
      <c r="O154" s="34">
        <f t="shared" si="24"/>
        <v>62</v>
      </c>
      <c r="P154" s="34">
        <f>IF($L154="","",Data!B153)</f>
        <v>9</v>
      </c>
      <c r="Q154" s="34">
        <f t="shared" si="25"/>
        <v>154</v>
      </c>
      <c r="R154" s="34">
        <f t="shared" si="26"/>
        <v>6.2091540000000001E-2</v>
      </c>
      <c r="S154" s="70"/>
    </row>
    <row r="155" spans="1:19" x14ac:dyDescent="0.25">
      <c r="A155" s="34">
        <f t="shared" si="27"/>
        <v>151</v>
      </c>
      <c r="B155" s="34" t="str">
        <f t="shared" si="28"/>
        <v>Mikko Mansikkamäki</v>
      </c>
      <c r="C155" s="34" t="str">
        <f t="shared" si="29"/>
        <v>dns</v>
      </c>
      <c r="D155" s="34" t="str">
        <f t="shared" si="30"/>
        <v>GP5</v>
      </c>
      <c r="K155" s="34">
        <f t="shared" si="23"/>
        <v>69</v>
      </c>
      <c r="L155" s="34" t="str">
        <f>IF(Data!$I154="","",Data!I154)</f>
        <v>Asko Haaksi</v>
      </c>
      <c r="M155" s="34">
        <f>IF(Data!$I154="","",IF(Data!L154=0,"dns",Data!L154))</f>
        <v>263</v>
      </c>
      <c r="N155" s="34" t="str">
        <f>IF(Data!$I154="","","GP"&amp;Data!$B154)</f>
        <v>GP9</v>
      </c>
      <c r="O155" s="34">
        <f t="shared" si="24"/>
        <v>69</v>
      </c>
      <c r="P155" s="34">
        <f>IF($L155="","",Data!B154)</f>
        <v>9</v>
      </c>
      <c r="Q155" s="34">
        <f t="shared" si="25"/>
        <v>155</v>
      </c>
      <c r="R155" s="34">
        <f t="shared" si="26"/>
        <v>6.9091550000000015E-2</v>
      </c>
      <c r="S155" s="70"/>
    </row>
    <row r="156" spans="1:19" x14ac:dyDescent="0.25">
      <c r="A156" s="34">
        <f t="shared" si="27"/>
        <v>152</v>
      </c>
      <c r="B156" s="34" t="str">
        <f t="shared" si="28"/>
        <v>Tatu Erlin</v>
      </c>
      <c r="C156" s="34" t="str">
        <f t="shared" si="29"/>
        <v>dns</v>
      </c>
      <c r="D156" s="34" t="str">
        <f t="shared" si="30"/>
        <v>GP5</v>
      </c>
      <c r="K156" s="34">
        <f t="shared" si="23"/>
        <v>76</v>
      </c>
      <c r="L156" s="34" t="str">
        <f>IF(Data!$I155="","",Data!I155)</f>
        <v>Henri Verho</v>
      </c>
      <c r="M156" s="34">
        <f>IF(Data!$I155="","",IF(Data!L155=0,"dns",Data!L155))</f>
        <v>256</v>
      </c>
      <c r="N156" s="34" t="str">
        <f>IF(Data!$I155="","","GP"&amp;Data!$B155)</f>
        <v>GP9</v>
      </c>
      <c r="O156" s="34">
        <f t="shared" si="24"/>
        <v>75</v>
      </c>
      <c r="P156" s="34">
        <f>IF($L156="","",Data!B155)</f>
        <v>9</v>
      </c>
      <c r="Q156" s="34">
        <f t="shared" si="25"/>
        <v>156</v>
      </c>
      <c r="R156" s="34">
        <f t="shared" si="26"/>
        <v>7.5091560000000002E-2</v>
      </c>
      <c r="S156" s="70"/>
    </row>
    <row r="157" spans="1:19" x14ac:dyDescent="0.25">
      <c r="A157" s="34">
        <f t="shared" si="27"/>
        <v>153</v>
      </c>
      <c r="B157" s="34" t="str">
        <f t="shared" si="28"/>
        <v>Frans Hartman</v>
      </c>
      <c r="C157" s="34" t="str">
        <f t="shared" si="29"/>
        <v>dns</v>
      </c>
      <c r="D157" s="34" t="str">
        <f t="shared" si="30"/>
        <v>GP5</v>
      </c>
      <c r="K157" s="34">
        <f t="shared" si="23"/>
        <v>109</v>
      </c>
      <c r="L157" s="34" t="str">
        <f>IF(Data!$I156="","",Data!I156)</f>
        <v>Joonas Ollonqvist</v>
      </c>
      <c r="M157" s="34">
        <f>IF(Data!$I156="","",IF(Data!L156=0,"dns",Data!L156))</f>
        <v>223</v>
      </c>
      <c r="N157" s="34" t="str">
        <f>IF(Data!$I156="","","GP"&amp;Data!$B156)</f>
        <v>GP9</v>
      </c>
      <c r="O157" s="34">
        <f t="shared" si="24"/>
        <v>108</v>
      </c>
      <c r="P157" s="34">
        <f>IF($L157="","",Data!B156)</f>
        <v>9</v>
      </c>
      <c r="Q157" s="34">
        <f t="shared" si="25"/>
        <v>157</v>
      </c>
      <c r="R157" s="34">
        <f t="shared" si="26"/>
        <v>0.10809157000000001</v>
      </c>
      <c r="S157" s="70"/>
    </row>
    <row r="158" spans="1:19" x14ac:dyDescent="0.25">
      <c r="A158" s="34">
        <f t="shared" si="27"/>
        <v>154</v>
      </c>
      <c r="B158" s="34" t="str">
        <f t="shared" si="28"/>
        <v>Ossi Oksa</v>
      </c>
      <c r="C158" s="34" t="str">
        <f t="shared" si="29"/>
        <v>dns</v>
      </c>
      <c r="D158" s="34" t="str">
        <f t="shared" si="30"/>
        <v>GP6</v>
      </c>
      <c r="K158" s="34">
        <f t="shared" si="23"/>
        <v>114</v>
      </c>
      <c r="L158" s="34" t="str">
        <f>IF(Data!$I157="","",Data!I157)</f>
        <v>Mika Sola</v>
      </c>
      <c r="M158" s="34">
        <f>IF(Data!$I157="","",IF(Data!L157=0,"dns",Data!L157))</f>
        <v>213</v>
      </c>
      <c r="N158" s="34" t="str">
        <f>IF(Data!$I157="","","GP"&amp;Data!$B157)</f>
        <v>GP9</v>
      </c>
      <c r="O158" s="34">
        <f t="shared" si="24"/>
        <v>113</v>
      </c>
      <c r="P158" s="34">
        <f>IF($L158="","",Data!B157)</f>
        <v>9</v>
      </c>
      <c r="Q158" s="34">
        <f t="shared" si="25"/>
        <v>158</v>
      </c>
      <c r="R158" s="34">
        <f t="shared" si="26"/>
        <v>0.11309158000000001</v>
      </c>
      <c r="S158" s="70"/>
    </row>
    <row r="159" spans="1:19" x14ac:dyDescent="0.25">
      <c r="A159" s="34">
        <f t="shared" si="27"/>
        <v>155</v>
      </c>
      <c r="B159" s="34" t="str">
        <f t="shared" si="28"/>
        <v>Roope Warro</v>
      </c>
      <c r="C159" s="34" t="str">
        <f t="shared" si="29"/>
        <v>dns</v>
      </c>
      <c r="D159" s="34" t="str">
        <f t="shared" si="30"/>
        <v>GP6</v>
      </c>
      <c r="K159" s="34">
        <f t="shared" si="23"/>
        <v>117</v>
      </c>
      <c r="L159" s="34" t="str">
        <f>IF(Data!$I158="","",Data!I158)</f>
        <v>Miikka Korventausta</v>
      </c>
      <c r="M159" s="34">
        <f>IF(Data!$I158="","",IF(Data!L158=0,"dns",Data!L158))</f>
        <v>204</v>
      </c>
      <c r="N159" s="34" t="str">
        <f>IF(Data!$I158="","","GP"&amp;Data!$B158)</f>
        <v>GP9</v>
      </c>
      <c r="O159" s="34">
        <f t="shared" si="24"/>
        <v>116</v>
      </c>
      <c r="P159" s="34">
        <f>IF($L159="","",Data!B158)</f>
        <v>9</v>
      </c>
      <c r="Q159" s="34">
        <f t="shared" si="25"/>
        <v>159</v>
      </c>
      <c r="R159" s="34">
        <f t="shared" si="26"/>
        <v>0.11609159000000001</v>
      </c>
      <c r="S159" s="70"/>
    </row>
    <row r="160" spans="1:19" x14ac:dyDescent="0.25">
      <c r="A160" s="34">
        <f t="shared" si="27"/>
        <v>156</v>
      </c>
      <c r="B160" s="34" t="str">
        <f t="shared" si="28"/>
        <v>Miikka Korventausta</v>
      </c>
      <c r="C160" s="34" t="str">
        <f t="shared" si="29"/>
        <v>dns</v>
      </c>
      <c r="D160" s="34" t="str">
        <f t="shared" si="30"/>
        <v>GP6</v>
      </c>
      <c r="K160" s="34">
        <f t="shared" si="23"/>
        <v>168</v>
      </c>
      <c r="L160" s="34" t="str">
        <f>IF(Data!$I159="","",Data!I159)</f>
        <v>Juho Korpi</v>
      </c>
      <c r="M160" s="34" t="str">
        <f>IF(Data!$I159="","",IF(Data!L159=0,"dns",Data!L159))</f>
        <v>dns</v>
      </c>
      <c r="N160" s="34" t="str">
        <f>IF(Data!$I159="","","GP"&amp;Data!$B159)</f>
        <v>GP9</v>
      </c>
      <c r="O160" s="34">
        <f t="shared" si="24"/>
        <v>313</v>
      </c>
      <c r="P160" s="34">
        <f>IF($L160="","",Data!B159)</f>
        <v>9</v>
      </c>
      <c r="Q160" s="34">
        <f t="shared" si="25"/>
        <v>160</v>
      </c>
      <c r="R160" s="34">
        <f t="shared" si="26"/>
        <v>0.31309159999999997</v>
      </c>
      <c r="S160" s="70"/>
    </row>
    <row r="161" spans="1:19" x14ac:dyDescent="0.25">
      <c r="A161" s="34">
        <f t="shared" si="27"/>
        <v>157</v>
      </c>
      <c r="B161" s="34" t="str">
        <f t="shared" si="28"/>
        <v>Iiro Riikonen</v>
      </c>
      <c r="C161" s="34" t="str">
        <f t="shared" si="29"/>
        <v>dns</v>
      </c>
      <c r="D161" s="34" t="str">
        <f t="shared" si="30"/>
        <v>GP7</v>
      </c>
      <c r="K161" s="34">
        <f t="shared" si="23"/>
        <v>169</v>
      </c>
      <c r="L161" s="34" t="str">
        <f>IF(Data!$I160="","",Data!I160)</f>
        <v>Roope Warro</v>
      </c>
      <c r="M161" s="34" t="str">
        <f>IF(Data!$I160="","",IF(Data!L160=0,"dns",Data!L160))</f>
        <v>dns</v>
      </c>
      <c r="N161" s="34" t="str">
        <f>IF(Data!$I160="","","GP"&amp;Data!$B160)</f>
        <v>GP9</v>
      </c>
      <c r="O161" s="34">
        <f t="shared" si="24"/>
        <v>313</v>
      </c>
      <c r="P161" s="34">
        <f>IF($L161="","",Data!B160)</f>
        <v>9</v>
      </c>
      <c r="Q161" s="34">
        <f t="shared" si="25"/>
        <v>161</v>
      </c>
      <c r="R161" s="34">
        <f t="shared" si="26"/>
        <v>0.31309160999999996</v>
      </c>
      <c r="S161" s="70"/>
    </row>
    <row r="162" spans="1:19" x14ac:dyDescent="0.25">
      <c r="A162" s="34">
        <f t="shared" si="27"/>
        <v>158</v>
      </c>
      <c r="B162" s="34" t="str">
        <f t="shared" si="28"/>
        <v>Frans Hartman</v>
      </c>
      <c r="C162" s="34" t="str">
        <f t="shared" si="29"/>
        <v>dns</v>
      </c>
      <c r="D162" s="34" t="str">
        <f t="shared" si="30"/>
        <v>GP7</v>
      </c>
      <c r="K162" s="34">
        <f t="shared" si="23"/>
        <v>170</v>
      </c>
      <c r="L162" s="34" t="str">
        <f>IF(Data!$I161="","",Data!I161)</f>
        <v>Iiro Riikonen</v>
      </c>
      <c r="M162" s="34" t="str">
        <f>IF(Data!$I161="","",IF(Data!L161=0,"dns",Data!L161))</f>
        <v>dns</v>
      </c>
      <c r="N162" s="34" t="str">
        <f>IF(Data!$I161="","","GP"&amp;Data!$B161)</f>
        <v>GP9</v>
      </c>
      <c r="O162" s="34">
        <f t="shared" si="24"/>
        <v>313</v>
      </c>
      <c r="P162" s="34">
        <f>IF($L162="","",Data!B161)</f>
        <v>9</v>
      </c>
      <c r="Q162" s="34">
        <f t="shared" si="25"/>
        <v>162</v>
      </c>
      <c r="R162" s="34">
        <f t="shared" si="26"/>
        <v>0.31309161999999996</v>
      </c>
      <c r="S162" s="70"/>
    </row>
    <row r="163" spans="1:19" x14ac:dyDescent="0.25">
      <c r="A163" s="34">
        <f t="shared" si="27"/>
        <v>159</v>
      </c>
      <c r="B163" s="34" t="str">
        <f t="shared" si="28"/>
        <v>Kaleva Latvala</v>
      </c>
      <c r="C163" s="34" t="str">
        <f t="shared" si="29"/>
        <v>dns</v>
      </c>
      <c r="D163" s="34" t="str">
        <f t="shared" si="30"/>
        <v>GP7</v>
      </c>
      <c r="K163" s="34">
        <f t="shared" si="23"/>
        <v>171</v>
      </c>
      <c r="L163" s="34" t="str">
        <f>IF(Data!$I162="","",Data!I162)</f>
        <v>Sakari Leinonen</v>
      </c>
      <c r="M163" s="34" t="str">
        <f>IF(Data!$I162="","",IF(Data!L162=0,"dns",Data!L162))</f>
        <v>dns</v>
      </c>
      <c r="N163" s="34" t="str">
        <f>IF(Data!$I162="","","GP"&amp;Data!$B162)</f>
        <v>GP9</v>
      </c>
      <c r="O163" s="34">
        <f t="shared" si="24"/>
        <v>313</v>
      </c>
      <c r="P163" s="34">
        <f>IF($L163="","",Data!B162)</f>
        <v>9</v>
      </c>
      <c r="Q163" s="34">
        <f t="shared" si="25"/>
        <v>163</v>
      </c>
      <c r="R163" s="34">
        <f t="shared" si="26"/>
        <v>0.31309162999999995</v>
      </c>
      <c r="S163" s="70"/>
    </row>
    <row r="164" spans="1:19" x14ac:dyDescent="0.25">
      <c r="A164" s="34">
        <f t="shared" si="27"/>
        <v>160</v>
      </c>
      <c r="B164" s="34" t="str">
        <f t="shared" si="28"/>
        <v>Mikko Mansikkamäki</v>
      </c>
      <c r="C164" s="34" t="str">
        <f t="shared" si="29"/>
        <v>dns</v>
      </c>
      <c r="D164" s="34" t="str">
        <f t="shared" si="30"/>
        <v>GP7</v>
      </c>
      <c r="K164" s="34">
        <f t="shared" si="23"/>
        <v>172</v>
      </c>
      <c r="L164" s="34" t="str">
        <f>IF(Data!$I163="","",Data!I163)</f>
        <v>Tatu Erlin</v>
      </c>
      <c r="M164" s="34" t="str">
        <f>IF(Data!$I163="","",IF(Data!L163=0,"dns",Data!L163))</f>
        <v>dns</v>
      </c>
      <c r="N164" s="34" t="str">
        <f>IF(Data!$I163="","","GP"&amp;Data!$B163)</f>
        <v>GP9</v>
      </c>
      <c r="O164" s="34">
        <f t="shared" si="24"/>
        <v>313</v>
      </c>
      <c r="P164" s="34">
        <f>IF($L164="","",Data!B163)</f>
        <v>9</v>
      </c>
      <c r="Q164" s="34">
        <f t="shared" si="25"/>
        <v>164</v>
      </c>
      <c r="R164" s="34">
        <f t="shared" si="26"/>
        <v>0.31309164</v>
      </c>
      <c r="S164" s="70"/>
    </row>
    <row r="165" spans="1:19" x14ac:dyDescent="0.25">
      <c r="A165" s="34">
        <f t="shared" si="27"/>
        <v>161</v>
      </c>
      <c r="B165" s="34" t="str">
        <f t="shared" si="28"/>
        <v>Sakari Leinonen</v>
      </c>
      <c r="C165" s="34" t="str">
        <f t="shared" si="29"/>
        <v>dns</v>
      </c>
      <c r="D165" s="34" t="str">
        <f t="shared" si="30"/>
        <v>GP7</v>
      </c>
      <c r="K165" s="34">
        <f t="shared" si="23"/>
        <v>20</v>
      </c>
      <c r="L165" s="34" t="str">
        <f>IF(Data!$I164="","",Data!I164)</f>
        <v>Miika Nordblad</v>
      </c>
      <c r="M165" s="34">
        <f>IF(Data!$I164="","",IF(Data!L164=0,"dns",Data!L164))</f>
        <v>313</v>
      </c>
      <c r="N165" s="34" t="str">
        <f>IF(Data!$I164="","","GP"&amp;Data!$B164)</f>
        <v>GP10</v>
      </c>
      <c r="O165" s="34">
        <f t="shared" si="24"/>
        <v>19</v>
      </c>
      <c r="P165" s="34">
        <f>IF($L165="","",Data!B164)</f>
        <v>10</v>
      </c>
      <c r="Q165" s="34">
        <f t="shared" si="25"/>
        <v>165</v>
      </c>
      <c r="R165" s="34">
        <f t="shared" si="26"/>
        <v>1.9101649999999998E-2</v>
      </c>
      <c r="S165" s="70"/>
    </row>
    <row r="166" spans="1:19" x14ac:dyDescent="0.25">
      <c r="A166" s="34">
        <f t="shared" si="27"/>
        <v>162</v>
      </c>
      <c r="B166" s="34" t="str">
        <f t="shared" si="28"/>
        <v>Roope Warro</v>
      </c>
      <c r="C166" s="34" t="str">
        <f t="shared" si="29"/>
        <v>dns</v>
      </c>
      <c r="D166" s="34" t="str">
        <f t="shared" si="30"/>
        <v>GP7</v>
      </c>
      <c r="K166" s="34">
        <f t="shared" si="23"/>
        <v>39</v>
      </c>
      <c r="L166" s="34" t="str">
        <f>IF(Data!$I165="","",Data!I165)</f>
        <v>Henri Verho</v>
      </c>
      <c r="M166" s="34">
        <f>IF(Data!$I165="","",IF(Data!L165=0,"dns",Data!L165))</f>
        <v>291</v>
      </c>
      <c r="N166" s="34" t="str">
        <f>IF(Data!$I165="","","GP"&amp;Data!$B165)</f>
        <v>GP10</v>
      </c>
      <c r="O166" s="34">
        <f t="shared" si="24"/>
        <v>38</v>
      </c>
      <c r="P166" s="34">
        <f>IF($L166="","",Data!B165)</f>
        <v>10</v>
      </c>
      <c r="Q166" s="34">
        <f t="shared" si="25"/>
        <v>166</v>
      </c>
      <c r="R166" s="34">
        <f t="shared" si="26"/>
        <v>3.8101660000000002E-2</v>
      </c>
      <c r="S166" s="70"/>
    </row>
    <row r="167" spans="1:19" x14ac:dyDescent="0.25">
      <c r="A167" s="34">
        <f t="shared" si="27"/>
        <v>163</v>
      </c>
      <c r="B167" s="34" t="str">
        <f t="shared" si="28"/>
        <v>Tatu Erlin</v>
      </c>
      <c r="C167" s="34" t="str">
        <f t="shared" si="29"/>
        <v>dns</v>
      </c>
      <c r="D167" s="34" t="str">
        <f t="shared" si="30"/>
        <v>GP7</v>
      </c>
      <c r="K167" s="34">
        <f t="shared" si="23"/>
        <v>57</v>
      </c>
      <c r="L167" s="34" t="str">
        <f>IF(Data!$I166="","",Data!I166)</f>
        <v>Jami Kallio</v>
      </c>
      <c r="M167" s="34">
        <f>IF(Data!$I166="","",IF(Data!L166=0,"dns",Data!L166))</f>
        <v>277</v>
      </c>
      <c r="N167" s="34" t="str">
        <f>IF(Data!$I166="","","GP"&amp;Data!$B166)</f>
        <v>GP10</v>
      </c>
      <c r="O167" s="34">
        <f t="shared" si="24"/>
        <v>57</v>
      </c>
      <c r="P167" s="34">
        <f>IF($L167="","",Data!B166)</f>
        <v>10</v>
      </c>
      <c r="Q167" s="34">
        <f t="shared" si="25"/>
        <v>167</v>
      </c>
      <c r="R167" s="34">
        <f t="shared" si="26"/>
        <v>5.7101670000000007E-2</v>
      </c>
      <c r="S167" s="70"/>
    </row>
    <row r="168" spans="1:19" x14ac:dyDescent="0.25">
      <c r="A168" s="34">
        <f t="shared" si="27"/>
        <v>164</v>
      </c>
      <c r="B168" s="34" t="str">
        <f t="shared" si="28"/>
        <v>Olli Kajava</v>
      </c>
      <c r="C168" s="34" t="str">
        <f t="shared" si="29"/>
        <v>dns</v>
      </c>
      <c r="D168" s="34" t="str">
        <f t="shared" si="30"/>
        <v>GP8</v>
      </c>
      <c r="K168" s="34">
        <f t="shared" si="23"/>
        <v>68</v>
      </c>
      <c r="L168" s="34" t="str">
        <f>IF(Data!$I167="","",Data!I167)</f>
        <v>Mikko Mansikkamäki</v>
      </c>
      <c r="M168" s="34">
        <f>IF(Data!$I167="","",IF(Data!L167=0,"dns",Data!L167))</f>
        <v>264</v>
      </c>
      <c r="N168" s="34" t="str">
        <f>IF(Data!$I167="","","GP"&amp;Data!$B167)</f>
        <v>GP10</v>
      </c>
      <c r="O168" s="34">
        <f t="shared" si="24"/>
        <v>67</v>
      </c>
      <c r="P168" s="34">
        <f>IF($L168="","",Data!B167)</f>
        <v>10</v>
      </c>
      <c r="Q168" s="34">
        <f t="shared" si="25"/>
        <v>168</v>
      </c>
      <c r="R168" s="34">
        <f t="shared" si="26"/>
        <v>6.7101680000000011E-2</v>
      </c>
      <c r="S168" s="70"/>
    </row>
    <row r="169" spans="1:19" x14ac:dyDescent="0.25">
      <c r="A169" s="34">
        <f t="shared" si="27"/>
        <v>165</v>
      </c>
      <c r="B169" s="34" t="str">
        <f t="shared" si="28"/>
        <v>Frans Hartman</v>
      </c>
      <c r="C169" s="34" t="str">
        <f t="shared" si="29"/>
        <v>dns</v>
      </c>
      <c r="D169" s="34" t="str">
        <f t="shared" si="30"/>
        <v>GP8</v>
      </c>
      <c r="K169" s="34">
        <f t="shared" si="23"/>
        <v>79</v>
      </c>
      <c r="L169" s="34" t="str">
        <f>IF(Data!$I168="","",Data!I168)</f>
        <v>Juho Korpi</v>
      </c>
      <c r="M169" s="34">
        <f>IF(Data!$I168="","",IF(Data!L168=0,"dns",Data!L168))</f>
        <v>253</v>
      </c>
      <c r="N169" s="34" t="str">
        <f>IF(Data!$I168="","","GP"&amp;Data!$B168)</f>
        <v>GP10</v>
      </c>
      <c r="O169" s="34">
        <f t="shared" si="24"/>
        <v>78</v>
      </c>
      <c r="P169" s="34">
        <f>IF($L169="","",Data!B168)</f>
        <v>10</v>
      </c>
      <c r="Q169" s="34">
        <f t="shared" si="25"/>
        <v>169</v>
      </c>
      <c r="R169" s="34">
        <f t="shared" si="26"/>
        <v>7.8101690000000001E-2</v>
      </c>
      <c r="S169" s="70"/>
    </row>
    <row r="170" spans="1:19" x14ac:dyDescent="0.25">
      <c r="A170" s="34">
        <f t="shared" si="27"/>
        <v>166</v>
      </c>
      <c r="B170" s="34" t="str">
        <f t="shared" si="28"/>
        <v>Sakari Leinonen</v>
      </c>
      <c r="C170" s="34" t="str">
        <f t="shared" si="29"/>
        <v>dns</v>
      </c>
      <c r="D170" s="34" t="str">
        <f t="shared" si="30"/>
        <v>GP8</v>
      </c>
      <c r="K170" s="34">
        <f t="shared" si="23"/>
        <v>81</v>
      </c>
      <c r="L170" s="34" t="str">
        <f>IF(Data!$I169="","",Data!I169)</f>
        <v>Mika Sola</v>
      </c>
      <c r="M170" s="34">
        <f>IF(Data!$I169="","",IF(Data!L169=0,"dns",Data!L169))</f>
        <v>250</v>
      </c>
      <c r="N170" s="34" t="str">
        <f>IF(Data!$I169="","","GP"&amp;Data!$B169)</f>
        <v>GP10</v>
      </c>
      <c r="O170" s="34">
        <f t="shared" si="24"/>
        <v>80</v>
      </c>
      <c r="P170" s="34">
        <f>IF($L170="","",Data!B169)</f>
        <v>10</v>
      </c>
      <c r="Q170" s="34">
        <f t="shared" si="25"/>
        <v>170</v>
      </c>
      <c r="R170" s="34">
        <f t="shared" si="26"/>
        <v>8.0101699999999998E-2</v>
      </c>
      <c r="S170" s="70"/>
    </row>
    <row r="171" spans="1:19" x14ac:dyDescent="0.25">
      <c r="A171" s="34">
        <f t="shared" si="27"/>
        <v>167</v>
      </c>
      <c r="B171" s="34" t="str">
        <f t="shared" si="28"/>
        <v>Tatu Erlin</v>
      </c>
      <c r="C171" s="34" t="str">
        <f t="shared" si="29"/>
        <v>dns</v>
      </c>
      <c r="D171" s="34" t="str">
        <f t="shared" si="30"/>
        <v>GP8</v>
      </c>
      <c r="K171" s="34">
        <f t="shared" si="23"/>
        <v>85</v>
      </c>
      <c r="L171" s="34" t="str">
        <f>IF(Data!$I170="","",Data!I170)</f>
        <v>Niko Reunanen</v>
      </c>
      <c r="M171" s="34">
        <f>IF(Data!$I170="","",IF(Data!L170=0,"dns",Data!L170))</f>
        <v>246</v>
      </c>
      <c r="N171" s="34" t="str">
        <f>IF(Data!$I170="","","GP"&amp;Data!$B170)</f>
        <v>GP10</v>
      </c>
      <c r="O171" s="34">
        <f t="shared" si="24"/>
        <v>85</v>
      </c>
      <c r="P171" s="34">
        <f>IF($L171="","",Data!B170)</f>
        <v>10</v>
      </c>
      <c r="Q171" s="34">
        <f t="shared" si="25"/>
        <v>171</v>
      </c>
      <c r="R171" s="34">
        <f t="shared" si="26"/>
        <v>8.5101710000000011E-2</v>
      </c>
      <c r="S171" s="70"/>
    </row>
    <row r="172" spans="1:19" x14ac:dyDescent="0.25">
      <c r="A172" s="34">
        <f t="shared" si="27"/>
        <v>168</v>
      </c>
      <c r="B172" s="34" t="str">
        <f t="shared" si="28"/>
        <v>Juho Korpi</v>
      </c>
      <c r="C172" s="34" t="str">
        <f t="shared" si="29"/>
        <v>dns</v>
      </c>
      <c r="D172" s="34" t="str">
        <f t="shared" si="30"/>
        <v>GP9</v>
      </c>
      <c r="K172" s="34">
        <f t="shared" si="23"/>
        <v>94</v>
      </c>
      <c r="L172" s="34" t="str">
        <f>IF(Data!$I171="","",Data!I171)</f>
        <v>Sakari Leinonen</v>
      </c>
      <c r="M172" s="34">
        <f>IF(Data!$I171="","",IF(Data!L171=0,"dns",Data!L171))</f>
        <v>240</v>
      </c>
      <c r="N172" s="34" t="str">
        <f>IF(Data!$I171="","","GP"&amp;Data!$B171)</f>
        <v>GP10</v>
      </c>
      <c r="O172" s="34">
        <f t="shared" si="24"/>
        <v>94</v>
      </c>
      <c r="P172" s="34">
        <f>IF($L172="","",Data!B171)</f>
        <v>10</v>
      </c>
      <c r="Q172" s="34">
        <f t="shared" si="25"/>
        <v>172</v>
      </c>
      <c r="R172" s="34">
        <f t="shared" si="26"/>
        <v>9.410172E-2</v>
      </c>
      <c r="S172" s="70"/>
    </row>
    <row r="173" spans="1:19" x14ac:dyDescent="0.25">
      <c r="A173" s="34">
        <f t="shared" si="27"/>
        <v>169</v>
      </c>
      <c r="B173" s="34" t="str">
        <f t="shared" si="28"/>
        <v>Roope Warro</v>
      </c>
      <c r="C173" s="34" t="str">
        <f t="shared" si="29"/>
        <v>dns</v>
      </c>
      <c r="D173" s="34" t="str">
        <f t="shared" si="30"/>
        <v>GP9</v>
      </c>
      <c r="K173" s="34">
        <f t="shared" si="23"/>
        <v>105</v>
      </c>
      <c r="L173" s="34" t="str">
        <f>IF(Data!$I172="","",Data!I172)</f>
        <v>Olli Kajava</v>
      </c>
      <c r="M173" s="34">
        <f>IF(Data!$I172="","",IF(Data!L172=0,"dns",Data!L172))</f>
        <v>226</v>
      </c>
      <c r="N173" s="34" t="str">
        <f>IF(Data!$I172="","","GP"&amp;Data!$B172)</f>
        <v>GP10</v>
      </c>
      <c r="O173" s="34">
        <f t="shared" si="24"/>
        <v>104</v>
      </c>
      <c r="P173" s="34">
        <f>IF($L173="","",Data!B172)</f>
        <v>10</v>
      </c>
      <c r="Q173" s="34">
        <f t="shared" si="25"/>
        <v>173</v>
      </c>
      <c r="R173" s="34">
        <f t="shared" si="26"/>
        <v>0.10410173</v>
      </c>
      <c r="S173" s="70"/>
    </row>
    <row r="174" spans="1:19" x14ac:dyDescent="0.25">
      <c r="A174" s="34">
        <f t="shared" si="27"/>
        <v>170</v>
      </c>
      <c r="B174" s="34" t="str">
        <f t="shared" si="28"/>
        <v>Iiro Riikonen</v>
      </c>
      <c r="C174" s="34" t="str">
        <f t="shared" si="29"/>
        <v>dns</v>
      </c>
      <c r="D174" s="34" t="str">
        <f t="shared" si="30"/>
        <v>GP9</v>
      </c>
      <c r="K174" s="34">
        <f t="shared" si="23"/>
        <v>119</v>
      </c>
      <c r="L174" s="34" t="str">
        <f>IF(Data!$I173="","",Data!I173)</f>
        <v>Ossi Oksa</v>
      </c>
      <c r="M174" s="34">
        <f>IF(Data!$I173="","",IF(Data!L173=0,"dns",Data!L173))</f>
        <v>203</v>
      </c>
      <c r="N174" s="34" t="str">
        <f>IF(Data!$I173="","","GP"&amp;Data!$B173)</f>
        <v>GP10</v>
      </c>
      <c r="O174" s="34">
        <f t="shared" si="24"/>
        <v>118</v>
      </c>
      <c r="P174" s="34">
        <f>IF($L174="","",Data!B173)</f>
        <v>10</v>
      </c>
      <c r="Q174" s="34">
        <f t="shared" si="25"/>
        <v>174</v>
      </c>
      <c r="R174" s="34">
        <f t="shared" si="26"/>
        <v>0.11810174</v>
      </c>
      <c r="S174" s="70"/>
    </row>
    <row r="175" spans="1:19" x14ac:dyDescent="0.25">
      <c r="A175" s="34">
        <f t="shared" si="27"/>
        <v>171</v>
      </c>
      <c r="B175" s="34" t="str">
        <f t="shared" si="28"/>
        <v>Sakari Leinonen</v>
      </c>
      <c r="C175" s="34" t="str">
        <f t="shared" si="29"/>
        <v>dns</v>
      </c>
      <c r="D175" s="34" t="str">
        <f t="shared" si="30"/>
        <v>GP9</v>
      </c>
      <c r="K175" s="34">
        <f t="shared" si="23"/>
        <v>173</v>
      </c>
      <c r="L175" s="34" t="str">
        <f>IF(Data!$I174="","",Data!I174)</f>
        <v>Frans Hartman</v>
      </c>
      <c r="M175" s="34" t="str">
        <f>IF(Data!$I174="","",IF(Data!L174=0,"dns",Data!L174))</f>
        <v>dns</v>
      </c>
      <c r="N175" s="34" t="str">
        <f>IF(Data!$I174="","","GP"&amp;Data!$B174)</f>
        <v>GP10</v>
      </c>
      <c r="O175" s="34">
        <f t="shared" si="24"/>
        <v>313</v>
      </c>
      <c r="P175" s="34">
        <f>IF($L175="","",Data!B174)</f>
        <v>10</v>
      </c>
      <c r="Q175" s="34">
        <f t="shared" si="25"/>
        <v>175</v>
      </c>
      <c r="R175" s="34">
        <f t="shared" si="26"/>
        <v>0.31310175000000001</v>
      </c>
      <c r="S175" s="70"/>
    </row>
    <row r="176" spans="1:19" x14ac:dyDescent="0.25">
      <c r="A176" s="34">
        <f t="shared" si="27"/>
        <v>172</v>
      </c>
      <c r="B176" s="34" t="str">
        <f t="shared" si="28"/>
        <v>Tatu Erlin</v>
      </c>
      <c r="C176" s="34" t="str">
        <f t="shared" si="29"/>
        <v>dns</v>
      </c>
      <c r="D176" s="34" t="str">
        <f t="shared" si="30"/>
        <v>GP9</v>
      </c>
      <c r="K176" s="34">
        <f t="shared" si="23"/>
        <v>174</v>
      </c>
      <c r="L176" s="34" t="str">
        <f>IF(Data!$I175="","",Data!I175)</f>
        <v>Kaleva Latvala</v>
      </c>
      <c r="M176" s="34" t="str">
        <f>IF(Data!$I175="","",IF(Data!L175=0,"dns",Data!L175))</f>
        <v>dns</v>
      </c>
      <c r="N176" s="34" t="str">
        <f>IF(Data!$I175="","","GP"&amp;Data!$B175)</f>
        <v>GP10</v>
      </c>
      <c r="O176" s="34">
        <f t="shared" si="24"/>
        <v>313</v>
      </c>
      <c r="P176" s="34">
        <f>IF($L176="","",Data!B175)</f>
        <v>10</v>
      </c>
      <c r="Q176" s="34">
        <f t="shared" si="25"/>
        <v>176</v>
      </c>
      <c r="R176" s="34">
        <f t="shared" si="26"/>
        <v>0.31310176000000001</v>
      </c>
      <c r="S176" s="70"/>
    </row>
    <row r="177" spans="1:19" x14ac:dyDescent="0.25">
      <c r="A177" s="34">
        <f t="shared" si="27"/>
        <v>173</v>
      </c>
      <c r="B177" s="34" t="str">
        <f t="shared" si="28"/>
        <v>Frans Hartman</v>
      </c>
      <c r="C177" s="34" t="str">
        <f t="shared" si="29"/>
        <v>dns</v>
      </c>
      <c r="D177" s="34" t="str">
        <f t="shared" si="30"/>
        <v>GP10</v>
      </c>
      <c r="K177" s="34">
        <f t="shared" si="23"/>
        <v>175</v>
      </c>
      <c r="L177" s="34" t="str">
        <f>IF(Data!$I176="","",Data!I176)</f>
        <v>Asko Haaksi</v>
      </c>
      <c r="M177" s="34" t="str">
        <f>IF(Data!$I176="","",IF(Data!L176=0,"dns",Data!L176))</f>
        <v>dns</v>
      </c>
      <c r="N177" s="34" t="str">
        <f>IF(Data!$I176="","","GP"&amp;Data!$B176)</f>
        <v>GP10</v>
      </c>
      <c r="O177" s="34">
        <f t="shared" si="24"/>
        <v>313</v>
      </c>
      <c r="P177" s="34">
        <f>IF($L177="","",Data!B176)</f>
        <v>10</v>
      </c>
      <c r="Q177" s="34">
        <f t="shared" si="25"/>
        <v>177</v>
      </c>
      <c r="R177" s="34">
        <f t="shared" si="26"/>
        <v>0.31310177</v>
      </c>
      <c r="S177" s="70"/>
    </row>
    <row r="178" spans="1:19" x14ac:dyDescent="0.25">
      <c r="A178" s="34">
        <f t="shared" si="27"/>
        <v>174</v>
      </c>
      <c r="B178" s="34" t="str">
        <f t="shared" si="28"/>
        <v>Kaleva Latvala</v>
      </c>
      <c r="C178" s="34" t="str">
        <f t="shared" si="29"/>
        <v>dns</v>
      </c>
      <c r="D178" s="34" t="str">
        <f t="shared" si="30"/>
        <v>GP10</v>
      </c>
      <c r="K178" s="34">
        <f t="shared" si="23"/>
        <v>176</v>
      </c>
      <c r="L178" s="34" t="str">
        <f>IF(Data!$I177="","",Data!I177)</f>
        <v>Joonas Ollonqvist</v>
      </c>
      <c r="M178" s="34" t="str">
        <f>IF(Data!$I177="","",IF(Data!L177=0,"dns",Data!L177))</f>
        <v>dns</v>
      </c>
      <c r="N178" s="34" t="str">
        <f>IF(Data!$I177="","","GP"&amp;Data!$B177)</f>
        <v>GP10</v>
      </c>
      <c r="O178" s="34">
        <f t="shared" si="24"/>
        <v>313</v>
      </c>
      <c r="P178" s="34">
        <f>IF($L178="","",Data!B177)</f>
        <v>10</v>
      </c>
      <c r="Q178" s="34">
        <f t="shared" si="25"/>
        <v>178</v>
      </c>
      <c r="R178" s="34">
        <f t="shared" si="26"/>
        <v>0.31310178</v>
      </c>
      <c r="S178" s="70"/>
    </row>
    <row r="179" spans="1:19" x14ac:dyDescent="0.25">
      <c r="A179" s="34">
        <f t="shared" si="27"/>
        <v>175</v>
      </c>
      <c r="B179" s="34" t="str">
        <f t="shared" si="28"/>
        <v>Asko Haaksi</v>
      </c>
      <c r="C179" s="34" t="str">
        <f t="shared" si="29"/>
        <v>dns</v>
      </c>
      <c r="D179" s="34" t="str">
        <f t="shared" si="30"/>
        <v>GP10</v>
      </c>
      <c r="K179" s="34">
        <f t="shared" si="23"/>
        <v>177</v>
      </c>
      <c r="L179" s="34" t="str">
        <f>IF(Data!$I178="","",Data!I178)</f>
        <v>Miikka Korventausta</v>
      </c>
      <c r="M179" s="34" t="str">
        <f>IF(Data!$I178="","",IF(Data!L178=0,"dns",Data!L178))</f>
        <v>dns</v>
      </c>
      <c r="N179" s="34" t="str">
        <f>IF(Data!$I178="","","GP"&amp;Data!$B178)</f>
        <v>GP10</v>
      </c>
      <c r="O179" s="34">
        <f t="shared" si="24"/>
        <v>313</v>
      </c>
      <c r="P179" s="34">
        <f>IF($L179="","",Data!B178)</f>
        <v>10</v>
      </c>
      <c r="Q179" s="34">
        <f t="shared" si="25"/>
        <v>179</v>
      </c>
      <c r="R179" s="34">
        <f t="shared" si="26"/>
        <v>0.31310178999999999</v>
      </c>
      <c r="S179" s="70"/>
    </row>
    <row r="180" spans="1:19" x14ac:dyDescent="0.25">
      <c r="A180" s="34">
        <f t="shared" si="27"/>
        <v>176</v>
      </c>
      <c r="B180" s="34" t="str">
        <f t="shared" si="28"/>
        <v>Joonas Ollonqvist</v>
      </c>
      <c r="C180" s="34" t="str">
        <f t="shared" si="29"/>
        <v>dns</v>
      </c>
      <c r="D180" s="34" t="str">
        <f t="shared" si="30"/>
        <v>GP10</v>
      </c>
      <c r="K180" s="34">
        <f t="shared" si="23"/>
        <v>178</v>
      </c>
      <c r="L180" s="34" t="str">
        <f>IF(Data!$I179="","",Data!I179)</f>
        <v>Roope Warro</v>
      </c>
      <c r="M180" s="34" t="str">
        <f>IF(Data!$I179="","",IF(Data!L179=0,"dns",Data!L179))</f>
        <v>dns</v>
      </c>
      <c r="N180" s="34" t="str">
        <f>IF(Data!$I179="","","GP"&amp;Data!$B179)</f>
        <v>GP10</v>
      </c>
      <c r="O180" s="34">
        <f t="shared" si="24"/>
        <v>313</v>
      </c>
      <c r="P180" s="34">
        <f>IF($L180="","",Data!B179)</f>
        <v>10</v>
      </c>
      <c r="Q180" s="34">
        <f t="shared" si="25"/>
        <v>180</v>
      </c>
      <c r="R180" s="34">
        <f t="shared" si="26"/>
        <v>0.31310179999999999</v>
      </c>
      <c r="S180" s="70"/>
    </row>
    <row r="181" spans="1:19" x14ac:dyDescent="0.25">
      <c r="A181" s="34">
        <f t="shared" si="27"/>
        <v>177</v>
      </c>
      <c r="B181" s="34" t="str">
        <f t="shared" si="28"/>
        <v>Miikka Korventausta</v>
      </c>
      <c r="C181" s="34" t="str">
        <f t="shared" si="29"/>
        <v>dns</v>
      </c>
      <c r="D181" s="34" t="str">
        <f t="shared" si="30"/>
        <v>GP10</v>
      </c>
      <c r="K181" s="34">
        <f t="shared" si="23"/>
        <v>179</v>
      </c>
      <c r="L181" s="34" t="str">
        <f>IF(Data!$I180="","",Data!I180)</f>
        <v>Iiro Riikonen</v>
      </c>
      <c r="M181" s="34" t="str">
        <f>IF(Data!$I180="","",IF(Data!L180=0,"dns",Data!L180))</f>
        <v>dns</v>
      </c>
      <c r="N181" s="34" t="str">
        <f>IF(Data!$I180="","","GP"&amp;Data!$B180)</f>
        <v>GP10</v>
      </c>
      <c r="O181" s="34">
        <f t="shared" si="24"/>
        <v>313</v>
      </c>
      <c r="P181" s="34">
        <f>IF($L181="","",Data!B180)</f>
        <v>10</v>
      </c>
      <c r="Q181" s="34">
        <f t="shared" si="25"/>
        <v>181</v>
      </c>
      <c r="R181" s="34">
        <f t="shared" si="26"/>
        <v>0.31310180999999998</v>
      </c>
      <c r="S181" s="70"/>
    </row>
    <row r="182" spans="1:19" x14ac:dyDescent="0.25">
      <c r="A182" s="34">
        <f t="shared" si="27"/>
        <v>178</v>
      </c>
      <c r="B182" s="34" t="str">
        <f t="shared" si="28"/>
        <v>Roope Warro</v>
      </c>
      <c r="C182" s="34" t="str">
        <f t="shared" si="29"/>
        <v>dns</v>
      </c>
      <c r="D182" s="34" t="str">
        <f t="shared" si="30"/>
        <v>GP10</v>
      </c>
      <c r="K182" s="34">
        <f t="shared" si="23"/>
        <v>180</v>
      </c>
      <c r="L182" s="34" t="str">
        <f>IF(Data!$I181="","",Data!I181)</f>
        <v>Tatu Erlin</v>
      </c>
      <c r="M182" s="34" t="str">
        <f>IF(Data!$I181="","",IF(Data!L181=0,"dns",Data!L181))</f>
        <v>dns</v>
      </c>
      <c r="N182" s="34" t="str">
        <f>IF(Data!$I181="","","GP"&amp;Data!$B181)</f>
        <v>GP10</v>
      </c>
      <c r="O182" s="34">
        <f t="shared" si="24"/>
        <v>313</v>
      </c>
      <c r="P182" s="34">
        <f>IF($L182="","",Data!B181)</f>
        <v>10</v>
      </c>
      <c r="Q182" s="34">
        <f t="shared" si="25"/>
        <v>182</v>
      </c>
      <c r="R182" s="34">
        <f t="shared" si="26"/>
        <v>0.31310181999999998</v>
      </c>
      <c r="S182" s="70"/>
    </row>
    <row r="183" spans="1:19" x14ac:dyDescent="0.25">
      <c r="A183" s="34">
        <f t="shared" si="27"/>
        <v>179</v>
      </c>
      <c r="B183" s="34" t="str">
        <f t="shared" si="28"/>
        <v>Iiro Riikonen</v>
      </c>
      <c r="C183" s="34" t="str">
        <f t="shared" si="29"/>
        <v>dns</v>
      </c>
      <c r="D183" s="34" t="str">
        <f t="shared" si="30"/>
        <v>GP10</v>
      </c>
      <c r="K183" s="34" t="str">
        <f t="shared" si="23"/>
        <v/>
      </c>
      <c r="L183" s="34" t="str">
        <f>IF(Data!$I182="","",Data!I182)</f>
        <v/>
      </c>
      <c r="M183" s="34" t="str">
        <f>IF(Data!$I182="","",IF(Data!L182=0,"dns",Data!L182))</f>
        <v/>
      </c>
      <c r="N183" s="34" t="str">
        <f>IF(Data!$I182="","","GP"&amp;Data!$B182)</f>
        <v/>
      </c>
      <c r="O183" s="34" t="str">
        <f t="shared" si="24"/>
        <v/>
      </c>
      <c r="P183" s="34" t="str">
        <f>IF($L183="","",Data!B182)</f>
        <v/>
      </c>
      <c r="Q183" s="34" t="str">
        <f t="shared" si="25"/>
        <v/>
      </c>
      <c r="R183" s="34" t="str">
        <f t="shared" si="26"/>
        <v/>
      </c>
      <c r="S183" s="70"/>
    </row>
    <row r="184" spans="1:19" x14ac:dyDescent="0.25">
      <c r="A184" s="34">
        <f t="shared" si="27"/>
        <v>180</v>
      </c>
      <c r="B184" s="34" t="str">
        <f t="shared" si="28"/>
        <v>Tatu Erlin</v>
      </c>
      <c r="C184" s="34" t="str">
        <f t="shared" si="29"/>
        <v>dns</v>
      </c>
      <c r="D184" s="34" t="str">
        <f t="shared" si="30"/>
        <v>GP10</v>
      </c>
      <c r="K184" s="34" t="str">
        <f t="shared" si="23"/>
        <v/>
      </c>
      <c r="L184" s="34" t="str">
        <f>IF(Data!$I183="","",Data!I183)</f>
        <v/>
      </c>
      <c r="M184" s="34" t="str">
        <f>IF(Data!$I183="","",IF(Data!L183=0,"dns",Data!L183))</f>
        <v/>
      </c>
      <c r="N184" s="34" t="str">
        <f>IF(Data!$I183="","","GP"&amp;Data!$B183)</f>
        <v/>
      </c>
      <c r="O184" s="34" t="str">
        <f t="shared" si="24"/>
        <v/>
      </c>
      <c r="P184" s="34" t="str">
        <f>IF($L184="","",Data!B183)</f>
        <v/>
      </c>
      <c r="Q184" s="34" t="str">
        <f t="shared" si="25"/>
        <v/>
      </c>
      <c r="R184" s="34" t="str">
        <f t="shared" si="26"/>
        <v/>
      </c>
      <c r="S184" s="70"/>
    </row>
    <row r="185" spans="1:19" x14ac:dyDescent="0.25">
      <c r="A185" s="34" t="str">
        <f t="shared" si="27"/>
        <v/>
      </c>
      <c r="B185" s="34" t="str">
        <f t="shared" si="28"/>
        <v/>
      </c>
      <c r="C185" s="34" t="str">
        <f t="shared" si="29"/>
        <v/>
      </c>
      <c r="D185" s="34" t="str">
        <f t="shared" si="30"/>
        <v/>
      </c>
      <c r="K185" s="34" t="str">
        <f t="shared" si="23"/>
        <v/>
      </c>
      <c r="L185" s="34" t="str">
        <f>IF(Data!$I184="","",Data!I184)</f>
        <v/>
      </c>
      <c r="M185" s="34" t="str">
        <f>IF(Data!$I184="","",IF(Data!L184=0,"dns",Data!L184))</f>
        <v/>
      </c>
      <c r="N185" s="34" t="str">
        <f>IF(Data!$I184="","","GP"&amp;Data!$B184)</f>
        <v/>
      </c>
      <c r="O185" s="34" t="str">
        <f t="shared" si="24"/>
        <v/>
      </c>
      <c r="P185" s="34" t="str">
        <f>IF($L185="","",Data!B184)</f>
        <v/>
      </c>
      <c r="Q185" s="34" t="str">
        <f t="shared" si="25"/>
        <v/>
      </c>
      <c r="R185" s="34" t="str">
        <f t="shared" si="26"/>
        <v/>
      </c>
      <c r="S185" s="70"/>
    </row>
    <row r="186" spans="1:19" x14ac:dyDescent="0.25">
      <c r="A186" s="34" t="str">
        <f t="shared" si="27"/>
        <v/>
      </c>
      <c r="B186" s="34" t="str">
        <f t="shared" si="28"/>
        <v/>
      </c>
      <c r="C186" s="34" t="str">
        <f t="shared" si="29"/>
        <v/>
      </c>
      <c r="D186" s="34" t="str">
        <f t="shared" si="30"/>
        <v/>
      </c>
      <c r="K186" s="34" t="str">
        <f t="shared" si="23"/>
        <v/>
      </c>
      <c r="L186" s="34" t="str">
        <f>IF(Data!$I185="","",Data!I185)</f>
        <v/>
      </c>
      <c r="M186" s="34" t="str">
        <f>IF(Data!$I185="","",IF(Data!L185=0,"dns",Data!L185))</f>
        <v/>
      </c>
      <c r="N186" s="34" t="str">
        <f>IF(Data!$I185="","","GP"&amp;Data!$B185)</f>
        <v/>
      </c>
      <c r="O186" s="34" t="str">
        <f t="shared" si="24"/>
        <v/>
      </c>
      <c r="P186" s="34" t="str">
        <f>IF($L186="","",Data!B185)</f>
        <v/>
      </c>
      <c r="Q186" s="34" t="str">
        <f t="shared" si="25"/>
        <v/>
      </c>
      <c r="R186" s="34" t="str">
        <f t="shared" si="26"/>
        <v/>
      </c>
      <c r="S186" s="70"/>
    </row>
    <row r="187" spans="1:19" x14ac:dyDescent="0.25">
      <c r="A187" s="34" t="str">
        <f t="shared" si="27"/>
        <v/>
      </c>
      <c r="B187" s="34" t="str">
        <f t="shared" si="28"/>
        <v/>
      </c>
      <c r="C187" s="34" t="str">
        <f t="shared" si="29"/>
        <v/>
      </c>
      <c r="D187" s="34" t="str">
        <f t="shared" si="30"/>
        <v/>
      </c>
      <c r="K187" s="34" t="str">
        <f t="shared" si="23"/>
        <v/>
      </c>
      <c r="L187" s="34" t="str">
        <f>IF(Data!$I186="","",Data!I186)</f>
        <v/>
      </c>
      <c r="M187" s="34" t="str">
        <f>IF(Data!$I186="","",IF(Data!L186=0,"dns",Data!L186))</f>
        <v/>
      </c>
      <c r="N187" s="34" t="str">
        <f>IF(Data!$I186="","","GP"&amp;Data!$B186)</f>
        <v/>
      </c>
      <c r="O187" s="34" t="str">
        <f t="shared" si="24"/>
        <v/>
      </c>
      <c r="P187" s="34" t="str">
        <f>IF($L187="","",Data!B186)</f>
        <v/>
      </c>
      <c r="Q187" s="34" t="str">
        <f t="shared" si="25"/>
        <v/>
      </c>
      <c r="R187" s="34" t="str">
        <f t="shared" si="26"/>
        <v/>
      </c>
      <c r="S187" s="70"/>
    </row>
    <row r="188" spans="1:19" x14ac:dyDescent="0.25">
      <c r="A188" s="34" t="str">
        <f t="shared" si="27"/>
        <v/>
      </c>
      <c r="B188" s="34" t="str">
        <f t="shared" si="28"/>
        <v/>
      </c>
      <c r="C188" s="34" t="str">
        <f t="shared" si="29"/>
        <v/>
      </c>
      <c r="D188" s="34" t="str">
        <f t="shared" si="30"/>
        <v/>
      </c>
      <c r="K188" s="34" t="str">
        <f t="shared" si="23"/>
        <v/>
      </c>
      <c r="L188" s="34" t="str">
        <f>IF(Data!$I187="","",Data!I187)</f>
        <v/>
      </c>
      <c r="M188" s="34" t="str">
        <f>IF(Data!$I187="","",IF(Data!L187=0,"dns",Data!L187))</f>
        <v/>
      </c>
      <c r="N188" s="34" t="str">
        <f>IF(Data!$I187="","","GP"&amp;Data!$B187)</f>
        <v/>
      </c>
      <c r="O188" s="34" t="str">
        <f t="shared" si="24"/>
        <v/>
      </c>
      <c r="P188" s="34" t="str">
        <f>IF($L188="","",Data!B187)</f>
        <v/>
      </c>
      <c r="Q188" s="34" t="str">
        <f t="shared" si="25"/>
        <v/>
      </c>
      <c r="R188" s="34" t="str">
        <f t="shared" si="26"/>
        <v/>
      </c>
      <c r="S188" s="70"/>
    </row>
    <row r="189" spans="1:19" x14ac:dyDescent="0.25">
      <c r="A189" s="34" t="str">
        <f t="shared" si="27"/>
        <v/>
      </c>
      <c r="B189" s="34" t="str">
        <f t="shared" si="28"/>
        <v/>
      </c>
      <c r="C189" s="34" t="str">
        <f t="shared" si="29"/>
        <v/>
      </c>
      <c r="D189" s="34" t="str">
        <f t="shared" si="30"/>
        <v/>
      </c>
      <c r="K189" s="34" t="str">
        <f t="shared" si="23"/>
        <v/>
      </c>
      <c r="L189" s="34" t="str">
        <f>IF(Data!$I188="","",Data!I188)</f>
        <v/>
      </c>
      <c r="M189" s="34" t="str">
        <f>IF(Data!$I188="","",IF(Data!L188=0,"dns",Data!L188))</f>
        <v/>
      </c>
      <c r="N189" s="34" t="str">
        <f>IF(Data!$I188="","","GP"&amp;Data!$B188)</f>
        <v/>
      </c>
      <c r="O189" s="34" t="str">
        <f t="shared" si="24"/>
        <v/>
      </c>
      <c r="P189" s="34" t="str">
        <f>IF($L189="","",Data!B188)</f>
        <v/>
      </c>
      <c r="Q189" s="34" t="str">
        <f t="shared" si="25"/>
        <v/>
      </c>
      <c r="R189" s="34" t="str">
        <f t="shared" si="26"/>
        <v/>
      </c>
      <c r="S189" s="70"/>
    </row>
    <row r="190" spans="1:19" x14ac:dyDescent="0.25">
      <c r="A190" s="34" t="str">
        <f t="shared" si="27"/>
        <v/>
      </c>
      <c r="B190" s="34" t="str">
        <f t="shared" si="28"/>
        <v/>
      </c>
      <c r="C190" s="34" t="str">
        <f t="shared" si="29"/>
        <v/>
      </c>
      <c r="D190" s="34" t="str">
        <f t="shared" si="30"/>
        <v/>
      </c>
      <c r="K190" s="34" t="str">
        <f t="shared" si="23"/>
        <v/>
      </c>
      <c r="L190" s="34" t="str">
        <f>IF(Data!$I189="","",Data!I189)</f>
        <v/>
      </c>
      <c r="M190" s="34" t="str">
        <f>IF(Data!$I189="","",IF(Data!L189=0,"dns",Data!L189))</f>
        <v/>
      </c>
      <c r="N190" s="34" t="str">
        <f>IF(Data!$I189="","","GP"&amp;Data!$B189)</f>
        <v/>
      </c>
      <c r="O190" s="34" t="str">
        <f t="shared" si="24"/>
        <v/>
      </c>
      <c r="P190" s="34" t="str">
        <f>IF($L190="","",Data!B189)</f>
        <v/>
      </c>
      <c r="Q190" s="34" t="str">
        <f t="shared" si="25"/>
        <v/>
      </c>
      <c r="R190" s="34" t="str">
        <f t="shared" si="26"/>
        <v/>
      </c>
      <c r="S190" s="70"/>
    </row>
    <row r="191" spans="1:19" x14ac:dyDescent="0.25">
      <c r="A191" s="34" t="str">
        <f t="shared" si="27"/>
        <v/>
      </c>
      <c r="B191" s="34" t="str">
        <f t="shared" si="28"/>
        <v/>
      </c>
      <c r="C191" s="34" t="str">
        <f t="shared" si="29"/>
        <v/>
      </c>
      <c r="D191" s="34" t="str">
        <f t="shared" si="30"/>
        <v/>
      </c>
      <c r="K191" s="34" t="str">
        <f t="shared" si="23"/>
        <v/>
      </c>
      <c r="L191" s="34" t="str">
        <f>IF(Data!$I190="","",Data!I190)</f>
        <v/>
      </c>
      <c r="M191" s="34" t="str">
        <f>IF(Data!$I190="","",IF(Data!L190=0,"dns",Data!L190))</f>
        <v/>
      </c>
      <c r="N191" s="34" t="str">
        <f>IF(Data!$I190="","","GP"&amp;Data!$B190)</f>
        <v/>
      </c>
      <c r="O191" s="34" t="str">
        <f t="shared" si="24"/>
        <v/>
      </c>
      <c r="P191" s="34" t="str">
        <f>IF($L191="","",Data!B190)</f>
        <v/>
      </c>
      <c r="Q191" s="34" t="str">
        <f t="shared" si="25"/>
        <v/>
      </c>
      <c r="R191" s="34" t="str">
        <f t="shared" si="26"/>
        <v/>
      </c>
      <c r="S191" s="70"/>
    </row>
    <row r="192" spans="1:19" x14ac:dyDescent="0.25">
      <c r="A192" s="34" t="str">
        <f t="shared" si="27"/>
        <v/>
      </c>
      <c r="B192" s="34" t="str">
        <f t="shared" si="28"/>
        <v/>
      </c>
      <c r="C192" s="34" t="str">
        <f t="shared" si="29"/>
        <v/>
      </c>
      <c r="D192" s="34" t="str">
        <f t="shared" si="30"/>
        <v/>
      </c>
      <c r="K192" s="34" t="str">
        <f t="shared" si="23"/>
        <v/>
      </c>
      <c r="L192" s="34" t="str">
        <f>IF(Data!$I191="","",Data!I191)</f>
        <v/>
      </c>
      <c r="M192" s="34" t="str">
        <f>IF(Data!$I191="","",IF(Data!L191=0,"dns",Data!L191))</f>
        <v/>
      </c>
      <c r="N192" s="34" t="str">
        <f>IF(Data!$I191="","","GP"&amp;Data!$B191)</f>
        <v/>
      </c>
      <c r="O192" s="34" t="str">
        <f t="shared" si="24"/>
        <v/>
      </c>
      <c r="P192" s="34" t="str">
        <f>IF($L192="","",Data!B191)</f>
        <v/>
      </c>
      <c r="Q192" s="34" t="str">
        <f t="shared" si="25"/>
        <v/>
      </c>
      <c r="R192" s="34" t="str">
        <f t="shared" si="26"/>
        <v/>
      </c>
      <c r="S192" s="70"/>
    </row>
    <row r="193" spans="1:19" x14ac:dyDescent="0.25">
      <c r="A193" s="34" t="str">
        <f t="shared" si="27"/>
        <v/>
      </c>
      <c r="B193" s="34" t="str">
        <f t="shared" si="28"/>
        <v/>
      </c>
      <c r="C193" s="34" t="str">
        <f t="shared" si="29"/>
        <v/>
      </c>
      <c r="D193" s="34" t="str">
        <f t="shared" si="30"/>
        <v/>
      </c>
      <c r="K193" s="34" t="str">
        <f t="shared" si="23"/>
        <v/>
      </c>
      <c r="L193" s="34" t="str">
        <f>IF(Data!$I192="","",Data!I192)</f>
        <v/>
      </c>
      <c r="M193" s="34" t="str">
        <f>IF(Data!$I192="","",IF(Data!L192=0,"dns",Data!L192))</f>
        <v/>
      </c>
      <c r="N193" s="34" t="str">
        <f>IF(Data!$I192="","","GP"&amp;Data!$B192)</f>
        <v/>
      </c>
      <c r="O193" s="34" t="str">
        <f t="shared" si="24"/>
        <v/>
      </c>
      <c r="P193" s="34" t="str">
        <f>IF($L193="","",Data!B192)</f>
        <v/>
      </c>
      <c r="Q193" s="34" t="str">
        <f t="shared" si="25"/>
        <v/>
      </c>
      <c r="R193" s="34" t="str">
        <f t="shared" si="26"/>
        <v/>
      </c>
      <c r="S193" s="70"/>
    </row>
    <row r="194" spans="1:19" x14ac:dyDescent="0.25">
      <c r="A194" s="34" t="str">
        <f t="shared" si="27"/>
        <v/>
      </c>
      <c r="B194" s="34" t="str">
        <f t="shared" si="28"/>
        <v/>
      </c>
      <c r="C194" s="34" t="str">
        <f t="shared" si="29"/>
        <v/>
      </c>
      <c r="D194" s="34" t="str">
        <f t="shared" si="30"/>
        <v/>
      </c>
      <c r="K194" s="34" t="str">
        <f t="shared" si="23"/>
        <v/>
      </c>
      <c r="L194" s="34" t="str">
        <f>IF(Data!$I193="","",Data!I193)</f>
        <v/>
      </c>
      <c r="M194" s="34" t="str">
        <f>IF(Data!$I193="","",IF(Data!L193=0,"dns",Data!L193))</f>
        <v/>
      </c>
      <c r="N194" s="34" t="str">
        <f>IF(Data!$I193="","","GP"&amp;Data!$B193)</f>
        <v/>
      </c>
      <c r="O194" s="34" t="str">
        <f t="shared" si="24"/>
        <v/>
      </c>
      <c r="P194" s="34" t="str">
        <f>IF($L194="","",Data!B193)</f>
        <v/>
      </c>
      <c r="Q194" s="34" t="str">
        <f t="shared" si="25"/>
        <v/>
      </c>
      <c r="R194" s="34" t="str">
        <f t="shared" si="26"/>
        <v/>
      </c>
      <c r="S194" s="70"/>
    </row>
    <row r="195" spans="1:19" x14ac:dyDescent="0.25">
      <c r="A195" s="34" t="str">
        <f t="shared" si="27"/>
        <v/>
      </c>
      <c r="B195" s="34" t="str">
        <f t="shared" si="28"/>
        <v/>
      </c>
      <c r="C195" s="34" t="str">
        <f t="shared" si="29"/>
        <v/>
      </c>
      <c r="D195" s="34" t="str">
        <f t="shared" si="30"/>
        <v/>
      </c>
      <c r="K195" s="34" t="str">
        <f t="shared" si="23"/>
        <v/>
      </c>
      <c r="L195" s="34" t="str">
        <f>IF(Data!$I194="","",Data!I194)</f>
        <v/>
      </c>
      <c r="M195" s="34" t="str">
        <f>IF(Data!$I194="","",IF(Data!L194=0,"dns",Data!L194))</f>
        <v/>
      </c>
      <c r="N195" s="34" t="str">
        <f>IF(Data!$I194="","","GP"&amp;Data!$B194)</f>
        <v/>
      </c>
      <c r="O195" s="34" t="str">
        <f t="shared" si="24"/>
        <v/>
      </c>
      <c r="P195" s="34" t="str">
        <f>IF($L195="","",Data!B194)</f>
        <v/>
      </c>
      <c r="Q195" s="34" t="str">
        <f t="shared" si="25"/>
        <v/>
      </c>
      <c r="R195" s="34" t="str">
        <f t="shared" si="26"/>
        <v/>
      </c>
      <c r="S195" s="70"/>
    </row>
    <row r="196" spans="1:19" x14ac:dyDescent="0.25">
      <c r="A196" s="34" t="str">
        <f t="shared" si="27"/>
        <v/>
      </c>
      <c r="B196" s="34" t="str">
        <f t="shared" si="28"/>
        <v/>
      </c>
      <c r="C196" s="34" t="str">
        <f t="shared" si="29"/>
        <v/>
      </c>
      <c r="D196" s="34" t="str">
        <f t="shared" si="30"/>
        <v/>
      </c>
      <c r="K196" s="34" t="str">
        <f t="shared" ref="K196:K259" si="31">IF($L196="","",_xlfn.RANK.EQ($R196,$R$3:$R$314,1))</f>
        <v/>
      </c>
      <c r="L196" s="34" t="str">
        <f>IF(Data!$I195="","",Data!I195)</f>
        <v/>
      </c>
      <c r="M196" s="34" t="str">
        <f>IF(Data!$I195="","",IF(Data!L195=0,"dns",Data!L195))</f>
        <v/>
      </c>
      <c r="N196" s="34" t="str">
        <f>IF(Data!$I195="","","GP"&amp;Data!$B195)</f>
        <v/>
      </c>
      <c r="O196" s="34" t="str">
        <f t="shared" ref="O196:O259" si="32">IF(L196="","",IFERROR(_xlfn.RANK.EQ($M196,$M$3:$M$314,0),COUNTA($L$3:$L$314)+1))</f>
        <v/>
      </c>
      <c r="P196" s="34" t="str">
        <f>IF($L196="","",Data!B195)</f>
        <v/>
      </c>
      <c r="Q196" s="34" t="str">
        <f t="shared" ref="Q196:Q259" si="33">IF($L196="","",ROW())</f>
        <v/>
      </c>
      <c r="R196" s="34" t="str">
        <f t="shared" ref="R196:R259" si="34">IF($L196="","",O196/1000+P196/100000+Q196/100000000)</f>
        <v/>
      </c>
      <c r="S196" s="70"/>
    </row>
    <row r="197" spans="1:19" x14ac:dyDescent="0.25">
      <c r="A197" s="34" t="str">
        <f t="shared" si="27"/>
        <v/>
      </c>
      <c r="B197" s="34" t="str">
        <f t="shared" si="28"/>
        <v/>
      </c>
      <c r="C197" s="34" t="str">
        <f t="shared" si="29"/>
        <v/>
      </c>
      <c r="D197" s="34" t="str">
        <f t="shared" si="30"/>
        <v/>
      </c>
      <c r="K197" s="34" t="str">
        <f t="shared" si="31"/>
        <v/>
      </c>
      <c r="L197" s="34" t="str">
        <f>IF(Data!$I196="","",Data!I196)</f>
        <v/>
      </c>
      <c r="M197" s="34" t="str">
        <f>IF(Data!$I196="","",IF(Data!L196=0,"dns",Data!L196))</f>
        <v/>
      </c>
      <c r="N197" s="34" t="str">
        <f>IF(Data!$I196="","","GP"&amp;Data!$B196)</f>
        <v/>
      </c>
      <c r="O197" s="34" t="str">
        <f t="shared" si="32"/>
        <v/>
      </c>
      <c r="P197" s="34" t="str">
        <f>IF($L197="","",Data!B196)</f>
        <v/>
      </c>
      <c r="Q197" s="34" t="str">
        <f t="shared" si="33"/>
        <v/>
      </c>
      <c r="R197" s="34" t="str">
        <f t="shared" si="34"/>
        <v/>
      </c>
      <c r="S197" s="70"/>
    </row>
    <row r="198" spans="1:19" x14ac:dyDescent="0.25">
      <c r="A198" s="34" t="str">
        <f t="shared" si="27"/>
        <v/>
      </c>
      <c r="B198" s="34" t="str">
        <f t="shared" si="28"/>
        <v/>
      </c>
      <c r="C198" s="34" t="str">
        <f t="shared" si="29"/>
        <v/>
      </c>
      <c r="D198" s="34" t="str">
        <f t="shared" si="30"/>
        <v/>
      </c>
      <c r="K198" s="34" t="str">
        <f t="shared" si="31"/>
        <v/>
      </c>
      <c r="L198" s="34" t="str">
        <f>IF(Data!$I197="","",Data!I197)</f>
        <v/>
      </c>
      <c r="M198" s="34" t="str">
        <f>IF(Data!$I197="","",IF(Data!L197=0,"dns",Data!L197))</f>
        <v/>
      </c>
      <c r="N198" s="34" t="str">
        <f>IF(Data!$I197="","","GP"&amp;Data!$B197)</f>
        <v/>
      </c>
      <c r="O198" s="34" t="str">
        <f t="shared" si="32"/>
        <v/>
      </c>
      <c r="P198" s="34" t="str">
        <f>IF($L198="","",Data!B197)</f>
        <v/>
      </c>
      <c r="Q198" s="34" t="str">
        <f t="shared" si="33"/>
        <v/>
      </c>
      <c r="R198" s="34" t="str">
        <f t="shared" si="34"/>
        <v/>
      </c>
      <c r="S198" s="70"/>
    </row>
    <row r="199" spans="1:19" x14ac:dyDescent="0.25">
      <c r="A199" s="34" t="str">
        <f t="shared" ref="A199:A262" si="35">IFERROR(IF(A198+1&gt;MAX($K$3:$K$316),"",A198+1),"")</f>
        <v/>
      </c>
      <c r="B199" s="34" t="str">
        <f t="shared" ref="B199:B262" si="36">IF($A199="","",VLOOKUP($A199,$K$3:$N$626,L$1,0))</f>
        <v/>
      </c>
      <c r="C199" s="34" t="str">
        <f t="shared" ref="C199:C262" si="37">IF($A199="","",VLOOKUP($A199,$K$3:$N$626,M$1,0))</f>
        <v/>
      </c>
      <c r="D199" s="34" t="str">
        <f t="shared" ref="D199:D262" si="38">IF($A199="","",VLOOKUP($A199,$K$3:$N$626,N$1,0))</f>
        <v/>
      </c>
      <c r="K199" s="34" t="str">
        <f t="shared" si="31"/>
        <v/>
      </c>
      <c r="L199" s="34" t="str">
        <f>IF(Data!$I198="","",Data!I198)</f>
        <v/>
      </c>
      <c r="M199" s="34" t="str">
        <f>IF(Data!$I198="","",IF(Data!L198=0,"dns",Data!L198))</f>
        <v/>
      </c>
      <c r="N199" s="34" t="str">
        <f>IF(Data!$I198="","","GP"&amp;Data!$B198)</f>
        <v/>
      </c>
      <c r="O199" s="34" t="str">
        <f t="shared" si="32"/>
        <v/>
      </c>
      <c r="P199" s="34" t="str">
        <f>IF($L199="","",Data!B198)</f>
        <v/>
      </c>
      <c r="Q199" s="34" t="str">
        <f t="shared" si="33"/>
        <v/>
      </c>
      <c r="R199" s="34" t="str">
        <f t="shared" si="34"/>
        <v/>
      </c>
      <c r="S199" s="70"/>
    </row>
    <row r="200" spans="1:19" x14ac:dyDescent="0.25">
      <c r="A200" s="34" t="str">
        <f t="shared" si="35"/>
        <v/>
      </c>
      <c r="B200" s="34" t="str">
        <f t="shared" si="36"/>
        <v/>
      </c>
      <c r="C200" s="34" t="str">
        <f t="shared" si="37"/>
        <v/>
      </c>
      <c r="D200" s="34" t="str">
        <f t="shared" si="38"/>
        <v/>
      </c>
      <c r="K200" s="34" t="str">
        <f t="shared" si="31"/>
        <v/>
      </c>
      <c r="L200" s="34" t="str">
        <f>IF(Data!$I199="","",Data!I199)</f>
        <v/>
      </c>
      <c r="M200" s="34" t="str">
        <f>IF(Data!$I199="","",IF(Data!L199=0,"dns",Data!L199))</f>
        <v/>
      </c>
      <c r="N200" s="34" t="str">
        <f>IF(Data!$I199="","","GP"&amp;Data!$B199)</f>
        <v/>
      </c>
      <c r="O200" s="34" t="str">
        <f t="shared" si="32"/>
        <v/>
      </c>
      <c r="P200" s="34" t="str">
        <f>IF($L200="","",Data!B199)</f>
        <v/>
      </c>
      <c r="Q200" s="34" t="str">
        <f t="shared" si="33"/>
        <v/>
      </c>
      <c r="R200" s="34" t="str">
        <f t="shared" si="34"/>
        <v/>
      </c>
      <c r="S200" s="70"/>
    </row>
    <row r="201" spans="1:19" x14ac:dyDescent="0.25">
      <c r="A201" s="34" t="str">
        <f t="shared" si="35"/>
        <v/>
      </c>
      <c r="B201" s="34" t="str">
        <f t="shared" si="36"/>
        <v/>
      </c>
      <c r="C201" s="34" t="str">
        <f t="shared" si="37"/>
        <v/>
      </c>
      <c r="D201" s="34" t="str">
        <f t="shared" si="38"/>
        <v/>
      </c>
      <c r="K201" s="34" t="str">
        <f t="shared" si="31"/>
        <v/>
      </c>
      <c r="L201" s="34" t="str">
        <f>IF(Data!$I200="","",Data!I200)</f>
        <v/>
      </c>
      <c r="M201" s="34" t="str">
        <f>IF(Data!$I200="","",IF(Data!L200=0,"dns",Data!L200))</f>
        <v/>
      </c>
      <c r="N201" s="34" t="str">
        <f>IF(Data!$I200="","","GP"&amp;Data!$B200)</f>
        <v/>
      </c>
      <c r="O201" s="34" t="str">
        <f t="shared" si="32"/>
        <v/>
      </c>
      <c r="P201" s="34" t="str">
        <f>IF($L201="","",Data!B200)</f>
        <v/>
      </c>
      <c r="Q201" s="34" t="str">
        <f t="shared" si="33"/>
        <v/>
      </c>
      <c r="R201" s="34" t="str">
        <f t="shared" si="34"/>
        <v/>
      </c>
      <c r="S201" s="70"/>
    </row>
    <row r="202" spans="1:19" x14ac:dyDescent="0.25">
      <c r="A202" s="34" t="str">
        <f t="shared" si="35"/>
        <v/>
      </c>
      <c r="B202" s="34" t="str">
        <f t="shared" si="36"/>
        <v/>
      </c>
      <c r="C202" s="34" t="str">
        <f t="shared" si="37"/>
        <v/>
      </c>
      <c r="D202" s="34" t="str">
        <f t="shared" si="38"/>
        <v/>
      </c>
      <c r="K202" s="34" t="str">
        <f t="shared" si="31"/>
        <v/>
      </c>
      <c r="L202" s="34" t="str">
        <f>IF(Data!$I201="","",Data!I201)</f>
        <v/>
      </c>
      <c r="M202" s="34" t="str">
        <f>IF(Data!$I201="","",IF(Data!L201=0,"dns",Data!L201))</f>
        <v/>
      </c>
      <c r="N202" s="34" t="str">
        <f>IF(Data!$I201="","","GP"&amp;Data!$B201)</f>
        <v/>
      </c>
      <c r="O202" s="34" t="str">
        <f t="shared" si="32"/>
        <v/>
      </c>
      <c r="P202" s="34" t="str">
        <f>IF($L202="","",Data!B201)</f>
        <v/>
      </c>
      <c r="Q202" s="34" t="str">
        <f t="shared" si="33"/>
        <v/>
      </c>
      <c r="R202" s="34" t="str">
        <f t="shared" si="34"/>
        <v/>
      </c>
      <c r="S202" s="70"/>
    </row>
    <row r="203" spans="1:19" x14ac:dyDescent="0.25">
      <c r="A203" s="34" t="str">
        <f t="shared" si="35"/>
        <v/>
      </c>
      <c r="B203" s="34" t="str">
        <f t="shared" si="36"/>
        <v/>
      </c>
      <c r="C203" s="34" t="str">
        <f t="shared" si="37"/>
        <v/>
      </c>
      <c r="D203" s="34" t="str">
        <f t="shared" si="38"/>
        <v/>
      </c>
      <c r="K203" s="34" t="str">
        <f t="shared" si="31"/>
        <v/>
      </c>
      <c r="L203" s="34" t="str">
        <f>IF(Data!$I202="","",Data!I202)</f>
        <v/>
      </c>
      <c r="M203" s="34" t="str">
        <f>IF(Data!$I202="","",IF(Data!L202=0,"dns",Data!L202))</f>
        <v/>
      </c>
      <c r="N203" s="34" t="str">
        <f>IF(Data!$I202="","","GP"&amp;Data!$B202)</f>
        <v/>
      </c>
      <c r="O203" s="34" t="str">
        <f t="shared" si="32"/>
        <v/>
      </c>
      <c r="P203" s="34" t="str">
        <f>IF($L203="","",Data!B202)</f>
        <v/>
      </c>
      <c r="Q203" s="34" t="str">
        <f t="shared" si="33"/>
        <v/>
      </c>
      <c r="R203" s="34" t="str">
        <f t="shared" si="34"/>
        <v/>
      </c>
      <c r="S203" s="70"/>
    </row>
    <row r="204" spans="1:19" x14ac:dyDescent="0.25">
      <c r="A204" s="34" t="str">
        <f t="shared" si="35"/>
        <v/>
      </c>
      <c r="B204" s="34" t="str">
        <f t="shared" si="36"/>
        <v/>
      </c>
      <c r="C204" s="34" t="str">
        <f t="shared" si="37"/>
        <v/>
      </c>
      <c r="D204" s="34" t="str">
        <f t="shared" si="38"/>
        <v/>
      </c>
      <c r="K204" s="34" t="str">
        <f t="shared" si="31"/>
        <v/>
      </c>
      <c r="L204" s="34" t="str">
        <f>IF(Data!$I203="","",Data!I203)</f>
        <v/>
      </c>
      <c r="M204" s="34" t="str">
        <f>IF(Data!$I203="","",IF(Data!L203=0,"dns",Data!L203))</f>
        <v/>
      </c>
      <c r="N204" s="34" t="str">
        <f>IF(Data!$I203="","","GP"&amp;Data!$B203)</f>
        <v/>
      </c>
      <c r="O204" s="34" t="str">
        <f t="shared" si="32"/>
        <v/>
      </c>
      <c r="P204" s="34" t="str">
        <f>IF($L204="","",Data!B203)</f>
        <v/>
      </c>
      <c r="Q204" s="34" t="str">
        <f t="shared" si="33"/>
        <v/>
      </c>
      <c r="R204" s="34" t="str">
        <f t="shared" si="34"/>
        <v/>
      </c>
      <c r="S204" s="70"/>
    </row>
    <row r="205" spans="1:19" x14ac:dyDescent="0.25">
      <c r="A205" s="34" t="str">
        <f t="shared" si="35"/>
        <v/>
      </c>
      <c r="B205" s="34" t="str">
        <f t="shared" si="36"/>
        <v/>
      </c>
      <c r="C205" s="34" t="str">
        <f t="shared" si="37"/>
        <v/>
      </c>
      <c r="D205" s="34" t="str">
        <f t="shared" si="38"/>
        <v/>
      </c>
      <c r="K205" s="34" t="str">
        <f t="shared" si="31"/>
        <v/>
      </c>
      <c r="L205" s="34" t="str">
        <f>IF(Data!$I204="","",Data!I204)</f>
        <v/>
      </c>
      <c r="M205" s="34" t="str">
        <f>IF(Data!$I204="","",IF(Data!L204=0,"dns",Data!L204))</f>
        <v/>
      </c>
      <c r="N205" s="34" t="str">
        <f>IF(Data!$I204="","","GP"&amp;Data!$B204)</f>
        <v/>
      </c>
      <c r="O205" s="34" t="str">
        <f t="shared" si="32"/>
        <v/>
      </c>
      <c r="P205" s="34" t="str">
        <f>IF($L205="","",Data!B204)</f>
        <v/>
      </c>
      <c r="Q205" s="34" t="str">
        <f t="shared" si="33"/>
        <v/>
      </c>
      <c r="R205" s="34" t="str">
        <f t="shared" si="34"/>
        <v/>
      </c>
      <c r="S205" s="70"/>
    </row>
    <row r="206" spans="1:19" x14ac:dyDescent="0.25">
      <c r="A206" s="34" t="str">
        <f t="shared" si="35"/>
        <v/>
      </c>
      <c r="B206" s="34" t="str">
        <f t="shared" si="36"/>
        <v/>
      </c>
      <c r="C206" s="34" t="str">
        <f t="shared" si="37"/>
        <v/>
      </c>
      <c r="D206" s="34" t="str">
        <f t="shared" si="38"/>
        <v/>
      </c>
      <c r="K206" s="34" t="str">
        <f t="shared" si="31"/>
        <v/>
      </c>
      <c r="L206" s="34" t="str">
        <f>IF(Data!$I205="","",Data!I205)</f>
        <v/>
      </c>
      <c r="M206" s="34" t="str">
        <f>IF(Data!$I205="","",IF(Data!L205=0,"dns",Data!L205))</f>
        <v/>
      </c>
      <c r="N206" s="34" t="str">
        <f>IF(Data!$I205="","","GP"&amp;Data!$B205)</f>
        <v/>
      </c>
      <c r="O206" s="34" t="str">
        <f t="shared" si="32"/>
        <v/>
      </c>
      <c r="P206" s="34" t="str">
        <f>IF($L206="","",Data!B205)</f>
        <v/>
      </c>
      <c r="Q206" s="34" t="str">
        <f t="shared" si="33"/>
        <v/>
      </c>
      <c r="R206" s="34" t="str">
        <f t="shared" si="34"/>
        <v/>
      </c>
      <c r="S206" s="70"/>
    </row>
    <row r="207" spans="1:19" x14ac:dyDescent="0.25">
      <c r="A207" s="34" t="str">
        <f t="shared" si="35"/>
        <v/>
      </c>
      <c r="B207" s="34" t="str">
        <f t="shared" si="36"/>
        <v/>
      </c>
      <c r="C207" s="34" t="str">
        <f t="shared" si="37"/>
        <v/>
      </c>
      <c r="D207" s="34" t="str">
        <f t="shared" si="38"/>
        <v/>
      </c>
      <c r="K207" s="34" t="str">
        <f t="shared" si="31"/>
        <v/>
      </c>
      <c r="L207" s="34" t="str">
        <f>IF(Data!$I206="","",Data!I206)</f>
        <v/>
      </c>
      <c r="M207" s="34" t="str">
        <f>IF(Data!$I206="","",IF(Data!L206=0,"dns",Data!L206))</f>
        <v/>
      </c>
      <c r="N207" s="34" t="str">
        <f>IF(Data!$I206="","","GP"&amp;Data!$B206)</f>
        <v/>
      </c>
      <c r="O207" s="34" t="str">
        <f t="shared" si="32"/>
        <v/>
      </c>
      <c r="P207" s="34" t="str">
        <f>IF($L207="","",Data!B206)</f>
        <v/>
      </c>
      <c r="Q207" s="34" t="str">
        <f t="shared" si="33"/>
        <v/>
      </c>
      <c r="R207" s="34" t="str">
        <f t="shared" si="34"/>
        <v/>
      </c>
      <c r="S207" s="70"/>
    </row>
    <row r="208" spans="1:19" x14ac:dyDescent="0.25">
      <c r="A208" s="34" t="str">
        <f t="shared" si="35"/>
        <v/>
      </c>
      <c r="B208" s="34" t="str">
        <f t="shared" si="36"/>
        <v/>
      </c>
      <c r="C208" s="34" t="str">
        <f t="shared" si="37"/>
        <v/>
      </c>
      <c r="D208" s="34" t="str">
        <f t="shared" si="38"/>
        <v/>
      </c>
      <c r="K208" s="34" t="str">
        <f t="shared" si="31"/>
        <v/>
      </c>
      <c r="L208" s="34" t="str">
        <f>IF(Data!$I207="","",Data!I207)</f>
        <v/>
      </c>
      <c r="M208" s="34" t="str">
        <f>IF(Data!$I207="","",IF(Data!L207=0,"dns",Data!L207))</f>
        <v/>
      </c>
      <c r="N208" s="34" t="str">
        <f>IF(Data!$I207="","","GP"&amp;Data!$B207)</f>
        <v/>
      </c>
      <c r="O208" s="34" t="str">
        <f t="shared" si="32"/>
        <v/>
      </c>
      <c r="P208" s="34" t="str">
        <f>IF($L208="","",Data!B207)</f>
        <v/>
      </c>
      <c r="Q208" s="34" t="str">
        <f t="shared" si="33"/>
        <v/>
      </c>
      <c r="R208" s="34" t="str">
        <f t="shared" si="34"/>
        <v/>
      </c>
      <c r="S208" s="70"/>
    </row>
    <row r="209" spans="1:19" x14ac:dyDescent="0.25">
      <c r="A209" s="34" t="str">
        <f t="shared" si="35"/>
        <v/>
      </c>
      <c r="B209" s="34" t="str">
        <f t="shared" si="36"/>
        <v/>
      </c>
      <c r="C209" s="34" t="str">
        <f t="shared" si="37"/>
        <v/>
      </c>
      <c r="D209" s="34" t="str">
        <f t="shared" si="38"/>
        <v/>
      </c>
      <c r="K209" s="34" t="str">
        <f t="shared" si="31"/>
        <v/>
      </c>
      <c r="L209" s="34" t="str">
        <f>IF(Data!$I208="","",Data!I208)</f>
        <v/>
      </c>
      <c r="M209" s="34" t="str">
        <f>IF(Data!$I208="","",IF(Data!L208=0,"dns",Data!L208))</f>
        <v/>
      </c>
      <c r="N209" s="34" t="str">
        <f>IF(Data!$I208="","","GP"&amp;Data!$B208)</f>
        <v/>
      </c>
      <c r="O209" s="34" t="str">
        <f t="shared" si="32"/>
        <v/>
      </c>
      <c r="P209" s="34" t="str">
        <f>IF($L209="","",Data!B208)</f>
        <v/>
      </c>
      <c r="Q209" s="34" t="str">
        <f t="shared" si="33"/>
        <v/>
      </c>
      <c r="R209" s="34" t="str">
        <f t="shared" si="34"/>
        <v/>
      </c>
      <c r="S209" s="70"/>
    </row>
    <row r="210" spans="1:19" x14ac:dyDescent="0.25">
      <c r="A210" s="34" t="str">
        <f t="shared" si="35"/>
        <v/>
      </c>
      <c r="B210" s="34" t="str">
        <f t="shared" si="36"/>
        <v/>
      </c>
      <c r="C210" s="34" t="str">
        <f t="shared" si="37"/>
        <v/>
      </c>
      <c r="D210" s="34" t="str">
        <f t="shared" si="38"/>
        <v/>
      </c>
      <c r="K210" s="34" t="str">
        <f t="shared" si="31"/>
        <v/>
      </c>
      <c r="L210" s="34" t="str">
        <f>IF(Data!$I209="","",Data!I209)</f>
        <v/>
      </c>
      <c r="M210" s="34" t="str">
        <f>IF(Data!$I209="","",IF(Data!L209=0,"dns",Data!L209))</f>
        <v/>
      </c>
      <c r="N210" s="34" t="str">
        <f>IF(Data!$I209="","","GP"&amp;Data!$B209)</f>
        <v/>
      </c>
      <c r="O210" s="34" t="str">
        <f t="shared" si="32"/>
        <v/>
      </c>
      <c r="P210" s="34" t="str">
        <f>IF($L210="","",Data!B209)</f>
        <v/>
      </c>
      <c r="Q210" s="34" t="str">
        <f t="shared" si="33"/>
        <v/>
      </c>
      <c r="R210" s="34" t="str">
        <f t="shared" si="34"/>
        <v/>
      </c>
      <c r="S210" s="70"/>
    </row>
    <row r="211" spans="1:19" x14ac:dyDescent="0.25">
      <c r="A211" s="34" t="str">
        <f t="shared" si="35"/>
        <v/>
      </c>
      <c r="B211" s="34" t="str">
        <f t="shared" si="36"/>
        <v/>
      </c>
      <c r="C211" s="34" t="str">
        <f t="shared" si="37"/>
        <v/>
      </c>
      <c r="D211" s="34" t="str">
        <f t="shared" si="38"/>
        <v/>
      </c>
      <c r="K211" s="34" t="str">
        <f t="shared" si="31"/>
        <v/>
      </c>
      <c r="L211" s="34" t="str">
        <f>IF(Data!$I210="","",Data!I210)</f>
        <v/>
      </c>
      <c r="M211" s="34" t="str">
        <f>IF(Data!$I210="","",IF(Data!L210=0,"dns",Data!L210))</f>
        <v/>
      </c>
      <c r="N211" s="34" t="str">
        <f>IF(Data!$I210="","","GP"&amp;Data!$B210)</f>
        <v/>
      </c>
      <c r="O211" s="34" t="str">
        <f t="shared" si="32"/>
        <v/>
      </c>
      <c r="P211" s="34" t="str">
        <f>IF($L211="","",Data!B210)</f>
        <v/>
      </c>
      <c r="Q211" s="34" t="str">
        <f t="shared" si="33"/>
        <v/>
      </c>
      <c r="R211" s="34" t="str">
        <f t="shared" si="34"/>
        <v/>
      </c>
      <c r="S211" s="70"/>
    </row>
    <row r="212" spans="1:19" x14ac:dyDescent="0.25">
      <c r="A212" s="34" t="str">
        <f t="shared" si="35"/>
        <v/>
      </c>
      <c r="B212" s="34" t="str">
        <f t="shared" si="36"/>
        <v/>
      </c>
      <c r="C212" s="34" t="str">
        <f t="shared" si="37"/>
        <v/>
      </c>
      <c r="D212" s="34" t="str">
        <f t="shared" si="38"/>
        <v/>
      </c>
      <c r="K212" s="34" t="str">
        <f t="shared" si="31"/>
        <v/>
      </c>
      <c r="L212" s="34" t="str">
        <f>IF(Data!$I211="","",Data!I211)</f>
        <v/>
      </c>
      <c r="M212" s="34" t="str">
        <f>IF(Data!$I211="","",IF(Data!L211=0,"dns",Data!L211))</f>
        <v/>
      </c>
      <c r="N212" s="34" t="str">
        <f>IF(Data!$I211="","","GP"&amp;Data!$B211)</f>
        <v/>
      </c>
      <c r="O212" s="34" t="str">
        <f t="shared" si="32"/>
        <v/>
      </c>
      <c r="P212" s="34" t="str">
        <f>IF($L212="","",Data!B211)</f>
        <v/>
      </c>
      <c r="Q212" s="34" t="str">
        <f t="shared" si="33"/>
        <v/>
      </c>
      <c r="R212" s="34" t="str">
        <f t="shared" si="34"/>
        <v/>
      </c>
      <c r="S212" s="70"/>
    </row>
    <row r="213" spans="1:19" x14ac:dyDescent="0.25">
      <c r="A213" s="34" t="str">
        <f t="shared" si="35"/>
        <v/>
      </c>
      <c r="B213" s="34" t="str">
        <f t="shared" si="36"/>
        <v/>
      </c>
      <c r="C213" s="34" t="str">
        <f t="shared" si="37"/>
        <v/>
      </c>
      <c r="D213" s="34" t="str">
        <f t="shared" si="38"/>
        <v/>
      </c>
      <c r="K213" s="34" t="str">
        <f t="shared" si="31"/>
        <v/>
      </c>
      <c r="L213" s="34" t="str">
        <f>IF(Data!$I212="","",Data!I212)</f>
        <v/>
      </c>
      <c r="M213" s="34" t="str">
        <f>IF(Data!$I212="","",IF(Data!L212=0,"dns",Data!L212))</f>
        <v/>
      </c>
      <c r="N213" s="34" t="str">
        <f>IF(Data!$I212="","","GP"&amp;Data!$B212)</f>
        <v/>
      </c>
      <c r="O213" s="34" t="str">
        <f t="shared" si="32"/>
        <v/>
      </c>
      <c r="P213" s="34" t="str">
        <f>IF($L213="","",Data!B212)</f>
        <v/>
      </c>
      <c r="Q213" s="34" t="str">
        <f t="shared" si="33"/>
        <v/>
      </c>
      <c r="R213" s="34" t="str">
        <f t="shared" si="34"/>
        <v/>
      </c>
      <c r="S213" s="70"/>
    </row>
    <row r="214" spans="1:19" x14ac:dyDescent="0.25">
      <c r="A214" s="34" t="str">
        <f t="shared" si="35"/>
        <v/>
      </c>
      <c r="B214" s="34" t="str">
        <f t="shared" si="36"/>
        <v/>
      </c>
      <c r="C214" s="34" t="str">
        <f t="shared" si="37"/>
        <v/>
      </c>
      <c r="D214" s="34" t="str">
        <f t="shared" si="38"/>
        <v/>
      </c>
      <c r="K214" s="34" t="str">
        <f t="shared" si="31"/>
        <v/>
      </c>
      <c r="L214" s="34" t="str">
        <f>IF(Data!$I213="","",Data!I213)</f>
        <v/>
      </c>
      <c r="M214" s="34" t="str">
        <f>IF(Data!$I213="","",IF(Data!L213=0,"dns",Data!L213))</f>
        <v/>
      </c>
      <c r="N214" s="34" t="str">
        <f>IF(Data!$I213="","","GP"&amp;Data!$B213)</f>
        <v/>
      </c>
      <c r="O214" s="34" t="str">
        <f t="shared" si="32"/>
        <v/>
      </c>
      <c r="P214" s="34" t="str">
        <f>IF($L214="","",Data!B213)</f>
        <v/>
      </c>
      <c r="Q214" s="34" t="str">
        <f t="shared" si="33"/>
        <v/>
      </c>
      <c r="R214" s="34" t="str">
        <f t="shared" si="34"/>
        <v/>
      </c>
      <c r="S214" s="70"/>
    </row>
    <row r="215" spans="1:19" x14ac:dyDescent="0.25">
      <c r="A215" s="34" t="str">
        <f t="shared" si="35"/>
        <v/>
      </c>
      <c r="B215" s="34" t="str">
        <f t="shared" si="36"/>
        <v/>
      </c>
      <c r="C215" s="34" t="str">
        <f t="shared" si="37"/>
        <v/>
      </c>
      <c r="D215" s="34" t="str">
        <f t="shared" si="38"/>
        <v/>
      </c>
      <c r="K215" s="34" t="str">
        <f t="shared" si="31"/>
        <v/>
      </c>
      <c r="L215" s="34" t="str">
        <f>IF(Data!$I214="","",Data!I214)</f>
        <v/>
      </c>
      <c r="M215" s="34" t="str">
        <f>IF(Data!$I214="","",IF(Data!L214=0,"dns",Data!L214))</f>
        <v/>
      </c>
      <c r="N215" s="34" t="str">
        <f>IF(Data!$I214="","","GP"&amp;Data!$B214)</f>
        <v/>
      </c>
      <c r="O215" s="34" t="str">
        <f t="shared" si="32"/>
        <v/>
      </c>
      <c r="P215" s="34" t="str">
        <f>IF($L215="","",Data!B214)</f>
        <v/>
      </c>
      <c r="Q215" s="34" t="str">
        <f t="shared" si="33"/>
        <v/>
      </c>
      <c r="R215" s="34" t="str">
        <f t="shared" si="34"/>
        <v/>
      </c>
      <c r="S215" s="70"/>
    </row>
    <row r="216" spans="1:19" x14ac:dyDescent="0.25">
      <c r="A216" s="34" t="str">
        <f t="shared" si="35"/>
        <v/>
      </c>
      <c r="B216" s="34" t="str">
        <f t="shared" si="36"/>
        <v/>
      </c>
      <c r="C216" s="34" t="str">
        <f t="shared" si="37"/>
        <v/>
      </c>
      <c r="D216" s="34" t="str">
        <f t="shared" si="38"/>
        <v/>
      </c>
      <c r="K216" s="34" t="str">
        <f t="shared" si="31"/>
        <v/>
      </c>
      <c r="L216" s="34" t="str">
        <f>IF(Data!$I215="","",Data!I215)</f>
        <v/>
      </c>
      <c r="M216" s="34" t="str">
        <f>IF(Data!$I215="","",IF(Data!L215=0,"dns",Data!L215))</f>
        <v/>
      </c>
      <c r="N216" s="34" t="str">
        <f>IF(Data!$I215="","","GP"&amp;Data!$B215)</f>
        <v/>
      </c>
      <c r="O216" s="34" t="str">
        <f t="shared" si="32"/>
        <v/>
      </c>
      <c r="P216" s="34" t="str">
        <f>IF($L216="","",Data!B215)</f>
        <v/>
      </c>
      <c r="Q216" s="34" t="str">
        <f t="shared" si="33"/>
        <v/>
      </c>
      <c r="R216" s="34" t="str">
        <f t="shared" si="34"/>
        <v/>
      </c>
      <c r="S216" s="70"/>
    </row>
    <row r="217" spans="1:19" x14ac:dyDescent="0.25">
      <c r="A217" s="34" t="str">
        <f t="shared" si="35"/>
        <v/>
      </c>
      <c r="B217" s="34" t="str">
        <f t="shared" si="36"/>
        <v/>
      </c>
      <c r="C217" s="34" t="str">
        <f t="shared" si="37"/>
        <v/>
      </c>
      <c r="D217" s="34" t="str">
        <f t="shared" si="38"/>
        <v/>
      </c>
      <c r="K217" s="34" t="str">
        <f t="shared" si="31"/>
        <v/>
      </c>
      <c r="L217" s="34" t="str">
        <f>IF(Data!$I216="","",Data!I216)</f>
        <v/>
      </c>
      <c r="M217" s="34" t="str">
        <f>IF(Data!$I216="","",IF(Data!L216=0,"dns",Data!L216))</f>
        <v/>
      </c>
      <c r="N217" s="34" t="str">
        <f>IF(Data!$I216="","","GP"&amp;Data!$B216)</f>
        <v/>
      </c>
      <c r="O217" s="34" t="str">
        <f t="shared" si="32"/>
        <v/>
      </c>
      <c r="P217" s="34" t="str">
        <f>IF($L217="","",Data!B216)</f>
        <v/>
      </c>
      <c r="Q217" s="34" t="str">
        <f t="shared" si="33"/>
        <v/>
      </c>
      <c r="R217" s="34" t="str">
        <f t="shared" si="34"/>
        <v/>
      </c>
      <c r="S217" s="70"/>
    </row>
    <row r="218" spans="1:19" x14ac:dyDescent="0.25">
      <c r="A218" s="34" t="str">
        <f t="shared" si="35"/>
        <v/>
      </c>
      <c r="B218" s="34" t="str">
        <f t="shared" si="36"/>
        <v/>
      </c>
      <c r="C218" s="34" t="str">
        <f t="shared" si="37"/>
        <v/>
      </c>
      <c r="D218" s="34" t="str">
        <f t="shared" si="38"/>
        <v/>
      </c>
      <c r="K218" s="34" t="str">
        <f t="shared" si="31"/>
        <v/>
      </c>
      <c r="L218" s="34" t="str">
        <f>IF(Data!$I217="","",Data!I217)</f>
        <v/>
      </c>
      <c r="M218" s="34" t="str">
        <f>IF(Data!$I217="","",IF(Data!L217=0,"dns",Data!L217))</f>
        <v/>
      </c>
      <c r="N218" s="34" t="str">
        <f>IF(Data!$I217="","","GP"&amp;Data!$B217)</f>
        <v/>
      </c>
      <c r="O218" s="34" t="str">
        <f t="shared" si="32"/>
        <v/>
      </c>
      <c r="P218" s="34" t="str">
        <f>IF($L218="","",Data!B217)</f>
        <v/>
      </c>
      <c r="Q218" s="34" t="str">
        <f t="shared" si="33"/>
        <v/>
      </c>
      <c r="R218" s="34" t="str">
        <f t="shared" si="34"/>
        <v/>
      </c>
      <c r="S218" s="70"/>
    </row>
    <row r="219" spans="1:19" x14ac:dyDescent="0.25">
      <c r="A219" s="34" t="str">
        <f t="shared" si="35"/>
        <v/>
      </c>
      <c r="B219" s="34" t="str">
        <f t="shared" si="36"/>
        <v/>
      </c>
      <c r="C219" s="34" t="str">
        <f t="shared" si="37"/>
        <v/>
      </c>
      <c r="D219" s="34" t="str">
        <f t="shared" si="38"/>
        <v/>
      </c>
      <c r="K219" s="34" t="str">
        <f t="shared" si="31"/>
        <v/>
      </c>
      <c r="L219" s="34" t="str">
        <f>IF(Data!$I218="","",Data!I218)</f>
        <v/>
      </c>
      <c r="M219" s="34" t="str">
        <f>IF(Data!$I218="","",IF(Data!L218=0,"dns",Data!L218))</f>
        <v/>
      </c>
      <c r="N219" s="34" t="str">
        <f>IF(Data!$I218="","","GP"&amp;Data!$B218)</f>
        <v/>
      </c>
      <c r="O219" s="34" t="str">
        <f t="shared" si="32"/>
        <v/>
      </c>
      <c r="P219" s="34" t="str">
        <f>IF($L219="","",Data!B218)</f>
        <v/>
      </c>
      <c r="Q219" s="34" t="str">
        <f t="shared" si="33"/>
        <v/>
      </c>
      <c r="R219" s="34" t="str">
        <f t="shared" si="34"/>
        <v/>
      </c>
      <c r="S219" s="70"/>
    </row>
    <row r="220" spans="1:19" x14ac:dyDescent="0.25">
      <c r="A220" s="34" t="str">
        <f t="shared" si="35"/>
        <v/>
      </c>
      <c r="B220" s="34" t="str">
        <f t="shared" si="36"/>
        <v/>
      </c>
      <c r="C220" s="34" t="str">
        <f t="shared" si="37"/>
        <v/>
      </c>
      <c r="D220" s="34" t="str">
        <f t="shared" si="38"/>
        <v/>
      </c>
      <c r="K220" s="34" t="str">
        <f t="shared" si="31"/>
        <v/>
      </c>
      <c r="L220" s="34" t="str">
        <f>IF(Data!$I219="","",Data!I219)</f>
        <v/>
      </c>
      <c r="M220" s="34" t="str">
        <f>IF(Data!$I219="","",IF(Data!L219=0,"dns",Data!L219))</f>
        <v/>
      </c>
      <c r="N220" s="34" t="str">
        <f>IF(Data!$I219="","","GP"&amp;Data!$B219)</f>
        <v/>
      </c>
      <c r="O220" s="34" t="str">
        <f t="shared" si="32"/>
        <v/>
      </c>
      <c r="P220" s="34" t="str">
        <f>IF($L220="","",Data!B219)</f>
        <v/>
      </c>
      <c r="Q220" s="34" t="str">
        <f t="shared" si="33"/>
        <v/>
      </c>
      <c r="R220" s="34" t="str">
        <f t="shared" si="34"/>
        <v/>
      </c>
      <c r="S220" s="70"/>
    </row>
    <row r="221" spans="1:19" x14ac:dyDescent="0.25">
      <c r="A221" s="34" t="str">
        <f t="shared" si="35"/>
        <v/>
      </c>
      <c r="B221" s="34" t="str">
        <f t="shared" si="36"/>
        <v/>
      </c>
      <c r="C221" s="34" t="str">
        <f t="shared" si="37"/>
        <v/>
      </c>
      <c r="D221" s="34" t="str">
        <f t="shared" si="38"/>
        <v/>
      </c>
      <c r="K221" s="34" t="str">
        <f t="shared" si="31"/>
        <v/>
      </c>
      <c r="L221" s="34" t="str">
        <f>IF(Data!$I220="","",Data!I220)</f>
        <v/>
      </c>
      <c r="M221" s="34" t="str">
        <f>IF(Data!$I220="","",IF(Data!L220=0,"dns",Data!L220))</f>
        <v/>
      </c>
      <c r="N221" s="34" t="str">
        <f>IF(Data!$I220="","","GP"&amp;Data!$B220)</f>
        <v/>
      </c>
      <c r="O221" s="34" t="str">
        <f t="shared" si="32"/>
        <v/>
      </c>
      <c r="P221" s="34" t="str">
        <f>IF($L221="","",Data!B220)</f>
        <v/>
      </c>
      <c r="Q221" s="34" t="str">
        <f t="shared" si="33"/>
        <v/>
      </c>
      <c r="R221" s="34" t="str">
        <f t="shared" si="34"/>
        <v/>
      </c>
      <c r="S221" s="70"/>
    </row>
    <row r="222" spans="1:19" x14ac:dyDescent="0.25">
      <c r="A222" s="34" t="str">
        <f t="shared" si="35"/>
        <v/>
      </c>
      <c r="B222" s="34" t="str">
        <f t="shared" si="36"/>
        <v/>
      </c>
      <c r="C222" s="34" t="str">
        <f t="shared" si="37"/>
        <v/>
      </c>
      <c r="D222" s="34" t="str">
        <f t="shared" si="38"/>
        <v/>
      </c>
      <c r="K222" s="34" t="str">
        <f t="shared" si="31"/>
        <v/>
      </c>
      <c r="L222" s="34" t="str">
        <f>IF(Data!$I221="","",Data!I221)</f>
        <v/>
      </c>
      <c r="M222" s="34" t="str">
        <f>IF(Data!$I221="","",IF(Data!L221=0,"dns",Data!L221))</f>
        <v/>
      </c>
      <c r="N222" s="34" t="str">
        <f>IF(Data!$I221="","","GP"&amp;Data!$B221)</f>
        <v/>
      </c>
      <c r="O222" s="34" t="str">
        <f t="shared" si="32"/>
        <v/>
      </c>
      <c r="P222" s="34" t="str">
        <f>IF($L222="","",Data!B221)</f>
        <v/>
      </c>
      <c r="Q222" s="34" t="str">
        <f t="shared" si="33"/>
        <v/>
      </c>
      <c r="R222" s="34" t="str">
        <f t="shared" si="34"/>
        <v/>
      </c>
      <c r="S222" s="70"/>
    </row>
    <row r="223" spans="1:19" x14ac:dyDescent="0.25">
      <c r="A223" s="34" t="str">
        <f t="shared" si="35"/>
        <v/>
      </c>
      <c r="B223" s="34" t="str">
        <f t="shared" si="36"/>
        <v/>
      </c>
      <c r="C223" s="34" t="str">
        <f t="shared" si="37"/>
        <v/>
      </c>
      <c r="D223" s="34" t="str">
        <f t="shared" si="38"/>
        <v/>
      </c>
      <c r="K223" s="34" t="str">
        <f t="shared" si="31"/>
        <v/>
      </c>
      <c r="L223" s="34" t="str">
        <f>IF(Data!$I222="","",Data!I222)</f>
        <v/>
      </c>
      <c r="M223" s="34" t="str">
        <f>IF(Data!$I222="","",IF(Data!L222=0,"dns",Data!L222))</f>
        <v/>
      </c>
      <c r="N223" s="34" t="str">
        <f>IF(Data!$I222="","","GP"&amp;Data!$B222)</f>
        <v/>
      </c>
      <c r="O223" s="34" t="str">
        <f t="shared" si="32"/>
        <v/>
      </c>
      <c r="P223" s="34" t="str">
        <f>IF($L223="","",Data!B222)</f>
        <v/>
      </c>
      <c r="Q223" s="34" t="str">
        <f t="shared" si="33"/>
        <v/>
      </c>
      <c r="R223" s="34" t="str">
        <f t="shared" si="34"/>
        <v/>
      </c>
      <c r="S223" s="70"/>
    </row>
    <row r="224" spans="1:19" x14ac:dyDescent="0.25">
      <c r="A224" s="34" t="str">
        <f t="shared" si="35"/>
        <v/>
      </c>
      <c r="B224" s="34" t="str">
        <f t="shared" si="36"/>
        <v/>
      </c>
      <c r="C224" s="34" t="str">
        <f t="shared" si="37"/>
        <v/>
      </c>
      <c r="D224" s="34" t="str">
        <f t="shared" si="38"/>
        <v/>
      </c>
      <c r="K224" s="34" t="str">
        <f t="shared" si="31"/>
        <v/>
      </c>
      <c r="L224" s="34" t="str">
        <f>IF(Data!$I223="","",Data!I223)</f>
        <v/>
      </c>
      <c r="M224" s="34" t="str">
        <f>IF(Data!$I223="","",IF(Data!L223=0,"dns",Data!L223))</f>
        <v/>
      </c>
      <c r="N224" s="34" t="str">
        <f>IF(Data!$I223="","","GP"&amp;Data!$B223)</f>
        <v/>
      </c>
      <c r="O224" s="34" t="str">
        <f t="shared" si="32"/>
        <v/>
      </c>
      <c r="P224" s="34" t="str">
        <f>IF($L224="","",Data!B223)</f>
        <v/>
      </c>
      <c r="Q224" s="34" t="str">
        <f t="shared" si="33"/>
        <v/>
      </c>
      <c r="R224" s="34" t="str">
        <f t="shared" si="34"/>
        <v/>
      </c>
      <c r="S224" s="70"/>
    </row>
    <row r="225" spans="1:19" x14ac:dyDescent="0.25">
      <c r="A225" s="34" t="str">
        <f t="shared" si="35"/>
        <v/>
      </c>
      <c r="B225" s="34" t="str">
        <f t="shared" si="36"/>
        <v/>
      </c>
      <c r="C225" s="34" t="str">
        <f t="shared" si="37"/>
        <v/>
      </c>
      <c r="D225" s="34" t="str">
        <f t="shared" si="38"/>
        <v/>
      </c>
      <c r="K225" s="34" t="str">
        <f t="shared" si="31"/>
        <v/>
      </c>
      <c r="L225" s="34" t="str">
        <f>IF(Data!$I224="","",Data!I224)</f>
        <v/>
      </c>
      <c r="M225" s="34" t="str">
        <f>IF(Data!$I224="","",IF(Data!L224=0,"dns",Data!L224))</f>
        <v/>
      </c>
      <c r="N225" s="34" t="str">
        <f>IF(Data!$I224="","","GP"&amp;Data!$B224)</f>
        <v/>
      </c>
      <c r="O225" s="34" t="str">
        <f t="shared" si="32"/>
        <v/>
      </c>
      <c r="P225" s="34" t="str">
        <f>IF($L225="","",Data!B224)</f>
        <v/>
      </c>
      <c r="Q225" s="34" t="str">
        <f t="shared" si="33"/>
        <v/>
      </c>
      <c r="R225" s="34" t="str">
        <f t="shared" si="34"/>
        <v/>
      </c>
      <c r="S225" s="70"/>
    </row>
    <row r="226" spans="1:19" x14ac:dyDescent="0.25">
      <c r="A226" s="34" t="str">
        <f t="shared" si="35"/>
        <v/>
      </c>
      <c r="B226" s="34" t="str">
        <f t="shared" si="36"/>
        <v/>
      </c>
      <c r="C226" s="34" t="str">
        <f t="shared" si="37"/>
        <v/>
      </c>
      <c r="D226" s="34" t="str">
        <f t="shared" si="38"/>
        <v/>
      </c>
      <c r="K226" s="34" t="str">
        <f t="shared" si="31"/>
        <v/>
      </c>
      <c r="L226" s="34" t="str">
        <f>IF(Data!$I225="","",Data!I225)</f>
        <v/>
      </c>
      <c r="M226" s="34" t="str">
        <f>IF(Data!$I225="","",IF(Data!L225=0,"dns",Data!L225))</f>
        <v/>
      </c>
      <c r="N226" s="34" t="str">
        <f>IF(Data!$I225="","","GP"&amp;Data!$B225)</f>
        <v/>
      </c>
      <c r="O226" s="34" t="str">
        <f t="shared" si="32"/>
        <v/>
      </c>
      <c r="P226" s="34" t="str">
        <f>IF($L226="","",Data!B225)</f>
        <v/>
      </c>
      <c r="Q226" s="34" t="str">
        <f t="shared" si="33"/>
        <v/>
      </c>
      <c r="R226" s="34" t="str">
        <f t="shared" si="34"/>
        <v/>
      </c>
      <c r="S226" s="70"/>
    </row>
    <row r="227" spans="1:19" x14ac:dyDescent="0.25">
      <c r="A227" s="34" t="str">
        <f t="shared" si="35"/>
        <v/>
      </c>
      <c r="B227" s="34" t="str">
        <f t="shared" si="36"/>
        <v/>
      </c>
      <c r="C227" s="34" t="str">
        <f t="shared" si="37"/>
        <v/>
      </c>
      <c r="D227" s="34" t="str">
        <f t="shared" si="38"/>
        <v/>
      </c>
      <c r="K227" s="34" t="str">
        <f t="shared" si="31"/>
        <v/>
      </c>
      <c r="L227" s="34" t="str">
        <f>IF(Data!$I226="","",Data!I226)</f>
        <v/>
      </c>
      <c r="M227" s="34" t="str">
        <f>IF(Data!$I226="","",IF(Data!L226=0,"dns",Data!L226))</f>
        <v/>
      </c>
      <c r="N227" s="34" t="str">
        <f>IF(Data!$I226="","","GP"&amp;Data!$B226)</f>
        <v/>
      </c>
      <c r="O227" s="34" t="str">
        <f t="shared" si="32"/>
        <v/>
      </c>
      <c r="P227" s="34" t="str">
        <f>IF($L227="","",Data!B226)</f>
        <v/>
      </c>
      <c r="Q227" s="34" t="str">
        <f t="shared" si="33"/>
        <v/>
      </c>
      <c r="R227" s="34" t="str">
        <f t="shared" si="34"/>
        <v/>
      </c>
      <c r="S227" s="70"/>
    </row>
    <row r="228" spans="1:19" x14ac:dyDescent="0.25">
      <c r="A228" s="34" t="str">
        <f t="shared" si="35"/>
        <v/>
      </c>
      <c r="B228" s="34" t="str">
        <f t="shared" si="36"/>
        <v/>
      </c>
      <c r="C228" s="34" t="str">
        <f t="shared" si="37"/>
        <v/>
      </c>
      <c r="D228" s="34" t="str">
        <f t="shared" si="38"/>
        <v/>
      </c>
      <c r="K228" s="34" t="str">
        <f t="shared" si="31"/>
        <v/>
      </c>
      <c r="L228" s="34" t="str">
        <f>IF(Data!$I227="","",Data!I227)</f>
        <v/>
      </c>
      <c r="M228" s="34" t="str">
        <f>IF(Data!$I227="","",IF(Data!L227=0,"dns",Data!L227))</f>
        <v/>
      </c>
      <c r="N228" s="34" t="str">
        <f>IF(Data!$I227="","","GP"&amp;Data!$B227)</f>
        <v/>
      </c>
      <c r="O228" s="34" t="str">
        <f t="shared" si="32"/>
        <v/>
      </c>
      <c r="P228" s="34" t="str">
        <f>IF($L228="","",Data!B227)</f>
        <v/>
      </c>
      <c r="Q228" s="34" t="str">
        <f t="shared" si="33"/>
        <v/>
      </c>
      <c r="R228" s="34" t="str">
        <f t="shared" si="34"/>
        <v/>
      </c>
      <c r="S228" s="70"/>
    </row>
    <row r="229" spans="1:19" x14ac:dyDescent="0.25">
      <c r="A229" s="34" t="str">
        <f t="shared" si="35"/>
        <v/>
      </c>
      <c r="B229" s="34" t="str">
        <f t="shared" si="36"/>
        <v/>
      </c>
      <c r="C229" s="34" t="str">
        <f t="shared" si="37"/>
        <v/>
      </c>
      <c r="D229" s="34" t="str">
        <f t="shared" si="38"/>
        <v/>
      </c>
      <c r="K229" s="34" t="str">
        <f t="shared" si="31"/>
        <v/>
      </c>
      <c r="L229" s="34" t="str">
        <f>IF(Data!$I228="","",Data!I228)</f>
        <v/>
      </c>
      <c r="M229" s="34" t="str">
        <f>IF(Data!$I228="","",IF(Data!L228=0,"dns",Data!L228))</f>
        <v/>
      </c>
      <c r="N229" s="34" t="str">
        <f>IF(Data!$I228="","","GP"&amp;Data!$B228)</f>
        <v/>
      </c>
      <c r="O229" s="34" t="str">
        <f t="shared" si="32"/>
        <v/>
      </c>
      <c r="P229" s="34" t="str">
        <f>IF($L229="","",Data!B228)</f>
        <v/>
      </c>
      <c r="Q229" s="34" t="str">
        <f t="shared" si="33"/>
        <v/>
      </c>
      <c r="R229" s="34" t="str">
        <f t="shared" si="34"/>
        <v/>
      </c>
      <c r="S229" s="70"/>
    </row>
    <row r="230" spans="1:19" x14ac:dyDescent="0.25">
      <c r="A230" s="34" t="str">
        <f t="shared" si="35"/>
        <v/>
      </c>
      <c r="B230" s="34" t="str">
        <f t="shared" si="36"/>
        <v/>
      </c>
      <c r="C230" s="34" t="str">
        <f t="shared" si="37"/>
        <v/>
      </c>
      <c r="D230" s="34" t="str">
        <f t="shared" si="38"/>
        <v/>
      </c>
      <c r="K230" s="34" t="str">
        <f t="shared" si="31"/>
        <v/>
      </c>
      <c r="L230" s="34" t="str">
        <f>IF(Data!$I229="","",Data!I229)</f>
        <v/>
      </c>
      <c r="M230" s="34" t="str">
        <f>IF(Data!$I229="","",IF(Data!L229=0,"dns",Data!L229))</f>
        <v/>
      </c>
      <c r="N230" s="34" t="str">
        <f>IF(Data!$I229="","","GP"&amp;Data!$B229)</f>
        <v/>
      </c>
      <c r="O230" s="34" t="str">
        <f t="shared" si="32"/>
        <v/>
      </c>
      <c r="P230" s="34" t="str">
        <f>IF($L230="","",Data!B229)</f>
        <v/>
      </c>
      <c r="Q230" s="34" t="str">
        <f t="shared" si="33"/>
        <v/>
      </c>
      <c r="R230" s="34" t="str">
        <f t="shared" si="34"/>
        <v/>
      </c>
      <c r="S230" s="70"/>
    </row>
    <row r="231" spans="1:19" x14ac:dyDescent="0.25">
      <c r="A231" s="34" t="str">
        <f t="shared" si="35"/>
        <v/>
      </c>
      <c r="B231" s="34" t="str">
        <f t="shared" si="36"/>
        <v/>
      </c>
      <c r="C231" s="34" t="str">
        <f t="shared" si="37"/>
        <v/>
      </c>
      <c r="D231" s="34" t="str">
        <f t="shared" si="38"/>
        <v/>
      </c>
      <c r="K231" s="34" t="str">
        <f t="shared" si="31"/>
        <v/>
      </c>
      <c r="L231" s="34" t="str">
        <f>IF(Data!$I230="","",Data!I230)</f>
        <v/>
      </c>
      <c r="M231" s="34" t="str">
        <f>IF(Data!$I230="","",IF(Data!L230=0,"dns",Data!L230))</f>
        <v/>
      </c>
      <c r="N231" s="34" t="str">
        <f>IF(Data!$I230="","","GP"&amp;Data!$B230)</f>
        <v/>
      </c>
      <c r="O231" s="34" t="str">
        <f t="shared" si="32"/>
        <v/>
      </c>
      <c r="P231" s="34" t="str">
        <f>IF($L231="","",Data!B230)</f>
        <v/>
      </c>
      <c r="Q231" s="34" t="str">
        <f t="shared" si="33"/>
        <v/>
      </c>
      <c r="R231" s="34" t="str">
        <f t="shared" si="34"/>
        <v/>
      </c>
      <c r="S231" s="70"/>
    </row>
    <row r="232" spans="1:19" x14ac:dyDescent="0.25">
      <c r="A232" s="34" t="str">
        <f t="shared" si="35"/>
        <v/>
      </c>
      <c r="B232" s="34" t="str">
        <f t="shared" si="36"/>
        <v/>
      </c>
      <c r="C232" s="34" t="str">
        <f t="shared" si="37"/>
        <v/>
      </c>
      <c r="D232" s="34" t="str">
        <f t="shared" si="38"/>
        <v/>
      </c>
      <c r="K232" s="34" t="str">
        <f t="shared" si="31"/>
        <v/>
      </c>
      <c r="L232" s="34" t="str">
        <f>IF(Data!$I231="","",Data!I231)</f>
        <v/>
      </c>
      <c r="M232" s="34" t="str">
        <f>IF(Data!$I231="","",IF(Data!L231=0,"dns",Data!L231))</f>
        <v/>
      </c>
      <c r="N232" s="34" t="str">
        <f>IF(Data!$I231="","","GP"&amp;Data!$B231)</f>
        <v/>
      </c>
      <c r="O232" s="34" t="str">
        <f t="shared" si="32"/>
        <v/>
      </c>
      <c r="P232" s="34" t="str">
        <f>IF($L232="","",Data!B231)</f>
        <v/>
      </c>
      <c r="Q232" s="34" t="str">
        <f t="shared" si="33"/>
        <v/>
      </c>
      <c r="R232" s="34" t="str">
        <f t="shared" si="34"/>
        <v/>
      </c>
      <c r="S232" s="70"/>
    </row>
    <row r="233" spans="1:19" x14ac:dyDescent="0.25">
      <c r="A233" s="34" t="str">
        <f t="shared" si="35"/>
        <v/>
      </c>
      <c r="B233" s="34" t="str">
        <f t="shared" si="36"/>
        <v/>
      </c>
      <c r="C233" s="34" t="str">
        <f t="shared" si="37"/>
        <v/>
      </c>
      <c r="D233" s="34" t="str">
        <f t="shared" si="38"/>
        <v/>
      </c>
      <c r="K233" s="34" t="str">
        <f t="shared" si="31"/>
        <v/>
      </c>
      <c r="L233" s="34" t="str">
        <f>IF(Data!$I232="","",Data!I232)</f>
        <v/>
      </c>
      <c r="M233" s="34" t="str">
        <f>IF(Data!$I232="","",IF(Data!L232=0,"dns",Data!L232))</f>
        <v/>
      </c>
      <c r="N233" s="34" t="str">
        <f>IF(Data!$I232="","","GP"&amp;Data!$B232)</f>
        <v/>
      </c>
      <c r="O233" s="34" t="str">
        <f t="shared" si="32"/>
        <v/>
      </c>
      <c r="P233" s="34" t="str">
        <f>IF($L233="","",Data!B232)</f>
        <v/>
      </c>
      <c r="Q233" s="34" t="str">
        <f t="shared" si="33"/>
        <v/>
      </c>
      <c r="R233" s="34" t="str">
        <f t="shared" si="34"/>
        <v/>
      </c>
      <c r="S233" s="70"/>
    </row>
    <row r="234" spans="1:19" x14ac:dyDescent="0.25">
      <c r="A234" s="34" t="str">
        <f t="shared" si="35"/>
        <v/>
      </c>
      <c r="B234" s="34" t="str">
        <f t="shared" si="36"/>
        <v/>
      </c>
      <c r="C234" s="34" t="str">
        <f t="shared" si="37"/>
        <v/>
      </c>
      <c r="D234" s="34" t="str">
        <f t="shared" si="38"/>
        <v/>
      </c>
      <c r="K234" s="34" t="str">
        <f t="shared" si="31"/>
        <v/>
      </c>
      <c r="L234" s="34" t="str">
        <f>IF(Data!$I233="","",Data!I233)</f>
        <v/>
      </c>
      <c r="M234" s="34" t="str">
        <f>IF(Data!$I233="","",IF(Data!L233=0,"dns",Data!L233))</f>
        <v/>
      </c>
      <c r="N234" s="34" t="str">
        <f>IF(Data!$I233="","","GP"&amp;Data!$B233)</f>
        <v/>
      </c>
      <c r="O234" s="34" t="str">
        <f t="shared" si="32"/>
        <v/>
      </c>
      <c r="P234" s="34" t="str">
        <f>IF($L234="","",Data!B233)</f>
        <v/>
      </c>
      <c r="Q234" s="34" t="str">
        <f t="shared" si="33"/>
        <v/>
      </c>
      <c r="R234" s="34" t="str">
        <f t="shared" si="34"/>
        <v/>
      </c>
      <c r="S234" s="70"/>
    </row>
    <row r="235" spans="1:19" x14ac:dyDescent="0.25">
      <c r="A235" s="34" t="str">
        <f t="shared" si="35"/>
        <v/>
      </c>
      <c r="B235" s="34" t="str">
        <f t="shared" si="36"/>
        <v/>
      </c>
      <c r="C235" s="34" t="str">
        <f t="shared" si="37"/>
        <v/>
      </c>
      <c r="D235" s="34" t="str">
        <f t="shared" si="38"/>
        <v/>
      </c>
      <c r="K235" s="34" t="str">
        <f t="shared" si="31"/>
        <v/>
      </c>
      <c r="L235" s="34" t="str">
        <f>IF(Data!$I234="","",Data!I234)</f>
        <v/>
      </c>
      <c r="M235" s="34" t="str">
        <f>IF(Data!$I234="","",IF(Data!L234=0,"dns",Data!L234))</f>
        <v/>
      </c>
      <c r="N235" s="34" t="str">
        <f>IF(Data!$I234="","","GP"&amp;Data!$B234)</f>
        <v/>
      </c>
      <c r="O235" s="34" t="str">
        <f t="shared" si="32"/>
        <v/>
      </c>
      <c r="P235" s="34" t="str">
        <f>IF($L235="","",Data!B234)</f>
        <v/>
      </c>
      <c r="Q235" s="34" t="str">
        <f t="shared" si="33"/>
        <v/>
      </c>
      <c r="R235" s="34" t="str">
        <f t="shared" si="34"/>
        <v/>
      </c>
      <c r="S235" s="70"/>
    </row>
    <row r="236" spans="1:19" x14ac:dyDescent="0.25">
      <c r="A236" s="34" t="str">
        <f t="shared" si="35"/>
        <v/>
      </c>
      <c r="B236" s="34" t="str">
        <f t="shared" si="36"/>
        <v/>
      </c>
      <c r="C236" s="34" t="str">
        <f t="shared" si="37"/>
        <v/>
      </c>
      <c r="D236" s="34" t="str">
        <f t="shared" si="38"/>
        <v/>
      </c>
      <c r="K236" s="34" t="str">
        <f t="shared" si="31"/>
        <v/>
      </c>
      <c r="L236" s="34" t="str">
        <f>IF(Data!$I235="","",Data!I235)</f>
        <v/>
      </c>
      <c r="M236" s="34" t="str">
        <f>IF(Data!$I235="","",IF(Data!L235=0,"dns",Data!L235))</f>
        <v/>
      </c>
      <c r="N236" s="34" t="str">
        <f>IF(Data!$I235="","","GP"&amp;Data!$B235)</f>
        <v/>
      </c>
      <c r="O236" s="34" t="str">
        <f t="shared" si="32"/>
        <v/>
      </c>
      <c r="P236" s="34" t="str">
        <f>IF($L236="","",Data!B235)</f>
        <v/>
      </c>
      <c r="Q236" s="34" t="str">
        <f t="shared" si="33"/>
        <v/>
      </c>
      <c r="R236" s="34" t="str">
        <f t="shared" si="34"/>
        <v/>
      </c>
      <c r="S236" s="70"/>
    </row>
    <row r="237" spans="1:19" x14ac:dyDescent="0.25">
      <c r="A237" s="34" t="str">
        <f t="shared" si="35"/>
        <v/>
      </c>
      <c r="B237" s="34" t="str">
        <f t="shared" si="36"/>
        <v/>
      </c>
      <c r="C237" s="34" t="str">
        <f t="shared" si="37"/>
        <v/>
      </c>
      <c r="D237" s="34" t="str">
        <f t="shared" si="38"/>
        <v/>
      </c>
      <c r="K237" s="34" t="str">
        <f t="shared" si="31"/>
        <v/>
      </c>
      <c r="L237" s="34" t="str">
        <f>IF(Data!$I236="","",Data!I236)</f>
        <v/>
      </c>
      <c r="M237" s="34" t="str">
        <f>IF(Data!$I236="","",IF(Data!L236=0,"dns",Data!L236))</f>
        <v/>
      </c>
      <c r="N237" s="34" t="str">
        <f>IF(Data!$I236="","","GP"&amp;Data!$B236)</f>
        <v/>
      </c>
      <c r="O237" s="34" t="str">
        <f t="shared" si="32"/>
        <v/>
      </c>
      <c r="P237" s="34" t="str">
        <f>IF($L237="","",Data!B236)</f>
        <v/>
      </c>
      <c r="Q237" s="34" t="str">
        <f t="shared" si="33"/>
        <v/>
      </c>
      <c r="R237" s="34" t="str">
        <f t="shared" si="34"/>
        <v/>
      </c>
      <c r="S237" s="70"/>
    </row>
    <row r="238" spans="1:19" x14ac:dyDescent="0.25">
      <c r="A238" s="34" t="str">
        <f t="shared" si="35"/>
        <v/>
      </c>
      <c r="B238" s="34" t="str">
        <f t="shared" si="36"/>
        <v/>
      </c>
      <c r="C238" s="34" t="str">
        <f t="shared" si="37"/>
        <v/>
      </c>
      <c r="D238" s="34" t="str">
        <f t="shared" si="38"/>
        <v/>
      </c>
      <c r="K238" s="34" t="str">
        <f t="shared" si="31"/>
        <v/>
      </c>
      <c r="L238" s="34" t="str">
        <f>IF(Data!$I237="","",Data!I237)</f>
        <v/>
      </c>
      <c r="M238" s="34" t="str">
        <f>IF(Data!$I237="","",IF(Data!L237=0,"dns",Data!L237))</f>
        <v/>
      </c>
      <c r="N238" s="34" t="str">
        <f>IF(Data!$I237="","","GP"&amp;Data!$B237)</f>
        <v/>
      </c>
      <c r="O238" s="34" t="str">
        <f t="shared" si="32"/>
        <v/>
      </c>
      <c r="P238" s="34" t="str">
        <f>IF($L238="","",Data!B237)</f>
        <v/>
      </c>
      <c r="Q238" s="34" t="str">
        <f t="shared" si="33"/>
        <v/>
      </c>
      <c r="R238" s="34" t="str">
        <f t="shared" si="34"/>
        <v/>
      </c>
      <c r="S238" s="70"/>
    </row>
    <row r="239" spans="1:19" x14ac:dyDescent="0.25">
      <c r="A239" s="34" t="str">
        <f t="shared" si="35"/>
        <v/>
      </c>
      <c r="B239" s="34" t="str">
        <f t="shared" si="36"/>
        <v/>
      </c>
      <c r="C239" s="34" t="str">
        <f t="shared" si="37"/>
        <v/>
      </c>
      <c r="D239" s="34" t="str">
        <f t="shared" si="38"/>
        <v/>
      </c>
      <c r="K239" s="34" t="str">
        <f t="shared" si="31"/>
        <v/>
      </c>
      <c r="L239" s="34" t="str">
        <f>IF(Data!$I238="","",Data!I238)</f>
        <v/>
      </c>
      <c r="M239" s="34" t="str">
        <f>IF(Data!$I238="","",IF(Data!L238=0,"dns",Data!L238))</f>
        <v/>
      </c>
      <c r="N239" s="34" t="str">
        <f>IF(Data!$I238="","","GP"&amp;Data!$B238)</f>
        <v/>
      </c>
      <c r="O239" s="34" t="str">
        <f t="shared" si="32"/>
        <v/>
      </c>
      <c r="P239" s="34" t="str">
        <f>IF($L239="","",Data!B238)</f>
        <v/>
      </c>
      <c r="Q239" s="34" t="str">
        <f t="shared" si="33"/>
        <v/>
      </c>
      <c r="R239" s="34" t="str">
        <f t="shared" si="34"/>
        <v/>
      </c>
      <c r="S239" s="70"/>
    </row>
    <row r="240" spans="1:19" x14ac:dyDescent="0.25">
      <c r="A240" s="34" t="str">
        <f t="shared" si="35"/>
        <v/>
      </c>
      <c r="B240" s="34" t="str">
        <f t="shared" si="36"/>
        <v/>
      </c>
      <c r="C240" s="34" t="str">
        <f t="shared" si="37"/>
        <v/>
      </c>
      <c r="D240" s="34" t="str">
        <f t="shared" si="38"/>
        <v/>
      </c>
      <c r="K240" s="34" t="str">
        <f t="shared" si="31"/>
        <v/>
      </c>
      <c r="L240" s="34" t="str">
        <f>IF(Data!$I239="","",Data!I239)</f>
        <v/>
      </c>
      <c r="M240" s="34" t="str">
        <f>IF(Data!$I239="","",IF(Data!L239=0,"dns",Data!L239))</f>
        <v/>
      </c>
      <c r="N240" s="34" t="str">
        <f>IF(Data!$I239="","","GP"&amp;Data!$B239)</f>
        <v/>
      </c>
      <c r="O240" s="34" t="str">
        <f t="shared" si="32"/>
        <v/>
      </c>
      <c r="P240" s="34" t="str">
        <f>IF($L240="","",Data!B239)</f>
        <v/>
      </c>
      <c r="Q240" s="34" t="str">
        <f t="shared" si="33"/>
        <v/>
      </c>
      <c r="R240" s="34" t="str">
        <f t="shared" si="34"/>
        <v/>
      </c>
      <c r="S240" s="70"/>
    </row>
    <row r="241" spans="1:19" x14ac:dyDescent="0.25">
      <c r="A241" s="34" t="str">
        <f t="shared" si="35"/>
        <v/>
      </c>
      <c r="B241" s="34" t="str">
        <f t="shared" si="36"/>
        <v/>
      </c>
      <c r="C241" s="34" t="str">
        <f t="shared" si="37"/>
        <v/>
      </c>
      <c r="D241" s="34" t="str">
        <f t="shared" si="38"/>
        <v/>
      </c>
      <c r="K241" s="34" t="str">
        <f t="shared" si="31"/>
        <v/>
      </c>
      <c r="L241" s="34" t="str">
        <f>IF(Data!$I240="","",Data!I240)</f>
        <v/>
      </c>
      <c r="M241" s="34" t="str">
        <f>IF(Data!$I240="","",IF(Data!L240=0,"dns",Data!L240))</f>
        <v/>
      </c>
      <c r="N241" s="34" t="str">
        <f>IF(Data!$I240="","","GP"&amp;Data!$B240)</f>
        <v/>
      </c>
      <c r="O241" s="34" t="str">
        <f t="shared" si="32"/>
        <v/>
      </c>
      <c r="P241" s="34" t="str">
        <f>IF($L241="","",Data!B240)</f>
        <v/>
      </c>
      <c r="Q241" s="34" t="str">
        <f t="shared" si="33"/>
        <v/>
      </c>
      <c r="R241" s="34" t="str">
        <f t="shared" si="34"/>
        <v/>
      </c>
      <c r="S241" s="70"/>
    </row>
    <row r="242" spans="1:19" x14ac:dyDescent="0.25">
      <c r="A242" s="34" t="str">
        <f t="shared" si="35"/>
        <v/>
      </c>
      <c r="B242" s="34" t="str">
        <f t="shared" si="36"/>
        <v/>
      </c>
      <c r="C242" s="34" t="str">
        <f t="shared" si="37"/>
        <v/>
      </c>
      <c r="D242" s="34" t="str">
        <f t="shared" si="38"/>
        <v/>
      </c>
      <c r="K242" s="34" t="str">
        <f t="shared" si="31"/>
        <v/>
      </c>
      <c r="L242" s="34" t="str">
        <f>IF(Data!$I241="","",Data!I241)</f>
        <v/>
      </c>
      <c r="M242" s="34" t="str">
        <f>IF(Data!$I241="","",IF(Data!L241=0,"dns",Data!L241))</f>
        <v/>
      </c>
      <c r="N242" s="34" t="str">
        <f>IF(Data!$I241="","","GP"&amp;Data!$B241)</f>
        <v/>
      </c>
      <c r="O242" s="34" t="str">
        <f t="shared" si="32"/>
        <v/>
      </c>
      <c r="P242" s="34" t="str">
        <f>IF($L242="","",Data!B241)</f>
        <v/>
      </c>
      <c r="Q242" s="34" t="str">
        <f t="shared" si="33"/>
        <v/>
      </c>
      <c r="R242" s="34" t="str">
        <f t="shared" si="34"/>
        <v/>
      </c>
      <c r="S242" s="70"/>
    </row>
    <row r="243" spans="1:19" x14ac:dyDescent="0.25">
      <c r="A243" s="34" t="str">
        <f t="shared" si="35"/>
        <v/>
      </c>
      <c r="B243" s="34" t="str">
        <f t="shared" si="36"/>
        <v/>
      </c>
      <c r="C243" s="34" t="str">
        <f t="shared" si="37"/>
        <v/>
      </c>
      <c r="D243" s="34" t="str">
        <f t="shared" si="38"/>
        <v/>
      </c>
      <c r="K243" s="34" t="str">
        <f t="shared" si="31"/>
        <v/>
      </c>
      <c r="L243" s="34" t="str">
        <f>IF(Data!$I242="","",Data!I242)</f>
        <v/>
      </c>
      <c r="M243" s="34" t="str">
        <f>IF(Data!$I242="","",IF(Data!L242=0,"dns",Data!L242))</f>
        <v/>
      </c>
      <c r="N243" s="34" t="str">
        <f>IF(Data!$I242="","","GP"&amp;Data!$B242)</f>
        <v/>
      </c>
      <c r="O243" s="34" t="str">
        <f t="shared" si="32"/>
        <v/>
      </c>
      <c r="P243" s="34" t="str">
        <f>IF($L243="","",Data!B242)</f>
        <v/>
      </c>
      <c r="Q243" s="34" t="str">
        <f t="shared" si="33"/>
        <v/>
      </c>
      <c r="R243" s="34" t="str">
        <f t="shared" si="34"/>
        <v/>
      </c>
      <c r="S243" s="70"/>
    </row>
    <row r="244" spans="1:19" x14ac:dyDescent="0.25">
      <c r="A244" s="34" t="str">
        <f t="shared" si="35"/>
        <v/>
      </c>
      <c r="B244" s="34" t="str">
        <f t="shared" si="36"/>
        <v/>
      </c>
      <c r="C244" s="34" t="str">
        <f t="shared" si="37"/>
        <v/>
      </c>
      <c r="D244" s="34" t="str">
        <f t="shared" si="38"/>
        <v/>
      </c>
      <c r="K244" s="34" t="str">
        <f t="shared" si="31"/>
        <v/>
      </c>
      <c r="L244" s="34" t="str">
        <f>IF(Data!$I243="","",Data!I243)</f>
        <v/>
      </c>
      <c r="M244" s="34" t="str">
        <f>IF(Data!$I243="","",IF(Data!L243=0,"dns",Data!L243))</f>
        <v/>
      </c>
      <c r="N244" s="34" t="str">
        <f>IF(Data!$I243="","","GP"&amp;Data!$B243)</f>
        <v/>
      </c>
      <c r="O244" s="34" t="str">
        <f t="shared" si="32"/>
        <v/>
      </c>
      <c r="P244" s="34" t="str">
        <f>IF($L244="","",Data!B243)</f>
        <v/>
      </c>
      <c r="Q244" s="34" t="str">
        <f t="shared" si="33"/>
        <v/>
      </c>
      <c r="R244" s="34" t="str">
        <f t="shared" si="34"/>
        <v/>
      </c>
      <c r="S244" s="70"/>
    </row>
    <row r="245" spans="1:19" x14ac:dyDescent="0.25">
      <c r="A245" s="34" t="str">
        <f t="shared" si="35"/>
        <v/>
      </c>
      <c r="B245" s="34" t="str">
        <f t="shared" si="36"/>
        <v/>
      </c>
      <c r="C245" s="34" t="str">
        <f t="shared" si="37"/>
        <v/>
      </c>
      <c r="D245" s="34" t="str">
        <f t="shared" si="38"/>
        <v/>
      </c>
      <c r="K245" s="34" t="str">
        <f t="shared" si="31"/>
        <v/>
      </c>
      <c r="L245" s="34" t="str">
        <f>IF(Data!$I244="","",Data!I244)</f>
        <v/>
      </c>
      <c r="M245" s="34" t="str">
        <f>IF(Data!$I244="","",IF(Data!L244=0,"dns",Data!L244))</f>
        <v/>
      </c>
      <c r="N245" s="34" t="str">
        <f>IF(Data!$I244="","","GP"&amp;Data!$B244)</f>
        <v/>
      </c>
      <c r="O245" s="34" t="str">
        <f t="shared" si="32"/>
        <v/>
      </c>
      <c r="P245" s="34" t="str">
        <f>IF($L245="","",Data!B244)</f>
        <v/>
      </c>
      <c r="Q245" s="34" t="str">
        <f t="shared" si="33"/>
        <v/>
      </c>
      <c r="R245" s="34" t="str">
        <f t="shared" si="34"/>
        <v/>
      </c>
      <c r="S245" s="70"/>
    </row>
    <row r="246" spans="1:19" x14ac:dyDescent="0.25">
      <c r="A246" s="34" t="str">
        <f t="shared" si="35"/>
        <v/>
      </c>
      <c r="B246" s="34" t="str">
        <f t="shared" si="36"/>
        <v/>
      </c>
      <c r="C246" s="34" t="str">
        <f t="shared" si="37"/>
        <v/>
      </c>
      <c r="D246" s="34" t="str">
        <f t="shared" si="38"/>
        <v/>
      </c>
      <c r="K246" s="34" t="str">
        <f t="shared" si="31"/>
        <v/>
      </c>
      <c r="L246" s="34" t="str">
        <f>IF(Data!$I245="","",Data!I245)</f>
        <v/>
      </c>
      <c r="M246" s="34" t="str">
        <f>IF(Data!$I245="","",IF(Data!L245=0,"dns",Data!L245))</f>
        <v/>
      </c>
      <c r="N246" s="34" t="str">
        <f>IF(Data!$I245="","","GP"&amp;Data!$B245)</f>
        <v/>
      </c>
      <c r="O246" s="34" t="str">
        <f t="shared" si="32"/>
        <v/>
      </c>
      <c r="P246" s="34" t="str">
        <f>IF($L246="","",Data!B245)</f>
        <v/>
      </c>
      <c r="Q246" s="34" t="str">
        <f t="shared" si="33"/>
        <v/>
      </c>
      <c r="R246" s="34" t="str">
        <f t="shared" si="34"/>
        <v/>
      </c>
      <c r="S246" s="70"/>
    </row>
    <row r="247" spans="1:19" x14ac:dyDescent="0.25">
      <c r="A247" s="34" t="str">
        <f t="shared" si="35"/>
        <v/>
      </c>
      <c r="B247" s="34" t="str">
        <f t="shared" si="36"/>
        <v/>
      </c>
      <c r="C247" s="34" t="str">
        <f t="shared" si="37"/>
        <v/>
      </c>
      <c r="D247" s="34" t="str">
        <f t="shared" si="38"/>
        <v/>
      </c>
      <c r="K247" s="34" t="str">
        <f t="shared" si="31"/>
        <v/>
      </c>
      <c r="L247" s="34" t="str">
        <f>IF(Data!$I246="","",Data!I246)</f>
        <v/>
      </c>
      <c r="M247" s="34" t="str">
        <f>IF(Data!$I246="","",IF(Data!L246=0,"dns",Data!L246))</f>
        <v/>
      </c>
      <c r="N247" s="34" t="str">
        <f>IF(Data!$I246="","","GP"&amp;Data!$B246)</f>
        <v/>
      </c>
      <c r="O247" s="34" t="str">
        <f t="shared" si="32"/>
        <v/>
      </c>
      <c r="P247" s="34" t="str">
        <f>IF($L247="","",Data!B246)</f>
        <v/>
      </c>
      <c r="Q247" s="34" t="str">
        <f t="shared" si="33"/>
        <v/>
      </c>
      <c r="R247" s="34" t="str">
        <f t="shared" si="34"/>
        <v/>
      </c>
      <c r="S247" s="70"/>
    </row>
    <row r="248" spans="1:19" x14ac:dyDescent="0.25">
      <c r="A248" s="34" t="str">
        <f t="shared" si="35"/>
        <v/>
      </c>
      <c r="B248" s="34" t="str">
        <f t="shared" si="36"/>
        <v/>
      </c>
      <c r="C248" s="34" t="str">
        <f t="shared" si="37"/>
        <v/>
      </c>
      <c r="D248" s="34" t="str">
        <f t="shared" si="38"/>
        <v/>
      </c>
      <c r="K248" s="34" t="str">
        <f t="shared" si="31"/>
        <v/>
      </c>
      <c r="L248" s="34" t="str">
        <f>IF(Data!$I247="","",Data!I247)</f>
        <v/>
      </c>
      <c r="M248" s="34" t="str">
        <f>IF(Data!$I247="","",IF(Data!L247=0,"dns",Data!L247))</f>
        <v/>
      </c>
      <c r="N248" s="34" t="str">
        <f>IF(Data!$I247="","","GP"&amp;Data!$B247)</f>
        <v/>
      </c>
      <c r="O248" s="34" t="str">
        <f t="shared" si="32"/>
        <v/>
      </c>
      <c r="P248" s="34" t="str">
        <f>IF($L248="","",Data!B247)</f>
        <v/>
      </c>
      <c r="Q248" s="34" t="str">
        <f t="shared" si="33"/>
        <v/>
      </c>
      <c r="R248" s="34" t="str">
        <f t="shared" si="34"/>
        <v/>
      </c>
      <c r="S248" s="70"/>
    </row>
    <row r="249" spans="1:19" x14ac:dyDescent="0.25">
      <c r="A249" s="34" t="str">
        <f t="shared" si="35"/>
        <v/>
      </c>
      <c r="B249" s="34" t="str">
        <f t="shared" si="36"/>
        <v/>
      </c>
      <c r="C249" s="34" t="str">
        <f t="shared" si="37"/>
        <v/>
      </c>
      <c r="D249" s="34" t="str">
        <f t="shared" si="38"/>
        <v/>
      </c>
      <c r="K249" s="34" t="str">
        <f t="shared" si="31"/>
        <v/>
      </c>
      <c r="L249" s="34" t="str">
        <f>IF(Data!$I248="","",Data!I248)</f>
        <v/>
      </c>
      <c r="M249" s="34" t="str">
        <f>IF(Data!$I248="","",IF(Data!L248=0,"dns",Data!L248))</f>
        <v/>
      </c>
      <c r="N249" s="34" t="str">
        <f>IF(Data!$I248="","","GP"&amp;Data!$B248)</f>
        <v/>
      </c>
      <c r="O249" s="34" t="str">
        <f t="shared" si="32"/>
        <v/>
      </c>
      <c r="P249" s="34" t="str">
        <f>IF($L249="","",Data!B248)</f>
        <v/>
      </c>
      <c r="Q249" s="34" t="str">
        <f t="shared" si="33"/>
        <v/>
      </c>
      <c r="R249" s="34" t="str">
        <f t="shared" si="34"/>
        <v/>
      </c>
      <c r="S249" s="70"/>
    </row>
    <row r="250" spans="1:19" x14ac:dyDescent="0.25">
      <c r="A250" s="34" t="str">
        <f t="shared" si="35"/>
        <v/>
      </c>
      <c r="B250" s="34" t="str">
        <f t="shared" si="36"/>
        <v/>
      </c>
      <c r="C250" s="34" t="str">
        <f t="shared" si="37"/>
        <v/>
      </c>
      <c r="D250" s="34" t="str">
        <f t="shared" si="38"/>
        <v/>
      </c>
      <c r="K250" s="34" t="str">
        <f t="shared" si="31"/>
        <v/>
      </c>
      <c r="L250" s="34" t="str">
        <f>IF(Data!$I249="","",Data!I249)</f>
        <v/>
      </c>
      <c r="M250" s="34" t="str">
        <f>IF(Data!$I249="","",IF(Data!L249=0,"dns",Data!L249))</f>
        <v/>
      </c>
      <c r="N250" s="34" t="str">
        <f>IF(Data!$I249="","","GP"&amp;Data!$B249)</f>
        <v/>
      </c>
      <c r="O250" s="34" t="str">
        <f t="shared" si="32"/>
        <v/>
      </c>
      <c r="P250" s="34" t="str">
        <f>IF($L250="","",Data!B249)</f>
        <v/>
      </c>
      <c r="Q250" s="34" t="str">
        <f t="shared" si="33"/>
        <v/>
      </c>
      <c r="R250" s="34" t="str">
        <f t="shared" si="34"/>
        <v/>
      </c>
      <c r="S250" s="70"/>
    </row>
    <row r="251" spans="1:19" x14ac:dyDescent="0.25">
      <c r="A251" s="34" t="str">
        <f t="shared" si="35"/>
        <v/>
      </c>
      <c r="B251" s="34" t="str">
        <f t="shared" si="36"/>
        <v/>
      </c>
      <c r="C251" s="34" t="str">
        <f t="shared" si="37"/>
        <v/>
      </c>
      <c r="D251" s="34" t="str">
        <f t="shared" si="38"/>
        <v/>
      </c>
      <c r="K251" s="34" t="str">
        <f t="shared" si="31"/>
        <v/>
      </c>
      <c r="L251" s="34" t="str">
        <f>IF(Data!$I250="","",Data!I250)</f>
        <v/>
      </c>
      <c r="M251" s="34" t="str">
        <f>IF(Data!$I250="","",IF(Data!L250=0,"dns",Data!L250))</f>
        <v/>
      </c>
      <c r="N251" s="34" t="str">
        <f>IF(Data!$I250="","","GP"&amp;Data!$B250)</f>
        <v/>
      </c>
      <c r="O251" s="34" t="str">
        <f t="shared" si="32"/>
        <v/>
      </c>
      <c r="P251" s="34" t="str">
        <f>IF($L251="","",Data!B250)</f>
        <v/>
      </c>
      <c r="Q251" s="34" t="str">
        <f t="shared" si="33"/>
        <v/>
      </c>
      <c r="R251" s="34" t="str">
        <f t="shared" si="34"/>
        <v/>
      </c>
      <c r="S251" s="70"/>
    </row>
    <row r="252" spans="1:19" x14ac:dyDescent="0.25">
      <c r="A252" s="34" t="str">
        <f t="shared" si="35"/>
        <v/>
      </c>
      <c r="B252" s="34" t="str">
        <f t="shared" si="36"/>
        <v/>
      </c>
      <c r="C252" s="34" t="str">
        <f t="shared" si="37"/>
        <v/>
      </c>
      <c r="D252" s="34" t="str">
        <f t="shared" si="38"/>
        <v/>
      </c>
      <c r="K252" s="34" t="str">
        <f t="shared" si="31"/>
        <v/>
      </c>
      <c r="L252" s="34" t="str">
        <f>IF(Data!$I251="","",Data!I251)</f>
        <v/>
      </c>
      <c r="M252" s="34" t="str">
        <f>IF(Data!$I251="","",IF(Data!L251=0,"dns",Data!L251))</f>
        <v/>
      </c>
      <c r="N252" s="34" t="str">
        <f>IF(Data!$I251="","","GP"&amp;Data!$B251)</f>
        <v/>
      </c>
      <c r="O252" s="34" t="str">
        <f t="shared" si="32"/>
        <v/>
      </c>
      <c r="P252" s="34" t="str">
        <f>IF($L252="","",Data!B251)</f>
        <v/>
      </c>
      <c r="Q252" s="34" t="str">
        <f t="shared" si="33"/>
        <v/>
      </c>
      <c r="R252" s="34" t="str">
        <f t="shared" si="34"/>
        <v/>
      </c>
      <c r="S252" s="70"/>
    </row>
    <row r="253" spans="1:19" x14ac:dyDescent="0.25">
      <c r="A253" s="34" t="str">
        <f t="shared" si="35"/>
        <v/>
      </c>
      <c r="B253" s="34" t="str">
        <f t="shared" si="36"/>
        <v/>
      </c>
      <c r="C253" s="34" t="str">
        <f t="shared" si="37"/>
        <v/>
      </c>
      <c r="D253" s="34" t="str">
        <f t="shared" si="38"/>
        <v/>
      </c>
      <c r="K253" s="34" t="str">
        <f t="shared" si="31"/>
        <v/>
      </c>
      <c r="L253" s="34" t="str">
        <f>IF(Data!$I252="","",Data!I252)</f>
        <v/>
      </c>
      <c r="M253" s="34" t="str">
        <f>IF(Data!$I252="","",IF(Data!L252=0,"dns",Data!L252))</f>
        <v/>
      </c>
      <c r="N253" s="34" t="str">
        <f>IF(Data!$I252="","","GP"&amp;Data!$B252)</f>
        <v/>
      </c>
      <c r="O253" s="34" t="str">
        <f t="shared" si="32"/>
        <v/>
      </c>
      <c r="P253" s="34" t="str">
        <f>IF($L253="","",Data!B252)</f>
        <v/>
      </c>
      <c r="Q253" s="34" t="str">
        <f t="shared" si="33"/>
        <v/>
      </c>
      <c r="R253" s="34" t="str">
        <f t="shared" si="34"/>
        <v/>
      </c>
      <c r="S253" s="70"/>
    </row>
    <row r="254" spans="1:19" x14ac:dyDescent="0.25">
      <c r="A254" s="34" t="str">
        <f t="shared" si="35"/>
        <v/>
      </c>
      <c r="B254" s="34" t="str">
        <f t="shared" si="36"/>
        <v/>
      </c>
      <c r="C254" s="34" t="str">
        <f t="shared" si="37"/>
        <v/>
      </c>
      <c r="D254" s="34" t="str">
        <f t="shared" si="38"/>
        <v/>
      </c>
      <c r="K254" s="34" t="str">
        <f t="shared" si="31"/>
        <v/>
      </c>
      <c r="L254" s="34" t="str">
        <f>IF(Data!$I253="","",Data!I253)</f>
        <v/>
      </c>
      <c r="M254" s="34" t="str">
        <f>IF(Data!$I253="","",IF(Data!L253=0,"dns",Data!L253))</f>
        <v/>
      </c>
      <c r="N254" s="34" t="str">
        <f>IF(Data!$I253="","","GP"&amp;Data!$B253)</f>
        <v/>
      </c>
      <c r="O254" s="34" t="str">
        <f t="shared" si="32"/>
        <v/>
      </c>
      <c r="P254" s="34" t="str">
        <f>IF($L254="","",Data!B253)</f>
        <v/>
      </c>
      <c r="Q254" s="34" t="str">
        <f t="shared" si="33"/>
        <v/>
      </c>
      <c r="R254" s="34" t="str">
        <f t="shared" si="34"/>
        <v/>
      </c>
      <c r="S254" s="70"/>
    </row>
    <row r="255" spans="1:19" x14ac:dyDescent="0.25">
      <c r="A255" s="34" t="str">
        <f t="shared" si="35"/>
        <v/>
      </c>
      <c r="B255" s="34" t="str">
        <f t="shared" si="36"/>
        <v/>
      </c>
      <c r="C255" s="34" t="str">
        <f t="shared" si="37"/>
        <v/>
      </c>
      <c r="D255" s="34" t="str">
        <f t="shared" si="38"/>
        <v/>
      </c>
      <c r="K255" s="34" t="str">
        <f t="shared" si="31"/>
        <v/>
      </c>
      <c r="L255" s="34" t="str">
        <f>IF(Data!$I254="","",Data!I254)</f>
        <v/>
      </c>
      <c r="M255" s="34" t="str">
        <f>IF(Data!$I254="","",IF(Data!L254=0,"dns",Data!L254))</f>
        <v/>
      </c>
      <c r="N255" s="34" t="str">
        <f>IF(Data!$I254="","","GP"&amp;Data!$B254)</f>
        <v/>
      </c>
      <c r="O255" s="34" t="str">
        <f t="shared" si="32"/>
        <v/>
      </c>
      <c r="P255" s="34" t="str">
        <f>IF($L255="","",Data!B254)</f>
        <v/>
      </c>
      <c r="Q255" s="34" t="str">
        <f t="shared" si="33"/>
        <v/>
      </c>
      <c r="R255" s="34" t="str">
        <f t="shared" si="34"/>
        <v/>
      </c>
      <c r="S255" s="70"/>
    </row>
    <row r="256" spans="1:19" x14ac:dyDescent="0.25">
      <c r="A256" s="34" t="str">
        <f t="shared" si="35"/>
        <v/>
      </c>
      <c r="B256" s="34" t="str">
        <f t="shared" si="36"/>
        <v/>
      </c>
      <c r="C256" s="34" t="str">
        <f t="shared" si="37"/>
        <v/>
      </c>
      <c r="D256" s="34" t="str">
        <f t="shared" si="38"/>
        <v/>
      </c>
      <c r="K256" s="34" t="str">
        <f t="shared" si="31"/>
        <v/>
      </c>
      <c r="L256" s="34" t="str">
        <f>IF(Data!$I255="","",Data!I255)</f>
        <v/>
      </c>
      <c r="M256" s="34" t="str">
        <f>IF(Data!$I255="","",IF(Data!L255=0,"dns",Data!L255))</f>
        <v/>
      </c>
      <c r="N256" s="34" t="str">
        <f>IF(Data!$I255="","","GP"&amp;Data!$B255)</f>
        <v/>
      </c>
      <c r="O256" s="34" t="str">
        <f t="shared" si="32"/>
        <v/>
      </c>
      <c r="P256" s="34" t="str">
        <f>IF($L256="","",Data!B255)</f>
        <v/>
      </c>
      <c r="Q256" s="34" t="str">
        <f t="shared" si="33"/>
        <v/>
      </c>
      <c r="R256" s="34" t="str">
        <f t="shared" si="34"/>
        <v/>
      </c>
      <c r="S256" s="70"/>
    </row>
    <row r="257" spans="1:19" x14ac:dyDescent="0.25">
      <c r="A257" s="34" t="str">
        <f t="shared" si="35"/>
        <v/>
      </c>
      <c r="B257" s="34" t="str">
        <f t="shared" si="36"/>
        <v/>
      </c>
      <c r="C257" s="34" t="str">
        <f t="shared" si="37"/>
        <v/>
      </c>
      <c r="D257" s="34" t="str">
        <f t="shared" si="38"/>
        <v/>
      </c>
      <c r="K257" s="34" t="str">
        <f t="shared" si="31"/>
        <v/>
      </c>
      <c r="L257" s="34" t="str">
        <f>IF(Data!$I256="","",Data!I256)</f>
        <v/>
      </c>
      <c r="M257" s="34" t="str">
        <f>IF(Data!$I256="","",IF(Data!L256=0,"dns",Data!L256))</f>
        <v/>
      </c>
      <c r="N257" s="34" t="str">
        <f>IF(Data!$I256="","","GP"&amp;Data!$B256)</f>
        <v/>
      </c>
      <c r="O257" s="34" t="str">
        <f t="shared" si="32"/>
        <v/>
      </c>
      <c r="P257" s="34" t="str">
        <f>IF($L257="","",Data!B256)</f>
        <v/>
      </c>
      <c r="Q257" s="34" t="str">
        <f t="shared" si="33"/>
        <v/>
      </c>
      <c r="R257" s="34" t="str">
        <f t="shared" si="34"/>
        <v/>
      </c>
      <c r="S257" s="70"/>
    </row>
    <row r="258" spans="1:19" x14ac:dyDescent="0.25">
      <c r="A258" s="34" t="str">
        <f t="shared" si="35"/>
        <v/>
      </c>
      <c r="B258" s="34" t="str">
        <f t="shared" si="36"/>
        <v/>
      </c>
      <c r="C258" s="34" t="str">
        <f t="shared" si="37"/>
        <v/>
      </c>
      <c r="D258" s="34" t="str">
        <f t="shared" si="38"/>
        <v/>
      </c>
      <c r="K258" s="34" t="str">
        <f t="shared" si="31"/>
        <v/>
      </c>
      <c r="L258" s="34" t="str">
        <f>IF(Data!$I257="","",Data!I257)</f>
        <v/>
      </c>
      <c r="M258" s="34" t="str">
        <f>IF(Data!$I257="","",IF(Data!L257=0,"dns",Data!L257))</f>
        <v/>
      </c>
      <c r="N258" s="34" t="str">
        <f>IF(Data!$I257="","","GP"&amp;Data!$B257)</f>
        <v/>
      </c>
      <c r="O258" s="34" t="str">
        <f t="shared" si="32"/>
        <v/>
      </c>
      <c r="P258" s="34" t="str">
        <f>IF($L258="","",Data!B257)</f>
        <v/>
      </c>
      <c r="Q258" s="34" t="str">
        <f t="shared" si="33"/>
        <v/>
      </c>
      <c r="R258" s="34" t="str">
        <f t="shared" si="34"/>
        <v/>
      </c>
      <c r="S258" s="70"/>
    </row>
    <row r="259" spans="1:19" x14ac:dyDescent="0.25">
      <c r="A259" s="34" t="str">
        <f t="shared" si="35"/>
        <v/>
      </c>
      <c r="B259" s="34" t="str">
        <f t="shared" si="36"/>
        <v/>
      </c>
      <c r="C259" s="34" t="str">
        <f t="shared" si="37"/>
        <v/>
      </c>
      <c r="D259" s="34" t="str">
        <f t="shared" si="38"/>
        <v/>
      </c>
      <c r="K259" s="34" t="str">
        <f t="shared" si="31"/>
        <v/>
      </c>
      <c r="L259" s="34" t="str">
        <f>IF(Data!$I258="","",Data!I258)</f>
        <v/>
      </c>
      <c r="M259" s="34" t="str">
        <f>IF(Data!$I258="","",IF(Data!L258=0,"dns",Data!L258))</f>
        <v/>
      </c>
      <c r="N259" s="34" t="str">
        <f>IF(Data!$I258="","","GP"&amp;Data!$B258)</f>
        <v/>
      </c>
      <c r="O259" s="34" t="str">
        <f t="shared" si="32"/>
        <v/>
      </c>
      <c r="P259" s="34" t="str">
        <f>IF($L259="","",Data!B258)</f>
        <v/>
      </c>
      <c r="Q259" s="34" t="str">
        <f t="shared" si="33"/>
        <v/>
      </c>
      <c r="R259" s="34" t="str">
        <f t="shared" si="34"/>
        <v/>
      </c>
      <c r="S259" s="70"/>
    </row>
    <row r="260" spans="1:19" x14ac:dyDescent="0.25">
      <c r="A260" s="34" t="str">
        <f t="shared" si="35"/>
        <v/>
      </c>
      <c r="B260" s="34" t="str">
        <f t="shared" si="36"/>
        <v/>
      </c>
      <c r="C260" s="34" t="str">
        <f t="shared" si="37"/>
        <v/>
      </c>
      <c r="D260" s="34" t="str">
        <f t="shared" si="38"/>
        <v/>
      </c>
      <c r="K260" s="34" t="str">
        <f t="shared" ref="K260:K314" si="39">IF($L260="","",_xlfn.RANK.EQ($R260,$R$3:$R$314,1))</f>
        <v/>
      </c>
      <c r="L260" s="34" t="str">
        <f>IF(Data!$I259="","",Data!I259)</f>
        <v/>
      </c>
      <c r="M260" s="34" t="str">
        <f>IF(Data!$I259="","",IF(Data!L259=0,"dns",Data!L259))</f>
        <v/>
      </c>
      <c r="N260" s="34" t="str">
        <f>IF(Data!$I259="","","GP"&amp;Data!$B259)</f>
        <v/>
      </c>
      <c r="O260" s="34" t="str">
        <f t="shared" ref="O260:O314" si="40">IF(L260="","",IFERROR(_xlfn.RANK.EQ($M260,$M$3:$M$314,0),COUNTA($L$3:$L$314)+1))</f>
        <v/>
      </c>
      <c r="P260" s="34" t="str">
        <f>IF($L260="","",Data!B259)</f>
        <v/>
      </c>
      <c r="Q260" s="34" t="str">
        <f t="shared" ref="Q260:Q314" si="41">IF($L260="","",ROW())</f>
        <v/>
      </c>
      <c r="R260" s="34" t="str">
        <f t="shared" ref="R260:R314" si="42">IF($L260="","",O260/1000+P260/100000+Q260/100000000)</f>
        <v/>
      </c>
      <c r="S260" s="70"/>
    </row>
    <row r="261" spans="1:19" x14ac:dyDescent="0.25">
      <c r="A261" s="34" t="str">
        <f t="shared" si="35"/>
        <v/>
      </c>
      <c r="B261" s="34" t="str">
        <f t="shared" si="36"/>
        <v/>
      </c>
      <c r="C261" s="34" t="str">
        <f t="shared" si="37"/>
        <v/>
      </c>
      <c r="D261" s="34" t="str">
        <f t="shared" si="38"/>
        <v/>
      </c>
      <c r="K261" s="34" t="str">
        <f t="shared" si="39"/>
        <v/>
      </c>
      <c r="L261" s="34" t="str">
        <f>IF(Data!$I260="","",Data!I260)</f>
        <v/>
      </c>
      <c r="M261" s="34" t="str">
        <f>IF(Data!$I260="","",IF(Data!L260=0,"dns",Data!L260))</f>
        <v/>
      </c>
      <c r="N261" s="34" t="str">
        <f>IF(Data!$I260="","","GP"&amp;Data!$B260)</f>
        <v/>
      </c>
      <c r="O261" s="34" t="str">
        <f t="shared" si="40"/>
        <v/>
      </c>
      <c r="P261" s="34" t="str">
        <f>IF($L261="","",Data!B260)</f>
        <v/>
      </c>
      <c r="Q261" s="34" t="str">
        <f t="shared" si="41"/>
        <v/>
      </c>
      <c r="R261" s="34" t="str">
        <f t="shared" si="42"/>
        <v/>
      </c>
      <c r="S261" s="70"/>
    </row>
    <row r="262" spans="1:19" x14ac:dyDescent="0.25">
      <c r="A262" s="34" t="str">
        <f t="shared" si="35"/>
        <v/>
      </c>
      <c r="B262" s="34" t="str">
        <f t="shared" si="36"/>
        <v/>
      </c>
      <c r="C262" s="34" t="str">
        <f t="shared" si="37"/>
        <v/>
      </c>
      <c r="D262" s="34" t="str">
        <f t="shared" si="38"/>
        <v/>
      </c>
      <c r="K262" s="34" t="str">
        <f t="shared" si="39"/>
        <v/>
      </c>
      <c r="L262" s="34" t="str">
        <f>IF(Data!$I261="","",Data!I261)</f>
        <v/>
      </c>
      <c r="M262" s="34" t="str">
        <f>IF(Data!$I261="","",IF(Data!L261=0,"dns",Data!L261))</f>
        <v/>
      </c>
      <c r="N262" s="34" t="str">
        <f>IF(Data!$I261="","","GP"&amp;Data!$B261)</f>
        <v/>
      </c>
      <c r="O262" s="34" t="str">
        <f t="shared" si="40"/>
        <v/>
      </c>
      <c r="P262" s="34" t="str">
        <f>IF($L262="","",Data!B261)</f>
        <v/>
      </c>
      <c r="Q262" s="34" t="str">
        <f t="shared" si="41"/>
        <v/>
      </c>
      <c r="R262" s="34" t="str">
        <f t="shared" si="42"/>
        <v/>
      </c>
      <c r="S262" s="70"/>
    </row>
    <row r="263" spans="1:19" x14ac:dyDescent="0.25">
      <c r="A263" s="34" t="str">
        <f t="shared" ref="A263:A316" si="43">IFERROR(IF(A262+1&gt;MAX($K$3:$K$316),"",A262+1),"")</f>
        <v/>
      </c>
      <c r="B263" s="34" t="str">
        <f t="shared" ref="B263:B316" si="44">IF($A263="","",VLOOKUP($A263,$K$3:$N$626,L$1,0))</f>
        <v/>
      </c>
      <c r="C263" s="34" t="str">
        <f t="shared" ref="C263:C316" si="45">IF($A263="","",VLOOKUP($A263,$K$3:$N$626,M$1,0))</f>
        <v/>
      </c>
      <c r="D263" s="34" t="str">
        <f t="shared" ref="D263:D316" si="46">IF($A263="","",VLOOKUP($A263,$K$3:$N$626,N$1,0))</f>
        <v/>
      </c>
      <c r="K263" s="34" t="str">
        <f t="shared" si="39"/>
        <v/>
      </c>
      <c r="L263" s="34" t="str">
        <f>IF(Data!$I262="","",Data!I262)</f>
        <v/>
      </c>
      <c r="M263" s="34" t="str">
        <f>IF(Data!$I262="","",IF(Data!L262=0,"dns",Data!L262))</f>
        <v/>
      </c>
      <c r="N263" s="34" t="str">
        <f>IF(Data!$I262="","","GP"&amp;Data!$B262)</f>
        <v/>
      </c>
      <c r="O263" s="34" t="str">
        <f t="shared" si="40"/>
        <v/>
      </c>
      <c r="P263" s="34" t="str">
        <f>IF($L263="","",Data!B262)</f>
        <v/>
      </c>
      <c r="Q263" s="34" t="str">
        <f t="shared" si="41"/>
        <v/>
      </c>
      <c r="R263" s="34" t="str">
        <f t="shared" si="42"/>
        <v/>
      </c>
      <c r="S263" s="70"/>
    </row>
    <row r="264" spans="1:19" x14ac:dyDescent="0.25">
      <c r="A264" s="34" t="str">
        <f t="shared" si="43"/>
        <v/>
      </c>
      <c r="B264" s="34" t="str">
        <f t="shared" si="44"/>
        <v/>
      </c>
      <c r="C264" s="34" t="str">
        <f t="shared" si="45"/>
        <v/>
      </c>
      <c r="D264" s="34" t="str">
        <f t="shared" si="46"/>
        <v/>
      </c>
      <c r="K264" s="34" t="str">
        <f t="shared" si="39"/>
        <v/>
      </c>
      <c r="L264" s="34" t="str">
        <f>IF(Data!$I263="","",Data!I263)</f>
        <v/>
      </c>
      <c r="M264" s="34" t="str">
        <f>IF(Data!$I263="","",IF(Data!L263=0,"dns",Data!L263))</f>
        <v/>
      </c>
      <c r="N264" s="34" t="str">
        <f>IF(Data!$I263="","","GP"&amp;Data!$B263)</f>
        <v/>
      </c>
      <c r="O264" s="34" t="str">
        <f t="shared" si="40"/>
        <v/>
      </c>
      <c r="P264" s="34" t="str">
        <f>IF($L264="","",Data!B263)</f>
        <v/>
      </c>
      <c r="Q264" s="34" t="str">
        <f t="shared" si="41"/>
        <v/>
      </c>
      <c r="R264" s="34" t="str">
        <f t="shared" si="42"/>
        <v/>
      </c>
      <c r="S264" s="70"/>
    </row>
    <row r="265" spans="1:19" x14ac:dyDescent="0.25">
      <c r="A265" s="34" t="str">
        <f t="shared" si="43"/>
        <v/>
      </c>
      <c r="B265" s="34" t="str">
        <f t="shared" si="44"/>
        <v/>
      </c>
      <c r="C265" s="34" t="str">
        <f t="shared" si="45"/>
        <v/>
      </c>
      <c r="D265" s="34" t="str">
        <f t="shared" si="46"/>
        <v/>
      </c>
      <c r="K265" s="34" t="str">
        <f t="shared" si="39"/>
        <v/>
      </c>
      <c r="L265" s="34" t="str">
        <f>IF(Data!$I264="","",Data!I264)</f>
        <v/>
      </c>
      <c r="M265" s="34" t="str">
        <f>IF(Data!$I264="","",IF(Data!L264=0,"dns",Data!L264))</f>
        <v/>
      </c>
      <c r="N265" s="34" t="str">
        <f>IF(Data!$I264="","","GP"&amp;Data!$B264)</f>
        <v/>
      </c>
      <c r="O265" s="34" t="str">
        <f t="shared" si="40"/>
        <v/>
      </c>
      <c r="P265" s="34" t="str">
        <f>IF($L265="","",Data!B264)</f>
        <v/>
      </c>
      <c r="Q265" s="34" t="str">
        <f t="shared" si="41"/>
        <v/>
      </c>
      <c r="R265" s="34" t="str">
        <f t="shared" si="42"/>
        <v/>
      </c>
      <c r="S265" s="70"/>
    </row>
    <row r="266" spans="1:19" x14ac:dyDescent="0.25">
      <c r="A266" s="34" t="str">
        <f t="shared" si="43"/>
        <v/>
      </c>
      <c r="B266" s="34" t="str">
        <f t="shared" si="44"/>
        <v/>
      </c>
      <c r="C266" s="34" t="str">
        <f t="shared" si="45"/>
        <v/>
      </c>
      <c r="D266" s="34" t="str">
        <f t="shared" si="46"/>
        <v/>
      </c>
      <c r="K266" s="34" t="str">
        <f t="shared" si="39"/>
        <v/>
      </c>
      <c r="L266" s="34" t="str">
        <f>IF(Data!$I265="","",Data!I265)</f>
        <v/>
      </c>
      <c r="M266" s="34" t="str">
        <f>IF(Data!$I265="","",IF(Data!L265=0,"dns",Data!L265))</f>
        <v/>
      </c>
      <c r="N266" s="34" t="str">
        <f>IF(Data!$I265="","","GP"&amp;Data!$B265)</f>
        <v/>
      </c>
      <c r="O266" s="34" t="str">
        <f t="shared" si="40"/>
        <v/>
      </c>
      <c r="P266" s="34" t="str">
        <f>IF($L266="","",Data!B265)</f>
        <v/>
      </c>
      <c r="Q266" s="34" t="str">
        <f t="shared" si="41"/>
        <v/>
      </c>
      <c r="R266" s="34" t="str">
        <f t="shared" si="42"/>
        <v/>
      </c>
      <c r="S266" s="70"/>
    </row>
    <row r="267" spans="1:19" x14ac:dyDescent="0.25">
      <c r="A267" s="34" t="str">
        <f t="shared" si="43"/>
        <v/>
      </c>
      <c r="B267" s="34" t="str">
        <f t="shared" si="44"/>
        <v/>
      </c>
      <c r="C267" s="34" t="str">
        <f t="shared" si="45"/>
        <v/>
      </c>
      <c r="D267" s="34" t="str">
        <f t="shared" si="46"/>
        <v/>
      </c>
      <c r="K267" s="34" t="str">
        <f t="shared" si="39"/>
        <v/>
      </c>
      <c r="L267" s="34" t="str">
        <f>IF(Data!$I266="","",Data!I266)</f>
        <v/>
      </c>
      <c r="M267" s="34" t="str">
        <f>IF(Data!$I266="","",IF(Data!L266=0,"dns",Data!L266))</f>
        <v/>
      </c>
      <c r="N267" s="34" t="str">
        <f>IF(Data!$I266="","","GP"&amp;Data!$B266)</f>
        <v/>
      </c>
      <c r="O267" s="34" t="str">
        <f t="shared" si="40"/>
        <v/>
      </c>
      <c r="P267" s="34" t="str">
        <f>IF($L267="","",Data!B266)</f>
        <v/>
      </c>
      <c r="Q267" s="34" t="str">
        <f t="shared" si="41"/>
        <v/>
      </c>
      <c r="R267" s="34" t="str">
        <f t="shared" si="42"/>
        <v/>
      </c>
      <c r="S267" s="70"/>
    </row>
    <row r="268" spans="1:19" x14ac:dyDescent="0.25">
      <c r="A268" s="34" t="str">
        <f t="shared" si="43"/>
        <v/>
      </c>
      <c r="B268" s="34" t="str">
        <f t="shared" si="44"/>
        <v/>
      </c>
      <c r="C268" s="34" t="str">
        <f t="shared" si="45"/>
        <v/>
      </c>
      <c r="D268" s="34" t="str">
        <f t="shared" si="46"/>
        <v/>
      </c>
      <c r="K268" s="34" t="str">
        <f t="shared" si="39"/>
        <v/>
      </c>
      <c r="L268" s="34" t="str">
        <f>IF(Data!$I267="","",Data!I267)</f>
        <v/>
      </c>
      <c r="M268" s="34" t="str">
        <f>IF(Data!$I267="","",IF(Data!L267=0,"dns",Data!L267))</f>
        <v/>
      </c>
      <c r="N268" s="34" t="str">
        <f>IF(Data!$I267="","","GP"&amp;Data!$B267)</f>
        <v/>
      </c>
      <c r="O268" s="34" t="str">
        <f t="shared" si="40"/>
        <v/>
      </c>
      <c r="P268" s="34" t="str">
        <f>IF($L268="","",Data!B267)</f>
        <v/>
      </c>
      <c r="Q268" s="34" t="str">
        <f t="shared" si="41"/>
        <v/>
      </c>
      <c r="R268" s="34" t="str">
        <f t="shared" si="42"/>
        <v/>
      </c>
      <c r="S268" s="70"/>
    </row>
    <row r="269" spans="1:19" x14ac:dyDescent="0.25">
      <c r="A269" s="34" t="str">
        <f t="shared" si="43"/>
        <v/>
      </c>
      <c r="B269" s="34" t="str">
        <f t="shared" si="44"/>
        <v/>
      </c>
      <c r="C269" s="34" t="str">
        <f t="shared" si="45"/>
        <v/>
      </c>
      <c r="D269" s="34" t="str">
        <f t="shared" si="46"/>
        <v/>
      </c>
      <c r="K269" s="34" t="str">
        <f t="shared" si="39"/>
        <v/>
      </c>
      <c r="L269" s="34" t="str">
        <f>IF(Data!$I268="","",Data!I268)</f>
        <v/>
      </c>
      <c r="M269" s="34" t="str">
        <f>IF(Data!$I268="","",IF(Data!L268=0,"dns",Data!L268))</f>
        <v/>
      </c>
      <c r="N269" s="34" t="str">
        <f>IF(Data!$I268="","","GP"&amp;Data!$B268)</f>
        <v/>
      </c>
      <c r="O269" s="34" t="str">
        <f t="shared" si="40"/>
        <v/>
      </c>
      <c r="P269" s="34" t="str">
        <f>IF($L269="","",Data!B268)</f>
        <v/>
      </c>
      <c r="Q269" s="34" t="str">
        <f t="shared" si="41"/>
        <v/>
      </c>
      <c r="R269" s="34" t="str">
        <f t="shared" si="42"/>
        <v/>
      </c>
      <c r="S269" s="70"/>
    </row>
    <row r="270" spans="1:19" x14ac:dyDescent="0.25">
      <c r="A270" s="34" t="str">
        <f t="shared" si="43"/>
        <v/>
      </c>
      <c r="B270" s="34" t="str">
        <f t="shared" si="44"/>
        <v/>
      </c>
      <c r="C270" s="34" t="str">
        <f t="shared" si="45"/>
        <v/>
      </c>
      <c r="D270" s="34" t="str">
        <f t="shared" si="46"/>
        <v/>
      </c>
      <c r="K270" s="34" t="str">
        <f t="shared" si="39"/>
        <v/>
      </c>
      <c r="L270" s="34" t="str">
        <f>IF(Data!$I269="","",Data!I269)</f>
        <v/>
      </c>
      <c r="M270" s="34" t="str">
        <f>IF(Data!$I269="","",IF(Data!L269=0,"dns",Data!L269))</f>
        <v/>
      </c>
      <c r="N270" s="34" t="str">
        <f>IF(Data!$I269="","","GP"&amp;Data!$B269)</f>
        <v/>
      </c>
      <c r="O270" s="34" t="str">
        <f t="shared" si="40"/>
        <v/>
      </c>
      <c r="P270" s="34" t="str">
        <f>IF($L270="","",Data!B269)</f>
        <v/>
      </c>
      <c r="Q270" s="34" t="str">
        <f t="shared" si="41"/>
        <v/>
      </c>
      <c r="R270" s="34" t="str">
        <f t="shared" si="42"/>
        <v/>
      </c>
      <c r="S270" s="70"/>
    </row>
    <row r="271" spans="1:19" x14ac:dyDescent="0.25">
      <c r="A271" s="34" t="str">
        <f t="shared" si="43"/>
        <v/>
      </c>
      <c r="B271" s="34" t="str">
        <f t="shared" si="44"/>
        <v/>
      </c>
      <c r="C271" s="34" t="str">
        <f t="shared" si="45"/>
        <v/>
      </c>
      <c r="D271" s="34" t="str">
        <f t="shared" si="46"/>
        <v/>
      </c>
      <c r="K271" s="34" t="str">
        <f t="shared" si="39"/>
        <v/>
      </c>
      <c r="L271" s="34" t="str">
        <f>IF(Data!$I270="","",Data!I270)</f>
        <v/>
      </c>
      <c r="M271" s="34" t="str">
        <f>IF(Data!$I270="","",IF(Data!L270=0,"dns",Data!L270))</f>
        <v/>
      </c>
      <c r="N271" s="34" t="str">
        <f>IF(Data!$I270="","","GP"&amp;Data!$B270)</f>
        <v/>
      </c>
      <c r="O271" s="34" t="str">
        <f t="shared" si="40"/>
        <v/>
      </c>
      <c r="P271" s="34" t="str">
        <f>IF($L271="","",Data!B270)</f>
        <v/>
      </c>
      <c r="Q271" s="34" t="str">
        <f t="shared" si="41"/>
        <v/>
      </c>
      <c r="R271" s="34" t="str">
        <f t="shared" si="42"/>
        <v/>
      </c>
      <c r="S271" s="70"/>
    </row>
    <row r="272" spans="1:19" x14ac:dyDescent="0.25">
      <c r="A272" s="34" t="str">
        <f t="shared" si="43"/>
        <v/>
      </c>
      <c r="B272" s="34" t="str">
        <f t="shared" si="44"/>
        <v/>
      </c>
      <c r="C272" s="34" t="str">
        <f t="shared" si="45"/>
        <v/>
      </c>
      <c r="D272" s="34" t="str">
        <f t="shared" si="46"/>
        <v/>
      </c>
      <c r="K272" s="34" t="str">
        <f t="shared" si="39"/>
        <v/>
      </c>
      <c r="L272" s="34" t="str">
        <f>IF(Data!$I271="","",Data!I271)</f>
        <v/>
      </c>
      <c r="M272" s="34" t="str">
        <f>IF(Data!$I271="","",IF(Data!L271=0,"dns",Data!L271))</f>
        <v/>
      </c>
      <c r="N272" s="34" t="str">
        <f>IF(Data!$I271="","","GP"&amp;Data!$B271)</f>
        <v/>
      </c>
      <c r="O272" s="34" t="str">
        <f t="shared" si="40"/>
        <v/>
      </c>
      <c r="P272" s="34" t="str">
        <f>IF($L272="","",Data!B271)</f>
        <v/>
      </c>
      <c r="Q272" s="34" t="str">
        <f t="shared" si="41"/>
        <v/>
      </c>
      <c r="R272" s="34" t="str">
        <f t="shared" si="42"/>
        <v/>
      </c>
      <c r="S272" s="70"/>
    </row>
    <row r="273" spans="1:19" x14ac:dyDescent="0.25">
      <c r="A273" s="34" t="str">
        <f t="shared" si="43"/>
        <v/>
      </c>
      <c r="B273" s="34" t="str">
        <f t="shared" si="44"/>
        <v/>
      </c>
      <c r="C273" s="34" t="str">
        <f t="shared" si="45"/>
        <v/>
      </c>
      <c r="D273" s="34" t="str">
        <f t="shared" si="46"/>
        <v/>
      </c>
      <c r="K273" s="34" t="str">
        <f t="shared" si="39"/>
        <v/>
      </c>
      <c r="L273" s="34" t="str">
        <f>IF(Data!$I272="","",Data!I272)</f>
        <v/>
      </c>
      <c r="M273" s="34" t="str">
        <f>IF(Data!$I272="","",IF(Data!L272=0,"dns",Data!L272))</f>
        <v/>
      </c>
      <c r="N273" s="34" t="str">
        <f>IF(Data!$I272="","","GP"&amp;Data!$B272)</f>
        <v/>
      </c>
      <c r="O273" s="34" t="str">
        <f t="shared" si="40"/>
        <v/>
      </c>
      <c r="P273" s="34" t="str">
        <f>IF($L273="","",Data!B272)</f>
        <v/>
      </c>
      <c r="Q273" s="34" t="str">
        <f t="shared" si="41"/>
        <v/>
      </c>
      <c r="R273" s="34" t="str">
        <f t="shared" si="42"/>
        <v/>
      </c>
      <c r="S273" s="70"/>
    </row>
    <row r="274" spans="1:19" x14ac:dyDescent="0.25">
      <c r="A274" s="34" t="str">
        <f t="shared" si="43"/>
        <v/>
      </c>
      <c r="B274" s="34" t="str">
        <f t="shared" si="44"/>
        <v/>
      </c>
      <c r="C274" s="34" t="str">
        <f t="shared" si="45"/>
        <v/>
      </c>
      <c r="D274" s="34" t="str">
        <f t="shared" si="46"/>
        <v/>
      </c>
      <c r="K274" s="34" t="str">
        <f t="shared" si="39"/>
        <v/>
      </c>
      <c r="L274" s="34" t="str">
        <f>IF(Data!$I273="","",Data!I273)</f>
        <v/>
      </c>
      <c r="M274" s="34" t="str">
        <f>IF(Data!$I273="","",IF(Data!L273=0,"dns",Data!L273))</f>
        <v/>
      </c>
      <c r="N274" s="34" t="str">
        <f>IF(Data!$I273="","","GP"&amp;Data!$B273)</f>
        <v/>
      </c>
      <c r="O274" s="34" t="str">
        <f t="shared" si="40"/>
        <v/>
      </c>
      <c r="P274" s="34" t="str">
        <f>IF($L274="","",Data!B273)</f>
        <v/>
      </c>
      <c r="Q274" s="34" t="str">
        <f t="shared" si="41"/>
        <v/>
      </c>
      <c r="R274" s="34" t="str">
        <f t="shared" si="42"/>
        <v/>
      </c>
      <c r="S274" s="70"/>
    </row>
    <row r="275" spans="1:19" x14ac:dyDescent="0.25">
      <c r="A275" s="34" t="str">
        <f t="shared" si="43"/>
        <v/>
      </c>
      <c r="B275" s="34" t="str">
        <f t="shared" si="44"/>
        <v/>
      </c>
      <c r="C275" s="34" t="str">
        <f t="shared" si="45"/>
        <v/>
      </c>
      <c r="D275" s="34" t="str">
        <f t="shared" si="46"/>
        <v/>
      </c>
      <c r="K275" s="34" t="str">
        <f t="shared" si="39"/>
        <v/>
      </c>
      <c r="L275" s="34" t="str">
        <f>IF(Data!$I274="","",Data!I274)</f>
        <v/>
      </c>
      <c r="M275" s="34" t="str">
        <f>IF(Data!$I274="","",IF(Data!L274=0,"dns",Data!L274))</f>
        <v/>
      </c>
      <c r="N275" s="34" t="str">
        <f>IF(Data!$I274="","","GP"&amp;Data!$B274)</f>
        <v/>
      </c>
      <c r="O275" s="34" t="str">
        <f t="shared" si="40"/>
        <v/>
      </c>
      <c r="P275" s="34" t="str">
        <f>IF($L275="","",Data!B274)</f>
        <v/>
      </c>
      <c r="Q275" s="34" t="str">
        <f t="shared" si="41"/>
        <v/>
      </c>
      <c r="R275" s="34" t="str">
        <f t="shared" si="42"/>
        <v/>
      </c>
      <c r="S275" s="70"/>
    </row>
    <row r="276" spans="1:19" x14ac:dyDescent="0.25">
      <c r="A276" s="34" t="str">
        <f t="shared" si="43"/>
        <v/>
      </c>
      <c r="B276" s="34" t="str">
        <f t="shared" si="44"/>
        <v/>
      </c>
      <c r="C276" s="34" t="str">
        <f t="shared" si="45"/>
        <v/>
      </c>
      <c r="D276" s="34" t="str">
        <f t="shared" si="46"/>
        <v/>
      </c>
      <c r="K276" s="34" t="str">
        <f t="shared" si="39"/>
        <v/>
      </c>
      <c r="L276" s="34" t="str">
        <f>IF(Data!$I275="","",Data!I275)</f>
        <v/>
      </c>
      <c r="M276" s="34" t="str">
        <f>IF(Data!$I275="","",IF(Data!L275=0,"dns",Data!L275))</f>
        <v/>
      </c>
      <c r="N276" s="34" t="str">
        <f>IF(Data!$I275="","","GP"&amp;Data!$B275)</f>
        <v/>
      </c>
      <c r="O276" s="34" t="str">
        <f t="shared" si="40"/>
        <v/>
      </c>
      <c r="P276" s="34" t="str">
        <f>IF($L276="","",Data!B275)</f>
        <v/>
      </c>
      <c r="Q276" s="34" t="str">
        <f t="shared" si="41"/>
        <v/>
      </c>
      <c r="R276" s="34" t="str">
        <f t="shared" si="42"/>
        <v/>
      </c>
      <c r="S276" s="70"/>
    </row>
    <row r="277" spans="1:19" x14ac:dyDescent="0.25">
      <c r="A277" s="34" t="str">
        <f t="shared" si="43"/>
        <v/>
      </c>
      <c r="B277" s="34" t="str">
        <f t="shared" si="44"/>
        <v/>
      </c>
      <c r="C277" s="34" t="str">
        <f t="shared" si="45"/>
        <v/>
      </c>
      <c r="D277" s="34" t="str">
        <f t="shared" si="46"/>
        <v/>
      </c>
      <c r="K277" s="34" t="str">
        <f t="shared" si="39"/>
        <v/>
      </c>
      <c r="L277" s="34" t="str">
        <f>IF(Data!$I276="","",Data!I276)</f>
        <v/>
      </c>
      <c r="M277" s="34" t="str">
        <f>IF(Data!$I276="","",IF(Data!L276=0,"dns",Data!L276))</f>
        <v/>
      </c>
      <c r="N277" s="34" t="str">
        <f>IF(Data!$I276="","","GP"&amp;Data!$B276)</f>
        <v/>
      </c>
      <c r="O277" s="34" t="str">
        <f t="shared" si="40"/>
        <v/>
      </c>
      <c r="P277" s="34" t="str">
        <f>IF($L277="","",Data!B276)</f>
        <v/>
      </c>
      <c r="Q277" s="34" t="str">
        <f t="shared" si="41"/>
        <v/>
      </c>
      <c r="R277" s="34" t="str">
        <f t="shared" si="42"/>
        <v/>
      </c>
      <c r="S277" s="70"/>
    </row>
    <row r="278" spans="1:19" x14ac:dyDescent="0.25">
      <c r="A278" s="34" t="str">
        <f t="shared" si="43"/>
        <v/>
      </c>
      <c r="B278" s="34" t="str">
        <f t="shared" si="44"/>
        <v/>
      </c>
      <c r="C278" s="34" t="str">
        <f t="shared" si="45"/>
        <v/>
      </c>
      <c r="D278" s="34" t="str">
        <f t="shared" si="46"/>
        <v/>
      </c>
      <c r="K278" s="34" t="str">
        <f t="shared" si="39"/>
        <v/>
      </c>
      <c r="L278" s="34" t="str">
        <f>IF(Data!$I277="","",Data!I277)</f>
        <v/>
      </c>
      <c r="M278" s="34" t="str">
        <f>IF(Data!$I277="","",IF(Data!L277=0,"dns",Data!L277))</f>
        <v/>
      </c>
      <c r="N278" s="34" t="str">
        <f>IF(Data!$I277="","","GP"&amp;Data!$B277)</f>
        <v/>
      </c>
      <c r="O278" s="34" t="str">
        <f t="shared" si="40"/>
        <v/>
      </c>
      <c r="P278" s="34" t="str">
        <f>IF($L278="","",Data!B277)</f>
        <v/>
      </c>
      <c r="Q278" s="34" t="str">
        <f t="shared" si="41"/>
        <v/>
      </c>
      <c r="R278" s="34" t="str">
        <f t="shared" si="42"/>
        <v/>
      </c>
      <c r="S278" s="70"/>
    </row>
    <row r="279" spans="1:19" x14ac:dyDescent="0.25">
      <c r="A279" s="34" t="str">
        <f t="shared" si="43"/>
        <v/>
      </c>
      <c r="B279" s="34" t="str">
        <f t="shared" si="44"/>
        <v/>
      </c>
      <c r="C279" s="34" t="str">
        <f t="shared" si="45"/>
        <v/>
      </c>
      <c r="D279" s="34" t="str">
        <f t="shared" si="46"/>
        <v/>
      </c>
      <c r="K279" s="34" t="str">
        <f t="shared" si="39"/>
        <v/>
      </c>
      <c r="L279" s="34" t="str">
        <f>IF(Data!$I278="","",Data!I278)</f>
        <v/>
      </c>
      <c r="M279" s="34" t="str">
        <f>IF(Data!$I278="","",IF(Data!L278=0,"dns",Data!L278))</f>
        <v/>
      </c>
      <c r="N279" s="34" t="str">
        <f>IF(Data!$I278="","","GP"&amp;Data!$B278)</f>
        <v/>
      </c>
      <c r="O279" s="34" t="str">
        <f t="shared" si="40"/>
        <v/>
      </c>
      <c r="P279" s="34" t="str">
        <f>IF($L279="","",Data!B278)</f>
        <v/>
      </c>
      <c r="Q279" s="34" t="str">
        <f t="shared" si="41"/>
        <v/>
      </c>
      <c r="R279" s="34" t="str">
        <f t="shared" si="42"/>
        <v/>
      </c>
      <c r="S279" s="70"/>
    </row>
    <row r="280" spans="1:19" x14ac:dyDescent="0.25">
      <c r="A280" s="34" t="str">
        <f t="shared" si="43"/>
        <v/>
      </c>
      <c r="B280" s="34" t="str">
        <f t="shared" si="44"/>
        <v/>
      </c>
      <c r="C280" s="34" t="str">
        <f t="shared" si="45"/>
        <v/>
      </c>
      <c r="D280" s="34" t="str">
        <f t="shared" si="46"/>
        <v/>
      </c>
      <c r="K280" s="34" t="str">
        <f t="shared" si="39"/>
        <v/>
      </c>
      <c r="L280" s="34" t="str">
        <f>IF(Data!$I279="","",Data!I279)</f>
        <v/>
      </c>
      <c r="M280" s="34" t="str">
        <f>IF(Data!$I279="","",IF(Data!L279=0,"dns",Data!L279))</f>
        <v/>
      </c>
      <c r="N280" s="34" t="str">
        <f>IF(Data!$I279="","","GP"&amp;Data!$B279)</f>
        <v/>
      </c>
      <c r="O280" s="34" t="str">
        <f t="shared" si="40"/>
        <v/>
      </c>
      <c r="P280" s="34" t="str">
        <f>IF($L280="","",Data!B279)</f>
        <v/>
      </c>
      <c r="Q280" s="34" t="str">
        <f t="shared" si="41"/>
        <v/>
      </c>
      <c r="R280" s="34" t="str">
        <f t="shared" si="42"/>
        <v/>
      </c>
      <c r="S280" s="70"/>
    </row>
    <row r="281" spans="1:19" x14ac:dyDescent="0.25">
      <c r="A281" s="34" t="str">
        <f t="shared" si="43"/>
        <v/>
      </c>
      <c r="B281" s="34" t="str">
        <f t="shared" si="44"/>
        <v/>
      </c>
      <c r="C281" s="34" t="str">
        <f t="shared" si="45"/>
        <v/>
      </c>
      <c r="D281" s="34" t="str">
        <f t="shared" si="46"/>
        <v/>
      </c>
      <c r="K281" s="34" t="str">
        <f t="shared" si="39"/>
        <v/>
      </c>
      <c r="L281" s="34" t="str">
        <f>IF(Data!$I280="","",Data!I280)</f>
        <v/>
      </c>
      <c r="M281" s="34" t="str">
        <f>IF(Data!$I280="","",IF(Data!L280=0,"dns",Data!L280))</f>
        <v/>
      </c>
      <c r="N281" s="34" t="str">
        <f>IF(Data!$I280="","","GP"&amp;Data!$B280)</f>
        <v/>
      </c>
      <c r="O281" s="34" t="str">
        <f t="shared" si="40"/>
        <v/>
      </c>
      <c r="P281" s="34" t="str">
        <f>IF($L281="","",Data!B280)</f>
        <v/>
      </c>
      <c r="Q281" s="34" t="str">
        <f t="shared" si="41"/>
        <v/>
      </c>
      <c r="R281" s="34" t="str">
        <f t="shared" si="42"/>
        <v/>
      </c>
      <c r="S281" s="70"/>
    </row>
    <row r="282" spans="1:19" x14ac:dyDescent="0.25">
      <c r="A282" s="34" t="str">
        <f t="shared" si="43"/>
        <v/>
      </c>
      <c r="B282" s="34" t="str">
        <f t="shared" si="44"/>
        <v/>
      </c>
      <c r="C282" s="34" t="str">
        <f t="shared" si="45"/>
        <v/>
      </c>
      <c r="D282" s="34" t="str">
        <f t="shared" si="46"/>
        <v/>
      </c>
      <c r="K282" s="34" t="str">
        <f t="shared" si="39"/>
        <v/>
      </c>
      <c r="L282" s="34" t="str">
        <f>IF(Data!$I281="","",Data!I281)</f>
        <v/>
      </c>
      <c r="M282" s="34" t="str">
        <f>IF(Data!$I281="","",IF(Data!L281=0,"dns",Data!L281))</f>
        <v/>
      </c>
      <c r="N282" s="34" t="str">
        <f>IF(Data!$I281="","","GP"&amp;Data!$B281)</f>
        <v/>
      </c>
      <c r="O282" s="34" t="str">
        <f t="shared" si="40"/>
        <v/>
      </c>
      <c r="P282" s="34" t="str">
        <f>IF($L282="","",Data!B281)</f>
        <v/>
      </c>
      <c r="Q282" s="34" t="str">
        <f t="shared" si="41"/>
        <v/>
      </c>
      <c r="R282" s="34" t="str">
        <f t="shared" si="42"/>
        <v/>
      </c>
      <c r="S282" s="70"/>
    </row>
    <row r="283" spans="1:19" x14ac:dyDescent="0.25">
      <c r="A283" s="34" t="str">
        <f t="shared" si="43"/>
        <v/>
      </c>
      <c r="B283" s="34" t="str">
        <f t="shared" si="44"/>
        <v/>
      </c>
      <c r="C283" s="34" t="str">
        <f t="shared" si="45"/>
        <v/>
      </c>
      <c r="D283" s="34" t="str">
        <f t="shared" si="46"/>
        <v/>
      </c>
      <c r="K283" s="34" t="str">
        <f t="shared" si="39"/>
        <v/>
      </c>
      <c r="L283" s="34" t="str">
        <f>IF(Data!$I282="","",Data!I282)</f>
        <v/>
      </c>
      <c r="M283" s="34" t="str">
        <f>IF(Data!$I282="","",IF(Data!L282=0,"dns",Data!L282))</f>
        <v/>
      </c>
      <c r="N283" s="34" t="str">
        <f>IF(Data!$I282="","","GP"&amp;Data!$B282)</f>
        <v/>
      </c>
      <c r="O283" s="34" t="str">
        <f t="shared" si="40"/>
        <v/>
      </c>
      <c r="P283" s="34" t="str">
        <f>IF($L283="","",Data!B282)</f>
        <v/>
      </c>
      <c r="Q283" s="34" t="str">
        <f t="shared" si="41"/>
        <v/>
      </c>
      <c r="R283" s="34" t="str">
        <f t="shared" si="42"/>
        <v/>
      </c>
      <c r="S283" s="70"/>
    </row>
    <row r="284" spans="1:19" x14ac:dyDescent="0.25">
      <c r="A284" s="34" t="str">
        <f t="shared" si="43"/>
        <v/>
      </c>
      <c r="B284" s="34" t="str">
        <f t="shared" si="44"/>
        <v/>
      </c>
      <c r="C284" s="34" t="str">
        <f t="shared" si="45"/>
        <v/>
      </c>
      <c r="D284" s="34" t="str">
        <f t="shared" si="46"/>
        <v/>
      </c>
      <c r="K284" s="34" t="str">
        <f t="shared" si="39"/>
        <v/>
      </c>
      <c r="L284" s="34" t="str">
        <f>IF(Data!$I283="","",Data!I283)</f>
        <v/>
      </c>
      <c r="M284" s="34" t="str">
        <f>IF(Data!$I283="","",IF(Data!L283=0,"dns",Data!L283))</f>
        <v/>
      </c>
      <c r="N284" s="34" t="str">
        <f>IF(Data!$I283="","","GP"&amp;Data!$B283)</f>
        <v/>
      </c>
      <c r="O284" s="34" t="str">
        <f t="shared" si="40"/>
        <v/>
      </c>
      <c r="P284" s="34" t="str">
        <f>IF($L284="","",Data!B283)</f>
        <v/>
      </c>
      <c r="Q284" s="34" t="str">
        <f t="shared" si="41"/>
        <v/>
      </c>
      <c r="R284" s="34" t="str">
        <f t="shared" si="42"/>
        <v/>
      </c>
      <c r="S284" s="70"/>
    </row>
    <row r="285" spans="1:19" x14ac:dyDescent="0.25">
      <c r="A285" s="34" t="str">
        <f t="shared" si="43"/>
        <v/>
      </c>
      <c r="B285" s="34" t="str">
        <f t="shared" si="44"/>
        <v/>
      </c>
      <c r="C285" s="34" t="str">
        <f t="shared" si="45"/>
        <v/>
      </c>
      <c r="D285" s="34" t="str">
        <f t="shared" si="46"/>
        <v/>
      </c>
      <c r="K285" s="34" t="str">
        <f t="shared" si="39"/>
        <v/>
      </c>
      <c r="L285" s="34" t="str">
        <f>IF(Data!$I284="","",Data!I284)</f>
        <v/>
      </c>
      <c r="M285" s="34" t="str">
        <f>IF(Data!$I284="","",IF(Data!L284=0,"dns",Data!L284))</f>
        <v/>
      </c>
      <c r="N285" s="34" t="str">
        <f>IF(Data!$I284="","","GP"&amp;Data!$B284)</f>
        <v/>
      </c>
      <c r="O285" s="34" t="str">
        <f t="shared" si="40"/>
        <v/>
      </c>
      <c r="P285" s="34" t="str">
        <f>IF($L285="","",Data!B284)</f>
        <v/>
      </c>
      <c r="Q285" s="34" t="str">
        <f t="shared" si="41"/>
        <v/>
      </c>
      <c r="R285" s="34" t="str">
        <f t="shared" si="42"/>
        <v/>
      </c>
      <c r="S285" s="70"/>
    </row>
    <row r="286" spans="1:19" x14ac:dyDescent="0.25">
      <c r="A286" s="34" t="str">
        <f t="shared" si="43"/>
        <v/>
      </c>
      <c r="B286" s="34" t="str">
        <f t="shared" si="44"/>
        <v/>
      </c>
      <c r="C286" s="34" t="str">
        <f t="shared" si="45"/>
        <v/>
      </c>
      <c r="D286" s="34" t="str">
        <f t="shared" si="46"/>
        <v/>
      </c>
      <c r="K286" s="34" t="str">
        <f t="shared" si="39"/>
        <v/>
      </c>
      <c r="L286" s="34" t="str">
        <f>IF(Data!$I285="","",Data!I285)</f>
        <v/>
      </c>
      <c r="M286" s="34" t="str">
        <f>IF(Data!$I285="","",IF(Data!L285=0,"dns",Data!L285))</f>
        <v/>
      </c>
      <c r="N286" s="34" t="str">
        <f>IF(Data!$I285="","","GP"&amp;Data!$B285)</f>
        <v/>
      </c>
      <c r="O286" s="34" t="str">
        <f t="shared" si="40"/>
        <v/>
      </c>
      <c r="P286" s="34" t="str">
        <f>IF($L286="","",Data!B285)</f>
        <v/>
      </c>
      <c r="Q286" s="34" t="str">
        <f t="shared" si="41"/>
        <v/>
      </c>
      <c r="R286" s="34" t="str">
        <f t="shared" si="42"/>
        <v/>
      </c>
      <c r="S286" s="70"/>
    </row>
    <row r="287" spans="1:19" x14ac:dyDescent="0.25">
      <c r="A287" s="34" t="str">
        <f t="shared" si="43"/>
        <v/>
      </c>
      <c r="B287" s="34" t="str">
        <f t="shared" si="44"/>
        <v/>
      </c>
      <c r="C287" s="34" t="str">
        <f t="shared" si="45"/>
        <v/>
      </c>
      <c r="D287" s="34" t="str">
        <f t="shared" si="46"/>
        <v/>
      </c>
      <c r="K287" s="34" t="str">
        <f t="shared" si="39"/>
        <v/>
      </c>
      <c r="L287" s="34" t="str">
        <f>IF(Data!$I286="","",Data!I286)</f>
        <v/>
      </c>
      <c r="M287" s="34" t="str">
        <f>IF(Data!$I286="","",IF(Data!L286=0,"dns",Data!L286))</f>
        <v/>
      </c>
      <c r="N287" s="34" t="str">
        <f>IF(Data!$I286="","","GP"&amp;Data!$B286)</f>
        <v/>
      </c>
      <c r="O287" s="34" t="str">
        <f t="shared" si="40"/>
        <v/>
      </c>
      <c r="P287" s="34" t="str">
        <f>IF($L287="","",Data!B286)</f>
        <v/>
      </c>
      <c r="Q287" s="34" t="str">
        <f t="shared" si="41"/>
        <v/>
      </c>
      <c r="R287" s="34" t="str">
        <f t="shared" si="42"/>
        <v/>
      </c>
      <c r="S287" s="70"/>
    </row>
    <row r="288" spans="1:19" x14ac:dyDescent="0.25">
      <c r="A288" s="34" t="str">
        <f t="shared" si="43"/>
        <v/>
      </c>
      <c r="B288" s="34" t="str">
        <f t="shared" si="44"/>
        <v/>
      </c>
      <c r="C288" s="34" t="str">
        <f t="shared" si="45"/>
        <v/>
      </c>
      <c r="D288" s="34" t="str">
        <f t="shared" si="46"/>
        <v/>
      </c>
      <c r="K288" s="34" t="str">
        <f t="shared" si="39"/>
        <v/>
      </c>
      <c r="L288" s="34" t="str">
        <f>IF(Data!$I287="","",Data!I287)</f>
        <v/>
      </c>
      <c r="M288" s="34" t="str">
        <f>IF(Data!$I287="","",IF(Data!L287=0,"dns",Data!L287))</f>
        <v/>
      </c>
      <c r="N288" s="34" t="str">
        <f>IF(Data!$I287="","","GP"&amp;Data!$B287)</f>
        <v/>
      </c>
      <c r="O288" s="34" t="str">
        <f t="shared" si="40"/>
        <v/>
      </c>
      <c r="P288" s="34" t="str">
        <f>IF($L288="","",Data!B287)</f>
        <v/>
      </c>
      <c r="Q288" s="34" t="str">
        <f t="shared" si="41"/>
        <v/>
      </c>
      <c r="R288" s="34" t="str">
        <f t="shared" si="42"/>
        <v/>
      </c>
      <c r="S288" s="70"/>
    </row>
    <row r="289" spans="1:19" x14ac:dyDescent="0.25">
      <c r="A289" s="34" t="str">
        <f t="shared" si="43"/>
        <v/>
      </c>
      <c r="B289" s="34" t="str">
        <f t="shared" si="44"/>
        <v/>
      </c>
      <c r="C289" s="34" t="str">
        <f t="shared" si="45"/>
        <v/>
      </c>
      <c r="D289" s="34" t="str">
        <f t="shared" si="46"/>
        <v/>
      </c>
      <c r="K289" s="34" t="str">
        <f t="shared" si="39"/>
        <v/>
      </c>
      <c r="L289" s="34" t="str">
        <f>IF(Data!$I288="","",Data!I288)</f>
        <v/>
      </c>
      <c r="M289" s="34" t="str">
        <f>IF(Data!$I288="","",IF(Data!L288=0,"dns",Data!L288))</f>
        <v/>
      </c>
      <c r="N289" s="34" t="str">
        <f>IF(Data!$I288="","","GP"&amp;Data!$B288)</f>
        <v/>
      </c>
      <c r="O289" s="34" t="str">
        <f t="shared" si="40"/>
        <v/>
      </c>
      <c r="P289" s="34" t="str">
        <f>IF($L289="","",Data!B288)</f>
        <v/>
      </c>
      <c r="Q289" s="34" t="str">
        <f t="shared" si="41"/>
        <v/>
      </c>
      <c r="R289" s="34" t="str">
        <f t="shared" si="42"/>
        <v/>
      </c>
      <c r="S289" s="70"/>
    </row>
    <row r="290" spans="1:19" x14ac:dyDescent="0.25">
      <c r="A290" s="34" t="str">
        <f t="shared" si="43"/>
        <v/>
      </c>
      <c r="B290" s="34" t="str">
        <f t="shared" si="44"/>
        <v/>
      </c>
      <c r="C290" s="34" t="str">
        <f t="shared" si="45"/>
        <v/>
      </c>
      <c r="D290" s="34" t="str">
        <f t="shared" si="46"/>
        <v/>
      </c>
      <c r="K290" s="34" t="str">
        <f t="shared" si="39"/>
        <v/>
      </c>
      <c r="L290" s="34" t="str">
        <f>IF(Data!$I289="","",Data!I289)</f>
        <v/>
      </c>
      <c r="M290" s="34" t="str">
        <f>IF(Data!$I289="","",IF(Data!L289=0,"dns",Data!L289))</f>
        <v/>
      </c>
      <c r="N290" s="34" t="str">
        <f>IF(Data!$I289="","","GP"&amp;Data!$B289)</f>
        <v/>
      </c>
      <c r="O290" s="34" t="str">
        <f t="shared" si="40"/>
        <v/>
      </c>
      <c r="P290" s="34" t="str">
        <f>IF($L290="","",Data!B289)</f>
        <v/>
      </c>
      <c r="Q290" s="34" t="str">
        <f t="shared" si="41"/>
        <v/>
      </c>
      <c r="R290" s="34" t="str">
        <f t="shared" si="42"/>
        <v/>
      </c>
      <c r="S290" s="70"/>
    </row>
    <row r="291" spans="1:19" x14ac:dyDescent="0.25">
      <c r="A291" s="34" t="str">
        <f t="shared" si="43"/>
        <v/>
      </c>
      <c r="B291" s="34" t="str">
        <f t="shared" si="44"/>
        <v/>
      </c>
      <c r="C291" s="34" t="str">
        <f t="shared" si="45"/>
        <v/>
      </c>
      <c r="D291" s="34" t="str">
        <f t="shared" si="46"/>
        <v/>
      </c>
      <c r="K291" s="34" t="str">
        <f t="shared" si="39"/>
        <v/>
      </c>
      <c r="L291" s="34" t="str">
        <f>IF(Data!$I290="","",Data!I290)</f>
        <v/>
      </c>
      <c r="M291" s="34" t="str">
        <f>IF(Data!$I290="","",IF(Data!L290=0,"dns",Data!L290))</f>
        <v/>
      </c>
      <c r="N291" s="34" t="str">
        <f>IF(Data!$I290="","","GP"&amp;Data!$B290)</f>
        <v/>
      </c>
      <c r="O291" s="34" t="str">
        <f t="shared" si="40"/>
        <v/>
      </c>
      <c r="P291" s="34" t="str">
        <f>IF($L291="","",Data!B290)</f>
        <v/>
      </c>
      <c r="Q291" s="34" t="str">
        <f t="shared" si="41"/>
        <v/>
      </c>
      <c r="R291" s="34" t="str">
        <f t="shared" si="42"/>
        <v/>
      </c>
      <c r="S291" s="70"/>
    </row>
    <row r="292" spans="1:19" x14ac:dyDescent="0.25">
      <c r="A292" s="34" t="str">
        <f t="shared" si="43"/>
        <v/>
      </c>
      <c r="B292" s="34" t="str">
        <f t="shared" si="44"/>
        <v/>
      </c>
      <c r="C292" s="34" t="str">
        <f t="shared" si="45"/>
        <v/>
      </c>
      <c r="D292" s="34" t="str">
        <f t="shared" si="46"/>
        <v/>
      </c>
      <c r="K292" s="34" t="str">
        <f t="shared" si="39"/>
        <v/>
      </c>
      <c r="L292" s="34" t="str">
        <f>IF(Data!$I291="","",Data!I291)</f>
        <v/>
      </c>
      <c r="M292" s="34" t="str">
        <f>IF(Data!$I291="","",IF(Data!L291=0,"dns",Data!L291))</f>
        <v/>
      </c>
      <c r="N292" s="34" t="str">
        <f>IF(Data!$I291="","","GP"&amp;Data!$B291)</f>
        <v/>
      </c>
      <c r="O292" s="34" t="str">
        <f t="shared" si="40"/>
        <v/>
      </c>
      <c r="P292" s="34" t="str">
        <f>IF($L292="","",Data!B291)</f>
        <v/>
      </c>
      <c r="Q292" s="34" t="str">
        <f t="shared" si="41"/>
        <v/>
      </c>
      <c r="R292" s="34" t="str">
        <f t="shared" si="42"/>
        <v/>
      </c>
      <c r="S292" s="70"/>
    </row>
    <row r="293" spans="1:19" x14ac:dyDescent="0.25">
      <c r="A293" s="34" t="str">
        <f t="shared" si="43"/>
        <v/>
      </c>
      <c r="B293" s="34" t="str">
        <f t="shared" si="44"/>
        <v/>
      </c>
      <c r="C293" s="34" t="str">
        <f t="shared" si="45"/>
        <v/>
      </c>
      <c r="D293" s="34" t="str">
        <f t="shared" si="46"/>
        <v/>
      </c>
      <c r="K293" s="34" t="str">
        <f t="shared" si="39"/>
        <v/>
      </c>
      <c r="L293" s="34" t="str">
        <f>IF(Data!$I292="","",Data!I292)</f>
        <v/>
      </c>
      <c r="M293" s="34" t="str">
        <f>IF(Data!$I292="","",IF(Data!L292=0,"dns",Data!L292))</f>
        <v/>
      </c>
      <c r="N293" s="34" t="str">
        <f>IF(Data!$I292="","","GP"&amp;Data!$B292)</f>
        <v/>
      </c>
      <c r="O293" s="34" t="str">
        <f t="shared" si="40"/>
        <v/>
      </c>
      <c r="P293" s="34" t="str">
        <f>IF($L293="","",Data!B292)</f>
        <v/>
      </c>
      <c r="Q293" s="34" t="str">
        <f t="shared" si="41"/>
        <v/>
      </c>
      <c r="R293" s="34" t="str">
        <f t="shared" si="42"/>
        <v/>
      </c>
      <c r="S293" s="70"/>
    </row>
    <row r="294" spans="1:19" x14ac:dyDescent="0.25">
      <c r="A294" s="34" t="str">
        <f t="shared" si="43"/>
        <v/>
      </c>
      <c r="B294" s="34" t="str">
        <f t="shared" si="44"/>
        <v/>
      </c>
      <c r="C294" s="34" t="str">
        <f t="shared" si="45"/>
        <v/>
      </c>
      <c r="D294" s="34" t="str">
        <f t="shared" si="46"/>
        <v/>
      </c>
      <c r="K294" s="34" t="str">
        <f t="shared" si="39"/>
        <v/>
      </c>
      <c r="L294" s="34" t="str">
        <f>IF(Data!$I293="","",Data!I293)</f>
        <v/>
      </c>
      <c r="M294" s="34" t="str">
        <f>IF(Data!$I293="","",IF(Data!L293=0,"dns",Data!L293))</f>
        <v/>
      </c>
      <c r="N294" s="34" t="str">
        <f>IF(Data!$I293="","","GP"&amp;Data!$B293)</f>
        <v/>
      </c>
      <c r="O294" s="34" t="str">
        <f t="shared" si="40"/>
        <v/>
      </c>
      <c r="P294" s="34" t="str">
        <f>IF($L294="","",Data!B293)</f>
        <v/>
      </c>
      <c r="Q294" s="34" t="str">
        <f t="shared" si="41"/>
        <v/>
      </c>
      <c r="R294" s="34" t="str">
        <f t="shared" si="42"/>
        <v/>
      </c>
      <c r="S294" s="70"/>
    </row>
    <row r="295" spans="1:19" x14ac:dyDescent="0.25">
      <c r="A295" s="34" t="str">
        <f t="shared" si="43"/>
        <v/>
      </c>
      <c r="B295" s="34" t="str">
        <f t="shared" si="44"/>
        <v/>
      </c>
      <c r="C295" s="34" t="str">
        <f t="shared" si="45"/>
        <v/>
      </c>
      <c r="D295" s="34" t="str">
        <f t="shared" si="46"/>
        <v/>
      </c>
      <c r="K295" s="34" t="str">
        <f t="shared" si="39"/>
        <v/>
      </c>
      <c r="L295" s="34" t="str">
        <f>IF(Data!$I294="","",Data!I294)</f>
        <v/>
      </c>
      <c r="M295" s="34" t="str">
        <f>IF(Data!$I294="","",IF(Data!L294=0,"dns",Data!L294))</f>
        <v/>
      </c>
      <c r="N295" s="34" t="str">
        <f>IF(Data!$I294="","","GP"&amp;Data!$B294)</f>
        <v/>
      </c>
      <c r="O295" s="34" t="str">
        <f t="shared" si="40"/>
        <v/>
      </c>
      <c r="P295" s="34" t="str">
        <f>IF($L295="","",Data!B294)</f>
        <v/>
      </c>
      <c r="Q295" s="34" t="str">
        <f t="shared" si="41"/>
        <v/>
      </c>
      <c r="R295" s="34" t="str">
        <f t="shared" si="42"/>
        <v/>
      </c>
      <c r="S295" s="70"/>
    </row>
    <row r="296" spans="1:19" x14ac:dyDescent="0.25">
      <c r="A296" s="34" t="str">
        <f t="shared" si="43"/>
        <v/>
      </c>
      <c r="B296" s="34" t="str">
        <f t="shared" si="44"/>
        <v/>
      </c>
      <c r="C296" s="34" t="str">
        <f t="shared" si="45"/>
        <v/>
      </c>
      <c r="D296" s="34" t="str">
        <f t="shared" si="46"/>
        <v/>
      </c>
      <c r="K296" s="34" t="str">
        <f t="shared" si="39"/>
        <v/>
      </c>
      <c r="L296" s="34" t="str">
        <f>IF(Data!$I295="","",Data!I295)</f>
        <v/>
      </c>
      <c r="M296" s="34" t="str">
        <f>IF(Data!$I295="","",IF(Data!L295=0,"dns",Data!L295))</f>
        <v/>
      </c>
      <c r="N296" s="34" t="str">
        <f>IF(Data!$I295="","","GP"&amp;Data!$B295)</f>
        <v/>
      </c>
      <c r="O296" s="34" t="str">
        <f t="shared" si="40"/>
        <v/>
      </c>
      <c r="P296" s="34" t="str">
        <f>IF($L296="","",Data!B295)</f>
        <v/>
      </c>
      <c r="Q296" s="34" t="str">
        <f t="shared" si="41"/>
        <v/>
      </c>
      <c r="R296" s="34" t="str">
        <f t="shared" si="42"/>
        <v/>
      </c>
      <c r="S296" s="70"/>
    </row>
    <row r="297" spans="1:19" x14ac:dyDescent="0.25">
      <c r="A297" s="34" t="str">
        <f t="shared" si="43"/>
        <v/>
      </c>
      <c r="B297" s="34" t="str">
        <f t="shared" si="44"/>
        <v/>
      </c>
      <c r="C297" s="34" t="str">
        <f t="shared" si="45"/>
        <v/>
      </c>
      <c r="D297" s="34" t="str">
        <f t="shared" si="46"/>
        <v/>
      </c>
      <c r="K297" s="34" t="str">
        <f t="shared" si="39"/>
        <v/>
      </c>
      <c r="L297" s="34" t="str">
        <f>IF(Data!$I296="","",Data!I296)</f>
        <v/>
      </c>
      <c r="M297" s="34" t="str">
        <f>IF(Data!$I296="","",IF(Data!L296=0,"dns",Data!L296))</f>
        <v/>
      </c>
      <c r="N297" s="34" t="str">
        <f>IF(Data!$I296="","","GP"&amp;Data!$B296)</f>
        <v/>
      </c>
      <c r="O297" s="34" t="str">
        <f t="shared" si="40"/>
        <v/>
      </c>
      <c r="P297" s="34" t="str">
        <f>IF($L297="","",Data!B296)</f>
        <v/>
      </c>
      <c r="Q297" s="34" t="str">
        <f t="shared" si="41"/>
        <v/>
      </c>
      <c r="R297" s="34" t="str">
        <f t="shared" si="42"/>
        <v/>
      </c>
      <c r="S297" s="70"/>
    </row>
    <row r="298" spans="1:19" x14ac:dyDescent="0.25">
      <c r="A298" s="34" t="str">
        <f t="shared" si="43"/>
        <v/>
      </c>
      <c r="B298" s="34" t="str">
        <f t="shared" si="44"/>
        <v/>
      </c>
      <c r="C298" s="34" t="str">
        <f t="shared" si="45"/>
        <v/>
      </c>
      <c r="D298" s="34" t="str">
        <f t="shared" si="46"/>
        <v/>
      </c>
      <c r="K298" s="34" t="str">
        <f t="shared" si="39"/>
        <v/>
      </c>
      <c r="L298" s="34" t="str">
        <f>IF(Data!$I297="","",Data!I297)</f>
        <v/>
      </c>
      <c r="M298" s="34" t="str">
        <f>IF(Data!$I297="","",IF(Data!L297=0,"dns",Data!L297))</f>
        <v/>
      </c>
      <c r="N298" s="34" t="str">
        <f>IF(Data!$I297="","","GP"&amp;Data!$B297)</f>
        <v/>
      </c>
      <c r="O298" s="34" t="str">
        <f t="shared" si="40"/>
        <v/>
      </c>
      <c r="P298" s="34" t="str">
        <f>IF($L298="","",Data!B297)</f>
        <v/>
      </c>
      <c r="Q298" s="34" t="str">
        <f t="shared" si="41"/>
        <v/>
      </c>
      <c r="R298" s="34" t="str">
        <f t="shared" si="42"/>
        <v/>
      </c>
      <c r="S298" s="70"/>
    </row>
    <row r="299" spans="1:19" x14ac:dyDescent="0.25">
      <c r="A299" s="34" t="str">
        <f t="shared" si="43"/>
        <v/>
      </c>
      <c r="B299" s="34" t="str">
        <f t="shared" si="44"/>
        <v/>
      </c>
      <c r="C299" s="34" t="str">
        <f t="shared" si="45"/>
        <v/>
      </c>
      <c r="D299" s="34" t="str">
        <f t="shared" si="46"/>
        <v/>
      </c>
      <c r="K299" s="34" t="str">
        <f t="shared" si="39"/>
        <v/>
      </c>
      <c r="L299" s="34" t="str">
        <f>IF(Data!$I298="","",Data!I298)</f>
        <v/>
      </c>
      <c r="M299" s="34" t="str">
        <f>IF(Data!$I298="","",IF(Data!L298=0,"dns",Data!L298))</f>
        <v/>
      </c>
      <c r="N299" s="34" t="str">
        <f>IF(Data!$I298="","","GP"&amp;Data!$B298)</f>
        <v/>
      </c>
      <c r="O299" s="34" t="str">
        <f t="shared" si="40"/>
        <v/>
      </c>
      <c r="P299" s="34" t="str">
        <f>IF($L299="","",Data!B298)</f>
        <v/>
      </c>
      <c r="Q299" s="34" t="str">
        <f t="shared" si="41"/>
        <v/>
      </c>
      <c r="R299" s="34" t="str">
        <f t="shared" si="42"/>
        <v/>
      </c>
      <c r="S299" s="70"/>
    </row>
    <row r="300" spans="1:19" x14ac:dyDescent="0.25">
      <c r="A300" s="34" t="str">
        <f t="shared" si="43"/>
        <v/>
      </c>
      <c r="B300" s="34" t="str">
        <f t="shared" si="44"/>
        <v/>
      </c>
      <c r="C300" s="34" t="str">
        <f t="shared" si="45"/>
        <v/>
      </c>
      <c r="D300" s="34" t="str">
        <f t="shared" si="46"/>
        <v/>
      </c>
      <c r="K300" s="34" t="str">
        <f t="shared" si="39"/>
        <v/>
      </c>
      <c r="L300" s="34" t="str">
        <f>IF(Data!$I299="","",Data!I299)</f>
        <v/>
      </c>
      <c r="M300" s="34" t="str">
        <f>IF(Data!$I299="","",IF(Data!L299=0,"dns",Data!L299))</f>
        <v/>
      </c>
      <c r="N300" s="34" t="str">
        <f>IF(Data!$I299="","","GP"&amp;Data!$B299)</f>
        <v/>
      </c>
      <c r="O300" s="34" t="str">
        <f t="shared" si="40"/>
        <v/>
      </c>
      <c r="P300" s="34" t="str">
        <f>IF($L300="","",Data!B299)</f>
        <v/>
      </c>
      <c r="Q300" s="34" t="str">
        <f t="shared" si="41"/>
        <v/>
      </c>
      <c r="R300" s="34" t="str">
        <f t="shared" si="42"/>
        <v/>
      </c>
      <c r="S300" s="70"/>
    </row>
    <row r="301" spans="1:19" x14ac:dyDescent="0.25">
      <c r="A301" s="34" t="str">
        <f t="shared" si="43"/>
        <v/>
      </c>
      <c r="B301" s="34" t="str">
        <f t="shared" si="44"/>
        <v/>
      </c>
      <c r="C301" s="34" t="str">
        <f t="shared" si="45"/>
        <v/>
      </c>
      <c r="D301" s="34" t="str">
        <f t="shared" si="46"/>
        <v/>
      </c>
      <c r="K301" s="34" t="str">
        <f t="shared" si="39"/>
        <v/>
      </c>
      <c r="L301" s="34" t="str">
        <f>IF(Data!$I300="","",Data!I300)</f>
        <v/>
      </c>
      <c r="M301" s="34" t="str">
        <f>IF(Data!$I300="","",IF(Data!L300=0,"dns",Data!L300))</f>
        <v/>
      </c>
      <c r="N301" s="34" t="str">
        <f>IF(Data!$I300="","","GP"&amp;Data!$B300)</f>
        <v/>
      </c>
      <c r="O301" s="34" t="str">
        <f t="shared" si="40"/>
        <v/>
      </c>
      <c r="P301" s="34" t="str">
        <f>IF($L301="","",Data!B300)</f>
        <v/>
      </c>
      <c r="Q301" s="34" t="str">
        <f t="shared" si="41"/>
        <v/>
      </c>
      <c r="R301" s="34" t="str">
        <f t="shared" si="42"/>
        <v/>
      </c>
      <c r="S301" s="70"/>
    </row>
    <row r="302" spans="1:19" x14ac:dyDescent="0.25">
      <c r="A302" s="34" t="str">
        <f t="shared" si="43"/>
        <v/>
      </c>
      <c r="B302" s="34" t="str">
        <f t="shared" si="44"/>
        <v/>
      </c>
      <c r="C302" s="34" t="str">
        <f t="shared" si="45"/>
        <v/>
      </c>
      <c r="D302" s="34" t="str">
        <f t="shared" si="46"/>
        <v/>
      </c>
      <c r="K302" s="34" t="str">
        <f t="shared" si="39"/>
        <v/>
      </c>
      <c r="L302" s="34" t="str">
        <f>IF(Data!$I301="","",Data!I301)</f>
        <v/>
      </c>
      <c r="M302" s="34" t="str">
        <f>IF(Data!$I301="","",IF(Data!L301=0,"dns",Data!L301))</f>
        <v/>
      </c>
      <c r="N302" s="34" t="str">
        <f>IF(Data!$I301="","","GP"&amp;Data!$B301)</f>
        <v/>
      </c>
      <c r="O302" s="34" t="str">
        <f t="shared" si="40"/>
        <v/>
      </c>
      <c r="P302" s="34" t="str">
        <f>IF($L302="","",Data!B301)</f>
        <v/>
      </c>
      <c r="Q302" s="34" t="str">
        <f t="shared" si="41"/>
        <v/>
      </c>
      <c r="R302" s="34" t="str">
        <f t="shared" si="42"/>
        <v/>
      </c>
      <c r="S302" s="70"/>
    </row>
    <row r="303" spans="1:19" x14ac:dyDescent="0.25">
      <c r="A303" s="34" t="str">
        <f t="shared" si="43"/>
        <v/>
      </c>
      <c r="B303" s="34" t="str">
        <f t="shared" si="44"/>
        <v/>
      </c>
      <c r="C303" s="34" t="str">
        <f t="shared" si="45"/>
        <v/>
      </c>
      <c r="D303" s="34" t="str">
        <f t="shared" si="46"/>
        <v/>
      </c>
      <c r="K303" s="34" t="str">
        <f t="shared" si="39"/>
        <v/>
      </c>
      <c r="L303" s="34" t="str">
        <f>IF(Data!$I302="","",Data!I302)</f>
        <v/>
      </c>
      <c r="M303" s="34" t="str">
        <f>IF(Data!$I302="","",IF(Data!L302=0,"dns",Data!L302))</f>
        <v/>
      </c>
      <c r="N303" s="34" t="str">
        <f>IF(Data!$I302="","","GP"&amp;Data!$B302)</f>
        <v/>
      </c>
      <c r="O303" s="34" t="str">
        <f t="shared" si="40"/>
        <v/>
      </c>
      <c r="P303" s="34" t="str">
        <f>IF($L303="","",Data!B302)</f>
        <v/>
      </c>
      <c r="Q303" s="34" t="str">
        <f t="shared" si="41"/>
        <v/>
      </c>
      <c r="R303" s="34" t="str">
        <f t="shared" si="42"/>
        <v/>
      </c>
      <c r="S303" s="70"/>
    </row>
    <row r="304" spans="1:19" x14ac:dyDescent="0.25">
      <c r="A304" s="34" t="str">
        <f t="shared" si="43"/>
        <v/>
      </c>
      <c r="B304" s="34" t="str">
        <f t="shared" si="44"/>
        <v/>
      </c>
      <c r="C304" s="34" t="str">
        <f t="shared" si="45"/>
        <v/>
      </c>
      <c r="D304" s="34" t="str">
        <f t="shared" si="46"/>
        <v/>
      </c>
      <c r="K304" s="34" t="str">
        <f t="shared" si="39"/>
        <v/>
      </c>
      <c r="L304" s="34" t="str">
        <f>IF(Data!$I303="","",Data!I303)</f>
        <v/>
      </c>
      <c r="M304" s="34" t="str">
        <f>IF(Data!$I303="","",IF(Data!L303=0,"dns",Data!L303))</f>
        <v/>
      </c>
      <c r="N304" s="34" t="str">
        <f>IF(Data!$I303="","","GP"&amp;Data!$B303)</f>
        <v/>
      </c>
      <c r="O304" s="34" t="str">
        <f t="shared" si="40"/>
        <v/>
      </c>
      <c r="P304" s="34" t="str">
        <f>IF($L304="","",Data!B303)</f>
        <v/>
      </c>
      <c r="Q304" s="34" t="str">
        <f t="shared" si="41"/>
        <v/>
      </c>
      <c r="R304" s="34" t="str">
        <f t="shared" si="42"/>
        <v/>
      </c>
      <c r="S304" s="70"/>
    </row>
    <row r="305" spans="1:19" x14ac:dyDescent="0.25">
      <c r="A305" s="34" t="str">
        <f t="shared" si="43"/>
        <v/>
      </c>
      <c r="B305" s="34" t="str">
        <f t="shared" si="44"/>
        <v/>
      </c>
      <c r="C305" s="34" t="str">
        <f t="shared" si="45"/>
        <v/>
      </c>
      <c r="D305" s="34" t="str">
        <f t="shared" si="46"/>
        <v/>
      </c>
      <c r="K305" s="34" t="str">
        <f t="shared" si="39"/>
        <v/>
      </c>
      <c r="L305" s="34" t="str">
        <f>IF(Data!$I304="","",Data!I304)</f>
        <v/>
      </c>
      <c r="M305" s="34" t="str">
        <f>IF(Data!$I304="","",IF(Data!L304=0,"dns",Data!L304))</f>
        <v/>
      </c>
      <c r="N305" s="34" t="str">
        <f>IF(Data!$I304="","","GP"&amp;Data!$B304)</f>
        <v/>
      </c>
      <c r="O305" s="34" t="str">
        <f t="shared" si="40"/>
        <v/>
      </c>
      <c r="P305" s="34" t="str">
        <f>IF($L305="","",Data!B304)</f>
        <v/>
      </c>
      <c r="Q305" s="34" t="str">
        <f t="shared" si="41"/>
        <v/>
      </c>
      <c r="R305" s="34" t="str">
        <f t="shared" si="42"/>
        <v/>
      </c>
      <c r="S305" s="70"/>
    </row>
    <row r="306" spans="1:19" x14ac:dyDescent="0.25">
      <c r="A306" s="34" t="str">
        <f t="shared" si="43"/>
        <v/>
      </c>
      <c r="B306" s="34" t="str">
        <f t="shared" si="44"/>
        <v/>
      </c>
      <c r="C306" s="34" t="str">
        <f t="shared" si="45"/>
        <v/>
      </c>
      <c r="D306" s="34" t="str">
        <f t="shared" si="46"/>
        <v/>
      </c>
      <c r="K306" s="34" t="str">
        <f t="shared" si="39"/>
        <v/>
      </c>
      <c r="L306" s="34" t="str">
        <f>IF(Data!$I305="","",Data!I305)</f>
        <v/>
      </c>
      <c r="M306" s="34" t="str">
        <f>IF(Data!$I305="","",IF(Data!L305=0,"dns",Data!L305))</f>
        <v/>
      </c>
      <c r="N306" s="34" t="str">
        <f>IF(Data!$I305="","","GP"&amp;Data!$B305)</f>
        <v/>
      </c>
      <c r="O306" s="34" t="str">
        <f t="shared" si="40"/>
        <v/>
      </c>
      <c r="P306" s="34" t="str">
        <f>IF($L306="","",Data!B305)</f>
        <v/>
      </c>
      <c r="Q306" s="34" t="str">
        <f t="shared" si="41"/>
        <v/>
      </c>
      <c r="R306" s="34" t="str">
        <f t="shared" si="42"/>
        <v/>
      </c>
      <c r="S306" s="70"/>
    </row>
    <row r="307" spans="1:19" x14ac:dyDescent="0.25">
      <c r="A307" s="34" t="str">
        <f t="shared" si="43"/>
        <v/>
      </c>
      <c r="B307" s="34" t="str">
        <f t="shared" si="44"/>
        <v/>
      </c>
      <c r="C307" s="34" t="str">
        <f t="shared" si="45"/>
        <v/>
      </c>
      <c r="D307" s="34" t="str">
        <f t="shared" si="46"/>
        <v/>
      </c>
      <c r="K307" s="34" t="str">
        <f t="shared" si="39"/>
        <v/>
      </c>
      <c r="L307" s="34" t="str">
        <f>IF(Data!$I306="","",Data!I306)</f>
        <v/>
      </c>
      <c r="M307" s="34" t="str">
        <f>IF(Data!$I306="","",IF(Data!L306=0,"dns",Data!L306))</f>
        <v/>
      </c>
      <c r="N307" s="34" t="str">
        <f>IF(Data!$I306="","","GP"&amp;Data!$B306)</f>
        <v/>
      </c>
      <c r="O307" s="34" t="str">
        <f t="shared" si="40"/>
        <v/>
      </c>
      <c r="P307" s="34" t="str">
        <f>IF($L307="","",Data!B306)</f>
        <v/>
      </c>
      <c r="Q307" s="34" t="str">
        <f t="shared" si="41"/>
        <v/>
      </c>
      <c r="R307" s="34" t="str">
        <f t="shared" si="42"/>
        <v/>
      </c>
      <c r="S307" s="70"/>
    </row>
    <row r="308" spans="1:19" x14ac:dyDescent="0.25">
      <c r="A308" s="34" t="str">
        <f t="shared" si="43"/>
        <v/>
      </c>
      <c r="B308" s="34" t="str">
        <f t="shared" si="44"/>
        <v/>
      </c>
      <c r="C308" s="34" t="str">
        <f t="shared" si="45"/>
        <v/>
      </c>
      <c r="D308" s="34" t="str">
        <f t="shared" si="46"/>
        <v/>
      </c>
      <c r="K308" s="34" t="str">
        <f t="shared" si="39"/>
        <v/>
      </c>
      <c r="L308" s="34" t="str">
        <f>IF(Data!$I307="","",Data!I307)</f>
        <v/>
      </c>
      <c r="M308" s="34" t="str">
        <f>IF(Data!$I307="","",IF(Data!L307=0,"dns",Data!L307))</f>
        <v/>
      </c>
      <c r="N308" s="34" t="str">
        <f>IF(Data!$I307="","","GP"&amp;Data!$B307)</f>
        <v/>
      </c>
      <c r="O308" s="34" t="str">
        <f t="shared" si="40"/>
        <v/>
      </c>
      <c r="P308" s="34" t="str">
        <f>IF($L308="","",Data!B307)</f>
        <v/>
      </c>
      <c r="Q308" s="34" t="str">
        <f t="shared" si="41"/>
        <v/>
      </c>
      <c r="R308" s="34" t="str">
        <f t="shared" si="42"/>
        <v/>
      </c>
      <c r="S308" s="70"/>
    </row>
    <row r="309" spans="1:19" x14ac:dyDescent="0.25">
      <c r="A309" s="34" t="str">
        <f t="shared" si="43"/>
        <v/>
      </c>
      <c r="B309" s="34" t="str">
        <f t="shared" si="44"/>
        <v/>
      </c>
      <c r="C309" s="34" t="str">
        <f t="shared" si="45"/>
        <v/>
      </c>
      <c r="D309" s="34" t="str">
        <f t="shared" si="46"/>
        <v/>
      </c>
      <c r="K309" s="34" t="str">
        <f t="shared" si="39"/>
        <v/>
      </c>
      <c r="L309" s="34" t="str">
        <f>IF(Data!$I308="","",Data!I308)</f>
        <v/>
      </c>
      <c r="M309" s="34" t="str">
        <f>IF(Data!$I308="","",IF(Data!L308=0,"dns",Data!L308))</f>
        <v/>
      </c>
      <c r="N309" s="34" t="str">
        <f>IF(Data!$I308="","","GP"&amp;Data!$B308)</f>
        <v/>
      </c>
      <c r="O309" s="34" t="str">
        <f t="shared" si="40"/>
        <v/>
      </c>
      <c r="P309" s="34" t="str">
        <f>IF($L309="","",Data!B308)</f>
        <v/>
      </c>
      <c r="Q309" s="34" t="str">
        <f t="shared" si="41"/>
        <v/>
      </c>
      <c r="R309" s="34" t="str">
        <f t="shared" si="42"/>
        <v/>
      </c>
      <c r="S309" s="70"/>
    </row>
    <row r="310" spans="1:19" x14ac:dyDescent="0.25">
      <c r="A310" s="34" t="str">
        <f t="shared" si="43"/>
        <v/>
      </c>
      <c r="B310" s="34" t="str">
        <f t="shared" si="44"/>
        <v/>
      </c>
      <c r="C310" s="34" t="str">
        <f t="shared" si="45"/>
        <v/>
      </c>
      <c r="D310" s="34" t="str">
        <f t="shared" si="46"/>
        <v/>
      </c>
      <c r="K310" s="34" t="str">
        <f t="shared" si="39"/>
        <v/>
      </c>
      <c r="L310" s="34" t="str">
        <f>IF(Data!$I309="","",Data!I309)</f>
        <v/>
      </c>
      <c r="M310" s="34" t="str">
        <f>IF(Data!$I309="","",IF(Data!L309=0,"dns",Data!L309))</f>
        <v/>
      </c>
      <c r="N310" s="34" t="str">
        <f>IF(Data!$I309="","","GP"&amp;Data!$B309)</f>
        <v/>
      </c>
      <c r="O310" s="34" t="str">
        <f t="shared" si="40"/>
        <v/>
      </c>
      <c r="P310" s="34" t="str">
        <f>IF($L310="","",Data!B309)</f>
        <v/>
      </c>
      <c r="Q310" s="34" t="str">
        <f t="shared" si="41"/>
        <v/>
      </c>
      <c r="R310" s="34" t="str">
        <f t="shared" si="42"/>
        <v/>
      </c>
      <c r="S310" s="70"/>
    </row>
    <row r="311" spans="1:19" x14ac:dyDescent="0.25">
      <c r="A311" s="34" t="str">
        <f t="shared" si="43"/>
        <v/>
      </c>
      <c r="B311" s="34" t="str">
        <f t="shared" si="44"/>
        <v/>
      </c>
      <c r="C311" s="34" t="str">
        <f t="shared" si="45"/>
        <v/>
      </c>
      <c r="D311" s="34" t="str">
        <f t="shared" si="46"/>
        <v/>
      </c>
      <c r="K311" s="34" t="str">
        <f t="shared" si="39"/>
        <v/>
      </c>
      <c r="L311" s="34" t="str">
        <f>IF(Data!$I310="","",Data!I310)</f>
        <v/>
      </c>
      <c r="M311" s="34" t="str">
        <f>IF(Data!$I310="","",IF(Data!L310=0,"dns",Data!L310))</f>
        <v/>
      </c>
      <c r="N311" s="34" t="str">
        <f>IF(Data!$I310="","","GP"&amp;Data!$B310)</f>
        <v/>
      </c>
      <c r="O311" s="34" t="str">
        <f t="shared" si="40"/>
        <v/>
      </c>
      <c r="P311" s="34" t="str">
        <f>IF($L311="","",Data!B310)</f>
        <v/>
      </c>
      <c r="Q311" s="34" t="str">
        <f t="shared" si="41"/>
        <v/>
      </c>
      <c r="R311" s="34" t="str">
        <f t="shared" si="42"/>
        <v/>
      </c>
      <c r="S311" s="70"/>
    </row>
    <row r="312" spans="1:19" x14ac:dyDescent="0.25">
      <c r="A312" s="34" t="str">
        <f t="shared" si="43"/>
        <v/>
      </c>
      <c r="B312" s="34" t="str">
        <f t="shared" si="44"/>
        <v/>
      </c>
      <c r="C312" s="34" t="str">
        <f t="shared" si="45"/>
        <v/>
      </c>
      <c r="D312" s="34" t="str">
        <f t="shared" si="46"/>
        <v/>
      </c>
      <c r="K312" s="34" t="str">
        <f t="shared" si="39"/>
        <v/>
      </c>
      <c r="L312" s="34" t="str">
        <f>IF(Data!$I311="","",Data!I311)</f>
        <v/>
      </c>
      <c r="M312" s="34" t="str">
        <f>IF(Data!$I311="","",IF(Data!L311=0,"dns",Data!L311))</f>
        <v/>
      </c>
      <c r="N312" s="34" t="str">
        <f>IF(Data!$I311="","","GP"&amp;Data!$B311)</f>
        <v/>
      </c>
      <c r="O312" s="34" t="str">
        <f t="shared" si="40"/>
        <v/>
      </c>
      <c r="P312" s="34" t="str">
        <f>IF($L312="","",Data!B311)</f>
        <v/>
      </c>
      <c r="Q312" s="34" t="str">
        <f t="shared" si="41"/>
        <v/>
      </c>
      <c r="R312" s="34" t="str">
        <f t="shared" si="42"/>
        <v/>
      </c>
      <c r="S312" s="70"/>
    </row>
    <row r="313" spans="1:19" x14ac:dyDescent="0.25">
      <c r="A313" s="34" t="str">
        <f t="shared" si="43"/>
        <v/>
      </c>
      <c r="B313" s="34" t="str">
        <f t="shared" si="44"/>
        <v/>
      </c>
      <c r="C313" s="34" t="str">
        <f t="shared" si="45"/>
        <v/>
      </c>
      <c r="D313" s="34" t="str">
        <f t="shared" si="46"/>
        <v/>
      </c>
      <c r="K313" s="34" t="str">
        <f t="shared" si="39"/>
        <v/>
      </c>
      <c r="L313" s="34" t="str">
        <f>IF(Data!$I312="","",Data!I312)</f>
        <v/>
      </c>
      <c r="M313" s="34" t="str">
        <f>IF(Data!$I312="","",IF(Data!L312=0,"dns",Data!L312))</f>
        <v/>
      </c>
      <c r="N313" s="34" t="str">
        <f>IF(Data!$I312="","","GP"&amp;Data!$B312)</f>
        <v/>
      </c>
      <c r="O313" s="34" t="str">
        <f t="shared" si="40"/>
        <v/>
      </c>
      <c r="P313" s="34" t="str">
        <f>IF($L313="","",Data!B312)</f>
        <v/>
      </c>
      <c r="Q313" s="34" t="str">
        <f t="shared" si="41"/>
        <v/>
      </c>
      <c r="R313" s="34" t="str">
        <f t="shared" si="42"/>
        <v/>
      </c>
      <c r="S313" s="70"/>
    </row>
    <row r="314" spans="1:19" x14ac:dyDescent="0.25">
      <c r="A314" s="34" t="str">
        <f t="shared" si="43"/>
        <v/>
      </c>
      <c r="B314" s="34" t="str">
        <f t="shared" si="44"/>
        <v/>
      </c>
      <c r="C314" s="34" t="str">
        <f t="shared" si="45"/>
        <v/>
      </c>
      <c r="D314" s="34" t="str">
        <f t="shared" si="46"/>
        <v/>
      </c>
      <c r="K314" s="34" t="str">
        <f t="shared" si="39"/>
        <v/>
      </c>
      <c r="L314" s="34" t="str">
        <f>IF(Data!$I313="","",Data!I313)</f>
        <v/>
      </c>
      <c r="M314" s="34" t="str">
        <f>IF(Data!$I313="","",IF(Data!L313=0,"dns",Data!L313))</f>
        <v/>
      </c>
      <c r="N314" s="34" t="str">
        <f>IF(Data!$I313="","","GP"&amp;Data!$B313)</f>
        <v/>
      </c>
      <c r="O314" s="34" t="str">
        <f t="shared" si="40"/>
        <v/>
      </c>
      <c r="P314" s="34" t="str">
        <f>IF($L314="","",Data!B313)</f>
        <v/>
      </c>
      <c r="Q314" s="34" t="str">
        <f t="shared" si="41"/>
        <v/>
      </c>
      <c r="R314" s="34" t="str">
        <f t="shared" si="42"/>
        <v/>
      </c>
      <c r="S314" s="70"/>
    </row>
    <row r="315" spans="1:19" x14ac:dyDescent="0.25">
      <c r="A315" s="34" t="str">
        <f t="shared" si="43"/>
        <v/>
      </c>
      <c r="B315" s="34" t="str">
        <f t="shared" si="44"/>
        <v/>
      </c>
      <c r="C315" s="34" t="str">
        <f t="shared" si="45"/>
        <v/>
      </c>
      <c r="D315" s="34" t="str">
        <f t="shared" si="46"/>
        <v/>
      </c>
      <c r="K315" s="34" t="s">
        <v>48</v>
      </c>
      <c r="L315" s="34" t="s">
        <v>48</v>
      </c>
      <c r="M315" s="34" t="s">
        <v>48</v>
      </c>
      <c r="N315" s="34" t="s">
        <v>48</v>
      </c>
      <c r="O315" s="34" t="s">
        <v>48</v>
      </c>
      <c r="P315" s="34" t="s">
        <v>48</v>
      </c>
      <c r="Q315" s="34" t="s">
        <v>48</v>
      </c>
      <c r="R315" s="34" t="s">
        <v>48</v>
      </c>
      <c r="S315" s="70"/>
    </row>
    <row r="316" spans="1:19" x14ac:dyDescent="0.25">
      <c r="A316" s="34" t="str">
        <f t="shared" si="43"/>
        <v/>
      </c>
      <c r="B316" s="34" t="str">
        <f t="shared" si="44"/>
        <v/>
      </c>
      <c r="C316" s="34" t="str">
        <f t="shared" si="45"/>
        <v/>
      </c>
      <c r="D316" s="34" t="str">
        <f t="shared" si="46"/>
        <v/>
      </c>
      <c r="S316" s="70"/>
    </row>
    <row r="317" spans="1:19" x14ac:dyDescent="0.25">
      <c r="A317" s="34" t="s">
        <v>48</v>
      </c>
      <c r="B317" s="34" t="s">
        <v>48</v>
      </c>
      <c r="C317" s="34" t="s">
        <v>48</v>
      </c>
      <c r="D317" s="34" t="s">
        <v>48</v>
      </c>
      <c r="E317" s="34" t="s">
        <v>48</v>
      </c>
      <c r="F317" s="34" t="s">
        <v>48</v>
      </c>
      <c r="G317" s="34" t="s">
        <v>48</v>
      </c>
      <c r="H317" s="34" t="s">
        <v>48</v>
      </c>
      <c r="I317" s="34" t="s">
        <v>48</v>
      </c>
      <c r="J317" s="34" t="s">
        <v>48</v>
      </c>
      <c r="S317" s="70"/>
    </row>
    <row r="318" spans="1:19" x14ac:dyDescent="0.25">
      <c r="S318" s="70"/>
    </row>
    <row r="319" spans="1:19" x14ac:dyDescent="0.25">
      <c r="S319" s="70"/>
    </row>
    <row r="320" spans="1:19" x14ac:dyDescent="0.25">
      <c r="S320" s="70"/>
    </row>
    <row r="321" spans="19:19" x14ac:dyDescent="0.25">
      <c r="S321" s="70"/>
    </row>
    <row r="322" spans="19:19" x14ac:dyDescent="0.25">
      <c r="S322" s="70"/>
    </row>
    <row r="323" spans="19:19" x14ac:dyDescent="0.25">
      <c r="S323" s="70"/>
    </row>
    <row r="324" spans="19:19" x14ac:dyDescent="0.25">
      <c r="S324" s="70"/>
    </row>
    <row r="325" spans="19:19" x14ac:dyDescent="0.25">
      <c r="S325" s="70"/>
    </row>
    <row r="326" spans="19:19" x14ac:dyDescent="0.25">
      <c r="S326" s="70"/>
    </row>
    <row r="327" spans="19:19" x14ac:dyDescent="0.25">
      <c r="S327" s="70"/>
    </row>
    <row r="328" spans="19:19" x14ac:dyDescent="0.25">
      <c r="S328" s="70"/>
    </row>
    <row r="329" spans="19:19" x14ac:dyDescent="0.25">
      <c r="S329" s="70"/>
    </row>
    <row r="330" spans="19:19" x14ac:dyDescent="0.25">
      <c r="S330" s="70"/>
    </row>
    <row r="331" spans="19:19" x14ac:dyDescent="0.25">
      <c r="S331" s="70"/>
    </row>
    <row r="332" spans="19:19" x14ac:dyDescent="0.25">
      <c r="S332" s="70"/>
    </row>
    <row r="333" spans="19:19" x14ac:dyDescent="0.25">
      <c r="S333" s="70"/>
    </row>
    <row r="334" spans="19:19" x14ac:dyDescent="0.25">
      <c r="S334" s="70"/>
    </row>
    <row r="335" spans="19:19" x14ac:dyDescent="0.25">
      <c r="S335" s="70"/>
    </row>
    <row r="336" spans="19:19" x14ac:dyDescent="0.25">
      <c r="S336" s="70"/>
    </row>
    <row r="337" spans="19:19" x14ac:dyDescent="0.25">
      <c r="S337" s="70"/>
    </row>
    <row r="338" spans="19:19" x14ac:dyDescent="0.25">
      <c r="S338" s="70"/>
    </row>
    <row r="339" spans="19:19" x14ac:dyDescent="0.25">
      <c r="S339" s="70"/>
    </row>
    <row r="340" spans="19:19" x14ac:dyDescent="0.25">
      <c r="S340" s="70"/>
    </row>
    <row r="341" spans="19:19" x14ac:dyDescent="0.25">
      <c r="S341" s="70"/>
    </row>
    <row r="342" spans="19:19" x14ac:dyDescent="0.25">
      <c r="S342" s="70"/>
    </row>
    <row r="343" spans="19:19" x14ac:dyDescent="0.25">
      <c r="S343" s="70"/>
    </row>
    <row r="344" spans="19:19" x14ac:dyDescent="0.25">
      <c r="S344" s="70"/>
    </row>
    <row r="345" spans="19:19" x14ac:dyDescent="0.25">
      <c r="S345" s="70"/>
    </row>
    <row r="346" spans="19:19" x14ac:dyDescent="0.25">
      <c r="S346" s="70"/>
    </row>
    <row r="347" spans="19:19" x14ac:dyDescent="0.25">
      <c r="S347" s="70"/>
    </row>
    <row r="348" spans="19:19" x14ac:dyDescent="0.25">
      <c r="S348" s="70"/>
    </row>
    <row r="349" spans="19:19" x14ac:dyDescent="0.25">
      <c r="S349" s="70"/>
    </row>
    <row r="350" spans="19:19" x14ac:dyDescent="0.25">
      <c r="S350" s="70"/>
    </row>
    <row r="351" spans="19:19" x14ac:dyDescent="0.25">
      <c r="S351" s="70"/>
    </row>
    <row r="352" spans="19:19" x14ac:dyDescent="0.25">
      <c r="S352" s="70"/>
    </row>
    <row r="353" spans="19:19" x14ac:dyDescent="0.25">
      <c r="S353" s="70"/>
    </row>
    <row r="354" spans="19:19" x14ac:dyDescent="0.25">
      <c r="S354" s="70"/>
    </row>
    <row r="355" spans="19:19" x14ac:dyDescent="0.25">
      <c r="S355" s="70"/>
    </row>
    <row r="356" spans="19:19" x14ac:dyDescent="0.25">
      <c r="S356" s="70"/>
    </row>
    <row r="357" spans="19:19" x14ac:dyDescent="0.25">
      <c r="S357" s="70"/>
    </row>
    <row r="358" spans="19:19" x14ac:dyDescent="0.25">
      <c r="S358" s="70"/>
    </row>
    <row r="359" spans="19:19" x14ac:dyDescent="0.25">
      <c r="S359" s="70"/>
    </row>
    <row r="360" spans="19:19" x14ac:dyDescent="0.25">
      <c r="S360" s="70"/>
    </row>
    <row r="361" spans="19:19" x14ac:dyDescent="0.25">
      <c r="S361" s="70"/>
    </row>
    <row r="362" spans="19:19" x14ac:dyDescent="0.25">
      <c r="S362" s="70"/>
    </row>
    <row r="363" spans="19:19" x14ac:dyDescent="0.25">
      <c r="S363" s="70"/>
    </row>
    <row r="364" spans="19:19" x14ac:dyDescent="0.25">
      <c r="S364" s="70"/>
    </row>
    <row r="365" spans="19:19" x14ac:dyDescent="0.25">
      <c r="S365" s="70"/>
    </row>
    <row r="366" spans="19:19" x14ac:dyDescent="0.25">
      <c r="S366" s="70"/>
    </row>
    <row r="367" spans="19:19" x14ac:dyDescent="0.25">
      <c r="S367" s="70"/>
    </row>
    <row r="368" spans="19:19" x14ac:dyDescent="0.25">
      <c r="S368" s="70"/>
    </row>
    <row r="369" spans="19:19" x14ac:dyDescent="0.25">
      <c r="S369" s="70"/>
    </row>
    <row r="370" spans="19:19" x14ac:dyDescent="0.25">
      <c r="S370" s="70"/>
    </row>
    <row r="371" spans="19:19" x14ac:dyDescent="0.25">
      <c r="S371" s="70"/>
    </row>
    <row r="372" spans="19:19" x14ac:dyDescent="0.25">
      <c r="S372" s="70"/>
    </row>
    <row r="373" spans="19:19" x14ac:dyDescent="0.25">
      <c r="S373" s="70"/>
    </row>
    <row r="374" spans="19:19" x14ac:dyDescent="0.25">
      <c r="S374" s="70"/>
    </row>
    <row r="375" spans="19:19" x14ac:dyDescent="0.25">
      <c r="S375" s="70"/>
    </row>
    <row r="376" spans="19:19" x14ac:dyDescent="0.25">
      <c r="S376" s="70"/>
    </row>
    <row r="377" spans="19:19" x14ac:dyDescent="0.25">
      <c r="S377" s="70"/>
    </row>
    <row r="378" spans="19:19" x14ac:dyDescent="0.25">
      <c r="S378" s="70"/>
    </row>
    <row r="379" spans="19:19" x14ac:dyDescent="0.25">
      <c r="S379" s="70"/>
    </row>
    <row r="380" spans="19:19" x14ac:dyDescent="0.25">
      <c r="S380" s="70"/>
    </row>
    <row r="381" spans="19:19" x14ac:dyDescent="0.25">
      <c r="S381" s="70"/>
    </row>
    <row r="382" spans="19:19" x14ac:dyDescent="0.25">
      <c r="S382" s="70"/>
    </row>
    <row r="383" spans="19:19" x14ac:dyDescent="0.25">
      <c r="S383" s="70"/>
    </row>
    <row r="384" spans="19:19" x14ac:dyDescent="0.25">
      <c r="S384" s="70"/>
    </row>
    <row r="385" spans="19:19" x14ac:dyDescent="0.25">
      <c r="S385" s="70"/>
    </row>
    <row r="386" spans="19:19" x14ac:dyDescent="0.25">
      <c r="S386" s="70"/>
    </row>
    <row r="387" spans="19:19" x14ac:dyDescent="0.25">
      <c r="S387" s="70"/>
    </row>
    <row r="388" spans="19:19" x14ac:dyDescent="0.25">
      <c r="S388" s="70"/>
    </row>
    <row r="389" spans="19:19" x14ac:dyDescent="0.25">
      <c r="S389" s="70"/>
    </row>
    <row r="390" spans="19:19" x14ac:dyDescent="0.25">
      <c r="S390" s="70"/>
    </row>
    <row r="391" spans="19:19" x14ac:dyDescent="0.25">
      <c r="S391" s="70"/>
    </row>
    <row r="392" spans="19:19" x14ac:dyDescent="0.25">
      <c r="S392" s="70"/>
    </row>
    <row r="393" spans="19:19" x14ac:dyDescent="0.25">
      <c r="S393" s="70"/>
    </row>
    <row r="394" spans="19:19" x14ac:dyDescent="0.25">
      <c r="S394" s="70"/>
    </row>
    <row r="395" spans="19:19" x14ac:dyDescent="0.25">
      <c r="S395" s="70"/>
    </row>
    <row r="396" spans="19:19" x14ac:dyDescent="0.25">
      <c r="S396" s="70"/>
    </row>
    <row r="397" spans="19:19" x14ac:dyDescent="0.25">
      <c r="S397" s="70"/>
    </row>
    <row r="398" spans="19:19" x14ac:dyDescent="0.25">
      <c r="S398" s="70"/>
    </row>
    <row r="399" spans="19:19" x14ac:dyDescent="0.25">
      <c r="S399" s="70"/>
    </row>
    <row r="400" spans="19:19" x14ac:dyDescent="0.25">
      <c r="S400" s="70"/>
    </row>
    <row r="401" spans="19:19" x14ac:dyDescent="0.25">
      <c r="S401" s="70"/>
    </row>
    <row r="402" spans="19:19" x14ac:dyDescent="0.25">
      <c r="S402" s="70"/>
    </row>
    <row r="403" spans="19:19" x14ac:dyDescent="0.25">
      <c r="S403" s="70"/>
    </row>
    <row r="404" spans="19:19" x14ac:dyDescent="0.25">
      <c r="S404" s="70"/>
    </row>
    <row r="405" spans="19:19" x14ac:dyDescent="0.25">
      <c r="S405" s="70"/>
    </row>
    <row r="406" spans="19:19" x14ac:dyDescent="0.25">
      <c r="S406" s="70"/>
    </row>
    <row r="407" spans="19:19" x14ac:dyDescent="0.25">
      <c r="S407" s="70"/>
    </row>
    <row r="408" spans="19:19" x14ac:dyDescent="0.25">
      <c r="S408" s="70"/>
    </row>
    <row r="409" spans="19:19" x14ac:dyDescent="0.25">
      <c r="S409" s="70"/>
    </row>
    <row r="410" spans="19:19" x14ac:dyDescent="0.25">
      <c r="S410" s="70"/>
    </row>
    <row r="411" spans="19:19" x14ac:dyDescent="0.25">
      <c r="S411" s="70"/>
    </row>
    <row r="412" spans="19:19" x14ac:dyDescent="0.25">
      <c r="S412" s="70"/>
    </row>
    <row r="413" spans="19:19" x14ac:dyDescent="0.25">
      <c r="S413" s="70"/>
    </row>
    <row r="414" spans="19:19" x14ac:dyDescent="0.25">
      <c r="S414" s="70"/>
    </row>
    <row r="415" spans="19:19" x14ac:dyDescent="0.25">
      <c r="S415" s="70"/>
    </row>
    <row r="416" spans="19:19" x14ac:dyDescent="0.25">
      <c r="S416" s="70"/>
    </row>
    <row r="417" spans="19:19" x14ac:dyDescent="0.25">
      <c r="S417" s="70"/>
    </row>
    <row r="418" spans="19:19" x14ac:dyDescent="0.25">
      <c r="S418" s="70"/>
    </row>
    <row r="419" spans="19:19" x14ac:dyDescent="0.25">
      <c r="S419" s="70"/>
    </row>
    <row r="420" spans="19:19" x14ac:dyDescent="0.25">
      <c r="S420" s="70"/>
    </row>
    <row r="421" spans="19:19" x14ac:dyDescent="0.25">
      <c r="S421" s="70"/>
    </row>
    <row r="422" spans="19:19" x14ac:dyDescent="0.25">
      <c r="S422" s="70"/>
    </row>
    <row r="423" spans="19:19" x14ac:dyDescent="0.25">
      <c r="S423" s="70"/>
    </row>
    <row r="424" spans="19:19" x14ac:dyDescent="0.25">
      <c r="S424" s="70"/>
    </row>
    <row r="425" spans="19:19" x14ac:dyDescent="0.25">
      <c r="S425" s="70"/>
    </row>
    <row r="426" spans="19:19" x14ac:dyDescent="0.25">
      <c r="S426" s="70"/>
    </row>
    <row r="427" spans="19:19" x14ac:dyDescent="0.25">
      <c r="S427" s="70"/>
    </row>
    <row r="428" spans="19:19" x14ac:dyDescent="0.25">
      <c r="S428" s="70"/>
    </row>
    <row r="429" spans="19:19" x14ac:dyDescent="0.25">
      <c r="S429" s="70"/>
    </row>
    <row r="430" spans="19:19" x14ac:dyDescent="0.25">
      <c r="S430" s="70"/>
    </row>
    <row r="431" spans="19:19" x14ac:dyDescent="0.25">
      <c r="S431" s="70"/>
    </row>
    <row r="432" spans="19:19" x14ac:dyDescent="0.25">
      <c r="S432" s="70"/>
    </row>
    <row r="433" spans="19:19" x14ac:dyDescent="0.25">
      <c r="S433" s="70"/>
    </row>
    <row r="434" spans="19:19" x14ac:dyDescent="0.25">
      <c r="S434" s="70"/>
    </row>
    <row r="435" spans="19:19" x14ac:dyDescent="0.25">
      <c r="S435" s="70"/>
    </row>
    <row r="436" spans="19:19" x14ac:dyDescent="0.25">
      <c r="S436" s="70"/>
    </row>
    <row r="437" spans="19:19" x14ac:dyDescent="0.25">
      <c r="S437" s="70"/>
    </row>
    <row r="438" spans="19:19" x14ac:dyDescent="0.25">
      <c r="S438" s="70"/>
    </row>
    <row r="439" spans="19:19" x14ac:dyDescent="0.25">
      <c r="S439" s="70"/>
    </row>
    <row r="440" spans="19:19" x14ac:dyDescent="0.25">
      <c r="S440" s="70"/>
    </row>
    <row r="441" spans="19:19" x14ac:dyDescent="0.25">
      <c r="S441" s="70"/>
    </row>
    <row r="442" spans="19:19" x14ac:dyDescent="0.25">
      <c r="S442" s="70"/>
    </row>
    <row r="443" spans="19:19" x14ac:dyDescent="0.25">
      <c r="S443" s="70"/>
    </row>
    <row r="444" spans="19:19" x14ac:dyDescent="0.25">
      <c r="S444" s="70"/>
    </row>
    <row r="445" spans="19:19" x14ac:dyDescent="0.25">
      <c r="S445" s="70"/>
    </row>
    <row r="446" spans="19:19" x14ac:dyDescent="0.25">
      <c r="S446" s="70"/>
    </row>
    <row r="447" spans="19:19" x14ac:dyDescent="0.25">
      <c r="S447" s="70"/>
    </row>
    <row r="448" spans="19:19" x14ac:dyDescent="0.25">
      <c r="S448" s="70"/>
    </row>
    <row r="449" spans="19:19" x14ac:dyDescent="0.25">
      <c r="S449" s="70"/>
    </row>
    <row r="450" spans="19:19" x14ac:dyDescent="0.25">
      <c r="S450" s="70"/>
    </row>
    <row r="451" spans="19:19" x14ac:dyDescent="0.25">
      <c r="S451" s="70"/>
    </row>
    <row r="452" spans="19:19" x14ac:dyDescent="0.25">
      <c r="S452" s="70"/>
    </row>
    <row r="453" spans="19:19" x14ac:dyDescent="0.25">
      <c r="S453" s="70"/>
    </row>
    <row r="454" spans="19:19" x14ac:dyDescent="0.25">
      <c r="S454" s="70"/>
    </row>
    <row r="455" spans="19:19" x14ac:dyDescent="0.25">
      <c r="S455" s="70"/>
    </row>
    <row r="456" spans="19:19" x14ac:dyDescent="0.25">
      <c r="S456" s="70"/>
    </row>
    <row r="457" spans="19:19" x14ac:dyDescent="0.25">
      <c r="S457" s="70"/>
    </row>
    <row r="458" spans="19:19" x14ac:dyDescent="0.25">
      <c r="S458" s="70"/>
    </row>
    <row r="459" spans="19:19" x14ac:dyDescent="0.25">
      <c r="S459" s="70"/>
    </row>
    <row r="460" spans="19:19" x14ac:dyDescent="0.25">
      <c r="S460" s="70"/>
    </row>
    <row r="461" spans="19:19" x14ac:dyDescent="0.25">
      <c r="S461" s="70"/>
    </row>
    <row r="462" spans="19:19" x14ac:dyDescent="0.25">
      <c r="S462" s="70"/>
    </row>
    <row r="463" spans="19:19" x14ac:dyDescent="0.25">
      <c r="S463" s="70"/>
    </row>
    <row r="464" spans="19:19" x14ac:dyDescent="0.25">
      <c r="S464" s="70"/>
    </row>
    <row r="465" spans="19:19" x14ac:dyDescent="0.25">
      <c r="S465" s="70"/>
    </row>
    <row r="466" spans="19:19" x14ac:dyDescent="0.25">
      <c r="S466" s="70"/>
    </row>
    <row r="467" spans="19:19" x14ac:dyDescent="0.25">
      <c r="S467" s="70"/>
    </row>
    <row r="468" spans="19:19" x14ac:dyDescent="0.25">
      <c r="S468" s="70"/>
    </row>
    <row r="469" spans="19:19" x14ac:dyDescent="0.25">
      <c r="S469" s="70"/>
    </row>
    <row r="470" spans="19:19" x14ac:dyDescent="0.25">
      <c r="S470" s="70"/>
    </row>
    <row r="471" spans="19:19" x14ac:dyDescent="0.25">
      <c r="S471" s="70"/>
    </row>
    <row r="472" spans="19:19" x14ac:dyDescent="0.25">
      <c r="S472" s="70"/>
    </row>
    <row r="473" spans="19:19" x14ac:dyDescent="0.25">
      <c r="S473" s="70"/>
    </row>
    <row r="474" spans="19:19" x14ac:dyDescent="0.25">
      <c r="S474" s="70"/>
    </row>
    <row r="475" spans="19:19" x14ac:dyDescent="0.25">
      <c r="S475" s="70"/>
    </row>
    <row r="476" spans="19:19" x14ac:dyDescent="0.25">
      <c r="S476" s="70"/>
    </row>
    <row r="477" spans="19:19" x14ac:dyDescent="0.25">
      <c r="S477" s="70"/>
    </row>
    <row r="478" spans="19:19" x14ac:dyDescent="0.25">
      <c r="S478" s="70"/>
    </row>
    <row r="479" spans="19:19" x14ac:dyDescent="0.25">
      <c r="S479" s="70"/>
    </row>
    <row r="480" spans="19:19" x14ac:dyDescent="0.25">
      <c r="S480" s="70"/>
    </row>
    <row r="481" spans="19:19" x14ac:dyDescent="0.25">
      <c r="S481" s="70"/>
    </row>
    <row r="482" spans="19:19" x14ac:dyDescent="0.25">
      <c r="S482" s="70"/>
    </row>
    <row r="483" spans="19:19" x14ac:dyDescent="0.25">
      <c r="S483" s="70"/>
    </row>
    <row r="484" spans="19:19" x14ac:dyDescent="0.25">
      <c r="S484" s="70"/>
    </row>
    <row r="485" spans="19:19" x14ac:dyDescent="0.25">
      <c r="S485" s="70"/>
    </row>
    <row r="486" spans="19:19" x14ac:dyDescent="0.25">
      <c r="S486" s="70"/>
    </row>
    <row r="487" spans="19:19" x14ac:dyDescent="0.25">
      <c r="S487" s="70"/>
    </row>
    <row r="488" spans="19:19" x14ac:dyDescent="0.25">
      <c r="S488" s="70"/>
    </row>
    <row r="489" spans="19:19" x14ac:dyDescent="0.25">
      <c r="S489" s="70"/>
    </row>
    <row r="490" spans="19:19" x14ac:dyDescent="0.25">
      <c r="S490" s="70"/>
    </row>
    <row r="491" spans="19:19" x14ac:dyDescent="0.25">
      <c r="S491" s="70"/>
    </row>
    <row r="492" spans="19:19" x14ac:dyDescent="0.25">
      <c r="S492" s="70"/>
    </row>
    <row r="493" spans="19:19" x14ac:dyDescent="0.25">
      <c r="S493" s="70"/>
    </row>
    <row r="494" spans="19:19" x14ac:dyDescent="0.25">
      <c r="S494" s="70"/>
    </row>
    <row r="495" spans="19:19" x14ac:dyDescent="0.25">
      <c r="S495" s="70"/>
    </row>
    <row r="496" spans="19:19" x14ac:dyDescent="0.25">
      <c r="S496" s="70"/>
    </row>
    <row r="497" spans="19:19" x14ac:dyDescent="0.25">
      <c r="S497" s="70"/>
    </row>
    <row r="498" spans="19:19" x14ac:dyDescent="0.25">
      <c r="S498" s="70"/>
    </row>
    <row r="499" spans="19:19" x14ac:dyDescent="0.25">
      <c r="S499" s="70"/>
    </row>
    <row r="500" spans="19:19" x14ac:dyDescent="0.25">
      <c r="S500" s="70"/>
    </row>
    <row r="501" spans="19:19" x14ac:dyDescent="0.25">
      <c r="S501" s="70"/>
    </row>
    <row r="502" spans="19:19" x14ac:dyDescent="0.25">
      <c r="S502" s="70"/>
    </row>
    <row r="503" spans="19:19" x14ac:dyDescent="0.25">
      <c r="S503" s="70"/>
    </row>
    <row r="504" spans="19:19" x14ac:dyDescent="0.25">
      <c r="S504" s="70"/>
    </row>
    <row r="505" spans="19:19" x14ac:dyDescent="0.25">
      <c r="S505" s="70"/>
    </row>
    <row r="506" spans="19:19" x14ac:dyDescent="0.25">
      <c r="S506" s="70"/>
    </row>
    <row r="507" spans="19:19" x14ac:dyDescent="0.25">
      <c r="S507" s="70"/>
    </row>
    <row r="508" spans="19:19" x14ac:dyDescent="0.25">
      <c r="S508" s="70"/>
    </row>
    <row r="509" spans="19:19" x14ac:dyDescent="0.25">
      <c r="S509" s="70"/>
    </row>
    <row r="510" spans="19:19" x14ac:dyDescent="0.25">
      <c r="S510" s="70"/>
    </row>
    <row r="511" spans="19:19" x14ac:dyDescent="0.25">
      <c r="S511" s="70"/>
    </row>
    <row r="512" spans="19:19" x14ac:dyDescent="0.25">
      <c r="S512" s="70"/>
    </row>
    <row r="513" spans="19:19" x14ac:dyDescent="0.25">
      <c r="S513" s="70"/>
    </row>
    <row r="514" spans="19:19" x14ac:dyDescent="0.25">
      <c r="S514" s="70"/>
    </row>
    <row r="515" spans="19:19" x14ac:dyDescent="0.25">
      <c r="S515" s="70"/>
    </row>
    <row r="516" spans="19:19" x14ac:dyDescent="0.25">
      <c r="S516" s="70"/>
    </row>
    <row r="517" spans="19:19" x14ac:dyDescent="0.25">
      <c r="S517" s="70"/>
    </row>
    <row r="518" spans="19:19" x14ac:dyDescent="0.25">
      <c r="S518" s="70"/>
    </row>
    <row r="519" spans="19:19" x14ac:dyDescent="0.25">
      <c r="S519" s="70"/>
    </row>
    <row r="520" spans="19:19" x14ac:dyDescent="0.25">
      <c r="S520" s="70"/>
    </row>
    <row r="521" spans="19:19" x14ac:dyDescent="0.25">
      <c r="S521" s="70"/>
    </row>
    <row r="522" spans="19:19" x14ac:dyDescent="0.25">
      <c r="S522" s="70"/>
    </row>
    <row r="523" spans="19:19" x14ac:dyDescent="0.25">
      <c r="S523" s="70"/>
    </row>
    <row r="524" spans="19:19" x14ac:dyDescent="0.25">
      <c r="S524" s="70"/>
    </row>
    <row r="525" spans="19:19" x14ac:dyDescent="0.25">
      <c r="S525" s="70"/>
    </row>
    <row r="526" spans="19:19" x14ac:dyDescent="0.25">
      <c r="S526" s="70"/>
    </row>
    <row r="527" spans="19:19" x14ac:dyDescent="0.25">
      <c r="S527" s="70"/>
    </row>
    <row r="528" spans="19:19" x14ac:dyDescent="0.25">
      <c r="S528" s="70"/>
    </row>
    <row r="529" spans="19:19" x14ac:dyDescent="0.25">
      <c r="S529" s="70"/>
    </row>
    <row r="530" spans="19:19" x14ac:dyDescent="0.25">
      <c r="S530" s="70"/>
    </row>
    <row r="531" spans="19:19" x14ac:dyDescent="0.25">
      <c r="S531" s="70"/>
    </row>
    <row r="532" spans="19:19" x14ac:dyDescent="0.25">
      <c r="S532" s="70"/>
    </row>
    <row r="533" spans="19:19" x14ac:dyDescent="0.25">
      <c r="S533" s="70"/>
    </row>
    <row r="534" spans="19:19" x14ac:dyDescent="0.25">
      <c r="S534" s="70"/>
    </row>
    <row r="535" spans="19:19" x14ac:dyDescent="0.25">
      <c r="S535" s="70"/>
    </row>
    <row r="536" spans="19:19" x14ac:dyDescent="0.25">
      <c r="S536" s="70"/>
    </row>
    <row r="537" spans="19:19" x14ac:dyDescent="0.25">
      <c r="S537" s="70"/>
    </row>
    <row r="538" spans="19:19" x14ac:dyDescent="0.25">
      <c r="S538" s="70"/>
    </row>
    <row r="539" spans="19:19" x14ac:dyDescent="0.25">
      <c r="S539" s="70"/>
    </row>
    <row r="540" spans="19:19" x14ac:dyDescent="0.25">
      <c r="S540" s="70"/>
    </row>
    <row r="541" spans="19:19" x14ac:dyDescent="0.25">
      <c r="S541" s="70"/>
    </row>
    <row r="542" spans="19:19" x14ac:dyDescent="0.25">
      <c r="S542" s="70"/>
    </row>
    <row r="543" spans="19:19" x14ac:dyDescent="0.25">
      <c r="S543" s="70"/>
    </row>
    <row r="544" spans="19:19" x14ac:dyDescent="0.25">
      <c r="S544" s="70"/>
    </row>
    <row r="545" spans="19:19" x14ac:dyDescent="0.25">
      <c r="S545" s="70"/>
    </row>
    <row r="546" spans="19:19" x14ac:dyDescent="0.25">
      <c r="S546" s="70"/>
    </row>
    <row r="547" spans="19:19" x14ac:dyDescent="0.25">
      <c r="S547" s="70"/>
    </row>
    <row r="548" spans="19:19" x14ac:dyDescent="0.25">
      <c r="S548" s="70"/>
    </row>
    <row r="549" spans="19:19" x14ac:dyDescent="0.25">
      <c r="S549" s="70"/>
    </row>
    <row r="550" spans="19:19" x14ac:dyDescent="0.25">
      <c r="S550" s="70"/>
    </row>
    <row r="551" spans="19:19" x14ac:dyDescent="0.25">
      <c r="S551" s="70"/>
    </row>
    <row r="552" spans="19:19" x14ac:dyDescent="0.25">
      <c r="S552" s="70"/>
    </row>
    <row r="553" spans="19:19" x14ac:dyDescent="0.25">
      <c r="S553" s="70"/>
    </row>
    <row r="554" spans="19:19" x14ac:dyDescent="0.25">
      <c r="S554" s="70"/>
    </row>
    <row r="555" spans="19:19" x14ac:dyDescent="0.25">
      <c r="S555" s="70"/>
    </row>
    <row r="556" spans="19:19" x14ac:dyDescent="0.25">
      <c r="S556" s="70"/>
    </row>
    <row r="557" spans="19:19" x14ac:dyDescent="0.25">
      <c r="S557" s="70"/>
    </row>
    <row r="558" spans="19:19" x14ac:dyDescent="0.25">
      <c r="S558" s="70"/>
    </row>
    <row r="559" spans="19:19" x14ac:dyDescent="0.25">
      <c r="S559" s="70"/>
    </row>
    <row r="560" spans="19:19" x14ac:dyDescent="0.25">
      <c r="S560" s="70"/>
    </row>
    <row r="561" spans="19:19" x14ac:dyDescent="0.25">
      <c r="S561" s="70"/>
    </row>
    <row r="562" spans="19:19" x14ac:dyDescent="0.25">
      <c r="S562" s="70"/>
    </row>
    <row r="563" spans="19:19" x14ac:dyDescent="0.25">
      <c r="S563" s="70"/>
    </row>
    <row r="564" spans="19:19" x14ac:dyDescent="0.25">
      <c r="S564" s="70"/>
    </row>
    <row r="565" spans="19:19" x14ac:dyDescent="0.25">
      <c r="S565" s="70"/>
    </row>
    <row r="566" spans="19:19" x14ac:dyDescent="0.25">
      <c r="S566" s="70"/>
    </row>
    <row r="567" spans="19:19" x14ac:dyDescent="0.25">
      <c r="S567" s="70"/>
    </row>
    <row r="568" spans="19:19" x14ac:dyDescent="0.25">
      <c r="S568" s="70"/>
    </row>
    <row r="569" spans="19:19" x14ac:dyDescent="0.25">
      <c r="S569" s="70"/>
    </row>
    <row r="570" spans="19:19" x14ac:dyDescent="0.25">
      <c r="S570" s="70"/>
    </row>
    <row r="571" spans="19:19" x14ac:dyDescent="0.25">
      <c r="S571" s="70"/>
    </row>
    <row r="572" spans="19:19" x14ac:dyDescent="0.25">
      <c r="S572" s="70"/>
    </row>
    <row r="573" spans="19:19" x14ac:dyDescent="0.25">
      <c r="S573" s="70"/>
    </row>
    <row r="574" spans="19:19" x14ac:dyDescent="0.25">
      <c r="S574" s="70"/>
    </row>
    <row r="575" spans="19:19" x14ac:dyDescent="0.25">
      <c r="S575" s="70"/>
    </row>
    <row r="576" spans="19:19" x14ac:dyDescent="0.25">
      <c r="S576" s="70"/>
    </row>
    <row r="577" spans="19:19" x14ac:dyDescent="0.25">
      <c r="S577" s="70"/>
    </row>
    <row r="578" spans="19:19" x14ac:dyDescent="0.25">
      <c r="S578" s="70"/>
    </row>
    <row r="579" spans="19:19" x14ac:dyDescent="0.25">
      <c r="S579" s="70"/>
    </row>
    <row r="580" spans="19:19" x14ac:dyDescent="0.25">
      <c r="S580" s="70"/>
    </row>
    <row r="581" spans="19:19" x14ac:dyDescent="0.25">
      <c r="S581" s="70"/>
    </row>
    <row r="582" spans="19:19" x14ac:dyDescent="0.25">
      <c r="S582" s="70"/>
    </row>
    <row r="583" spans="19:19" x14ac:dyDescent="0.25">
      <c r="S583" s="70"/>
    </row>
    <row r="584" spans="19:19" x14ac:dyDescent="0.25">
      <c r="S584" s="70"/>
    </row>
    <row r="585" spans="19:19" x14ac:dyDescent="0.25">
      <c r="S585" s="70"/>
    </row>
    <row r="586" spans="19:19" x14ac:dyDescent="0.25">
      <c r="S586" s="70"/>
    </row>
    <row r="587" spans="19:19" x14ac:dyDescent="0.25">
      <c r="S587" s="70"/>
    </row>
    <row r="588" spans="19:19" x14ac:dyDescent="0.25">
      <c r="S588" s="70"/>
    </row>
    <row r="589" spans="19:19" x14ac:dyDescent="0.25">
      <c r="S589" s="70"/>
    </row>
    <row r="590" spans="19:19" x14ac:dyDescent="0.25">
      <c r="S590" s="70"/>
    </row>
    <row r="591" spans="19:19" x14ac:dyDescent="0.25">
      <c r="S591" s="70"/>
    </row>
    <row r="592" spans="19:19" x14ac:dyDescent="0.25">
      <c r="S592" s="70"/>
    </row>
    <row r="593" spans="19:19" x14ac:dyDescent="0.25">
      <c r="S593" s="70"/>
    </row>
    <row r="594" spans="19:19" x14ac:dyDescent="0.25">
      <c r="S594" s="70"/>
    </row>
    <row r="595" spans="19:19" x14ac:dyDescent="0.25">
      <c r="S595" s="70"/>
    </row>
    <row r="596" spans="19:19" x14ac:dyDescent="0.25">
      <c r="S596" s="70"/>
    </row>
    <row r="597" spans="19:19" x14ac:dyDescent="0.25">
      <c r="S597" s="70"/>
    </row>
    <row r="598" spans="19:19" x14ac:dyDescent="0.25">
      <c r="S598" s="70"/>
    </row>
    <row r="599" spans="19:19" x14ac:dyDescent="0.25">
      <c r="S599" s="70"/>
    </row>
    <row r="600" spans="19:19" x14ac:dyDescent="0.25">
      <c r="S600" s="70"/>
    </row>
    <row r="601" spans="19:19" x14ac:dyDescent="0.25">
      <c r="S601" s="70"/>
    </row>
    <row r="602" spans="19:19" x14ac:dyDescent="0.25">
      <c r="S602" s="70"/>
    </row>
    <row r="603" spans="19:19" x14ac:dyDescent="0.25">
      <c r="S603" s="70"/>
    </row>
    <row r="604" spans="19:19" x14ac:dyDescent="0.25">
      <c r="S604" s="70"/>
    </row>
    <row r="605" spans="19:19" x14ac:dyDescent="0.25">
      <c r="S605" s="70"/>
    </row>
    <row r="606" spans="19:19" x14ac:dyDescent="0.25">
      <c r="S606" s="70"/>
    </row>
    <row r="607" spans="19:19" x14ac:dyDescent="0.25">
      <c r="S607" s="70"/>
    </row>
    <row r="608" spans="19:19" x14ac:dyDescent="0.25">
      <c r="S608" s="70"/>
    </row>
    <row r="609" spans="19:19" x14ac:dyDescent="0.25">
      <c r="S609" s="70"/>
    </row>
    <row r="610" spans="19:19" x14ac:dyDescent="0.25">
      <c r="S610" s="70"/>
    </row>
    <row r="611" spans="19:19" x14ac:dyDescent="0.25">
      <c r="S611" s="70"/>
    </row>
    <row r="612" spans="19:19" x14ac:dyDescent="0.25">
      <c r="S612" s="70"/>
    </row>
    <row r="613" spans="19:19" x14ac:dyDescent="0.25">
      <c r="S613" s="70"/>
    </row>
    <row r="614" spans="19:19" x14ac:dyDescent="0.25">
      <c r="S614" s="70"/>
    </row>
    <row r="615" spans="19:19" x14ac:dyDescent="0.25">
      <c r="S615" s="70"/>
    </row>
    <row r="616" spans="19:19" x14ac:dyDescent="0.25">
      <c r="S616" s="70"/>
    </row>
    <row r="617" spans="19:19" x14ac:dyDescent="0.25">
      <c r="S617" s="70"/>
    </row>
    <row r="618" spans="19:19" x14ac:dyDescent="0.25">
      <c r="S618" s="70"/>
    </row>
    <row r="619" spans="19:19" x14ac:dyDescent="0.25">
      <c r="S619" s="70"/>
    </row>
    <row r="620" spans="19:19" x14ac:dyDescent="0.25">
      <c r="S620" s="70"/>
    </row>
    <row r="621" spans="19:19" x14ac:dyDescent="0.25">
      <c r="S621" s="70"/>
    </row>
    <row r="622" spans="19:19" x14ac:dyDescent="0.25">
      <c r="S622" s="70"/>
    </row>
    <row r="623" spans="19:19" x14ac:dyDescent="0.25">
      <c r="S623" s="70"/>
    </row>
    <row r="624" spans="19:19" x14ac:dyDescent="0.25">
      <c r="S624" s="70"/>
    </row>
    <row r="625" spans="19:19" x14ac:dyDescent="0.25">
      <c r="S625" s="70"/>
    </row>
    <row r="626" spans="19:19" x14ac:dyDescent="0.25">
      <c r="S626" s="70"/>
    </row>
  </sheetData>
  <conditionalFormatting sqref="F4:I4">
    <cfRule type="expression" dxfId="232" priority="1">
      <formula>IF($F$4="",FALSE,TRUE)</formula>
    </cfRule>
  </conditionalFormatting>
  <pageMargins left="0.7" right="0.7" top="0.75" bottom="0.75" header="0.3" footer="0.3"/>
  <pageSetup paperSize="9" scale="9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12F35-35A8-48C7-B2D7-B7ABA4AF019D}">
  <dimension ref="A1:O40"/>
  <sheetViews>
    <sheetView zoomScaleNormal="100" workbookViewId="0"/>
  </sheetViews>
  <sheetFormatPr defaultColWidth="8.85546875" defaultRowHeight="15" x14ac:dyDescent="0.25"/>
  <cols>
    <col min="1" max="1" width="18.7109375" style="34" customWidth="1"/>
    <col min="2" max="3" width="9.7109375" style="34" customWidth="1"/>
    <col min="4" max="5" width="8.7109375" style="34" customWidth="1"/>
    <col min="6" max="6" width="15.7109375" style="34" customWidth="1"/>
    <col min="7" max="7" width="9.7109375" style="34" customWidth="1"/>
    <col min="8" max="8" width="2.7109375" style="34" customWidth="1"/>
    <col min="9" max="9" width="18.7109375" style="34" customWidth="1"/>
    <col min="10" max="11" width="9.7109375" style="34" customWidth="1"/>
    <col min="12" max="13" width="8.7109375" style="34" customWidth="1"/>
    <col min="14" max="14" width="15.7109375" style="34" customWidth="1"/>
    <col min="15" max="15" width="9.7109375" style="34" customWidth="1"/>
    <col min="16" max="16384" width="8.85546875" style="34"/>
  </cols>
  <sheetData>
    <row r="1" spans="1:15" x14ac:dyDescent="0.25">
      <c r="A1" s="9" t="str">
        <f>otsikko</f>
        <v>Kaatokerho, 2024-25</v>
      </c>
    </row>
    <row r="2" spans="1:15" ht="26.25" x14ac:dyDescent="0.4">
      <c r="A2" s="11" t="s">
        <v>53</v>
      </c>
    </row>
    <row r="3" spans="1:15" ht="6" customHeight="1" x14ac:dyDescent="0.25"/>
    <row r="4" spans="1:15" x14ac:dyDescent="0.25">
      <c r="A4" s="192" t="s">
        <v>54</v>
      </c>
      <c r="B4" s="193"/>
      <c r="C4" s="193"/>
      <c r="D4" s="193"/>
      <c r="E4" s="193"/>
      <c r="F4" s="193"/>
      <c r="G4" s="194"/>
      <c r="I4" s="192" t="s">
        <v>55</v>
      </c>
      <c r="J4" s="193"/>
      <c r="K4" s="193"/>
      <c r="L4" s="193"/>
      <c r="M4" s="193"/>
      <c r="N4" s="193"/>
      <c r="O4" s="194"/>
    </row>
    <row r="5" spans="1:15" x14ac:dyDescent="0.25">
      <c r="A5" s="199" t="s">
        <v>36</v>
      </c>
      <c r="B5" s="200"/>
      <c r="C5" s="200"/>
      <c r="D5" s="200"/>
      <c r="E5" s="195">
        <f>IFERROR(MATCH(1,Data!$CZ$3:$CZ$15,0),"Ei tiedossa vielä.")</f>
        <v>6</v>
      </c>
      <c r="F5" s="195"/>
      <c r="G5" s="196"/>
      <c r="I5" s="199" t="s">
        <v>36</v>
      </c>
      <c r="J5" s="200"/>
      <c r="K5" s="200"/>
      <c r="L5" s="200"/>
      <c r="M5" s="195">
        <f>IFERROR(MATCH(2,Data!$CZ$3:$CZ$15,0),"Ei tiedossa vielä.")</f>
        <v>12</v>
      </c>
      <c r="N5" s="195"/>
      <c r="O5" s="196"/>
    </row>
    <row r="6" spans="1:15" x14ac:dyDescent="0.25">
      <c r="A6" s="201" t="s">
        <v>37</v>
      </c>
      <c r="B6" s="202"/>
      <c r="C6" s="202"/>
      <c r="D6" s="202"/>
      <c r="E6" s="197">
        <f>IFERROR(VLOOKUP($E$5,kilpailukalenteri,2),"Ei tiedossa vielä.")</f>
        <v>45640</v>
      </c>
      <c r="F6" s="197"/>
      <c r="G6" s="198"/>
      <c r="I6" s="201" t="s">
        <v>37</v>
      </c>
      <c r="J6" s="202"/>
      <c r="K6" s="202"/>
      <c r="L6" s="202"/>
      <c r="M6" s="197">
        <f>IFERROR(VLOOKUP($M$5,kilpailukalenteri,2),"Ei tiedossa vielä.")</f>
        <v>45774</v>
      </c>
      <c r="N6" s="197"/>
      <c r="O6" s="198"/>
    </row>
    <row r="7" spans="1:15" x14ac:dyDescent="0.25">
      <c r="A7" s="203" t="s">
        <v>39</v>
      </c>
      <c r="B7" s="204"/>
      <c r="C7" s="204"/>
      <c r="D7" s="204"/>
      <c r="E7" s="76" t="str">
        <f>IFERROR(LEFT(VLOOKUP($E$5,kilpailukalenteri,4),LEN(VLOOKUP($E$5,kilpailukalenteri,4))-2),"Ei tiedossa vielä.")</f>
        <v>Aninkaisten keilahalli</v>
      </c>
      <c r="F7" s="76"/>
      <c r="G7" s="77"/>
      <c r="I7" s="203" t="s">
        <v>39</v>
      </c>
      <c r="J7" s="204"/>
      <c r="K7" s="204"/>
      <c r="L7" s="204"/>
      <c r="M7" s="76" t="str">
        <f>IFERROR(LEFT(VLOOKUP($M$5,kilpailukalenteri,4),LEN(VLOOKUP($M$5,kilpailukalenteri,4))-2),"Ei tiedossa vielä.")</f>
        <v>Kupittaan keilahalli</v>
      </c>
      <c r="N7" s="76"/>
      <c r="O7" s="77"/>
    </row>
    <row r="8" spans="1:15" ht="6" customHeight="1" x14ac:dyDescent="0.25"/>
    <row r="9" spans="1:15" ht="24.75" x14ac:dyDescent="0.25">
      <c r="A9" s="73" t="s">
        <v>7</v>
      </c>
      <c r="B9" s="23" t="s">
        <v>56</v>
      </c>
      <c r="C9" s="23" t="s">
        <v>57</v>
      </c>
      <c r="D9" s="23" t="s">
        <v>58</v>
      </c>
      <c r="E9" s="23" t="s">
        <v>59</v>
      </c>
      <c r="F9" s="23" t="s">
        <v>60</v>
      </c>
      <c r="G9" s="24" t="s">
        <v>61</v>
      </c>
      <c r="I9" s="73" t="s">
        <v>7</v>
      </c>
      <c r="J9" s="23" t="s">
        <v>56</v>
      </c>
      <c r="K9" s="23" t="s">
        <v>57</v>
      </c>
      <c r="L9" s="23" t="s">
        <v>58</v>
      </c>
      <c r="M9" s="23" t="s">
        <v>59</v>
      </c>
      <c r="N9" s="23" t="s">
        <v>60</v>
      </c>
      <c r="O9" s="24" t="s">
        <v>62</v>
      </c>
    </row>
    <row r="10" spans="1:15" x14ac:dyDescent="0.25">
      <c r="A10" s="43" t="str">
        <f ca="1">IF(Sarjataulukko!$BB6="","",Sarjataulukko!$BB6)</f>
        <v>Asko Haaksi</v>
      </c>
      <c r="B10" s="44">
        <f ca="1">IF($A10="","",IF(MAX(_xlfn.MAXIFS(Data!$J$2:$J$313,Data!$I$2:$I$313,KultainenGP!$A10,Data!$B$2:$B$313,"&lt;"&amp;$E$5),_xlfn.MAXIFS(Data!$K$2:$K$313,Data!$I$2:$I$313,KultainenGP!$A10,Data!$B$2:$B$313,"&lt;"&amp;$E$5))=0,"Ei suorituksia.",MAX(_xlfn.MAXIFS(Data!$J$2:$J$313,Data!$I$2:$I$313,KultainenGP!$A10,Data!$B$2:$B$313,"&lt;"&amp;$E$5),_xlfn.MAXIFS(Data!$K$2:$K$313,Data!$I$2:$I$313,KultainenGP!$A10,Data!$B$2:$B$313,"&lt;"&amp;$E$5))))</f>
        <v>176</v>
      </c>
      <c r="C10" s="44">
        <f ca="1">IF($A10="","",IF(MIN(_xlfn.MINIFS(Data!$J$2:$J$313,Data!$I$2:$I$313,KultainenGP!$A10,Data!$B$2:$B$313,"&lt;"&amp;$E$5),_xlfn.MINIFS(Data!$K$2:$K$313,Data!$I$2:$I$313,KultainenGP!$A10,Data!$B$2:$B$313,"&lt;"&amp;$E$5))=0,"Ei suorituksia.",MIN(_xlfn.MINIFS(Data!$J$2:$J$313,Data!$I$2:$I$313,KultainenGP!$A10,Data!$B$2:$B$313,"&lt;"&amp;$E$5),_xlfn.MINIFS(Data!$K$2:$K$313,Data!$I$2:$I$313,KultainenGP!$A10,Data!$B$2:$B$313,"&lt;"&amp;$E$5))))</f>
        <v>120</v>
      </c>
      <c r="D10" s="44">
        <f ca="1">IF($A10="","",IF(keilatut&lt;$E$5,"Tulossa.",SUMIFS(Data!J$2:J$313,Data!$B$2:$B$313,KultainenGP!$E$5,Data!$I$2:$I$313,KultainenGP!$A10)))</f>
        <v>97</v>
      </c>
      <c r="E10" s="44">
        <f ca="1">IF($A10="","",IF(keilatut&lt;$E$5,"Tulossa.",SUMIFS(Data!K$2:K$313,Data!$B$2:$B$313,KultainenGP!$E$5,Data!$I$2:$I$313,KultainenGP!$A10)))</f>
        <v>127</v>
      </c>
      <c r="F10" s="44" t="str">
        <f ca="1">IF($A10="","",IF($B10="Ei suorituksia.","Ei bonusoikeutta.",IF(E10="Tulossa.","Aika näyttää.",IF(SUM(D10:E10)=0,"",IF(AND(MAX(D10:E10)&gt;=B10,MIN(D10:E10)&lt;=C10),"+1-1=0",IF(MAX(D10:E10)&gt;=B10,"+1",IF(MIN(D10:E10)&lt;=C10,"-1","")))))))</f>
        <v>-1</v>
      </c>
      <c r="G10" s="74" t="str">
        <f t="shared" ref="G10:G11" ca="1" si="0">IF($A10="","",IF(E10="Tulossa.","?",IF(MAX(D10:E10)&gt;=MAX($D$10:$E$27),"Paras",IF(SUM(D10:E10)=0,"",IF(MIN(D10:E10)&lt;=_xlfn.MINIFS($D$10:$E$27,$D$10:$E$27,"&gt;0"),"Huonoin","")))))</f>
        <v/>
      </c>
      <c r="I10" s="43" t="str">
        <f ca="1">IF(Sarjataulukko!BB6="","",Sarjataulukko!BB6)</f>
        <v>Asko Haaksi</v>
      </c>
      <c r="J10" s="44">
        <f ca="1">IF($I10="","",IF(MAX(_xlfn.MAXIFS(Data!$J$2:$J$313,Data!$I$2:$I$313,KultainenGP!$I10,Data!$B$2:$B$313,"&lt;"&amp;$M$5),_xlfn.MAXIFS(Data!$K$2:$K$313,Data!$I$2:$I$313,KultainenGP!$I10,Data!$B$2:$B$313,"&lt;"&amp;$M$5))=0,"Ei suorituksia.",MAX(_xlfn.MAXIFS(Data!$J$2:$J$313,Data!$I$2:$I$313,KultainenGP!$I10,Data!$B$2:$B$313,"&lt;"&amp;$M$5),_xlfn.MAXIFS(Data!$K$2:$K$313,Data!$I$2:$I$313,KultainenGP!$I10,Data!$B$2:$B$313,"&lt;"&amp;$M$5))))</f>
        <v>177</v>
      </c>
      <c r="K10" s="44">
        <f ca="1">IF($I10="","",IF(MIN(_xlfn.MINIFS(Data!$J$2:$J$313,Data!$I$2:$I$313,KultainenGP!$I10,Data!$B$2:$B$313,"&lt;"&amp;$M$5),_xlfn.MINIFS(Data!$K$2:$K$313,Data!$I$2:$I$313,KultainenGP!$I10,Data!$B$2:$B$313,"&lt;"&amp;$M$5))=0,"Ei suorituksia.",MIN(_xlfn.MINIFS(Data!$J$2:$J$313,Data!$I$2:$I$313,KultainenGP!$I10,Data!$B$2:$B$313,"&lt;"&amp;$M$5),_xlfn.MINIFS(Data!$K$2:$K$313,Data!$I$2:$I$313,KultainenGP!$I10,Data!$B$2:$B$313,"&lt;"&amp;$M$5))))</f>
        <v>97</v>
      </c>
      <c r="L10" s="44" t="str">
        <f ca="1">IF($I10="","",IF(keilatut&lt;$M$5,"Tulossa.",SUMIFS(Data!J$2:J$313,Data!$B$2:$B$313,KultainenGP!$M$5,Data!$I$2:$I$313,KultainenGP!$I10)))</f>
        <v>Tulossa.</v>
      </c>
      <c r="M10" s="44" t="str">
        <f ca="1">IF($I10="","",IF(keilatut&lt;$M$5,"Tulossa.",SUMIFS(Data!K$2:K$313,Data!$B$2:$B$313,KultainenGP!$M$5,Data!$I$2:$I$313,KultainenGP!$I10)))</f>
        <v>Tulossa.</v>
      </c>
      <c r="N10" s="44" t="str">
        <f ca="1">IF($I10="","",IF($J10="Ei suorituksia.","Ei bonusoikeutta.",IF(M10="Tulossa.","Aika näyttää.",IF(SUM(L10:M10)=0,"",IF(AND(MAX(L10:M10)&gt;=J10,MIN(L10:M10)&lt;=K10),"+1-1=0",IF(MAX(L10:M10)&gt;=J10,"+1",IF(MIN(L10:M10)&lt;=K10,"-1","")))))))</f>
        <v>Aika näyttää.</v>
      </c>
      <c r="O10" s="74" t="str">
        <f t="shared" ref="O10:O11" ca="1" si="1">IF($I10="","",IF(M10="Tulossa.","?",IF(MAX(L10:M10)&gt;=MAX($L$10:$M$27),"Paras",IF(SUM(L10:M10)=0,"",IF(MIN(L10:M10)&lt;=_xlfn.MINIFS($L$10:$M$27,$L$10:$M$27,"&gt;0"),"Huonoin","")))))</f>
        <v>?</v>
      </c>
    </row>
    <row r="11" spans="1:15" x14ac:dyDescent="0.25">
      <c r="A11" s="33" t="str">
        <f ca="1">IF(Sarjataulukko!$BB7="","",Sarjataulukko!$BB7)</f>
        <v>Frans Hartman</v>
      </c>
      <c r="B11" s="34">
        <f ca="1">IF($A11="","",IF(MAX(_xlfn.MAXIFS(Data!$J$2:$J$313,Data!$I$2:$I$313,KultainenGP!$A11,Data!$B$2:$B$313,"&lt;"&amp;$E$5),_xlfn.MAXIFS(Data!$K$2:$K$313,Data!$I$2:$I$313,KultainenGP!$A11,Data!$B$2:$B$313,"&lt;"&amp;$E$5))=0,"Ei suorituksia.",MAX(_xlfn.MAXIFS(Data!$J$2:$J$313,Data!$I$2:$I$313,KultainenGP!$A11,Data!$B$2:$B$313,"&lt;"&amp;$E$5),_xlfn.MAXIFS(Data!$K$2:$K$313,Data!$I$2:$I$313,KultainenGP!$A11,Data!$B$2:$B$313,"&lt;"&amp;$E$5))))</f>
        <v>187</v>
      </c>
      <c r="C11" s="34">
        <f ca="1">IF($A11="","",IF(MIN(_xlfn.MINIFS(Data!$J$2:$J$313,Data!$I$2:$I$313,KultainenGP!$A11,Data!$B$2:$B$313,"&lt;"&amp;$E$5),_xlfn.MINIFS(Data!$K$2:$K$313,Data!$I$2:$I$313,KultainenGP!$A11,Data!$B$2:$B$313,"&lt;"&amp;$E$5))=0,"Ei suorituksia.",MIN(_xlfn.MINIFS(Data!$J$2:$J$313,Data!$I$2:$I$313,KultainenGP!$A11,Data!$B$2:$B$313,"&lt;"&amp;$E$5),_xlfn.MINIFS(Data!$K$2:$K$313,Data!$I$2:$I$313,KultainenGP!$A11,Data!$B$2:$B$313,"&lt;"&amp;$E$5))))</f>
        <v>111</v>
      </c>
      <c r="D11" s="34">
        <f ca="1">IF($A11="","",IF(keilatut&lt;$E$5,"Tulossa.",SUMIFS(Data!J$2:J$313,Data!$B$2:$B$313,KultainenGP!$E$5,Data!$I$2:$I$313,KultainenGP!$A11)))</f>
        <v>146</v>
      </c>
      <c r="E11" s="34">
        <f ca="1">IF($A11="","",IF(keilatut&lt;$E$5,"Tulossa.",SUMIFS(Data!K$2:K$313,Data!$B$2:$B$313,KultainenGP!$E$5,Data!$I$2:$I$313,KultainenGP!$A11)))</f>
        <v>204</v>
      </c>
      <c r="F11" s="34" t="str">
        <f t="shared" ref="F11" ca="1" si="2">IF($A11="","",IF($B11="Ei suorituksia.","Ei bonusoikeutta.",IF(E11="Tulossa.","Aika näyttää.",IF(SUM(D11:E11)=0,"",IF(AND(MAX(D11:E11)&gt;=B11,MIN(D11:E11)&lt;=C11),"+1-1=0",IF(MAX(D11:E11)&gt;=B11,"+1",IF(MIN(D11:E11)&lt;=C11,"-1","")))))))</f>
        <v>+1</v>
      </c>
      <c r="G11" s="75" t="str">
        <f t="shared" ca="1" si="0"/>
        <v>Paras</v>
      </c>
      <c r="I11" s="33" t="str">
        <f ca="1">IF(Sarjataulukko!BB7="","",Sarjataulukko!BB7)</f>
        <v>Frans Hartman</v>
      </c>
      <c r="J11" s="34">
        <f ca="1">IF($I11="","",IF(MAX(_xlfn.MAXIFS(Data!$J$2:$J$313,Data!$I$2:$I$313,KultainenGP!$I11,Data!$B$2:$B$313,"&lt;"&amp;$M$5),_xlfn.MAXIFS(Data!$K$2:$K$313,Data!$I$2:$I$313,KultainenGP!$I11,Data!$B$2:$B$313,"&lt;"&amp;$M$5))=0,"Ei suorituksia.",MAX(_xlfn.MAXIFS(Data!$J$2:$J$313,Data!$I$2:$I$313,KultainenGP!$I11,Data!$B$2:$B$313,"&lt;"&amp;$M$5),_xlfn.MAXIFS(Data!$K$2:$K$313,Data!$I$2:$I$313,KultainenGP!$I11,Data!$B$2:$B$313,"&lt;"&amp;$M$5))))</f>
        <v>204</v>
      </c>
      <c r="K11" s="34">
        <f ca="1">IF($I11="","",IF(MIN(_xlfn.MINIFS(Data!$J$2:$J$313,Data!$I$2:$I$313,KultainenGP!$I11,Data!$B$2:$B$313,"&lt;"&amp;$M$5),_xlfn.MINIFS(Data!$K$2:$K$313,Data!$I$2:$I$313,KultainenGP!$I11,Data!$B$2:$B$313,"&lt;"&amp;$M$5))=0,"Ei suorituksia.",MIN(_xlfn.MINIFS(Data!$J$2:$J$313,Data!$I$2:$I$313,KultainenGP!$I11,Data!$B$2:$B$313,"&lt;"&amp;$M$5),_xlfn.MINIFS(Data!$K$2:$K$313,Data!$I$2:$I$313,KultainenGP!$I11,Data!$B$2:$B$313,"&lt;"&amp;$M$5))))</f>
        <v>111</v>
      </c>
      <c r="L11" s="34" t="str">
        <f ca="1">IF($I11="","",IF(keilatut&lt;$M$5,"Tulossa.",SUMIFS(Data!J$2:J$313,Data!$B$2:$B$313,KultainenGP!$M$5,Data!$I$2:$I$313,KultainenGP!$I11)))</f>
        <v>Tulossa.</v>
      </c>
      <c r="M11" s="34" t="str">
        <f ca="1">IF($I11="","",IF(keilatut&lt;$M$5,"Tulossa.",SUMIFS(Data!K$2:K$313,Data!$B$2:$B$313,KultainenGP!$M$5,Data!$I$2:$I$313,KultainenGP!$I11)))</f>
        <v>Tulossa.</v>
      </c>
      <c r="N11" s="34" t="str">
        <f t="shared" ref="N11" ca="1" si="3">IF($I11="","",IF($J11="Ei suorituksia.","Ei bonusoikeutta.",IF(M11="Tulossa.","Aika näyttää.",IF(SUM(L11:M11)=0,"",IF(AND(MAX(L11:M11)&gt;=J11,MIN(L11:M11)&lt;=K11),"+1-1=0",IF(MAX(L11:M11)&gt;=J11,"+1",IF(MIN(L11:M11)&lt;=K11,"-1","")))))))</f>
        <v>Aika näyttää.</v>
      </c>
      <c r="O11" s="75" t="str">
        <f t="shared" ca="1" si="1"/>
        <v>?</v>
      </c>
    </row>
    <row r="12" spans="1:15" x14ac:dyDescent="0.25">
      <c r="A12" s="33" t="str">
        <f ca="1">IF(Sarjataulukko!$BB8="","",Sarjataulukko!$BB8)</f>
        <v>Henri Verho</v>
      </c>
      <c r="B12" s="34">
        <f ca="1">IF($A12="","",IF(MAX(_xlfn.MAXIFS(Data!$J$2:$J$313,Data!$I$2:$I$313,KultainenGP!$A12,Data!$B$2:$B$313,"&lt;"&amp;$E$5),_xlfn.MAXIFS(Data!$K$2:$K$313,Data!$I$2:$I$313,KultainenGP!$A12,Data!$B$2:$B$313,"&lt;"&amp;$E$5))=0,"Ei suorituksia.",MAX(_xlfn.MAXIFS(Data!$J$2:$J$313,Data!$I$2:$I$313,KultainenGP!$A12,Data!$B$2:$B$313,"&lt;"&amp;$E$5),_xlfn.MAXIFS(Data!$K$2:$K$313,Data!$I$2:$I$313,KultainenGP!$A12,Data!$B$2:$B$313,"&lt;"&amp;$E$5))))</f>
        <v>170</v>
      </c>
      <c r="C12" s="34">
        <f ca="1">IF($A12="","",IF(MIN(_xlfn.MINIFS(Data!$J$2:$J$313,Data!$I$2:$I$313,KultainenGP!$A12,Data!$B$2:$B$313,"&lt;"&amp;$E$5),_xlfn.MINIFS(Data!$K$2:$K$313,Data!$I$2:$I$313,KultainenGP!$A12,Data!$B$2:$B$313,"&lt;"&amp;$E$5))=0,"Ei suorituksia.",MIN(_xlfn.MINIFS(Data!$J$2:$J$313,Data!$I$2:$I$313,KultainenGP!$A12,Data!$B$2:$B$313,"&lt;"&amp;$E$5),_xlfn.MINIFS(Data!$K$2:$K$313,Data!$I$2:$I$313,KultainenGP!$A12,Data!$B$2:$B$313,"&lt;"&amp;$E$5))))</f>
        <v>102</v>
      </c>
      <c r="D12" s="34">
        <f ca="1">IF($A12="","",IF(keilatut&lt;$E$5,"Tulossa.",SUMIFS(Data!J$2:J$313,Data!$B$2:$B$313,KultainenGP!$E$5,Data!$I$2:$I$313,KultainenGP!$A12)))</f>
        <v>151</v>
      </c>
      <c r="E12" s="34">
        <f ca="1">IF($A12="","",IF(keilatut&lt;$E$5,"Tulossa.",SUMIFS(Data!K$2:K$313,Data!$B$2:$B$313,KultainenGP!$E$5,Data!$I$2:$I$313,KultainenGP!$A12)))</f>
        <v>147</v>
      </c>
      <c r="F12" s="34" t="str">
        <f t="shared" ref="F12:F27" ca="1" si="4">IF($A12="","",IF($B12="Ei suorituksia.","Ei bonusoikeutta.",IF(E12="Tulossa.","Aika näyttää.",IF(SUM(D12:E12)=0,"",IF(AND(MAX(D12:E12)&gt;=B12,MIN(D12:E12)&lt;=C12),"+1-1=0",IF(MAX(D12:E12)&gt;=B12,"+1",IF(MIN(D12:E12)&lt;=C12,"-1","")))))))</f>
        <v/>
      </c>
      <c r="G12" s="75" t="str">
        <f t="shared" ref="G12:G27" ca="1" si="5">IF($A12="","",IF(E12="Tulossa.","?",IF(MAX(D12:E12)&gt;=MAX($D$10:$E$27),"Paras",IF(SUM(D12:E12)=0,"",IF(MIN(D12:E12)&lt;=_xlfn.MINIFS($D$10:$E$27,$D$10:$E$27,"&gt;0"),"Huonoin","")))))</f>
        <v/>
      </c>
      <c r="I12" s="33" t="str">
        <f ca="1">IF(Sarjataulukko!BB8="","",Sarjataulukko!BB8)</f>
        <v>Henri Verho</v>
      </c>
      <c r="J12" s="34">
        <f ca="1">IF($I12="","",IF(MAX(_xlfn.MAXIFS(Data!$J$2:$J$313,Data!$I$2:$I$313,KultainenGP!$I12,Data!$B$2:$B$313,"&lt;"&amp;$M$5),_xlfn.MAXIFS(Data!$K$2:$K$313,Data!$I$2:$I$313,KultainenGP!$I12,Data!$B$2:$B$313,"&lt;"&amp;$M$5))=0,"Ei suorituksia.",MAX(_xlfn.MAXIFS(Data!$J$2:$J$313,Data!$I$2:$I$313,KultainenGP!$I12,Data!$B$2:$B$313,"&lt;"&amp;$M$5),_xlfn.MAXIFS(Data!$K$2:$K$313,Data!$I$2:$I$313,KultainenGP!$I12,Data!$B$2:$B$313,"&lt;"&amp;$M$5))))</f>
        <v>170</v>
      </c>
      <c r="K12" s="34">
        <f ca="1">IF($I12="","",IF(MIN(_xlfn.MINIFS(Data!$J$2:$J$313,Data!$I$2:$I$313,KultainenGP!$I12,Data!$B$2:$B$313,"&lt;"&amp;$M$5),_xlfn.MINIFS(Data!$K$2:$K$313,Data!$I$2:$I$313,KultainenGP!$I12,Data!$B$2:$B$313,"&lt;"&amp;$M$5))=0,"Ei suorituksia.",MIN(_xlfn.MINIFS(Data!$J$2:$J$313,Data!$I$2:$I$313,KultainenGP!$I12,Data!$B$2:$B$313,"&lt;"&amp;$M$5),_xlfn.MINIFS(Data!$K$2:$K$313,Data!$I$2:$I$313,KultainenGP!$I12,Data!$B$2:$B$313,"&lt;"&amp;$M$5))))</f>
        <v>102</v>
      </c>
      <c r="L12" s="34" t="str">
        <f ca="1">IF($I12="","",IF(keilatut&lt;$M$5,"Tulossa.",SUMIFS(Data!J$2:J$313,Data!$B$2:$B$313,KultainenGP!$M$5,Data!$I$2:$I$313,KultainenGP!$I12)))</f>
        <v>Tulossa.</v>
      </c>
      <c r="M12" s="34" t="str">
        <f ca="1">IF($I12="","",IF(keilatut&lt;$M$5,"Tulossa.",SUMIFS(Data!K$2:K$313,Data!$B$2:$B$313,KultainenGP!$M$5,Data!$I$2:$I$313,KultainenGP!$I12)))</f>
        <v>Tulossa.</v>
      </c>
      <c r="N12" s="34" t="str">
        <f t="shared" ref="N12:N27" ca="1" si="6">IF($I12="","",IF($J12="Ei suorituksia.","Ei bonusoikeutta.",IF(M12="Tulossa.","Aika näyttää.",IF(SUM(L12:M12)=0,"",IF(AND(MAX(L12:M12)&gt;=J12,MIN(L12:M12)&lt;=K12),"+1-1=0",IF(MAX(L12:M12)&gt;=J12,"+1",IF(MIN(L12:M12)&lt;=K12,"-1","")))))))</f>
        <v>Aika näyttää.</v>
      </c>
      <c r="O12" s="75" t="str">
        <f t="shared" ref="O12:O27" ca="1" si="7">IF($I12="","",IF(M12="Tulossa.","?",IF(MAX(L12:M12)&gt;=MAX($L$10:$M$27),"Paras",IF(SUM(L12:M12)=0,"",IF(MIN(L12:M12)&lt;=_xlfn.MINIFS($L$10:$M$27,$L$10:$M$27,"&gt;0"),"Huonoin","")))))</f>
        <v>?</v>
      </c>
    </row>
    <row r="13" spans="1:15" x14ac:dyDescent="0.25">
      <c r="A13" s="33" t="str">
        <f ca="1">IF(Sarjataulukko!$BB9="","",Sarjataulukko!$BB9)</f>
        <v>Iiro Riikonen</v>
      </c>
      <c r="B13" s="34">
        <f ca="1">IF($A13="","",IF(MAX(_xlfn.MAXIFS(Data!$J$2:$J$313,Data!$I$2:$I$313,KultainenGP!$A13,Data!$B$2:$B$313,"&lt;"&amp;$E$5),_xlfn.MAXIFS(Data!$K$2:$K$313,Data!$I$2:$I$313,KultainenGP!$A13,Data!$B$2:$B$313,"&lt;"&amp;$E$5))=0,"Ei suorituksia.",MAX(_xlfn.MAXIFS(Data!$J$2:$J$313,Data!$I$2:$I$313,KultainenGP!$A13,Data!$B$2:$B$313,"&lt;"&amp;$E$5),_xlfn.MAXIFS(Data!$K$2:$K$313,Data!$I$2:$I$313,KultainenGP!$A13,Data!$B$2:$B$313,"&lt;"&amp;$E$5))))</f>
        <v>165</v>
      </c>
      <c r="C13" s="34">
        <f ca="1">IF($A13="","",IF(MIN(_xlfn.MINIFS(Data!$J$2:$J$313,Data!$I$2:$I$313,KultainenGP!$A13,Data!$B$2:$B$313,"&lt;"&amp;$E$5),_xlfn.MINIFS(Data!$K$2:$K$313,Data!$I$2:$I$313,KultainenGP!$A13,Data!$B$2:$B$313,"&lt;"&amp;$E$5))=0,"Ei suorituksia.",MIN(_xlfn.MINIFS(Data!$J$2:$J$313,Data!$I$2:$I$313,KultainenGP!$A13,Data!$B$2:$B$313,"&lt;"&amp;$E$5),_xlfn.MINIFS(Data!$K$2:$K$313,Data!$I$2:$I$313,KultainenGP!$A13,Data!$B$2:$B$313,"&lt;"&amp;$E$5))))</f>
        <v>127</v>
      </c>
      <c r="D13" s="34">
        <f ca="1">IF($A13="","",IF(keilatut&lt;$E$5,"Tulossa.",SUMIFS(Data!J$2:J$313,Data!$B$2:$B$313,KultainenGP!$E$5,Data!$I$2:$I$313,KultainenGP!$A13)))</f>
        <v>145</v>
      </c>
      <c r="E13" s="34">
        <f ca="1">IF($A13="","",IF(keilatut&lt;$E$5,"Tulossa.",SUMIFS(Data!K$2:K$313,Data!$B$2:$B$313,KultainenGP!$E$5,Data!$I$2:$I$313,KultainenGP!$A13)))</f>
        <v>159</v>
      </c>
      <c r="F13" s="34" t="str">
        <f t="shared" ca="1" si="4"/>
        <v/>
      </c>
      <c r="G13" s="75" t="str">
        <f t="shared" ca="1" si="5"/>
        <v/>
      </c>
      <c r="I13" s="33" t="str">
        <f ca="1">IF(Sarjataulukko!BB9="","",Sarjataulukko!BB9)</f>
        <v>Iiro Riikonen</v>
      </c>
      <c r="J13" s="34">
        <f ca="1">IF($I13="","",IF(MAX(_xlfn.MAXIFS(Data!$J$2:$J$313,Data!$I$2:$I$313,KultainenGP!$I13,Data!$B$2:$B$313,"&lt;"&amp;$M$5),_xlfn.MAXIFS(Data!$K$2:$K$313,Data!$I$2:$I$313,KultainenGP!$I13,Data!$B$2:$B$313,"&lt;"&amp;$M$5))=0,"Ei suorituksia.",MAX(_xlfn.MAXIFS(Data!$J$2:$J$313,Data!$I$2:$I$313,KultainenGP!$I13,Data!$B$2:$B$313,"&lt;"&amp;$M$5),_xlfn.MAXIFS(Data!$K$2:$K$313,Data!$I$2:$I$313,KultainenGP!$I13,Data!$B$2:$B$313,"&lt;"&amp;$M$5))))</f>
        <v>165</v>
      </c>
      <c r="K13" s="34">
        <f ca="1">IF($I13="","",IF(MIN(_xlfn.MINIFS(Data!$J$2:$J$313,Data!$I$2:$I$313,KultainenGP!$I13,Data!$B$2:$B$313,"&lt;"&amp;$M$5),_xlfn.MINIFS(Data!$K$2:$K$313,Data!$I$2:$I$313,KultainenGP!$I13,Data!$B$2:$B$313,"&lt;"&amp;$M$5))=0,"Ei suorituksia.",MIN(_xlfn.MINIFS(Data!$J$2:$J$313,Data!$I$2:$I$313,KultainenGP!$I13,Data!$B$2:$B$313,"&lt;"&amp;$M$5),_xlfn.MINIFS(Data!$K$2:$K$313,Data!$I$2:$I$313,KultainenGP!$I13,Data!$B$2:$B$313,"&lt;"&amp;$M$5))))</f>
        <v>127</v>
      </c>
      <c r="L13" s="34" t="str">
        <f ca="1">IF($I13="","",IF(keilatut&lt;$M$5,"Tulossa.",SUMIFS(Data!J$2:J$313,Data!$B$2:$B$313,KultainenGP!$M$5,Data!$I$2:$I$313,KultainenGP!$I13)))</f>
        <v>Tulossa.</v>
      </c>
      <c r="M13" s="34" t="str">
        <f ca="1">IF($I13="","",IF(keilatut&lt;$M$5,"Tulossa.",SUMIFS(Data!K$2:K$313,Data!$B$2:$B$313,KultainenGP!$M$5,Data!$I$2:$I$313,KultainenGP!$I13)))</f>
        <v>Tulossa.</v>
      </c>
      <c r="N13" s="34" t="str">
        <f t="shared" ca="1" si="6"/>
        <v>Aika näyttää.</v>
      </c>
      <c r="O13" s="75" t="str">
        <f t="shared" ca="1" si="7"/>
        <v>?</v>
      </c>
    </row>
    <row r="14" spans="1:15" x14ac:dyDescent="0.25">
      <c r="A14" s="33" t="str">
        <f ca="1">IF(Sarjataulukko!$BB10="","",Sarjataulukko!$BB10)</f>
        <v>Jami Kallio</v>
      </c>
      <c r="B14" s="34">
        <f ca="1">IF($A14="","",IF(MAX(_xlfn.MAXIFS(Data!$J$2:$J$313,Data!$I$2:$I$313,KultainenGP!$A14,Data!$B$2:$B$313,"&lt;"&amp;$E$5),_xlfn.MAXIFS(Data!$K$2:$K$313,Data!$I$2:$I$313,KultainenGP!$A14,Data!$B$2:$B$313,"&lt;"&amp;$E$5))=0,"Ei suorituksia.",MAX(_xlfn.MAXIFS(Data!$J$2:$J$313,Data!$I$2:$I$313,KultainenGP!$A14,Data!$B$2:$B$313,"&lt;"&amp;$E$5),_xlfn.MAXIFS(Data!$K$2:$K$313,Data!$I$2:$I$313,KultainenGP!$A14,Data!$B$2:$B$313,"&lt;"&amp;$E$5))))</f>
        <v>196</v>
      </c>
      <c r="C14" s="34">
        <f ca="1">IF($A14="","",IF(MIN(_xlfn.MINIFS(Data!$J$2:$J$313,Data!$I$2:$I$313,KultainenGP!$A14,Data!$B$2:$B$313,"&lt;"&amp;$E$5),_xlfn.MINIFS(Data!$K$2:$K$313,Data!$I$2:$I$313,KultainenGP!$A14,Data!$B$2:$B$313,"&lt;"&amp;$E$5))=0,"Ei suorituksia.",MIN(_xlfn.MINIFS(Data!$J$2:$J$313,Data!$I$2:$I$313,KultainenGP!$A14,Data!$B$2:$B$313,"&lt;"&amp;$E$5),_xlfn.MINIFS(Data!$K$2:$K$313,Data!$I$2:$I$313,KultainenGP!$A14,Data!$B$2:$B$313,"&lt;"&amp;$E$5))))</f>
        <v>97</v>
      </c>
      <c r="D14" s="34">
        <f ca="1">IF($A14="","",IF(keilatut&lt;$E$5,"Tulossa.",SUMIFS(Data!J$2:J$313,Data!$B$2:$B$313,KultainenGP!$E$5,Data!$I$2:$I$313,KultainenGP!$A14)))</f>
        <v>164</v>
      </c>
      <c r="E14" s="34">
        <f ca="1">IF($A14="","",IF(keilatut&lt;$E$5,"Tulossa.",SUMIFS(Data!K$2:K$313,Data!$B$2:$B$313,KultainenGP!$E$5,Data!$I$2:$I$313,KultainenGP!$A14)))</f>
        <v>149</v>
      </c>
      <c r="F14" s="34" t="str">
        <f t="shared" ca="1" si="4"/>
        <v/>
      </c>
      <c r="G14" s="75" t="str">
        <f t="shared" ca="1" si="5"/>
        <v/>
      </c>
      <c r="I14" s="33" t="str">
        <f ca="1">IF(Sarjataulukko!BB10="","",Sarjataulukko!BB10)</f>
        <v>Jami Kallio</v>
      </c>
      <c r="J14" s="34">
        <f ca="1">IF($I14="","",IF(MAX(_xlfn.MAXIFS(Data!$J$2:$J$313,Data!$I$2:$I$313,KultainenGP!$I14,Data!$B$2:$B$313,"&lt;"&amp;$M$5),_xlfn.MAXIFS(Data!$K$2:$K$313,Data!$I$2:$I$313,KultainenGP!$I14,Data!$B$2:$B$313,"&lt;"&amp;$M$5))=0,"Ei suorituksia.",MAX(_xlfn.MAXIFS(Data!$J$2:$J$313,Data!$I$2:$I$313,KultainenGP!$I14,Data!$B$2:$B$313,"&lt;"&amp;$M$5),_xlfn.MAXIFS(Data!$K$2:$K$313,Data!$I$2:$I$313,KultainenGP!$I14,Data!$B$2:$B$313,"&lt;"&amp;$M$5))))</f>
        <v>196</v>
      </c>
      <c r="K14" s="34">
        <f ca="1">IF($I14="","",IF(MIN(_xlfn.MINIFS(Data!$J$2:$J$313,Data!$I$2:$I$313,KultainenGP!$I14,Data!$B$2:$B$313,"&lt;"&amp;$M$5),_xlfn.MINIFS(Data!$K$2:$K$313,Data!$I$2:$I$313,KultainenGP!$I14,Data!$B$2:$B$313,"&lt;"&amp;$M$5))=0,"Ei suorituksia.",MIN(_xlfn.MINIFS(Data!$J$2:$J$313,Data!$I$2:$I$313,KultainenGP!$I14,Data!$B$2:$B$313,"&lt;"&amp;$M$5),_xlfn.MINIFS(Data!$K$2:$K$313,Data!$I$2:$I$313,KultainenGP!$I14,Data!$B$2:$B$313,"&lt;"&amp;$M$5))))</f>
        <v>97</v>
      </c>
      <c r="L14" s="34" t="str">
        <f ca="1">IF($I14="","",IF(keilatut&lt;$M$5,"Tulossa.",SUMIFS(Data!J$2:J$313,Data!$B$2:$B$313,KultainenGP!$M$5,Data!$I$2:$I$313,KultainenGP!$I14)))</f>
        <v>Tulossa.</v>
      </c>
      <c r="M14" s="34" t="str">
        <f ca="1">IF($I14="","",IF(keilatut&lt;$M$5,"Tulossa.",SUMIFS(Data!K$2:K$313,Data!$B$2:$B$313,KultainenGP!$M$5,Data!$I$2:$I$313,KultainenGP!$I14)))</f>
        <v>Tulossa.</v>
      </c>
      <c r="N14" s="34" t="str">
        <f t="shared" ca="1" si="6"/>
        <v>Aika näyttää.</v>
      </c>
      <c r="O14" s="75" t="str">
        <f t="shared" ca="1" si="7"/>
        <v>?</v>
      </c>
    </row>
    <row r="15" spans="1:15" x14ac:dyDescent="0.25">
      <c r="A15" s="33" t="str">
        <f ca="1">IF(Sarjataulukko!$BB11="","",Sarjataulukko!$BB11)</f>
        <v>Joonas Ollonqvist</v>
      </c>
      <c r="B15" s="34">
        <f ca="1">IF($A15="","",IF(MAX(_xlfn.MAXIFS(Data!$J$2:$J$313,Data!$I$2:$I$313,KultainenGP!$A15,Data!$B$2:$B$313,"&lt;"&amp;$E$5),_xlfn.MAXIFS(Data!$K$2:$K$313,Data!$I$2:$I$313,KultainenGP!$A15,Data!$B$2:$B$313,"&lt;"&amp;$E$5))=0,"Ei suorituksia.",MAX(_xlfn.MAXIFS(Data!$J$2:$J$313,Data!$I$2:$I$313,KultainenGP!$A15,Data!$B$2:$B$313,"&lt;"&amp;$E$5),_xlfn.MAXIFS(Data!$K$2:$K$313,Data!$I$2:$I$313,KultainenGP!$A15,Data!$B$2:$B$313,"&lt;"&amp;$E$5))))</f>
        <v>142</v>
      </c>
      <c r="C15" s="34">
        <f ca="1">IF($A15="","",IF(MIN(_xlfn.MINIFS(Data!$J$2:$J$313,Data!$I$2:$I$313,KultainenGP!$A15,Data!$B$2:$B$313,"&lt;"&amp;$E$5),_xlfn.MINIFS(Data!$K$2:$K$313,Data!$I$2:$I$313,KultainenGP!$A15,Data!$B$2:$B$313,"&lt;"&amp;$E$5))=0,"Ei suorituksia.",MIN(_xlfn.MINIFS(Data!$J$2:$J$313,Data!$I$2:$I$313,KultainenGP!$A15,Data!$B$2:$B$313,"&lt;"&amp;$E$5),_xlfn.MINIFS(Data!$K$2:$K$313,Data!$I$2:$I$313,KultainenGP!$A15,Data!$B$2:$B$313,"&lt;"&amp;$E$5))))</f>
        <v>95</v>
      </c>
      <c r="D15" s="34">
        <f ca="1">IF($A15="","",IF(keilatut&lt;$E$5,"Tulossa.",SUMIFS(Data!J$2:J$313,Data!$B$2:$B$313,KultainenGP!$E$5,Data!$I$2:$I$313,KultainenGP!$A15)))</f>
        <v>117</v>
      </c>
      <c r="E15" s="34">
        <f ca="1">IF($A15="","",IF(keilatut&lt;$E$5,"Tulossa.",SUMIFS(Data!K$2:K$313,Data!$B$2:$B$313,KultainenGP!$E$5,Data!$I$2:$I$313,KultainenGP!$A15)))</f>
        <v>124</v>
      </c>
      <c r="F15" s="34" t="str">
        <f t="shared" ca="1" si="4"/>
        <v/>
      </c>
      <c r="G15" s="75" t="str">
        <f t="shared" ca="1" si="5"/>
        <v/>
      </c>
      <c r="I15" s="33" t="str">
        <f ca="1">IF(Sarjataulukko!BB11="","",Sarjataulukko!BB11)</f>
        <v>Joonas Ollonqvist</v>
      </c>
      <c r="J15" s="34">
        <f ca="1">IF($I15="","",IF(MAX(_xlfn.MAXIFS(Data!$J$2:$J$313,Data!$I$2:$I$313,KultainenGP!$I15,Data!$B$2:$B$313,"&lt;"&amp;$M$5),_xlfn.MAXIFS(Data!$K$2:$K$313,Data!$I$2:$I$313,KultainenGP!$I15,Data!$B$2:$B$313,"&lt;"&amp;$M$5))=0,"Ei suorituksia.",MAX(_xlfn.MAXIFS(Data!$J$2:$J$313,Data!$I$2:$I$313,KultainenGP!$I15,Data!$B$2:$B$313,"&lt;"&amp;$M$5),_xlfn.MAXIFS(Data!$K$2:$K$313,Data!$I$2:$I$313,KultainenGP!$I15,Data!$B$2:$B$313,"&lt;"&amp;$M$5))))</f>
        <v>156</v>
      </c>
      <c r="K15" s="34">
        <f ca="1">IF($I15="","",IF(MIN(_xlfn.MINIFS(Data!$J$2:$J$313,Data!$I$2:$I$313,KultainenGP!$I15,Data!$B$2:$B$313,"&lt;"&amp;$M$5),_xlfn.MINIFS(Data!$K$2:$K$313,Data!$I$2:$I$313,KultainenGP!$I15,Data!$B$2:$B$313,"&lt;"&amp;$M$5))=0,"Ei suorituksia.",MIN(_xlfn.MINIFS(Data!$J$2:$J$313,Data!$I$2:$I$313,KultainenGP!$I15,Data!$B$2:$B$313,"&lt;"&amp;$M$5),_xlfn.MINIFS(Data!$K$2:$K$313,Data!$I$2:$I$313,KultainenGP!$I15,Data!$B$2:$B$313,"&lt;"&amp;$M$5))))</f>
        <v>80</v>
      </c>
      <c r="L15" s="34" t="str">
        <f ca="1">IF($I15="","",IF(keilatut&lt;$M$5,"Tulossa.",SUMIFS(Data!J$2:J$313,Data!$B$2:$B$313,KultainenGP!$M$5,Data!$I$2:$I$313,KultainenGP!$I15)))</f>
        <v>Tulossa.</v>
      </c>
      <c r="M15" s="34" t="str">
        <f ca="1">IF($I15="","",IF(keilatut&lt;$M$5,"Tulossa.",SUMIFS(Data!K$2:K$313,Data!$B$2:$B$313,KultainenGP!$M$5,Data!$I$2:$I$313,KultainenGP!$I15)))</f>
        <v>Tulossa.</v>
      </c>
      <c r="N15" s="34" t="str">
        <f t="shared" ca="1" si="6"/>
        <v>Aika näyttää.</v>
      </c>
      <c r="O15" s="75" t="str">
        <f t="shared" ca="1" si="7"/>
        <v>?</v>
      </c>
    </row>
    <row r="16" spans="1:15" x14ac:dyDescent="0.25">
      <c r="A16" s="33" t="str">
        <f ca="1">IF(Sarjataulukko!$BB12="","",Sarjataulukko!$BB12)</f>
        <v>Juho Korpi</v>
      </c>
      <c r="B16" s="34">
        <f ca="1">IF($A16="","",IF(MAX(_xlfn.MAXIFS(Data!$J$2:$J$313,Data!$I$2:$I$313,KultainenGP!$A16,Data!$B$2:$B$313,"&lt;"&amp;$E$5),_xlfn.MAXIFS(Data!$K$2:$K$313,Data!$I$2:$I$313,KultainenGP!$A16,Data!$B$2:$B$313,"&lt;"&amp;$E$5))=0,"Ei suorituksia.",MAX(_xlfn.MAXIFS(Data!$J$2:$J$313,Data!$I$2:$I$313,KultainenGP!$A16,Data!$B$2:$B$313,"&lt;"&amp;$E$5),_xlfn.MAXIFS(Data!$K$2:$K$313,Data!$I$2:$I$313,KultainenGP!$A16,Data!$B$2:$B$313,"&lt;"&amp;$E$5))))</f>
        <v>161</v>
      </c>
      <c r="C16" s="34">
        <f ca="1">IF($A16="","",IF(MIN(_xlfn.MINIFS(Data!$J$2:$J$313,Data!$I$2:$I$313,KultainenGP!$A16,Data!$B$2:$B$313,"&lt;"&amp;$E$5),_xlfn.MINIFS(Data!$K$2:$K$313,Data!$I$2:$I$313,KultainenGP!$A16,Data!$B$2:$B$313,"&lt;"&amp;$E$5))=0,"Ei suorituksia.",MIN(_xlfn.MINIFS(Data!$J$2:$J$313,Data!$I$2:$I$313,KultainenGP!$A16,Data!$B$2:$B$313,"&lt;"&amp;$E$5),_xlfn.MINIFS(Data!$K$2:$K$313,Data!$I$2:$I$313,KultainenGP!$A16,Data!$B$2:$B$313,"&lt;"&amp;$E$5))))</f>
        <v>102</v>
      </c>
      <c r="D16" s="34">
        <f ca="1">IF($A16="","",IF(keilatut&lt;$E$5,"Tulossa.",SUMIFS(Data!J$2:J$313,Data!$B$2:$B$313,KultainenGP!$E$5,Data!$I$2:$I$313,KultainenGP!$A16)))</f>
        <v>106</v>
      </c>
      <c r="E16" s="34">
        <f ca="1">IF($A16="","",IF(keilatut&lt;$E$5,"Tulossa.",SUMIFS(Data!K$2:K$313,Data!$B$2:$B$313,KultainenGP!$E$5,Data!$I$2:$I$313,KultainenGP!$A16)))</f>
        <v>184</v>
      </c>
      <c r="F16" s="34" t="str">
        <f t="shared" ca="1" si="4"/>
        <v>+1</v>
      </c>
      <c r="G16" s="75" t="str">
        <f t="shared" ca="1" si="5"/>
        <v/>
      </c>
      <c r="I16" s="33" t="str">
        <f ca="1">IF(Sarjataulukko!BB12="","",Sarjataulukko!BB12)</f>
        <v>Juho Korpi</v>
      </c>
      <c r="J16" s="34">
        <f ca="1">IF($I16="","",IF(MAX(_xlfn.MAXIFS(Data!$J$2:$J$313,Data!$I$2:$I$313,KultainenGP!$I16,Data!$B$2:$B$313,"&lt;"&amp;$M$5),_xlfn.MAXIFS(Data!$K$2:$K$313,Data!$I$2:$I$313,KultainenGP!$I16,Data!$B$2:$B$313,"&lt;"&amp;$M$5))=0,"Ei suorituksia.",MAX(_xlfn.MAXIFS(Data!$J$2:$J$313,Data!$I$2:$I$313,KultainenGP!$I16,Data!$B$2:$B$313,"&lt;"&amp;$M$5),_xlfn.MAXIFS(Data!$K$2:$K$313,Data!$I$2:$I$313,KultainenGP!$I16,Data!$B$2:$B$313,"&lt;"&amp;$M$5))))</f>
        <v>184</v>
      </c>
      <c r="K16" s="34">
        <f ca="1">IF($I16="","",IF(MIN(_xlfn.MINIFS(Data!$J$2:$J$313,Data!$I$2:$I$313,KultainenGP!$I16,Data!$B$2:$B$313,"&lt;"&amp;$M$5),_xlfn.MINIFS(Data!$K$2:$K$313,Data!$I$2:$I$313,KultainenGP!$I16,Data!$B$2:$B$313,"&lt;"&amp;$M$5))=0,"Ei suorituksia.",MIN(_xlfn.MINIFS(Data!$J$2:$J$313,Data!$I$2:$I$313,KultainenGP!$I16,Data!$B$2:$B$313,"&lt;"&amp;$M$5),_xlfn.MINIFS(Data!$K$2:$K$313,Data!$I$2:$I$313,KultainenGP!$I16,Data!$B$2:$B$313,"&lt;"&amp;$M$5))))</f>
        <v>102</v>
      </c>
      <c r="L16" s="34" t="str">
        <f ca="1">IF($I16="","",IF(keilatut&lt;$M$5,"Tulossa.",SUMIFS(Data!J$2:J$313,Data!$B$2:$B$313,KultainenGP!$M$5,Data!$I$2:$I$313,KultainenGP!$I16)))</f>
        <v>Tulossa.</v>
      </c>
      <c r="M16" s="34" t="str">
        <f ca="1">IF($I16="","",IF(keilatut&lt;$M$5,"Tulossa.",SUMIFS(Data!K$2:K$313,Data!$B$2:$B$313,KultainenGP!$M$5,Data!$I$2:$I$313,KultainenGP!$I16)))</f>
        <v>Tulossa.</v>
      </c>
      <c r="N16" s="34" t="str">
        <f t="shared" ca="1" si="6"/>
        <v>Aika näyttää.</v>
      </c>
      <c r="O16" s="75" t="str">
        <f t="shared" ca="1" si="7"/>
        <v>?</v>
      </c>
    </row>
    <row r="17" spans="1:15" x14ac:dyDescent="0.25">
      <c r="A17" s="33" t="str">
        <f ca="1">IF(Sarjataulukko!$BB13="","",Sarjataulukko!$BB13)</f>
        <v>Kaleva Latvala</v>
      </c>
      <c r="B17" s="34">
        <f ca="1">IF($A17="","",IF(MAX(_xlfn.MAXIFS(Data!$J$2:$J$313,Data!$I$2:$I$313,KultainenGP!$A17,Data!$B$2:$B$313,"&lt;"&amp;$E$5),_xlfn.MAXIFS(Data!$K$2:$K$313,Data!$I$2:$I$313,KultainenGP!$A17,Data!$B$2:$B$313,"&lt;"&amp;$E$5))=0,"Ei suorituksia.",MAX(_xlfn.MAXIFS(Data!$J$2:$J$313,Data!$I$2:$I$313,KultainenGP!$A17,Data!$B$2:$B$313,"&lt;"&amp;$E$5),_xlfn.MAXIFS(Data!$K$2:$K$313,Data!$I$2:$I$313,KultainenGP!$A17,Data!$B$2:$B$313,"&lt;"&amp;$E$5))))</f>
        <v>164</v>
      </c>
      <c r="C17" s="34">
        <f ca="1">IF($A17="","",IF(MIN(_xlfn.MINIFS(Data!$J$2:$J$313,Data!$I$2:$I$313,KultainenGP!$A17,Data!$B$2:$B$313,"&lt;"&amp;$E$5),_xlfn.MINIFS(Data!$K$2:$K$313,Data!$I$2:$I$313,KultainenGP!$A17,Data!$B$2:$B$313,"&lt;"&amp;$E$5))=0,"Ei suorituksia.",MIN(_xlfn.MINIFS(Data!$J$2:$J$313,Data!$I$2:$I$313,KultainenGP!$A17,Data!$B$2:$B$313,"&lt;"&amp;$E$5),_xlfn.MINIFS(Data!$K$2:$K$313,Data!$I$2:$I$313,KultainenGP!$A17,Data!$B$2:$B$313,"&lt;"&amp;$E$5))))</f>
        <v>114</v>
      </c>
      <c r="D17" s="34">
        <f ca="1">IF($A17="","",IF(keilatut&lt;$E$5,"Tulossa.",SUMIFS(Data!J$2:J$313,Data!$B$2:$B$313,KultainenGP!$E$5,Data!$I$2:$I$313,KultainenGP!$A17)))</f>
        <v>92</v>
      </c>
      <c r="E17" s="34">
        <f ca="1">IF($A17="","",IF(keilatut&lt;$E$5,"Tulossa.",SUMIFS(Data!K$2:K$313,Data!$B$2:$B$313,KultainenGP!$E$5,Data!$I$2:$I$313,KultainenGP!$A17)))</f>
        <v>126</v>
      </c>
      <c r="F17" s="34" t="str">
        <f t="shared" ca="1" si="4"/>
        <v>-1</v>
      </c>
      <c r="G17" s="75" t="str">
        <f t="shared" ca="1" si="5"/>
        <v/>
      </c>
      <c r="I17" s="33" t="str">
        <f ca="1">IF(Sarjataulukko!BB13="","",Sarjataulukko!BB13)</f>
        <v>Kaleva Latvala</v>
      </c>
      <c r="J17" s="34">
        <f ca="1">IF($I17="","",IF(MAX(_xlfn.MAXIFS(Data!$J$2:$J$313,Data!$I$2:$I$313,KultainenGP!$I17,Data!$B$2:$B$313,"&lt;"&amp;$M$5),_xlfn.MAXIFS(Data!$K$2:$K$313,Data!$I$2:$I$313,KultainenGP!$I17,Data!$B$2:$B$313,"&lt;"&amp;$M$5))=0,"Ei suorituksia.",MAX(_xlfn.MAXIFS(Data!$J$2:$J$313,Data!$I$2:$I$313,KultainenGP!$I17,Data!$B$2:$B$313,"&lt;"&amp;$M$5),_xlfn.MAXIFS(Data!$K$2:$K$313,Data!$I$2:$I$313,KultainenGP!$I17,Data!$B$2:$B$313,"&lt;"&amp;$M$5))))</f>
        <v>164</v>
      </c>
      <c r="K17" s="34">
        <f ca="1">IF($I17="","",IF(MIN(_xlfn.MINIFS(Data!$J$2:$J$313,Data!$I$2:$I$313,KultainenGP!$I17,Data!$B$2:$B$313,"&lt;"&amp;$M$5),_xlfn.MINIFS(Data!$K$2:$K$313,Data!$I$2:$I$313,KultainenGP!$I17,Data!$B$2:$B$313,"&lt;"&amp;$M$5))=0,"Ei suorituksia.",MIN(_xlfn.MINIFS(Data!$J$2:$J$313,Data!$I$2:$I$313,KultainenGP!$I17,Data!$B$2:$B$313,"&lt;"&amp;$M$5),_xlfn.MINIFS(Data!$K$2:$K$313,Data!$I$2:$I$313,KultainenGP!$I17,Data!$B$2:$B$313,"&lt;"&amp;$M$5))))</f>
        <v>92</v>
      </c>
      <c r="L17" s="34" t="str">
        <f ca="1">IF($I17="","",IF(keilatut&lt;$M$5,"Tulossa.",SUMIFS(Data!J$2:J$313,Data!$B$2:$B$313,KultainenGP!$M$5,Data!$I$2:$I$313,KultainenGP!$I17)))</f>
        <v>Tulossa.</v>
      </c>
      <c r="M17" s="34" t="str">
        <f ca="1">IF($I17="","",IF(keilatut&lt;$M$5,"Tulossa.",SUMIFS(Data!K$2:K$313,Data!$B$2:$B$313,KultainenGP!$M$5,Data!$I$2:$I$313,KultainenGP!$I17)))</f>
        <v>Tulossa.</v>
      </c>
      <c r="N17" s="34" t="str">
        <f t="shared" ca="1" si="6"/>
        <v>Aika näyttää.</v>
      </c>
      <c r="O17" s="75" t="str">
        <f t="shared" ca="1" si="7"/>
        <v>?</v>
      </c>
    </row>
    <row r="18" spans="1:15" x14ac:dyDescent="0.25">
      <c r="A18" s="33" t="str">
        <f ca="1">IF(Sarjataulukko!$BB14="","",Sarjataulukko!$BB14)</f>
        <v>Miika Nordblad</v>
      </c>
      <c r="B18" s="34">
        <f ca="1">IF($A18="","",IF(MAX(_xlfn.MAXIFS(Data!$J$2:$J$313,Data!$I$2:$I$313,KultainenGP!$A18,Data!$B$2:$B$313,"&lt;"&amp;$E$5),_xlfn.MAXIFS(Data!$K$2:$K$313,Data!$I$2:$I$313,KultainenGP!$A18,Data!$B$2:$B$313,"&lt;"&amp;$E$5))=0,"Ei suorituksia.",MAX(_xlfn.MAXIFS(Data!$J$2:$J$313,Data!$I$2:$I$313,KultainenGP!$A18,Data!$B$2:$B$313,"&lt;"&amp;$E$5),_xlfn.MAXIFS(Data!$K$2:$K$313,Data!$I$2:$I$313,KultainenGP!$A18,Data!$B$2:$B$313,"&lt;"&amp;$E$5))))</f>
        <v>184</v>
      </c>
      <c r="C18" s="34">
        <f ca="1">IF($A18="","",IF(MIN(_xlfn.MINIFS(Data!$J$2:$J$313,Data!$I$2:$I$313,KultainenGP!$A18,Data!$B$2:$B$313,"&lt;"&amp;$E$5),_xlfn.MINIFS(Data!$K$2:$K$313,Data!$I$2:$I$313,KultainenGP!$A18,Data!$B$2:$B$313,"&lt;"&amp;$E$5))=0,"Ei suorituksia.",MIN(_xlfn.MINIFS(Data!$J$2:$J$313,Data!$I$2:$I$313,KultainenGP!$A18,Data!$B$2:$B$313,"&lt;"&amp;$E$5),_xlfn.MINIFS(Data!$K$2:$K$313,Data!$I$2:$I$313,KultainenGP!$A18,Data!$B$2:$B$313,"&lt;"&amp;$E$5))))</f>
        <v>123</v>
      </c>
      <c r="D18" s="34">
        <f ca="1">IF($A18="","",IF(keilatut&lt;$E$5,"Tulossa.",SUMIFS(Data!J$2:J$313,Data!$B$2:$B$313,KultainenGP!$E$5,Data!$I$2:$I$313,KultainenGP!$A18)))</f>
        <v>133</v>
      </c>
      <c r="E18" s="34">
        <f ca="1">IF($A18="","",IF(keilatut&lt;$E$5,"Tulossa.",SUMIFS(Data!K$2:K$313,Data!$B$2:$B$313,KultainenGP!$E$5,Data!$I$2:$I$313,KultainenGP!$A18)))</f>
        <v>123</v>
      </c>
      <c r="F18" s="34" t="str">
        <f t="shared" ca="1" si="4"/>
        <v>-1</v>
      </c>
      <c r="G18" s="75" t="str">
        <f t="shared" ca="1" si="5"/>
        <v/>
      </c>
      <c r="I18" s="33" t="str">
        <f ca="1">IF(Sarjataulukko!BB14="","",Sarjataulukko!BB14)</f>
        <v>Miika Nordblad</v>
      </c>
      <c r="J18" s="34">
        <f ca="1">IF($I18="","",IF(MAX(_xlfn.MAXIFS(Data!$J$2:$J$313,Data!$I$2:$I$313,KultainenGP!$I18,Data!$B$2:$B$313,"&lt;"&amp;$M$5),_xlfn.MAXIFS(Data!$K$2:$K$313,Data!$I$2:$I$313,KultainenGP!$I18,Data!$B$2:$B$313,"&lt;"&amp;$M$5))=0,"Ei suorituksia.",MAX(_xlfn.MAXIFS(Data!$J$2:$J$313,Data!$I$2:$I$313,KultainenGP!$I18,Data!$B$2:$B$313,"&lt;"&amp;$M$5),_xlfn.MAXIFS(Data!$K$2:$K$313,Data!$I$2:$I$313,KultainenGP!$I18,Data!$B$2:$B$313,"&lt;"&amp;$M$5))))</f>
        <v>184</v>
      </c>
      <c r="K18" s="34">
        <f ca="1">IF($I18="","",IF(MIN(_xlfn.MINIFS(Data!$J$2:$J$313,Data!$I$2:$I$313,KultainenGP!$I18,Data!$B$2:$B$313,"&lt;"&amp;$M$5),_xlfn.MINIFS(Data!$K$2:$K$313,Data!$I$2:$I$313,KultainenGP!$I18,Data!$B$2:$B$313,"&lt;"&amp;$M$5))=0,"Ei suorituksia.",MIN(_xlfn.MINIFS(Data!$J$2:$J$313,Data!$I$2:$I$313,KultainenGP!$I18,Data!$B$2:$B$313,"&lt;"&amp;$M$5),_xlfn.MINIFS(Data!$K$2:$K$313,Data!$I$2:$I$313,KultainenGP!$I18,Data!$B$2:$B$313,"&lt;"&amp;$M$5))))</f>
        <v>123</v>
      </c>
      <c r="L18" s="34" t="str">
        <f ca="1">IF($I18="","",IF(keilatut&lt;$M$5,"Tulossa.",SUMIFS(Data!J$2:J$313,Data!$B$2:$B$313,KultainenGP!$M$5,Data!$I$2:$I$313,KultainenGP!$I18)))</f>
        <v>Tulossa.</v>
      </c>
      <c r="M18" s="34" t="str">
        <f ca="1">IF($I18="","",IF(keilatut&lt;$M$5,"Tulossa.",SUMIFS(Data!K$2:K$313,Data!$B$2:$B$313,KultainenGP!$M$5,Data!$I$2:$I$313,KultainenGP!$I18)))</f>
        <v>Tulossa.</v>
      </c>
      <c r="N18" s="34" t="str">
        <f t="shared" ca="1" si="6"/>
        <v>Aika näyttää.</v>
      </c>
      <c r="O18" s="75" t="str">
        <f t="shared" ca="1" si="7"/>
        <v>?</v>
      </c>
    </row>
    <row r="19" spans="1:15" x14ac:dyDescent="0.25">
      <c r="A19" s="33" t="str">
        <f ca="1">IF(Sarjataulukko!$BB15="","",Sarjataulukko!$BB15)</f>
        <v>Miikka Korventausta</v>
      </c>
      <c r="B19" s="34">
        <f ca="1">IF($A19="","",IF(MAX(_xlfn.MAXIFS(Data!$J$2:$J$313,Data!$I$2:$I$313,KultainenGP!$A19,Data!$B$2:$B$313,"&lt;"&amp;$E$5),_xlfn.MAXIFS(Data!$K$2:$K$313,Data!$I$2:$I$313,KultainenGP!$A19,Data!$B$2:$B$313,"&lt;"&amp;$E$5))=0,"Ei suorituksia.",MAX(_xlfn.MAXIFS(Data!$J$2:$J$313,Data!$I$2:$I$313,KultainenGP!$A19,Data!$B$2:$B$313,"&lt;"&amp;$E$5),_xlfn.MAXIFS(Data!$K$2:$K$313,Data!$I$2:$I$313,KultainenGP!$A19,Data!$B$2:$B$313,"&lt;"&amp;$E$5))))</f>
        <v>183</v>
      </c>
      <c r="C19" s="34">
        <f ca="1">IF($A19="","",IF(MIN(_xlfn.MINIFS(Data!$J$2:$J$313,Data!$I$2:$I$313,KultainenGP!$A19,Data!$B$2:$B$313,"&lt;"&amp;$E$5),_xlfn.MINIFS(Data!$K$2:$K$313,Data!$I$2:$I$313,KultainenGP!$A19,Data!$B$2:$B$313,"&lt;"&amp;$E$5))=0,"Ei suorituksia.",MIN(_xlfn.MINIFS(Data!$J$2:$J$313,Data!$I$2:$I$313,KultainenGP!$A19,Data!$B$2:$B$313,"&lt;"&amp;$E$5),_xlfn.MINIFS(Data!$K$2:$K$313,Data!$I$2:$I$313,KultainenGP!$A19,Data!$B$2:$B$313,"&lt;"&amp;$E$5))))</f>
        <v>73</v>
      </c>
      <c r="D19" s="34">
        <f ca="1">IF($A19="","",IF(keilatut&lt;$E$5,"Tulossa.",SUMIFS(Data!J$2:J$313,Data!$B$2:$B$313,KultainenGP!$E$5,Data!$I$2:$I$313,KultainenGP!$A19)))</f>
        <v>0</v>
      </c>
      <c r="E19" s="34">
        <f ca="1">IF($A19="","",IF(keilatut&lt;$E$5,"Tulossa.",SUMIFS(Data!K$2:K$313,Data!$B$2:$B$313,KultainenGP!$E$5,Data!$I$2:$I$313,KultainenGP!$A19)))</f>
        <v>0</v>
      </c>
      <c r="F19" s="34" t="str">
        <f t="shared" ca="1" si="4"/>
        <v/>
      </c>
      <c r="G19" s="75" t="str">
        <f t="shared" ca="1" si="5"/>
        <v/>
      </c>
      <c r="I19" s="33" t="str">
        <f ca="1">IF(Sarjataulukko!BB15="","",Sarjataulukko!BB15)</f>
        <v>Miikka Korventausta</v>
      </c>
      <c r="J19" s="34">
        <f ca="1">IF($I19="","",IF(MAX(_xlfn.MAXIFS(Data!$J$2:$J$313,Data!$I$2:$I$313,KultainenGP!$I19,Data!$B$2:$B$313,"&lt;"&amp;$M$5),_xlfn.MAXIFS(Data!$K$2:$K$313,Data!$I$2:$I$313,KultainenGP!$I19,Data!$B$2:$B$313,"&lt;"&amp;$M$5))=0,"Ei suorituksia.",MAX(_xlfn.MAXIFS(Data!$J$2:$J$313,Data!$I$2:$I$313,KultainenGP!$I19,Data!$B$2:$B$313,"&lt;"&amp;$M$5),_xlfn.MAXIFS(Data!$K$2:$K$313,Data!$I$2:$I$313,KultainenGP!$I19,Data!$B$2:$B$313,"&lt;"&amp;$M$5))))</f>
        <v>183</v>
      </c>
      <c r="K19" s="34">
        <f ca="1">IF($I19="","",IF(MIN(_xlfn.MINIFS(Data!$J$2:$J$313,Data!$I$2:$I$313,KultainenGP!$I19,Data!$B$2:$B$313,"&lt;"&amp;$M$5),_xlfn.MINIFS(Data!$K$2:$K$313,Data!$I$2:$I$313,KultainenGP!$I19,Data!$B$2:$B$313,"&lt;"&amp;$M$5))=0,"Ei suorituksia.",MIN(_xlfn.MINIFS(Data!$J$2:$J$313,Data!$I$2:$I$313,KultainenGP!$I19,Data!$B$2:$B$313,"&lt;"&amp;$M$5),_xlfn.MINIFS(Data!$K$2:$K$313,Data!$I$2:$I$313,KultainenGP!$I19,Data!$B$2:$B$313,"&lt;"&amp;$M$5))))</f>
        <v>73</v>
      </c>
      <c r="L19" s="34" t="str">
        <f ca="1">IF($I19="","",IF(keilatut&lt;$M$5,"Tulossa.",SUMIFS(Data!J$2:J$313,Data!$B$2:$B$313,KultainenGP!$M$5,Data!$I$2:$I$313,KultainenGP!$I19)))</f>
        <v>Tulossa.</v>
      </c>
      <c r="M19" s="34" t="str">
        <f ca="1">IF($I19="","",IF(keilatut&lt;$M$5,"Tulossa.",SUMIFS(Data!K$2:K$313,Data!$B$2:$B$313,KultainenGP!$M$5,Data!$I$2:$I$313,KultainenGP!$I19)))</f>
        <v>Tulossa.</v>
      </c>
      <c r="N19" s="34" t="str">
        <f t="shared" ca="1" si="6"/>
        <v>Aika näyttää.</v>
      </c>
      <c r="O19" s="75" t="str">
        <f t="shared" ca="1" si="7"/>
        <v>?</v>
      </c>
    </row>
    <row r="20" spans="1:15" x14ac:dyDescent="0.25">
      <c r="A20" s="33" t="str">
        <f ca="1">IF(Sarjataulukko!$BB16="","",Sarjataulukko!$BB16)</f>
        <v>Mika Sola</v>
      </c>
      <c r="B20" s="34">
        <f ca="1">IF($A20="","",IF(MAX(_xlfn.MAXIFS(Data!$J$2:$J$313,Data!$I$2:$I$313,KultainenGP!$A20,Data!$B$2:$B$313,"&lt;"&amp;$E$5),_xlfn.MAXIFS(Data!$K$2:$K$313,Data!$I$2:$I$313,KultainenGP!$A20,Data!$B$2:$B$313,"&lt;"&amp;$E$5))=0,"Ei suorituksia.",MAX(_xlfn.MAXIFS(Data!$J$2:$J$313,Data!$I$2:$I$313,KultainenGP!$A20,Data!$B$2:$B$313,"&lt;"&amp;$E$5),_xlfn.MAXIFS(Data!$K$2:$K$313,Data!$I$2:$I$313,KultainenGP!$A20,Data!$B$2:$B$313,"&lt;"&amp;$E$5))))</f>
        <v>178</v>
      </c>
      <c r="C20" s="34">
        <f ca="1">IF($A20="","",IF(MIN(_xlfn.MINIFS(Data!$J$2:$J$313,Data!$I$2:$I$313,KultainenGP!$A20,Data!$B$2:$B$313,"&lt;"&amp;$E$5),_xlfn.MINIFS(Data!$K$2:$K$313,Data!$I$2:$I$313,KultainenGP!$A20,Data!$B$2:$B$313,"&lt;"&amp;$E$5))=0,"Ei suorituksia.",MIN(_xlfn.MINIFS(Data!$J$2:$J$313,Data!$I$2:$I$313,KultainenGP!$A20,Data!$B$2:$B$313,"&lt;"&amp;$E$5),_xlfn.MINIFS(Data!$K$2:$K$313,Data!$I$2:$I$313,KultainenGP!$A20,Data!$B$2:$B$313,"&lt;"&amp;$E$5))))</f>
        <v>91</v>
      </c>
      <c r="D20" s="34">
        <f ca="1">IF($A20="","",IF(keilatut&lt;$E$5,"Tulossa.",SUMIFS(Data!J$2:J$313,Data!$B$2:$B$313,KultainenGP!$E$5,Data!$I$2:$I$313,KultainenGP!$A20)))</f>
        <v>117</v>
      </c>
      <c r="E20" s="34">
        <f ca="1">IF($A20="","",IF(keilatut&lt;$E$5,"Tulossa.",SUMIFS(Data!K$2:K$313,Data!$B$2:$B$313,KultainenGP!$E$5,Data!$I$2:$I$313,KultainenGP!$A20)))</f>
        <v>137</v>
      </c>
      <c r="F20" s="34" t="str">
        <f t="shared" ca="1" si="4"/>
        <v/>
      </c>
      <c r="G20" s="75" t="str">
        <f t="shared" ca="1" si="5"/>
        <v/>
      </c>
      <c r="I20" s="33" t="str">
        <f ca="1">IF(Sarjataulukko!BB16="","",Sarjataulukko!BB16)</f>
        <v>Mika Sola</v>
      </c>
      <c r="J20" s="34">
        <f ca="1">IF($I20="","",IF(MAX(_xlfn.MAXIFS(Data!$J$2:$J$313,Data!$I$2:$I$313,KultainenGP!$I20,Data!$B$2:$B$313,"&lt;"&amp;$M$5),_xlfn.MAXIFS(Data!$K$2:$K$313,Data!$I$2:$I$313,KultainenGP!$I20,Data!$B$2:$B$313,"&lt;"&amp;$M$5))=0,"Ei suorituksia.",MAX(_xlfn.MAXIFS(Data!$J$2:$J$313,Data!$I$2:$I$313,KultainenGP!$I20,Data!$B$2:$B$313,"&lt;"&amp;$M$5),_xlfn.MAXIFS(Data!$K$2:$K$313,Data!$I$2:$I$313,KultainenGP!$I20,Data!$B$2:$B$313,"&lt;"&amp;$M$5))))</f>
        <v>203</v>
      </c>
      <c r="K20" s="34">
        <f ca="1">IF($I20="","",IF(MIN(_xlfn.MINIFS(Data!$J$2:$J$313,Data!$I$2:$I$313,KultainenGP!$I20,Data!$B$2:$B$313,"&lt;"&amp;$M$5),_xlfn.MINIFS(Data!$K$2:$K$313,Data!$I$2:$I$313,KultainenGP!$I20,Data!$B$2:$B$313,"&lt;"&amp;$M$5))=0,"Ei suorituksia.",MIN(_xlfn.MINIFS(Data!$J$2:$J$313,Data!$I$2:$I$313,KultainenGP!$I20,Data!$B$2:$B$313,"&lt;"&amp;$M$5),_xlfn.MINIFS(Data!$K$2:$K$313,Data!$I$2:$I$313,KultainenGP!$I20,Data!$B$2:$B$313,"&lt;"&amp;$M$5))))</f>
        <v>90</v>
      </c>
      <c r="L20" s="34" t="str">
        <f ca="1">IF($I20="","",IF(keilatut&lt;$M$5,"Tulossa.",SUMIFS(Data!J$2:J$313,Data!$B$2:$B$313,KultainenGP!$M$5,Data!$I$2:$I$313,KultainenGP!$I20)))</f>
        <v>Tulossa.</v>
      </c>
      <c r="M20" s="34" t="str">
        <f ca="1">IF($I20="","",IF(keilatut&lt;$M$5,"Tulossa.",SUMIFS(Data!K$2:K$313,Data!$B$2:$B$313,KultainenGP!$M$5,Data!$I$2:$I$313,KultainenGP!$I20)))</f>
        <v>Tulossa.</v>
      </c>
      <c r="N20" s="34" t="str">
        <f t="shared" ca="1" si="6"/>
        <v>Aika näyttää.</v>
      </c>
      <c r="O20" s="75" t="str">
        <f t="shared" ca="1" si="7"/>
        <v>?</v>
      </c>
    </row>
    <row r="21" spans="1:15" x14ac:dyDescent="0.25">
      <c r="A21" s="33" t="str">
        <f ca="1">IF(Sarjataulukko!$BB17="","",Sarjataulukko!$BB17)</f>
        <v>Mikko Mansikkamäki</v>
      </c>
      <c r="B21" s="34">
        <f ca="1">IF($A21="","",IF(MAX(_xlfn.MAXIFS(Data!$J$2:$J$313,Data!$I$2:$I$313,KultainenGP!$A21,Data!$B$2:$B$313,"&lt;"&amp;$E$5),_xlfn.MAXIFS(Data!$K$2:$K$313,Data!$I$2:$I$313,KultainenGP!$A21,Data!$B$2:$B$313,"&lt;"&amp;$E$5))=0,"Ei suorituksia.",MAX(_xlfn.MAXIFS(Data!$J$2:$J$313,Data!$I$2:$I$313,KultainenGP!$A21,Data!$B$2:$B$313,"&lt;"&amp;$E$5),_xlfn.MAXIFS(Data!$K$2:$K$313,Data!$I$2:$I$313,KultainenGP!$A21,Data!$B$2:$B$313,"&lt;"&amp;$E$5))))</f>
        <v>117</v>
      </c>
      <c r="C21" s="34">
        <f ca="1">IF($A21="","",IF(MIN(_xlfn.MINIFS(Data!$J$2:$J$313,Data!$I$2:$I$313,KultainenGP!$A21,Data!$B$2:$B$313,"&lt;"&amp;$E$5),_xlfn.MINIFS(Data!$K$2:$K$313,Data!$I$2:$I$313,KultainenGP!$A21,Data!$B$2:$B$313,"&lt;"&amp;$E$5))=0,"Ei suorituksia.",MIN(_xlfn.MINIFS(Data!$J$2:$J$313,Data!$I$2:$I$313,KultainenGP!$A21,Data!$B$2:$B$313,"&lt;"&amp;$E$5),_xlfn.MINIFS(Data!$K$2:$K$313,Data!$I$2:$I$313,KultainenGP!$A21,Data!$B$2:$B$313,"&lt;"&amp;$E$5))))</f>
        <v>72</v>
      </c>
      <c r="D21" s="34">
        <f ca="1">IF($A21="","",IF(keilatut&lt;$E$5,"Tulossa.",SUMIFS(Data!J$2:J$313,Data!$B$2:$B$313,KultainenGP!$E$5,Data!$I$2:$I$313,KultainenGP!$A21)))</f>
        <v>59</v>
      </c>
      <c r="E21" s="34">
        <f ca="1">IF($A21="","",IF(keilatut&lt;$E$5,"Tulossa.",SUMIFS(Data!K$2:K$313,Data!$B$2:$B$313,KultainenGP!$E$5,Data!$I$2:$I$313,KultainenGP!$A21)))</f>
        <v>119</v>
      </c>
      <c r="F21" s="34" t="str">
        <f t="shared" ca="1" si="4"/>
        <v>+1-1=0</v>
      </c>
      <c r="G21" s="75" t="str">
        <f t="shared" ca="1" si="5"/>
        <v>Huonoin</v>
      </c>
      <c r="I21" s="33" t="str">
        <f ca="1">IF(Sarjataulukko!BB17="","",Sarjataulukko!BB17)</f>
        <v>Mikko Mansikkamäki</v>
      </c>
      <c r="J21" s="34">
        <f ca="1">IF($I21="","",IF(MAX(_xlfn.MAXIFS(Data!$J$2:$J$313,Data!$I$2:$I$313,KultainenGP!$I21,Data!$B$2:$B$313,"&lt;"&amp;$M$5),_xlfn.MAXIFS(Data!$K$2:$K$313,Data!$I$2:$I$313,KultainenGP!$I21,Data!$B$2:$B$313,"&lt;"&amp;$M$5))=0,"Ei suorituksia.",MAX(_xlfn.MAXIFS(Data!$J$2:$J$313,Data!$I$2:$I$313,KultainenGP!$I21,Data!$B$2:$B$313,"&lt;"&amp;$M$5),_xlfn.MAXIFS(Data!$K$2:$K$313,Data!$I$2:$I$313,KultainenGP!$I21,Data!$B$2:$B$313,"&lt;"&amp;$M$5))))</f>
        <v>178</v>
      </c>
      <c r="K21" s="34">
        <f ca="1">IF($I21="","",IF(MIN(_xlfn.MINIFS(Data!$J$2:$J$313,Data!$I$2:$I$313,KultainenGP!$I21,Data!$B$2:$B$313,"&lt;"&amp;$M$5),_xlfn.MINIFS(Data!$K$2:$K$313,Data!$I$2:$I$313,KultainenGP!$I21,Data!$B$2:$B$313,"&lt;"&amp;$M$5))=0,"Ei suorituksia.",MIN(_xlfn.MINIFS(Data!$J$2:$J$313,Data!$I$2:$I$313,KultainenGP!$I21,Data!$B$2:$B$313,"&lt;"&amp;$M$5),_xlfn.MINIFS(Data!$K$2:$K$313,Data!$I$2:$I$313,KultainenGP!$I21,Data!$B$2:$B$313,"&lt;"&amp;$M$5))))</f>
        <v>59</v>
      </c>
      <c r="L21" s="34" t="str">
        <f ca="1">IF($I21="","",IF(keilatut&lt;$M$5,"Tulossa.",SUMIFS(Data!J$2:J$313,Data!$B$2:$B$313,KultainenGP!$M$5,Data!$I$2:$I$313,KultainenGP!$I21)))</f>
        <v>Tulossa.</v>
      </c>
      <c r="M21" s="34" t="str">
        <f ca="1">IF($I21="","",IF(keilatut&lt;$M$5,"Tulossa.",SUMIFS(Data!K$2:K$313,Data!$B$2:$B$313,KultainenGP!$M$5,Data!$I$2:$I$313,KultainenGP!$I21)))</f>
        <v>Tulossa.</v>
      </c>
      <c r="N21" s="34" t="str">
        <f t="shared" ca="1" si="6"/>
        <v>Aika näyttää.</v>
      </c>
      <c r="O21" s="75" t="str">
        <f t="shared" ca="1" si="7"/>
        <v>?</v>
      </c>
    </row>
    <row r="22" spans="1:15" x14ac:dyDescent="0.25">
      <c r="A22" s="33" t="str">
        <f ca="1">IF(Sarjataulukko!$BB18="","",Sarjataulukko!$BB18)</f>
        <v>Niko Reunanen</v>
      </c>
      <c r="B22" s="34">
        <f ca="1">IF($A22="","",IF(MAX(_xlfn.MAXIFS(Data!$J$2:$J$313,Data!$I$2:$I$313,KultainenGP!$A22,Data!$B$2:$B$313,"&lt;"&amp;$E$5),_xlfn.MAXIFS(Data!$K$2:$K$313,Data!$I$2:$I$313,KultainenGP!$A22,Data!$B$2:$B$313,"&lt;"&amp;$E$5))=0,"Ei suorituksia.",MAX(_xlfn.MAXIFS(Data!$J$2:$J$313,Data!$I$2:$I$313,KultainenGP!$A22,Data!$B$2:$B$313,"&lt;"&amp;$E$5),_xlfn.MAXIFS(Data!$K$2:$K$313,Data!$I$2:$I$313,KultainenGP!$A22,Data!$B$2:$B$313,"&lt;"&amp;$E$5))))</f>
        <v>178</v>
      </c>
      <c r="C22" s="34">
        <f ca="1">IF($A22="","",IF(MIN(_xlfn.MINIFS(Data!$J$2:$J$313,Data!$I$2:$I$313,KultainenGP!$A22,Data!$B$2:$B$313,"&lt;"&amp;$E$5),_xlfn.MINIFS(Data!$K$2:$K$313,Data!$I$2:$I$313,KultainenGP!$A22,Data!$B$2:$B$313,"&lt;"&amp;$E$5))=0,"Ei suorituksia.",MIN(_xlfn.MINIFS(Data!$J$2:$J$313,Data!$I$2:$I$313,KultainenGP!$A22,Data!$B$2:$B$313,"&lt;"&amp;$E$5),_xlfn.MINIFS(Data!$K$2:$K$313,Data!$I$2:$I$313,KultainenGP!$A22,Data!$B$2:$B$313,"&lt;"&amp;$E$5))))</f>
        <v>87</v>
      </c>
      <c r="D22" s="34">
        <f ca="1">IF($A22="","",IF(keilatut&lt;$E$5,"Tulossa.",SUMIFS(Data!J$2:J$313,Data!$B$2:$B$313,KultainenGP!$E$5,Data!$I$2:$I$313,KultainenGP!$A22)))</f>
        <v>165</v>
      </c>
      <c r="E22" s="34">
        <f ca="1">IF($A22="","",IF(keilatut&lt;$E$5,"Tulossa.",SUMIFS(Data!K$2:K$313,Data!$B$2:$B$313,KultainenGP!$E$5,Data!$I$2:$I$313,KultainenGP!$A22)))</f>
        <v>124</v>
      </c>
      <c r="F22" s="34" t="str">
        <f t="shared" ca="1" si="4"/>
        <v/>
      </c>
      <c r="G22" s="75" t="str">
        <f t="shared" ca="1" si="5"/>
        <v/>
      </c>
      <c r="I22" s="33" t="str">
        <f ca="1">IF(Sarjataulukko!BB18="","",Sarjataulukko!BB18)</f>
        <v>Niko Reunanen</v>
      </c>
      <c r="J22" s="34">
        <f ca="1">IF($I22="","",IF(MAX(_xlfn.MAXIFS(Data!$J$2:$J$313,Data!$I$2:$I$313,KultainenGP!$I22,Data!$B$2:$B$313,"&lt;"&amp;$M$5),_xlfn.MAXIFS(Data!$K$2:$K$313,Data!$I$2:$I$313,KultainenGP!$I22,Data!$B$2:$B$313,"&lt;"&amp;$M$5))=0,"Ei suorituksia.",MAX(_xlfn.MAXIFS(Data!$J$2:$J$313,Data!$I$2:$I$313,KultainenGP!$I22,Data!$B$2:$B$313,"&lt;"&amp;$M$5),_xlfn.MAXIFS(Data!$K$2:$K$313,Data!$I$2:$I$313,KultainenGP!$I22,Data!$B$2:$B$313,"&lt;"&amp;$M$5))))</f>
        <v>178</v>
      </c>
      <c r="K22" s="34">
        <f ca="1">IF($I22="","",IF(MIN(_xlfn.MINIFS(Data!$J$2:$J$313,Data!$I$2:$I$313,KultainenGP!$I22,Data!$B$2:$B$313,"&lt;"&amp;$M$5),_xlfn.MINIFS(Data!$K$2:$K$313,Data!$I$2:$I$313,KultainenGP!$I22,Data!$B$2:$B$313,"&lt;"&amp;$M$5))=0,"Ei suorituksia.",MIN(_xlfn.MINIFS(Data!$J$2:$J$313,Data!$I$2:$I$313,KultainenGP!$I22,Data!$B$2:$B$313,"&lt;"&amp;$M$5),_xlfn.MINIFS(Data!$K$2:$K$313,Data!$I$2:$I$313,KultainenGP!$I22,Data!$B$2:$B$313,"&lt;"&amp;$M$5))))</f>
        <v>87</v>
      </c>
      <c r="L22" s="34" t="str">
        <f ca="1">IF($I22="","",IF(keilatut&lt;$M$5,"Tulossa.",SUMIFS(Data!J$2:J$313,Data!$B$2:$B$313,KultainenGP!$M$5,Data!$I$2:$I$313,KultainenGP!$I22)))</f>
        <v>Tulossa.</v>
      </c>
      <c r="M22" s="34" t="str">
        <f ca="1">IF($I22="","",IF(keilatut&lt;$M$5,"Tulossa.",SUMIFS(Data!K$2:K$313,Data!$B$2:$B$313,KultainenGP!$M$5,Data!$I$2:$I$313,KultainenGP!$I22)))</f>
        <v>Tulossa.</v>
      </c>
      <c r="N22" s="34" t="str">
        <f t="shared" ca="1" si="6"/>
        <v>Aika näyttää.</v>
      </c>
      <c r="O22" s="75" t="str">
        <f t="shared" ca="1" si="7"/>
        <v>?</v>
      </c>
    </row>
    <row r="23" spans="1:15" x14ac:dyDescent="0.25">
      <c r="A23" s="33" t="str">
        <f ca="1">IF(Sarjataulukko!$BB19="","",Sarjataulukko!$BB19)</f>
        <v>Olli Kajava</v>
      </c>
      <c r="B23" s="34">
        <f ca="1">IF($A23="","",IF(MAX(_xlfn.MAXIFS(Data!$J$2:$J$313,Data!$I$2:$I$313,KultainenGP!$A23,Data!$B$2:$B$313,"&lt;"&amp;$E$5),_xlfn.MAXIFS(Data!$K$2:$K$313,Data!$I$2:$I$313,KultainenGP!$A23,Data!$B$2:$B$313,"&lt;"&amp;$E$5))=0,"Ei suorituksia.",MAX(_xlfn.MAXIFS(Data!$J$2:$J$313,Data!$I$2:$I$313,KultainenGP!$A23,Data!$B$2:$B$313,"&lt;"&amp;$E$5),_xlfn.MAXIFS(Data!$K$2:$K$313,Data!$I$2:$I$313,KultainenGP!$A23,Data!$B$2:$B$313,"&lt;"&amp;$E$5))))</f>
        <v>160</v>
      </c>
      <c r="C23" s="34">
        <f ca="1">IF($A23="","",IF(MIN(_xlfn.MINIFS(Data!$J$2:$J$313,Data!$I$2:$I$313,KultainenGP!$A23,Data!$B$2:$B$313,"&lt;"&amp;$E$5),_xlfn.MINIFS(Data!$K$2:$K$313,Data!$I$2:$I$313,KultainenGP!$A23,Data!$B$2:$B$313,"&lt;"&amp;$E$5))=0,"Ei suorituksia.",MIN(_xlfn.MINIFS(Data!$J$2:$J$313,Data!$I$2:$I$313,KultainenGP!$A23,Data!$B$2:$B$313,"&lt;"&amp;$E$5),_xlfn.MINIFS(Data!$K$2:$K$313,Data!$I$2:$I$313,KultainenGP!$A23,Data!$B$2:$B$313,"&lt;"&amp;$E$5))))</f>
        <v>124</v>
      </c>
      <c r="D23" s="34">
        <f ca="1">IF($A23="","",IF(keilatut&lt;$E$5,"Tulossa.",SUMIFS(Data!J$2:J$313,Data!$B$2:$B$313,KultainenGP!$E$5,Data!$I$2:$I$313,KultainenGP!$A23)))</f>
        <v>111</v>
      </c>
      <c r="E23" s="34">
        <f ca="1">IF($A23="","",IF(keilatut&lt;$E$5,"Tulossa.",SUMIFS(Data!K$2:K$313,Data!$B$2:$B$313,KultainenGP!$E$5,Data!$I$2:$I$313,KultainenGP!$A23)))</f>
        <v>175</v>
      </c>
      <c r="F23" s="34" t="str">
        <f t="shared" ca="1" si="4"/>
        <v>+1-1=0</v>
      </c>
      <c r="G23" s="75" t="str">
        <f t="shared" ca="1" si="5"/>
        <v/>
      </c>
      <c r="I23" s="33" t="str">
        <f ca="1">IF(Sarjataulukko!BB19="","",Sarjataulukko!BB19)</f>
        <v>Olli Kajava</v>
      </c>
      <c r="J23" s="34">
        <f ca="1">IF($I23="","",IF(MAX(_xlfn.MAXIFS(Data!$J$2:$J$313,Data!$I$2:$I$313,KultainenGP!$I23,Data!$B$2:$B$313,"&lt;"&amp;$M$5),_xlfn.MAXIFS(Data!$K$2:$K$313,Data!$I$2:$I$313,KultainenGP!$I23,Data!$B$2:$B$313,"&lt;"&amp;$M$5))=0,"Ei suorituksia.",MAX(_xlfn.MAXIFS(Data!$J$2:$J$313,Data!$I$2:$I$313,KultainenGP!$I23,Data!$B$2:$B$313,"&lt;"&amp;$M$5),_xlfn.MAXIFS(Data!$K$2:$K$313,Data!$I$2:$I$313,KultainenGP!$I23,Data!$B$2:$B$313,"&lt;"&amp;$M$5))))</f>
        <v>175</v>
      </c>
      <c r="K23" s="34">
        <f ca="1">IF($I23="","",IF(MIN(_xlfn.MINIFS(Data!$J$2:$J$313,Data!$I$2:$I$313,KultainenGP!$I23,Data!$B$2:$B$313,"&lt;"&amp;$M$5),_xlfn.MINIFS(Data!$K$2:$K$313,Data!$I$2:$I$313,KultainenGP!$I23,Data!$B$2:$B$313,"&lt;"&amp;$M$5))=0,"Ei suorituksia.",MIN(_xlfn.MINIFS(Data!$J$2:$J$313,Data!$I$2:$I$313,KultainenGP!$I23,Data!$B$2:$B$313,"&lt;"&amp;$M$5),_xlfn.MINIFS(Data!$K$2:$K$313,Data!$I$2:$I$313,KultainenGP!$I23,Data!$B$2:$B$313,"&lt;"&amp;$M$5))))</f>
        <v>102</v>
      </c>
      <c r="L23" s="34" t="str">
        <f ca="1">IF($I23="","",IF(keilatut&lt;$M$5,"Tulossa.",SUMIFS(Data!J$2:J$313,Data!$B$2:$B$313,KultainenGP!$M$5,Data!$I$2:$I$313,KultainenGP!$I23)))</f>
        <v>Tulossa.</v>
      </c>
      <c r="M23" s="34" t="str">
        <f ca="1">IF($I23="","",IF(keilatut&lt;$M$5,"Tulossa.",SUMIFS(Data!K$2:K$313,Data!$B$2:$B$313,KultainenGP!$M$5,Data!$I$2:$I$313,KultainenGP!$I23)))</f>
        <v>Tulossa.</v>
      </c>
      <c r="N23" s="34" t="str">
        <f t="shared" ca="1" si="6"/>
        <v>Aika näyttää.</v>
      </c>
      <c r="O23" s="75" t="str">
        <f t="shared" ca="1" si="7"/>
        <v>?</v>
      </c>
    </row>
    <row r="24" spans="1:15" x14ac:dyDescent="0.25">
      <c r="A24" s="33" t="str">
        <f ca="1">IF(Sarjataulukko!$BB20="","",Sarjataulukko!$BB20)</f>
        <v>Ossi Oksa</v>
      </c>
      <c r="B24" s="34">
        <f ca="1">IF($A24="","",IF(MAX(_xlfn.MAXIFS(Data!$J$2:$J$313,Data!$I$2:$I$313,KultainenGP!$A24,Data!$B$2:$B$313,"&lt;"&amp;$E$5),_xlfn.MAXIFS(Data!$K$2:$K$313,Data!$I$2:$I$313,KultainenGP!$A24,Data!$B$2:$B$313,"&lt;"&amp;$E$5))=0,"Ei suorituksia.",MAX(_xlfn.MAXIFS(Data!$J$2:$J$313,Data!$I$2:$I$313,KultainenGP!$A24,Data!$B$2:$B$313,"&lt;"&amp;$E$5),_xlfn.MAXIFS(Data!$K$2:$K$313,Data!$I$2:$I$313,KultainenGP!$A24,Data!$B$2:$B$313,"&lt;"&amp;$E$5))))</f>
        <v>209</v>
      </c>
      <c r="C24" s="34">
        <f ca="1">IF($A24="","",IF(MIN(_xlfn.MINIFS(Data!$J$2:$J$313,Data!$I$2:$I$313,KultainenGP!$A24,Data!$B$2:$B$313,"&lt;"&amp;$E$5),_xlfn.MINIFS(Data!$K$2:$K$313,Data!$I$2:$I$313,KultainenGP!$A24,Data!$B$2:$B$313,"&lt;"&amp;$E$5))=0,"Ei suorituksia.",MIN(_xlfn.MINIFS(Data!$J$2:$J$313,Data!$I$2:$I$313,KultainenGP!$A24,Data!$B$2:$B$313,"&lt;"&amp;$E$5),_xlfn.MINIFS(Data!$K$2:$K$313,Data!$I$2:$I$313,KultainenGP!$A24,Data!$B$2:$B$313,"&lt;"&amp;$E$5))))</f>
        <v>111</v>
      </c>
      <c r="D24" s="34">
        <f ca="1">IF($A24="","",IF(keilatut&lt;$E$5,"Tulossa.",SUMIFS(Data!J$2:J$313,Data!$B$2:$B$313,KultainenGP!$E$5,Data!$I$2:$I$313,KultainenGP!$A24)))</f>
        <v>0</v>
      </c>
      <c r="E24" s="34">
        <f ca="1">IF($A24="","",IF(keilatut&lt;$E$5,"Tulossa.",SUMIFS(Data!K$2:K$313,Data!$B$2:$B$313,KultainenGP!$E$5,Data!$I$2:$I$313,KultainenGP!$A24)))</f>
        <v>0</v>
      </c>
      <c r="F24" s="34" t="str">
        <f t="shared" ca="1" si="4"/>
        <v/>
      </c>
      <c r="G24" s="75" t="str">
        <f t="shared" ca="1" si="5"/>
        <v/>
      </c>
      <c r="I24" s="33" t="str">
        <f ca="1">IF(Sarjataulukko!BB20="","",Sarjataulukko!BB20)</f>
        <v>Ossi Oksa</v>
      </c>
      <c r="J24" s="34">
        <f ca="1">IF($I24="","",IF(MAX(_xlfn.MAXIFS(Data!$J$2:$J$313,Data!$I$2:$I$313,KultainenGP!$I24,Data!$B$2:$B$313,"&lt;"&amp;$M$5),_xlfn.MAXIFS(Data!$K$2:$K$313,Data!$I$2:$I$313,KultainenGP!$I24,Data!$B$2:$B$313,"&lt;"&amp;$M$5))=0,"Ei suorituksia.",MAX(_xlfn.MAXIFS(Data!$J$2:$J$313,Data!$I$2:$I$313,KultainenGP!$I24,Data!$B$2:$B$313,"&lt;"&amp;$M$5),_xlfn.MAXIFS(Data!$K$2:$K$313,Data!$I$2:$I$313,KultainenGP!$I24,Data!$B$2:$B$313,"&lt;"&amp;$M$5))))</f>
        <v>209</v>
      </c>
      <c r="K24" s="34">
        <f ca="1">IF($I24="","",IF(MIN(_xlfn.MINIFS(Data!$J$2:$J$313,Data!$I$2:$I$313,KultainenGP!$I24,Data!$B$2:$B$313,"&lt;"&amp;$M$5),_xlfn.MINIFS(Data!$K$2:$K$313,Data!$I$2:$I$313,KultainenGP!$I24,Data!$B$2:$B$313,"&lt;"&amp;$M$5))=0,"Ei suorituksia.",MIN(_xlfn.MINIFS(Data!$J$2:$J$313,Data!$I$2:$I$313,KultainenGP!$I24,Data!$B$2:$B$313,"&lt;"&amp;$M$5),_xlfn.MINIFS(Data!$K$2:$K$313,Data!$I$2:$I$313,KultainenGP!$I24,Data!$B$2:$B$313,"&lt;"&amp;$M$5))))</f>
        <v>87</v>
      </c>
      <c r="L24" s="34" t="str">
        <f ca="1">IF($I24="","",IF(keilatut&lt;$M$5,"Tulossa.",SUMIFS(Data!J$2:J$313,Data!$B$2:$B$313,KultainenGP!$M$5,Data!$I$2:$I$313,KultainenGP!$I24)))</f>
        <v>Tulossa.</v>
      </c>
      <c r="M24" s="34" t="str">
        <f ca="1">IF($I24="","",IF(keilatut&lt;$M$5,"Tulossa.",SUMIFS(Data!K$2:K$313,Data!$B$2:$B$313,KultainenGP!$M$5,Data!$I$2:$I$313,KultainenGP!$I24)))</f>
        <v>Tulossa.</v>
      </c>
      <c r="N24" s="34" t="str">
        <f t="shared" ca="1" si="6"/>
        <v>Aika näyttää.</v>
      </c>
      <c r="O24" s="75" t="str">
        <f t="shared" ca="1" si="7"/>
        <v>?</v>
      </c>
    </row>
    <row r="25" spans="1:15" x14ac:dyDescent="0.25">
      <c r="A25" s="33" t="str">
        <f ca="1">IF(Sarjataulukko!$BB21="","",Sarjataulukko!$BB21)</f>
        <v>Roope Warro</v>
      </c>
      <c r="B25" s="34">
        <f ca="1">IF($A25="","",IF(MAX(_xlfn.MAXIFS(Data!$J$2:$J$313,Data!$I$2:$I$313,KultainenGP!$A25,Data!$B$2:$B$313,"&lt;"&amp;$E$5),_xlfn.MAXIFS(Data!$K$2:$K$313,Data!$I$2:$I$313,KultainenGP!$A25,Data!$B$2:$B$313,"&lt;"&amp;$E$5))=0,"Ei suorituksia.",MAX(_xlfn.MAXIFS(Data!$J$2:$J$313,Data!$I$2:$I$313,KultainenGP!$A25,Data!$B$2:$B$313,"&lt;"&amp;$E$5),_xlfn.MAXIFS(Data!$K$2:$K$313,Data!$I$2:$I$313,KultainenGP!$A25,Data!$B$2:$B$313,"&lt;"&amp;$E$5))))</f>
        <v>131</v>
      </c>
      <c r="C25" s="34">
        <f ca="1">IF($A25="","",IF(MIN(_xlfn.MINIFS(Data!$J$2:$J$313,Data!$I$2:$I$313,KultainenGP!$A25,Data!$B$2:$B$313,"&lt;"&amp;$E$5),_xlfn.MINIFS(Data!$K$2:$K$313,Data!$I$2:$I$313,KultainenGP!$A25,Data!$B$2:$B$313,"&lt;"&amp;$E$5))=0,"Ei suorituksia.",MIN(_xlfn.MINIFS(Data!$J$2:$J$313,Data!$I$2:$I$313,KultainenGP!$A25,Data!$B$2:$B$313,"&lt;"&amp;$E$5),_xlfn.MINIFS(Data!$K$2:$K$313,Data!$I$2:$I$313,KultainenGP!$A25,Data!$B$2:$B$313,"&lt;"&amp;$E$5))))</f>
        <v>73</v>
      </c>
      <c r="D25" s="34">
        <f ca="1">IF($A25="","",IF(keilatut&lt;$E$5,"Tulossa.",SUMIFS(Data!J$2:J$313,Data!$B$2:$B$313,KultainenGP!$E$5,Data!$I$2:$I$313,KultainenGP!$A25)))</f>
        <v>0</v>
      </c>
      <c r="E25" s="34">
        <f ca="1">IF($A25="","",IF(keilatut&lt;$E$5,"Tulossa.",SUMIFS(Data!K$2:K$313,Data!$B$2:$B$313,KultainenGP!$E$5,Data!$I$2:$I$313,KultainenGP!$A25)))</f>
        <v>0</v>
      </c>
      <c r="F25" s="34" t="str">
        <f t="shared" ca="1" si="4"/>
        <v/>
      </c>
      <c r="G25" s="75" t="str">
        <f t="shared" ca="1" si="5"/>
        <v/>
      </c>
      <c r="I25" s="33" t="str">
        <f ca="1">IF(Sarjataulukko!BB21="","",Sarjataulukko!BB21)</f>
        <v>Roope Warro</v>
      </c>
      <c r="J25" s="34">
        <f ca="1">IF($I25="","",IF(MAX(_xlfn.MAXIFS(Data!$J$2:$J$313,Data!$I$2:$I$313,KultainenGP!$I25,Data!$B$2:$B$313,"&lt;"&amp;$M$5),_xlfn.MAXIFS(Data!$K$2:$K$313,Data!$I$2:$I$313,KultainenGP!$I25,Data!$B$2:$B$313,"&lt;"&amp;$M$5))=0,"Ei suorituksia.",MAX(_xlfn.MAXIFS(Data!$J$2:$J$313,Data!$I$2:$I$313,KultainenGP!$I25,Data!$B$2:$B$313,"&lt;"&amp;$M$5),_xlfn.MAXIFS(Data!$K$2:$K$313,Data!$I$2:$I$313,KultainenGP!$I25,Data!$B$2:$B$313,"&lt;"&amp;$M$5))))</f>
        <v>156</v>
      </c>
      <c r="K25" s="34">
        <f ca="1">IF($I25="","",IF(MIN(_xlfn.MINIFS(Data!$J$2:$J$313,Data!$I$2:$I$313,KultainenGP!$I25,Data!$B$2:$B$313,"&lt;"&amp;$M$5),_xlfn.MINIFS(Data!$K$2:$K$313,Data!$I$2:$I$313,KultainenGP!$I25,Data!$B$2:$B$313,"&lt;"&amp;$M$5))=0,"Ei suorituksia.",MIN(_xlfn.MINIFS(Data!$J$2:$J$313,Data!$I$2:$I$313,KultainenGP!$I25,Data!$B$2:$B$313,"&lt;"&amp;$M$5),_xlfn.MINIFS(Data!$K$2:$K$313,Data!$I$2:$I$313,KultainenGP!$I25,Data!$B$2:$B$313,"&lt;"&amp;$M$5))))</f>
        <v>73</v>
      </c>
      <c r="L25" s="34" t="str">
        <f ca="1">IF($I25="","",IF(keilatut&lt;$M$5,"Tulossa.",SUMIFS(Data!J$2:J$313,Data!$B$2:$B$313,KultainenGP!$M$5,Data!$I$2:$I$313,KultainenGP!$I25)))</f>
        <v>Tulossa.</v>
      </c>
      <c r="M25" s="34" t="str">
        <f ca="1">IF($I25="","",IF(keilatut&lt;$M$5,"Tulossa.",SUMIFS(Data!K$2:K$313,Data!$B$2:$B$313,KultainenGP!$M$5,Data!$I$2:$I$313,KultainenGP!$I25)))</f>
        <v>Tulossa.</v>
      </c>
      <c r="N25" s="34" t="str">
        <f t="shared" ca="1" si="6"/>
        <v>Aika näyttää.</v>
      </c>
      <c r="O25" s="75" t="str">
        <f t="shared" ca="1" si="7"/>
        <v>?</v>
      </c>
    </row>
    <row r="26" spans="1:15" x14ac:dyDescent="0.25">
      <c r="A26" s="33" t="str">
        <f ca="1">IF(Sarjataulukko!$BB22="","",Sarjataulukko!$BB22)</f>
        <v>Sakari Leinonen</v>
      </c>
      <c r="B26" s="34">
        <f ca="1">IF($A26="","",IF(MAX(_xlfn.MAXIFS(Data!$J$2:$J$313,Data!$I$2:$I$313,KultainenGP!$A26,Data!$B$2:$B$313,"&lt;"&amp;$E$5),_xlfn.MAXIFS(Data!$K$2:$K$313,Data!$I$2:$I$313,KultainenGP!$A26,Data!$B$2:$B$313,"&lt;"&amp;$E$5))=0,"Ei suorituksia.",MAX(_xlfn.MAXIFS(Data!$J$2:$J$313,Data!$I$2:$I$313,KultainenGP!$A26,Data!$B$2:$B$313,"&lt;"&amp;$E$5),_xlfn.MAXIFS(Data!$K$2:$K$313,Data!$I$2:$I$313,KultainenGP!$A26,Data!$B$2:$B$313,"&lt;"&amp;$E$5))))</f>
        <v>193</v>
      </c>
      <c r="C26" s="34">
        <f ca="1">IF($A26="","",IF(MIN(_xlfn.MINIFS(Data!$J$2:$J$313,Data!$I$2:$I$313,KultainenGP!$A26,Data!$B$2:$B$313,"&lt;"&amp;$E$5),_xlfn.MINIFS(Data!$K$2:$K$313,Data!$I$2:$I$313,KultainenGP!$A26,Data!$B$2:$B$313,"&lt;"&amp;$E$5))=0,"Ei suorituksia.",MIN(_xlfn.MINIFS(Data!$J$2:$J$313,Data!$I$2:$I$313,KultainenGP!$A26,Data!$B$2:$B$313,"&lt;"&amp;$E$5),_xlfn.MINIFS(Data!$K$2:$K$313,Data!$I$2:$I$313,KultainenGP!$A26,Data!$B$2:$B$313,"&lt;"&amp;$E$5))))</f>
        <v>82</v>
      </c>
      <c r="D26" s="34">
        <f ca="1">IF($A26="","",IF(keilatut&lt;$E$5,"Tulossa.",SUMIFS(Data!J$2:J$313,Data!$B$2:$B$313,KultainenGP!$E$5,Data!$I$2:$I$313,KultainenGP!$A26)))</f>
        <v>103</v>
      </c>
      <c r="E26" s="34">
        <f ca="1">IF($A26="","",IF(keilatut&lt;$E$5,"Tulossa.",SUMIFS(Data!K$2:K$313,Data!$B$2:$B$313,KultainenGP!$E$5,Data!$I$2:$I$313,KultainenGP!$A26)))</f>
        <v>134</v>
      </c>
      <c r="F26" s="34" t="str">
        <f t="shared" ca="1" si="4"/>
        <v/>
      </c>
      <c r="G26" s="75" t="str">
        <f t="shared" ca="1" si="5"/>
        <v/>
      </c>
      <c r="I26" s="33" t="str">
        <f ca="1">IF(Sarjataulukko!BB22="","",Sarjataulukko!BB22)</f>
        <v>Sakari Leinonen</v>
      </c>
      <c r="J26" s="34">
        <f ca="1">IF($I26="","",IF(MAX(_xlfn.MAXIFS(Data!$J$2:$J$313,Data!$I$2:$I$313,KultainenGP!$I26,Data!$B$2:$B$313,"&lt;"&amp;$M$5),_xlfn.MAXIFS(Data!$K$2:$K$313,Data!$I$2:$I$313,KultainenGP!$I26,Data!$B$2:$B$313,"&lt;"&amp;$M$5))=0,"Ei suorituksia.",MAX(_xlfn.MAXIFS(Data!$J$2:$J$313,Data!$I$2:$I$313,KultainenGP!$I26,Data!$B$2:$B$313,"&lt;"&amp;$M$5),_xlfn.MAXIFS(Data!$K$2:$K$313,Data!$I$2:$I$313,KultainenGP!$I26,Data!$B$2:$B$313,"&lt;"&amp;$M$5))))</f>
        <v>193</v>
      </c>
      <c r="K26" s="34">
        <f ca="1">IF($I26="","",IF(MIN(_xlfn.MINIFS(Data!$J$2:$J$313,Data!$I$2:$I$313,KultainenGP!$I26,Data!$B$2:$B$313,"&lt;"&amp;$M$5),_xlfn.MINIFS(Data!$K$2:$K$313,Data!$I$2:$I$313,KultainenGP!$I26,Data!$B$2:$B$313,"&lt;"&amp;$M$5))=0,"Ei suorituksia.",MIN(_xlfn.MINIFS(Data!$J$2:$J$313,Data!$I$2:$I$313,KultainenGP!$I26,Data!$B$2:$B$313,"&lt;"&amp;$M$5),_xlfn.MINIFS(Data!$K$2:$K$313,Data!$I$2:$I$313,KultainenGP!$I26,Data!$B$2:$B$313,"&lt;"&amp;$M$5))))</f>
        <v>82</v>
      </c>
      <c r="L26" s="34" t="str">
        <f ca="1">IF($I26="","",IF(keilatut&lt;$M$5,"Tulossa.",SUMIFS(Data!J$2:J$313,Data!$B$2:$B$313,KultainenGP!$M$5,Data!$I$2:$I$313,KultainenGP!$I26)))</f>
        <v>Tulossa.</v>
      </c>
      <c r="M26" s="34" t="str">
        <f ca="1">IF($I26="","",IF(keilatut&lt;$M$5,"Tulossa.",SUMIFS(Data!K$2:K$313,Data!$B$2:$B$313,KultainenGP!$M$5,Data!$I$2:$I$313,KultainenGP!$I26)))</f>
        <v>Tulossa.</v>
      </c>
      <c r="N26" s="34" t="str">
        <f t="shared" ca="1" si="6"/>
        <v>Aika näyttää.</v>
      </c>
      <c r="O26" s="75" t="str">
        <f t="shared" ca="1" si="7"/>
        <v>?</v>
      </c>
    </row>
    <row r="27" spans="1:15" x14ac:dyDescent="0.25">
      <c r="A27" s="87" t="str">
        <f ca="1">IF(Sarjataulukko!$BB23="","",Sarjataulukko!$BB23)</f>
        <v>Tatu Erlin</v>
      </c>
      <c r="B27" s="88">
        <f ca="1">IF($A27="","",IF(MAX(_xlfn.MAXIFS(Data!$J$2:$J$313,Data!$I$2:$I$313,KultainenGP!$A27,Data!$B$2:$B$313,"&lt;"&amp;$E$5),_xlfn.MAXIFS(Data!$K$2:$K$313,Data!$I$2:$I$313,KultainenGP!$A27,Data!$B$2:$B$313,"&lt;"&amp;$E$5))=0,"Ei suorituksia.",MAX(_xlfn.MAXIFS(Data!$J$2:$J$313,Data!$I$2:$I$313,KultainenGP!$A27,Data!$B$2:$B$313,"&lt;"&amp;$E$5),_xlfn.MAXIFS(Data!$K$2:$K$313,Data!$I$2:$I$313,KultainenGP!$A27,Data!$B$2:$B$313,"&lt;"&amp;$E$5))))</f>
        <v>129</v>
      </c>
      <c r="C27" s="88">
        <f ca="1">IF($A27="","",IF(MIN(_xlfn.MINIFS(Data!$J$2:$J$313,Data!$I$2:$I$313,KultainenGP!$A27,Data!$B$2:$B$313,"&lt;"&amp;$E$5),_xlfn.MINIFS(Data!$K$2:$K$313,Data!$I$2:$I$313,KultainenGP!$A27,Data!$B$2:$B$313,"&lt;"&amp;$E$5))=0,"Ei suorituksia.",MIN(_xlfn.MINIFS(Data!$J$2:$J$313,Data!$I$2:$I$313,KultainenGP!$A27,Data!$B$2:$B$313,"&lt;"&amp;$E$5),_xlfn.MINIFS(Data!$K$2:$K$313,Data!$I$2:$I$313,KultainenGP!$A27,Data!$B$2:$B$313,"&lt;"&amp;$E$5))))</f>
        <v>101</v>
      </c>
      <c r="D27" s="88">
        <f ca="1">IF($A27="","",IF(keilatut&lt;$E$5,"Tulossa.",SUMIFS(Data!J$2:J$313,Data!$B$2:$B$313,KultainenGP!$E$5,Data!$I$2:$I$313,KultainenGP!$A27)))</f>
        <v>84</v>
      </c>
      <c r="E27" s="88">
        <f ca="1">IF($A27="","",IF(keilatut&lt;$E$5,"Tulossa.",SUMIFS(Data!K$2:K$313,Data!$B$2:$B$313,KultainenGP!$E$5,Data!$I$2:$I$313,KultainenGP!$A27)))</f>
        <v>89</v>
      </c>
      <c r="F27" s="88" t="str">
        <f t="shared" ca="1" si="4"/>
        <v>-1</v>
      </c>
      <c r="G27" s="97" t="str">
        <f t="shared" ca="1" si="5"/>
        <v/>
      </c>
      <c r="I27" s="87" t="str">
        <f ca="1">IF(Sarjataulukko!BB23="","",Sarjataulukko!BB23)</f>
        <v>Tatu Erlin</v>
      </c>
      <c r="J27" s="88">
        <f ca="1">IF($I27="","",IF(MAX(_xlfn.MAXIFS(Data!$J$2:$J$313,Data!$I$2:$I$313,KultainenGP!$I27,Data!$B$2:$B$313,"&lt;"&amp;$M$5),_xlfn.MAXIFS(Data!$K$2:$K$313,Data!$I$2:$I$313,KultainenGP!$I27,Data!$B$2:$B$313,"&lt;"&amp;$M$5))=0,"Ei suorituksia.",MAX(_xlfn.MAXIFS(Data!$J$2:$J$313,Data!$I$2:$I$313,KultainenGP!$I27,Data!$B$2:$B$313,"&lt;"&amp;$M$5),_xlfn.MAXIFS(Data!$K$2:$K$313,Data!$I$2:$I$313,KultainenGP!$I27,Data!$B$2:$B$313,"&lt;"&amp;$M$5))))</f>
        <v>129</v>
      </c>
      <c r="K27" s="88">
        <f ca="1">IF($I27="","",IF(MIN(_xlfn.MINIFS(Data!$J$2:$J$313,Data!$I$2:$I$313,KultainenGP!$I27,Data!$B$2:$B$313,"&lt;"&amp;$M$5),_xlfn.MINIFS(Data!$K$2:$K$313,Data!$I$2:$I$313,KultainenGP!$I27,Data!$B$2:$B$313,"&lt;"&amp;$M$5))=0,"Ei suorituksia.",MIN(_xlfn.MINIFS(Data!$J$2:$J$313,Data!$I$2:$I$313,KultainenGP!$I27,Data!$B$2:$B$313,"&lt;"&amp;$M$5),_xlfn.MINIFS(Data!$K$2:$K$313,Data!$I$2:$I$313,KultainenGP!$I27,Data!$B$2:$B$313,"&lt;"&amp;$M$5))))</f>
        <v>84</v>
      </c>
      <c r="L27" s="88" t="str">
        <f ca="1">IF($I27="","",IF(keilatut&lt;$M$5,"Tulossa.",SUMIFS(Data!J$2:J$313,Data!$B$2:$B$313,KultainenGP!$M$5,Data!$I$2:$I$313,KultainenGP!$I27)))</f>
        <v>Tulossa.</v>
      </c>
      <c r="M27" s="88" t="str">
        <f ca="1">IF($I27="","",IF(keilatut&lt;$M$5,"Tulossa.",SUMIFS(Data!K$2:K$313,Data!$B$2:$B$313,KultainenGP!$M$5,Data!$I$2:$I$313,KultainenGP!$I27)))</f>
        <v>Tulossa.</v>
      </c>
      <c r="N27" s="88" t="str">
        <f t="shared" ca="1" si="6"/>
        <v>Aika näyttää.</v>
      </c>
      <c r="O27" s="97" t="str">
        <f t="shared" ca="1" si="7"/>
        <v>?</v>
      </c>
    </row>
    <row r="29" spans="1:15" x14ac:dyDescent="0.25">
      <c r="A29" s="51" t="s">
        <v>63</v>
      </c>
    </row>
    <row r="30" spans="1:15" ht="14.45" customHeight="1" x14ac:dyDescent="0.25">
      <c r="A30" s="191" t="s">
        <v>64</v>
      </c>
      <c r="B30" s="191"/>
      <c r="C30" s="191"/>
      <c r="D30" s="191"/>
      <c r="E30" s="191"/>
      <c r="F30" s="191"/>
      <c r="G30" s="191"/>
      <c r="H30" s="191"/>
      <c r="I30" s="191"/>
      <c r="J30" s="191"/>
      <c r="K30" s="191"/>
      <c r="L30" s="191"/>
      <c r="M30" s="191"/>
      <c r="N30" s="191"/>
      <c r="O30" s="191"/>
    </row>
    <row r="31" spans="1:15" x14ac:dyDescent="0.25">
      <c r="A31" s="191"/>
      <c r="B31" s="191"/>
      <c r="C31" s="191"/>
      <c r="D31" s="191"/>
      <c r="E31" s="191"/>
      <c r="F31" s="191"/>
      <c r="G31" s="191"/>
      <c r="H31" s="191"/>
      <c r="I31" s="191"/>
      <c r="J31" s="191"/>
      <c r="K31" s="191"/>
      <c r="L31" s="191"/>
      <c r="M31" s="191"/>
      <c r="N31" s="191"/>
      <c r="O31" s="191"/>
    </row>
    <row r="32" spans="1:15" x14ac:dyDescent="0.25">
      <c r="A32" s="191"/>
      <c r="B32" s="191"/>
      <c r="C32" s="191"/>
      <c r="D32" s="191"/>
      <c r="E32" s="191"/>
      <c r="F32" s="191"/>
      <c r="G32" s="191"/>
      <c r="H32" s="191"/>
      <c r="I32" s="191"/>
      <c r="J32" s="191"/>
      <c r="K32" s="191"/>
      <c r="L32" s="191"/>
      <c r="M32" s="191"/>
      <c r="N32" s="191"/>
      <c r="O32" s="191"/>
    </row>
    <row r="33" spans="1:15" x14ac:dyDescent="0.25">
      <c r="A33" s="191"/>
      <c r="B33" s="191"/>
      <c r="C33" s="191"/>
      <c r="D33" s="191"/>
      <c r="E33" s="191"/>
      <c r="F33" s="191"/>
      <c r="G33" s="191"/>
      <c r="H33" s="191"/>
      <c r="I33" s="191"/>
      <c r="J33" s="191"/>
      <c r="K33" s="191"/>
      <c r="L33" s="191"/>
      <c r="M33" s="191"/>
      <c r="N33" s="191"/>
      <c r="O33" s="191"/>
    </row>
    <row r="34" spans="1:15" x14ac:dyDescent="0.25">
      <c r="A34" s="191"/>
      <c r="B34" s="191"/>
      <c r="C34" s="191"/>
      <c r="D34" s="191"/>
      <c r="E34" s="191"/>
      <c r="F34" s="191"/>
      <c r="G34" s="191"/>
      <c r="H34" s="191"/>
      <c r="I34" s="191"/>
      <c r="J34" s="191"/>
      <c r="K34" s="191"/>
      <c r="L34" s="191"/>
      <c r="M34" s="191"/>
      <c r="N34" s="191"/>
      <c r="O34" s="191"/>
    </row>
    <row r="35" spans="1:15" x14ac:dyDescent="0.25">
      <c r="A35" s="191"/>
      <c r="B35" s="191"/>
      <c r="C35" s="191"/>
      <c r="D35" s="191"/>
      <c r="E35" s="191"/>
      <c r="F35" s="191"/>
      <c r="G35" s="191"/>
      <c r="H35" s="191"/>
      <c r="I35" s="191"/>
      <c r="J35" s="191"/>
      <c r="K35" s="191"/>
      <c r="L35" s="191"/>
      <c r="M35" s="191"/>
      <c r="N35" s="191"/>
      <c r="O35" s="191"/>
    </row>
    <row r="36" spans="1:15" x14ac:dyDescent="0.25">
      <c r="A36" s="191"/>
      <c r="B36" s="191"/>
      <c r="C36" s="191"/>
      <c r="D36" s="191"/>
      <c r="E36" s="191"/>
      <c r="F36" s="191"/>
      <c r="G36" s="191"/>
      <c r="H36" s="191"/>
      <c r="I36" s="191"/>
      <c r="J36" s="191"/>
      <c r="K36" s="191"/>
      <c r="L36" s="191"/>
      <c r="M36" s="191"/>
      <c r="N36" s="191"/>
      <c r="O36" s="191"/>
    </row>
    <row r="37" spans="1:15" x14ac:dyDescent="0.25">
      <c r="A37" s="191"/>
      <c r="B37" s="191"/>
      <c r="C37" s="191"/>
      <c r="D37" s="191"/>
      <c r="E37" s="191"/>
      <c r="F37" s="191"/>
      <c r="G37" s="191"/>
      <c r="H37" s="191"/>
      <c r="I37" s="191"/>
      <c r="J37" s="191"/>
      <c r="K37" s="191"/>
      <c r="L37" s="191"/>
      <c r="M37" s="191"/>
      <c r="N37" s="191"/>
      <c r="O37" s="191"/>
    </row>
    <row r="38" spans="1:15" x14ac:dyDescent="0.25">
      <c r="A38" s="191"/>
      <c r="B38" s="191"/>
      <c r="C38" s="191"/>
      <c r="D38" s="191"/>
      <c r="E38" s="191"/>
      <c r="F38" s="191"/>
      <c r="G38" s="191"/>
      <c r="H38" s="191"/>
      <c r="I38" s="191"/>
      <c r="J38" s="191"/>
      <c r="K38" s="191"/>
      <c r="L38" s="191"/>
      <c r="M38" s="191"/>
      <c r="N38" s="191"/>
      <c r="O38" s="191"/>
    </row>
    <row r="39" spans="1:15" x14ac:dyDescent="0.25">
      <c r="A39" s="191"/>
      <c r="B39" s="191"/>
      <c r="C39" s="191"/>
      <c r="D39" s="191"/>
      <c r="E39" s="191"/>
      <c r="F39" s="191"/>
      <c r="G39" s="191"/>
      <c r="H39" s="191"/>
      <c r="I39" s="191"/>
      <c r="J39" s="191"/>
      <c r="K39" s="191"/>
      <c r="L39" s="191"/>
      <c r="M39" s="191"/>
      <c r="N39" s="191"/>
      <c r="O39" s="191"/>
    </row>
    <row r="40" spans="1:15" x14ac:dyDescent="0.25">
      <c r="A40" s="191"/>
      <c r="B40" s="191"/>
      <c r="C40" s="191"/>
      <c r="D40" s="191"/>
      <c r="E40" s="191"/>
      <c r="F40" s="191"/>
      <c r="G40" s="191"/>
      <c r="H40" s="191"/>
      <c r="I40" s="191"/>
      <c r="J40" s="191"/>
      <c r="K40" s="191"/>
      <c r="L40" s="191"/>
      <c r="M40" s="191"/>
      <c r="N40" s="191"/>
      <c r="O40" s="191"/>
    </row>
  </sheetData>
  <mergeCells count="13">
    <mergeCell ref="A30:O40"/>
    <mergeCell ref="A4:G4"/>
    <mergeCell ref="I4:O4"/>
    <mergeCell ref="E5:G5"/>
    <mergeCell ref="E6:G6"/>
    <mergeCell ref="A5:D5"/>
    <mergeCell ref="A6:D6"/>
    <mergeCell ref="A7:D7"/>
    <mergeCell ref="I5:L5"/>
    <mergeCell ref="M5:O5"/>
    <mergeCell ref="I6:L6"/>
    <mergeCell ref="M6:O6"/>
    <mergeCell ref="I7:L7"/>
  </mergeCells>
  <pageMargins left="0.7" right="0.7" top="0.75" bottom="0.75" header="0.3" footer="0.3"/>
  <pageSetup paperSize="9" scale="7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405D0-A5A0-494E-9ABA-69F440B95C2E}">
  <dimension ref="A1:Y55"/>
  <sheetViews>
    <sheetView zoomScaleNormal="100" workbookViewId="0"/>
  </sheetViews>
  <sheetFormatPr defaultColWidth="9.140625" defaultRowHeight="15" x14ac:dyDescent="0.25"/>
  <cols>
    <col min="1" max="1" width="6.85546875" style="27" customWidth="1"/>
    <col min="2" max="3" width="21.7109375" style="27" customWidth="1"/>
    <col min="4" max="4" width="16.85546875" style="27" bestFit="1" customWidth="1"/>
    <col min="5" max="5" width="15" style="27" bestFit="1" customWidth="1"/>
    <col min="6" max="6" width="19.7109375" style="27" bestFit="1" customWidth="1"/>
    <col min="7" max="7" width="69.7109375" style="27" bestFit="1" customWidth="1"/>
    <col min="8" max="8" width="9.140625" style="27"/>
    <col min="9" max="9" width="9.28515625" style="27" bestFit="1" customWidth="1"/>
    <col min="10" max="11" width="10.85546875" style="27" bestFit="1" customWidth="1"/>
    <col min="12" max="12" width="15.140625" style="27" bestFit="1" customWidth="1"/>
    <col min="13" max="13" width="19.7109375" style="27" bestFit="1" customWidth="1"/>
    <col min="14" max="14" width="14.7109375" style="27" bestFit="1" customWidth="1"/>
    <col min="15" max="15" width="14.7109375" style="27" customWidth="1"/>
    <col min="16" max="16" width="13.5703125" style="27" bestFit="1" customWidth="1"/>
    <col min="17" max="17" width="19.7109375" style="27" bestFit="1" customWidth="1"/>
    <col min="18" max="18" width="10.28515625" style="27" bestFit="1" customWidth="1"/>
    <col min="19" max="19" width="13.140625" style="27" bestFit="1" customWidth="1"/>
    <col min="20" max="20" width="9.42578125" style="27" bestFit="1" customWidth="1"/>
    <col min="21" max="21" width="11.140625" style="27" bestFit="1" customWidth="1"/>
    <col min="22" max="22" width="14" style="27" bestFit="1" customWidth="1"/>
    <col min="23" max="23" width="10.28515625" style="27" bestFit="1" customWidth="1"/>
    <col min="24" max="24" width="14.7109375" style="27" bestFit="1" customWidth="1"/>
    <col min="25" max="16384" width="9.140625" style="27"/>
  </cols>
  <sheetData>
    <row r="1" spans="1:25" s="34" customFormat="1" x14ac:dyDescent="0.25">
      <c r="A1" s="9" t="str">
        <f>otsikko</f>
        <v>Kaatokerho, 2024-25</v>
      </c>
      <c r="I1" s="27"/>
      <c r="J1" s="27"/>
      <c r="K1" s="27"/>
      <c r="L1" s="27"/>
      <c r="M1" s="27"/>
      <c r="N1" s="27"/>
      <c r="O1" s="27"/>
      <c r="P1" s="27"/>
      <c r="Q1" s="27"/>
      <c r="R1" s="27"/>
      <c r="S1" s="27"/>
      <c r="T1" s="27"/>
      <c r="U1" s="27"/>
      <c r="V1" s="27"/>
      <c r="W1" s="27"/>
      <c r="X1" s="27"/>
      <c r="Y1" s="27"/>
    </row>
    <row r="2" spans="1:25" s="34" customFormat="1" ht="26.25" x14ac:dyDescent="0.4">
      <c r="A2" s="11" t="s">
        <v>170</v>
      </c>
      <c r="I2" s="27"/>
      <c r="J2" s="27"/>
      <c r="K2" s="27"/>
      <c r="L2" s="27"/>
      <c r="M2" s="27"/>
      <c r="N2" s="27"/>
      <c r="O2" s="27"/>
      <c r="P2" s="27"/>
      <c r="Q2" s="27"/>
      <c r="R2" s="27"/>
      <c r="S2" s="27"/>
      <c r="T2" s="27"/>
      <c r="U2" s="27"/>
      <c r="V2" s="27"/>
      <c r="W2" s="27"/>
      <c r="X2" s="27"/>
      <c r="Y2" s="27"/>
    </row>
    <row r="3" spans="1:25" s="34" customFormat="1" ht="18" customHeight="1" x14ac:dyDescent="0.25">
      <c r="I3" s="27"/>
      <c r="J3" s="27"/>
      <c r="K3" s="27"/>
      <c r="L3" s="27"/>
      <c r="M3" s="27"/>
      <c r="N3" s="27"/>
      <c r="O3" s="27"/>
      <c r="P3" s="27"/>
      <c r="Q3" s="27"/>
      <c r="R3" s="27"/>
      <c r="S3" s="27"/>
      <c r="T3" s="27"/>
      <c r="U3" s="27"/>
      <c r="V3" s="27"/>
      <c r="W3" s="27"/>
      <c r="X3" s="27"/>
      <c r="Y3" s="27"/>
    </row>
    <row r="4" spans="1:25" x14ac:dyDescent="0.25">
      <c r="A4" s="205" t="s">
        <v>169</v>
      </c>
      <c r="B4" s="205"/>
      <c r="C4" s="205"/>
      <c r="D4" s="205"/>
      <c r="E4" s="206" t="str" cm="1">
        <f t="array" ref="E4">_xlfn.XLOOKUP(1,(Data!$CI$2:$CI$313=1)*(Data!$B$2:$B$313=keilatut),Data!$I$2:$I$313,,0)</f>
        <v>Jami Kallio</v>
      </c>
      <c r="F4" s="206"/>
    </row>
    <row r="5" spans="1:25" x14ac:dyDescent="0.25">
      <c r="A5" s="205"/>
      <c r="B5" s="205"/>
      <c r="C5" s="205"/>
      <c r="D5" s="205"/>
      <c r="E5" s="206"/>
      <c r="F5" s="206"/>
    </row>
    <row r="7" spans="1:25" x14ac:dyDescent="0.25">
      <c r="A7" s="102" t="s">
        <v>161</v>
      </c>
      <c r="B7" s="103"/>
      <c r="C7" s="104"/>
    </row>
    <row r="8" spans="1:25" x14ac:dyDescent="0.25">
      <c r="A8" s="105" t="s">
        <v>166</v>
      </c>
      <c r="B8" s="106" t="s">
        <v>7</v>
      </c>
      <c r="C8" s="107" t="s">
        <v>160</v>
      </c>
    </row>
    <row r="9" spans="1:25" x14ac:dyDescent="0.25">
      <c r="A9" s="108">
        <f>IF(A8="Vuoro",1,IF(1+A8&gt;Data!$CP$2,"",1+A8))</f>
        <v>1</v>
      </c>
      <c r="B9" s="109" t="str" cm="1">
        <f t="array" ref="B9">IF(A9="","",INDEX(Data!$I$2:$I$313,MATCH(1,(keilatut=Data!$B$2:$B$313)*($A9=Data!$BO$2:$BO$313),0)))</f>
        <v>Miika Nordblad</v>
      </c>
      <c r="C9" s="110" t="str" cm="1">
        <f t="array" ref="C9">IF(A9="","",IF(INDEX(Data!$BF$2:$BF$313,MATCH(1,(keilatut=Data!$B$2:$B$313)*($A9=Data!$BO$2:$BO$313),0))=0,"Vertailumenettely",INDEX(Data!$BF$2:$BF$313,MATCH(1,(keilatut=Data!$B$2:$B$313)*($A9=Data!$BO$2:$BO$313),0))&amp;" ("&amp;INDEX(Data!$BG$2:$BG$313,MATCH(1,(keilatut=Data!$B$2:$B$313)*($A9=Data!$BO$2:$BO$313),0))&amp;") "&amp;IF(INDEX(Data!$BL$2:$BL$313,MATCH(1,(keilatut=Data!$B$2:$B$313)*($A9=Data!$BO$2:$BO$313),0))&lt;&gt;0.000099,"V","")))</f>
        <v xml:space="preserve">166 (147) </v>
      </c>
    </row>
    <row r="10" spans="1:25" x14ac:dyDescent="0.25">
      <c r="A10" s="111">
        <f>IF(A9="Vuoro",1,IF(1+A9&gt;Data!$CP$2,"",1+A9))</f>
        <v>2</v>
      </c>
      <c r="B10" s="112" t="str" cm="1">
        <f t="array" ref="B10">IF(A10="","",INDEX(Data!$I$2:$I$313,MATCH(1,(keilatut=Data!$B$2:$B$313)*($A10=Data!$BO$2:$BO$313),0)))</f>
        <v>Henri Verho</v>
      </c>
      <c r="C10" s="113" t="str" cm="1">
        <f t="array" ref="C10">IF(A10="","",IF(INDEX(Data!$BF$2:$BF$313,MATCH(1,(keilatut=Data!$B$2:$B$313)*($A10=Data!$BO$2:$BO$313),0))=0,"Vertailumenettely",INDEX(Data!$BF$2:$BF$313,MATCH(1,(keilatut=Data!$B$2:$B$313)*($A10=Data!$BO$2:$BO$313),0))&amp;" ("&amp;INDEX(Data!$BG$2:$BG$313,MATCH(1,(keilatut=Data!$B$2:$B$313)*($A10=Data!$BO$2:$BO$313),0))&amp;") "&amp;IF(INDEX(Data!$BL$2:$BL$313,MATCH(1,(keilatut=Data!$B$2:$B$313)*($A10=Data!$BO$2:$BO$313),0))&lt;&gt;0.000099,"V","")))</f>
        <v xml:space="preserve">147 (144) </v>
      </c>
    </row>
    <row r="11" spans="1:25" x14ac:dyDescent="0.25">
      <c r="A11" s="111">
        <f>IF(A10="Vuoro",1,IF(1+A10&gt;Data!$CP$2,"",1+A10))</f>
        <v>3</v>
      </c>
      <c r="B11" s="112" t="str" cm="1">
        <f t="array" ref="B11">IF(A11="","",INDEX(Data!$I$2:$I$313,MATCH(1,(keilatut=Data!$B$2:$B$313)*($A11=Data!$BO$2:$BO$313),0)))</f>
        <v>Jami Kallio</v>
      </c>
      <c r="C11" s="113" t="str" cm="1">
        <f t="array" ref="C11">IF(A11="","",IF(INDEX(Data!$BF$2:$BF$313,MATCH(1,(keilatut=Data!$B$2:$B$313)*($A11=Data!$BO$2:$BO$313),0))=0,"Vertailumenettely",INDEX(Data!$BF$2:$BF$313,MATCH(1,(keilatut=Data!$B$2:$B$313)*($A11=Data!$BO$2:$BO$313),0))&amp;" ("&amp;INDEX(Data!$BG$2:$BG$313,MATCH(1,(keilatut=Data!$B$2:$B$313)*($A11=Data!$BO$2:$BO$313),0))&amp;") "&amp;IF(INDEX(Data!$BL$2:$BL$313,MATCH(1,(keilatut=Data!$B$2:$B$313)*($A11=Data!$BO$2:$BO$313),0))&lt;&gt;0.000099,"V","")))</f>
        <v xml:space="preserve">145 (132) </v>
      </c>
    </row>
    <row r="12" spans="1:25" x14ac:dyDescent="0.25">
      <c r="A12" s="111">
        <f>IF(A11="Vuoro",1,IF(1+A11&gt;Data!$CP$2,"",1+A11))</f>
        <v>4</v>
      </c>
      <c r="B12" s="112" t="str" cm="1">
        <f t="array" ref="B12">IF(A12="","",INDEX(Data!$I$2:$I$313,MATCH(1,(keilatut=Data!$B$2:$B$313)*($A12=Data!$BO$2:$BO$313),0)))</f>
        <v>Mikko Mansikkamäki</v>
      </c>
      <c r="C12" s="113" t="str" cm="1">
        <f t="array" ref="C12">IF(A12="","",IF(INDEX(Data!$BF$2:$BF$313,MATCH(1,(keilatut=Data!$B$2:$B$313)*($A12=Data!$BO$2:$BO$313),0))=0,"Vertailumenettely",INDEX(Data!$BF$2:$BF$313,MATCH(1,(keilatut=Data!$B$2:$B$313)*($A12=Data!$BO$2:$BO$313),0))&amp;" ("&amp;INDEX(Data!$BG$2:$BG$313,MATCH(1,(keilatut=Data!$B$2:$B$313)*($A12=Data!$BO$2:$BO$313),0))&amp;") "&amp;IF(INDEX(Data!$BL$2:$BL$313,MATCH(1,(keilatut=Data!$B$2:$B$313)*($A12=Data!$BO$2:$BO$313),0))&lt;&gt;0.000099,"V","")))</f>
        <v xml:space="preserve">137 (127) </v>
      </c>
    </row>
    <row r="13" spans="1:25" x14ac:dyDescent="0.25">
      <c r="A13" s="111">
        <f>IF(A12="Vuoro",1,IF(1+A12&gt;Data!$CP$2,"",1+A12))</f>
        <v>5</v>
      </c>
      <c r="B13" s="112" t="str" cm="1">
        <f t="array" ref="B13">IF(A13="","",INDEX(Data!$I$2:$I$313,MATCH(1,(keilatut=Data!$B$2:$B$313)*($A13=Data!$BO$2:$BO$313),0)))</f>
        <v>Juho Korpi</v>
      </c>
      <c r="C13" s="113" t="str" cm="1">
        <f t="array" ref="C13">IF(A13="","",IF(INDEX(Data!$BF$2:$BF$313,MATCH(1,(keilatut=Data!$B$2:$B$313)*($A13=Data!$BO$2:$BO$313),0))=0,"Vertailumenettely",INDEX(Data!$BF$2:$BF$313,MATCH(1,(keilatut=Data!$B$2:$B$313)*($A13=Data!$BO$2:$BO$313),0))&amp;" ("&amp;INDEX(Data!$BG$2:$BG$313,MATCH(1,(keilatut=Data!$B$2:$B$313)*($A13=Data!$BO$2:$BO$313),0))&amp;") "&amp;IF(INDEX(Data!$BL$2:$BL$313,MATCH(1,(keilatut=Data!$B$2:$B$313)*($A13=Data!$BO$2:$BO$313),0))&lt;&gt;0.000099,"V","")))</f>
        <v xml:space="preserve">133 (120) </v>
      </c>
    </row>
    <row r="14" spans="1:25" x14ac:dyDescent="0.25">
      <c r="A14" s="111">
        <f>IF(A13="Vuoro",1,IF(1+A13&gt;Data!$CP$2,"",1+A13))</f>
        <v>6</v>
      </c>
      <c r="B14" s="112" t="str" cm="1">
        <f t="array" ref="B14">IF(A14="","",INDEX(Data!$I$2:$I$313,MATCH(1,(keilatut=Data!$B$2:$B$313)*($A14=Data!$BO$2:$BO$313),0)))</f>
        <v>Mika Sola</v>
      </c>
      <c r="C14" s="113" t="str" cm="1">
        <f t="array" ref="C14">IF(A14="","",IF(INDEX(Data!$BF$2:$BF$313,MATCH(1,(keilatut=Data!$B$2:$B$313)*($A14=Data!$BO$2:$BO$313),0))=0,"Vertailumenettely",INDEX(Data!$BF$2:$BF$313,MATCH(1,(keilatut=Data!$B$2:$B$313)*($A14=Data!$BO$2:$BO$313),0))&amp;" ("&amp;INDEX(Data!$BG$2:$BG$313,MATCH(1,(keilatut=Data!$B$2:$B$313)*($A14=Data!$BO$2:$BO$313),0))&amp;") "&amp;IF(INDEX(Data!$BL$2:$BL$313,MATCH(1,(keilatut=Data!$B$2:$B$313)*($A14=Data!$BO$2:$BO$313),0))&lt;&gt;0.000099,"V","")))</f>
        <v xml:space="preserve">131 (119) </v>
      </c>
    </row>
    <row r="15" spans="1:25" x14ac:dyDescent="0.25">
      <c r="A15" s="111">
        <f>IF(A14="Vuoro",1,IF(1+A14&gt;Data!$CP$2,"",1+A14))</f>
        <v>7</v>
      </c>
      <c r="B15" s="112" t="str" cm="1">
        <f t="array" ref="B15">IF(A15="","",INDEX(Data!$I$2:$I$313,MATCH(1,(keilatut=Data!$B$2:$B$313)*($A15=Data!$BO$2:$BO$313),0)))</f>
        <v>Sakari Leinonen</v>
      </c>
      <c r="C15" s="113" t="str" cm="1">
        <f t="array" ref="C15">IF(A15="","",IF(INDEX(Data!$BF$2:$BF$313,MATCH(1,(keilatut=Data!$B$2:$B$313)*($A15=Data!$BO$2:$BO$313),0))=0,"Vertailumenettely",INDEX(Data!$BF$2:$BF$313,MATCH(1,(keilatut=Data!$B$2:$B$313)*($A15=Data!$BO$2:$BO$313),0))&amp;" ("&amp;INDEX(Data!$BG$2:$BG$313,MATCH(1,(keilatut=Data!$B$2:$B$313)*($A15=Data!$BO$2:$BO$313),0))&amp;") "&amp;IF(INDEX(Data!$BL$2:$BL$313,MATCH(1,(keilatut=Data!$B$2:$B$313)*($A15=Data!$BO$2:$BO$313),0))&lt;&gt;0.000099,"V","")))</f>
        <v xml:space="preserve">131 (109) </v>
      </c>
    </row>
    <row r="16" spans="1:25" x14ac:dyDescent="0.25">
      <c r="A16" s="111">
        <f>IF(A15="Vuoro",1,IF(1+A15&gt;Data!$CP$2,"",1+A15))</f>
        <v>8</v>
      </c>
      <c r="B16" s="112" t="str" cm="1">
        <f t="array" ref="B16">IF(A16="","",INDEX(Data!$I$2:$I$313,MATCH(1,(keilatut=Data!$B$2:$B$313)*($A16=Data!$BO$2:$BO$313),0)))</f>
        <v>Niko Reunanen</v>
      </c>
      <c r="C16" s="113" t="str" cm="1">
        <f t="array" ref="C16">IF(A16="","",IF(INDEX(Data!$BF$2:$BF$313,MATCH(1,(keilatut=Data!$B$2:$B$313)*($A16=Data!$BO$2:$BO$313),0))=0,"Vertailumenettely",INDEX(Data!$BF$2:$BF$313,MATCH(1,(keilatut=Data!$B$2:$B$313)*($A16=Data!$BO$2:$BO$313),0))&amp;" ("&amp;INDEX(Data!$BG$2:$BG$313,MATCH(1,(keilatut=Data!$B$2:$B$313)*($A16=Data!$BO$2:$BO$313),0))&amp;") "&amp;IF(INDEX(Data!$BL$2:$BL$313,MATCH(1,(keilatut=Data!$B$2:$B$313)*($A16=Data!$BO$2:$BO$313),0))&lt;&gt;0.000099,"V","")))</f>
        <v xml:space="preserve">129 (117) </v>
      </c>
    </row>
    <row r="17" spans="1:15" x14ac:dyDescent="0.25">
      <c r="A17" s="111">
        <f>IF(A16="Vuoro",1,IF(1+A16&gt;Data!$CP$2,"",1+A16))</f>
        <v>9</v>
      </c>
      <c r="B17" s="112" t="str" cm="1">
        <f t="array" ref="B17">IF(A17="","",INDEX(Data!$I$2:$I$313,MATCH(1,(keilatut=Data!$B$2:$B$313)*($A17=Data!$BO$2:$BO$313),0)))</f>
        <v>Olli Kajava</v>
      </c>
      <c r="C17" s="113" t="str" cm="1">
        <f t="array" ref="C17">IF(A17="","",IF(INDEX(Data!$BF$2:$BF$313,MATCH(1,(keilatut=Data!$B$2:$B$313)*($A17=Data!$BO$2:$BO$313),0))=0,"Vertailumenettely",INDEX(Data!$BF$2:$BF$313,MATCH(1,(keilatut=Data!$B$2:$B$313)*($A17=Data!$BO$2:$BO$313),0))&amp;" ("&amp;INDEX(Data!$BG$2:$BG$313,MATCH(1,(keilatut=Data!$B$2:$B$313)*($A17=Data!$BO$2:$BO$313),0))&amp;") "&amp;IF(INDEX(Data!$BL$2:$BL$313,MATCH(1,(keilatut=Data!$B$2:$B$313)*($A17=Data!$BO$2:$BO$313),0))&lt;&gt;0.000099,"V","")))</f>
        <v xml:space="preserve">124 (102) </v>
      </c>
    </row>
    <row r="18" spans="1:15" x14ac:dyDescent="0.25">
      <c r="A18" s="111">
        <f>IF(A17="Vuoro",1,IF(1+A17&gt;Data!$CP$2,"",1+A17))</f>
        <v>10</v>
      </c>
      <c r="B18" s="112" t="str" cm="1">
        <f t="array" ref="B18">IF(A18="","",INDEX(Data!$I$2:$I$313,MATCH(1,(keilatut=Data!$B$2:$B$313)*($A18=Data!$BO$2:$BO$313),0)))</f>
        <v>Ossi Oksa</v>
      </c>
      <c r="C18" s="113" t="str" cm="1">
        <f t="array" ref="C18">IF(A18="","",IF(INDEX(Data!$BF$2:$BF$313,MATCH(1,(keilatut=Data!$B$2:$B$313)*($A18=Data!$BO$2:$BO$313),0))=0,"Vertailumenettely",INDEX(Data!$BF$2:$BF$313,MATCH(1,(keilatut=Data!$B$2:$B$313)*($A18=Data!$BO$2:$BO$313),0))&amp;" ("&amp;INDEX(Data!$BG$2:$BG$313,MATCH(1,(keilatut=Data!$B$2:$B$313)*($A18=Data!$BO$2:$BO$313),0))&amp;") "&amp;IF(INDEX(Data!$BL$2:$BL$313,MATCH(1,(keilatut=Data!$B$2:$B$313)*($A18=Data!$BO$2:$BO$313),0))&lt;&gt;0.000099,"V","")))</f>
        <v xml:space="preserve">112 (91) </v>
      </c>
    </row>
    <row r="19" spans="1:15" x14ac:dyDescent="0.25">
      <c r="A19" s="111">
        <f>IF(A18="Vuoro",1,IF(1+A18&gt;Data!$CP$2,"",1+A18))</f>
        <v>11</v>
      </c>
      <c r="B19" s="112" t="str" cm="1">
        <f t="array" ref="B19">IF(A19="","",INDEX(Data!$I$2:$I$313,MATCH(1,(keilatut=Data!$B$2:$B$313)*($A19=Data!$BO$2:$BO$313),0)))</f>
        <v>Frans Hartman</v>
      </c>
      <c r="C19" s="113" t="str" cm="1">
        <f t="array" ref="C19">IF(A19="","",IF(INDEX(Data!$BF$2:$BF$313,MATCH(1,(keilatut=Data!$B$2:$B$313)*($A19=Data!$BO$2:$BO$313),0))=0,"Vertailumenettely",INDEX(Data!$BF$2:$BF$313,MATCH(1,(keilatut=Data!$B$2:$B$313)*($A19=Data!$BO$2:$BO$313),0))&amp;" ("&amp;INDEX(Data!$BG$2:$BG$313,MATCH(1,(keilatut=Data!$B$2:$B$313)*($A19=Data!$BO$2:$BO$313),0))&amp;") "&amp;IF(INDEX(Data!$BL$2:$BL$313,MATCH(1,(keilatut=Data!$B$2:$B$313)*($A19=Data!$BO$2:$BO$313),0))&lt;&gt;0.000099,"V","")))</f>
        <v>Vertailumenettely</v>
      </c>
    </row>
    <row r="20" spans="1:15" x14ac:dyDescent="0.25">
      <c r="A20" s="111">
        <f>IF(A19="Vuoro",1,IF(1+A19&gt;Data!$CP$2,"",1+A19))</f>
        <v>12</v>
      </c>
      <c r="B20" s="112" t="str" cm="1">
        <f t="array" ref="B20">IF(A20="","",INDEX(Data!$I$2:$I$313,MATCH(1,(keilatut=Data!$B$2:$B$313)*($A20=Data!$BO$2:$BO$313),0)))</f>
        <v>Kaleva Latvala</v>
      </c>
      <c r="C20" s="113" t="str" cm="1">
        <f t="array" ref="C20">IF(A20="","",IF(INDEX(Data!$BF$2:$BF$313,MATCH(1,(keilatut=Data!$B$2:$B$313)*($A20=Data!$BO$2:$BO$313),0))=0,"Vertailumenettely",INDEX(Data!$BF$2:$BF$313,MATCH(1,(keilatut=Data!$B$2:$B$313)*($A20=Data!$BO$2:$BO$313),0))&amp;" ("&amp;INDEX(Data!$BG$2:$BG$313,MATCH(1,(keilatut=Data!$B$2:$B$313)*($A20=Data!$BO$2:$BO$313),0))&amp;") "&amp;IF(INDEX(Data!$BL$2:$BL$313,MATCH(1,(keilatut=Data!$B$2:$B$313)*($A20=Data!$BO$2:$BO$313),0))&lt;&gt;0.000099,"V","")))</f>
        <v>Vertailumenettely</v>
      </c>
    </row>
    <row r="21" spans="1:15" x14ac:dyDescent="0.25">
      <c r="A21" s="111">
        <f>IF(A20="Vuoro",1,IF(1+A20&gt;Data!$CP$2,"",1+A20))</f>
        <v>13</v>
      </c>
      <c r="B21" s="112" t="str" cm="1">
        <f t="array" ref="B21">IF(A21="","",INDEX(Data!$I$2:$I$313,MATCH(1,(keilatut=Data!$B$2:$B$313)*($A21=Data!$BO$2:$BO$313),0)))</f>
        <v>Asko Haaksi</v>
      </c>
      <c r="C21" s="113" t="str" cm="1">
        <f t="array" ref="C21">IF(A21="","",IF(INDEX(Data!$BF$2:$BF$313,MATCH(1,(keilatut=Data!$B$2:$B$313)*($A21=Data!$BO$2:$BO$313),0))=0,"Vertailumenettely",INDEX(Data!$BF$2:$BF$313,MATCH(1,(keilatut=Data!$B$2:$B$313)*($A21=Data!$BO$2:$BO$313),0))&amp;" ("&amp;INDEX(Data!$BG$2:$BG$313,MATCH(1,(keilatut=Data!$B$2:$B$313)*($A21=Data!$BO$2:$BO$313),0))&amp;") "&amp;IF(INDEX(Data!$BL$2:$BL$313,MATCH(1,(keilatut=Data!$B$2:$B$313)*($A21=Data!$BO$2:$BO$313),0))&lt;&gt;0.000099,"V","")))</f>
        <v>Vertailumenettely</v>
      </c>
    </row>
    <row r="22" spans="1:15" x14ac:dyDescent="0.25">
      <c r="A22" s="111">
        <f>IF(A21="Vuoro",1,IF(1+A21&gt;Data!$CP$2,"",1+A21))</f>
        <v>14</v>
      </c>
      <c r="B22" s="112" t="str" cm="1">
        <f t="array" ref="B22">IF(A22="","",INDEX(Data!$I$2:$I$313,MATCH(1,(keilatut=Data!$B$2:$B$313)*($A22=Data!$BO$2:$BO$313),0)))</f>
        <v>Joonas Ollonqvist</v>
      </c>
      <c r="C22" s="113" t="str" cm="1">
        <f t="array" ref="C22">IF(A22="","",IF(INDEX(Data!$BF$2:$BF$313,MATCH(1,(keilatut=Data!$B$2:$B$313)*($A22=Data!$BO$2:$BO$313),0))=0,"Vertailumenettely",INDEX(Data!$BF$2:$BF$313,MATCH(1,(keilatut=Data!$B$2:$B$313)*($A22=Data!$BO$2:$BO$313),0))&amp;" ("&amp;INDEX(Data!$BG$2:$BG$313,MATCH(1,(keilatut=Data!$B$2:$B$313)*($A22=Data!$BO$2:$BO$313),0))&amp;") "&amp;IF(INDEX(Data!$BL$2:$BL$313,MATCH(1,(keilatut=Data!$B$2:$B$313)*($A22=Data!$BO$2:$BO$313),0))&lt;&gt;0.000099,"V","")))</f>
        <v>Vertailumenettely</v>
      </c>
    </row>
    <row r="23" spans="1:15" x14ac:dyDescent="0.25">
      <c r="A23" s="111">
        <f>IF(A22="Vuoro",1,IF(1+A22&gt;Data!$CP$2,"",1+A22))</f>
        <v>15</v>
      </c>
      <c r="B23" s="112" t="str" cm="1">
        <f t="array" ref="B23">IF(A23="","",INDEX(Data!$I$2:$I$313,MATCH(1,(keilatut=Data!$B$2:$B$313)*($A23=Data!$BO$2:$BO$313),0)))</f>
        <v>Miikka Korventausta</v>
      </c>
      <c r="C23" s="113" t="str" cm="1">
        <f t="array" ref="C23">IF(A23="","",IF(INDEX(Data!$BF$2:$BF$313,MATCH(1,(keilatut=Data!$B$2:$B$313)*($A23=Data!$BO$2:$BO$313),0))=0,"Vertailumenettely",INDEX(Data!$BF$2:$BF$313,MATCH(1,(keilatut=Data!$B$2:$B$313)*($A23=Data!$BO$2:$BO$313),0))&amp;" ("&amp;INDEX(Data!$BG$2:$BG$313,MATCH(1,(keilatut=Data!$B$2:$B$313)*($A23=Data!$BO$2:$BO$313),0))&amp;") "&amp;IF(INDEX(Data!$BL$2:$BL$313,MATCH(1,(keilatut=Data!$B$2:$B$313)*($A23=Data!$BO$2:$BO$313),0))&lt;&gt;0.000099,"V","")))</f>
        <v>Vertailumenettely</v>
      </c>
    </row>
    <row r="24" spans="1:15" x14ac:dyDescent="0.25">
      <c r="A24" s="111">
        <f>IF(A23="Vuoro",1,IF(1+A23&gt;Data!$CP$2,"",1+A23))</f>
        <v>16</v>
      </c>
      <c r="B24" s="112" t="str" cm="1">
        <f t="array" ref="B24">IF(A24="","",INDEX(Data!$I$2:$I$313,MATCH(1,(keilatut=Data!$B$2:$B$313)*($A24=Data!$BO$2:$BO$313),0)))</f>
        <v>Roope Warro</v>
      </c>
      <c r="C24" s="113" t="str" cm="1">
        <f t="array" ref="C24">IF(A24="","",IF(INDEX(Data!$BF$2:$BF$313,MATCH(1,(keilatut=Data!$B$2:$B$313)*($A24=Data!$BO$2:$BO$313),0))=0,"Vertailumenettely",INDEX(Data!$BF$2:$BF$313,MATCH(1,(keilatut=Data!$B$2:$B$313)*($A24=Data!$BO$2:$BO$313),0))&amp;" ("&amp;INDEX(Data!$BG$2:$BG$313,MATCH(1,(keilatut=Data!$B$2:$B$313)*($A24=Data!$BO$2:$BO$313),0))&amp;") "&amp;IF(INDEX(Data!$BL$2:$BL$313,MATCH(1,(keilatut=Data!$B$2:$B$313)*($A24=Data!$BO$2:$BO$313),0))&lt;&gt;0.000099,"V","")))</f>
        <v>Vertailumenettely</v>
      </c>
    </row>
    <row r="25" spans="1:15" x14ac:dyDescent="0.25">
      <c r="A25" s="111">
        <f>IF(A24="Vuoro",1,IF(1+A24&gt;Data!$CP$2,"",1+A24))</f>
        <v>17</v>
      </c>
      <c r="B25" s="112" t="str" cm="1">
        <f t="array" ref="B25">IF(A25="","",INDEX(Data!$I$2:$I$313,MATCH(1,(keilatut=Data!$B$2:$B$313)*($A25=Data!$BO$2:$BO$313),0)))</f>
        <v>Iiro Riikonen</v>
      </c>
      <c r="C25" s="113" t="str" cm="1">
        <f t="array" ref="C25">IF(A25="","",IF(INDEX(Data!$BF$2:$BF$313,MATCH(1,(keilatut=Data!$B$2:$B$313)*($A25=Data!$BO$2:$BO$313),0))=0,"Vertailumenettely",INDEX(Data!$BF$2:$BF$313,MATCH(1,(keilatut=Data!$B$2:$B$313)*($A25=Data!$BO$2:$BO$313),0))&amp;" ("&amp;INDEX(Data!$BG$2:$BG$313,MATCH(1,(keilatut=Data!$B$2:$B$313)*($A25=Data!$BO$2:$BO$313),0))&amp;") "&amp;IF(INDEX(Data!$BL$2:$BL$313,MATCH(1,(keilatut=Data!$B$2:$B$313)*($A25=Data!$BO$2:$BO$313),0))&lt;&gt;0.000099,"V","")))</f>
        <v>Vertailumenettely</v>
      </c>
    </row>
    <row r="26" spans="1:15" x14ac:dyDescent="0.25">
      <c r="A26" s="114">
        <f>IF(A25="Vuoro",1,IF(1+A25&gt;Data!$CP$2,"",1+A25))</f>
        <v>18</v>
      </c>
      <c r="B26" s="115" t="str" cm="1">
        <f t="array" ref="B26">IF(A26="","",INDEX(Data!$I$2:$I$313,MATCH(1,(keilatut=Data!$B$2:$B$313)*($A26=Data!$BO$2:$BO$313),0)))</f>
        <v>Tatu Erlin</v>
      </c>
      <c r="C26" s="116" t="str" cm="1">
        <f t="array" ref="C26">IF(A26="","",IF(INDEX(Data!$BF$2:$BF$313,MATCH(1,(keilatut=Data!$B$2:$B$313)*($A26=Data!$BO$2:$BO$313),0))=0,"Vertailumenettely",INDEX(Data!$BF$2:$BF$313,MATCH(1,(keilatut=Data!$B$2:$B$313)*($A26=Data!$BO$2:$BO$313),0))&amp;" ("&amp;INDEX(Data!$BG$2:$BG$313,MATCH(1,(keilatut=Data!$B$2:$B$313)*($A26=Data!$BO$2:$BO$313),0))&amp;") "&amp;IF(INDEX(Data!$BL$2:$BL$313,MATCH(1,(keilatut=Data!$B$2:$B$313)*($A26=Data!$BO$2:$BO$313),0))&lt;&gt;0.000099,"V","")))</f>
        <v>Vertailumenettely</v>
      </c>
    </row>
    <row r="27" spans="1:15" s="136" customFormat="1" x14ac:dyDescent="0.25">
      <c r="A27" s="137" t="str">
        <f>IF(COUNTIFS(Data!$B$2:$B$313,keilatut-1,Data!$BL$2:$BL$313,"&lt;&gt;"&amp;0.000099)=0,"","Mandaattiarvon perässä oleva V viittaa vertailumenettelyyn tasatilanteessa.")</f>
        <v/>
      </c>
      <c r="I27" s="27"/>
      <c r="J27" s="27"/>
      <c r="K27" s="27"/>
      <c r="L27" s="27"/>
      <c r="M27" s="27"/>
      <c r="N27" s="27"/>
      <c r="O27" s="27"/>
    </row>
    <row r="29" spans="1:15" x14ac:dyDescent="0.25">
      <c r="A29" s="117" t="s">
        <v>168</v>
      </c>
      <c r="B29" s="118"/>
      <c r="C29" s="118"/>
      <c r="D29" s="118"/>
      <c r="E29" s="118"/>
      <c r="F29" s="118"/>
      <c r="G29" s="119"/>
    </row>
    <row r="30" spans="1:15" x14ac:dyDescent="0.25">
      <c r="A30" s="120" t="s">
        <v>36</v>
      </c>
      <c r="B30" s="105" t="s">
        <v>162</v>
      </c>
      <c r="C30" s="106" t="s">
        <v>163</v>
      </c>
      <c r="D30" s="106" t="s">
        <v>158</v>
      </c>
      <c r="E30" s="107" t="s">
        <v>159</v>
      </c>
      <c r="F30" s="120" t="s">
        <v>40</v>
      </c>
      <c r="G30" s="120" t="s">
        <v>164</v>
      </c>
    </row>
    <row r="31" spans="1:15" x14ac:dyDescent="0.25">
      <c r="A31" s="121">
        <f>IF(A30="GP",1,IF(1+A30&gt;Data!$CP$1,"",1+A30))</f>
        <v>1</v>
      </c>
      <c r="B31" s="122" t="str">
        <f>_xlfn.XLOOKUP(A31,Data!$B$2:$B$313,Data!$CF$2:$CF$313,"",0)</f>
        <v/>
      </c>
      <c r="C31" s="123" t="str">
        <f>_xlfn.XLOOKUP(A31,Data!$B$2:$B$313,Data!$CG$2:$CG$313,"",0)</f>
        <v/>
      </c>
      <c r="D31" s="123" t="str">
        <f>_xlfn.TEXTJOIN(", ",TRUE,_xlfn.XLOOKUP(A31,Data!$B$2:$B$313,Data!$BZ$2:$BZ$313,"",0),_xlfn.XLOOKUP(A31,Data!$B$2:$B$313,Data!$CA$2:$CA$313,"",0))</f>
        <v/>
      </c>
      <c r="E31" s="124" t="str">
        <f>_xlfn.TEXTJOIN(", ",TRUE,_xlfn.XLOOKUP(A31,Data!$B$2:$B$313,Data!$CC$2:$CC$313,"",0),_xlfn.XLOOKUP(A31,Data!$B$2:$B$313,Data!$CD$2:$CD$313,"",0))</f>
        <v/>
      </c>
      <c r="F31" s="227" t="str">
        <f>_xlfn.XLOOKUP(A31,Data!$B$2:$B$313,Data!$CH$2:$CH$313,"",0)</f>
        <v>Kaleva Latvala</v>
      </c>
      <c r="G31" s="125" t="str" cm="1">
        <f t="array" ref="G31">IF(A31=1,"GP1:n kuninkuussarjan tulos "&amp;INDEX(Data!$BF$2:$BF$313,MATCH(1,(1=Data!$B$2:$B$313)*(F31=Data!$I$2:$I$313),0))&amp;" ("&amp;INDEX(Data!$BG$2:$BG$313,MATCH(1,(1=Data!$B$2:$B$313)*(F31=Data!$I$2:$I$313),0))&amp;")",_xlfn.IFNA(IF(SUMIFS(Data!$BP$2:$BP$313,Data!$B$2:$B$313,$A31)=0,IF(INDEX(Data!$CH$2:$CH$313,MATCH($A31-1,Data!$B$2:$B$313,0))=INDEX(Data!$BX$2:$BX$313,MATCH($A31,Data!$B$2:$B$313,0)),"","Edellisen haasteen voittaja "&amp;INDEX(Data!$CH$2:$CH$313,MATCH($A31-1,Data!$B$2:$B$313,0))&amp;" oli poissa."),"Edellisen haasteen voittaja "&amp;INDEX(Data!$CH$2:$CH$313,MATCH($A31-1,Data!$B$2:$B$313,0))&amp;" ei tuonut vyötä mukanaan."),""))</f>
        <v>GP1:n kuninkuussarjan tulos 141 (118)</v>
      </c>
    </row>
    <row r="32" spans="1:15" x14ac:dyDescent="0.25">
      <c r="A32" s="126">
        <f>IF(A31="GP",1,IF(1+A31&gt;Data!$CP$1,"",1+A31))</f>
        <v>2</v>
      </c>
      <c r="B32" s="127" t="str">
        <f>_xlfn.XLOOKUP(A32,Data!$B$2:$B$313,Data!$CF$2:$CF$313,"",0)</f>
        <v>Kaleva Latvala (P)</v>
      </c>
      <c r="C32" s="128" t="str">
        <f>_xlfn.XLOOKUP(A32,Data!$B$2:$B$313,Data!$CG$2:$CG$313,"",0)</f>
        <v>Ossi Oksa (3)</v>
      </c>
      <c r="D32" s="128" t="str">
        <f>_xlfn.TEXTJOIN(", ",TRUE,_xlfn.XLOOKUP(A32,Data!$B$2:$B$313,Data!$BZ$2:$BZ$313,"",0),_xlfn.XLOOKUP(A32,Data!$B$2:$B$313,Data!$CA$2:$CA$313,"",0))</f>
        <v>136, 125</v>
      </c>
      <c r="E32" s="129" t="str">
        <f>_xlfn.TEXTJOIN(", ",TRUE,_xlfn.XLOOKUP(A32,Data!$B$2:$B$313,Data!$CC$2:$CC$313,"",0),_xlfn.XLOOKUP(A32,Data!$B$2:$B$313,Data!$CD$2:$CD$313,"",0))</f>
        <v>182, 126</v>
      </c>
      <c r="F32" s="228" t="str">
        <f>_xlfn.XLOOKUP(A32,Data!$B$2:$B$313,Data!$CH$2:$CH$313,"",0)</f>
        <v>Ossi Oksa</v>
      </c>
      <c r="G32" s="130" t="str" cm="1">
        <f t="array" ref="G32">IF(A32=1,"GP1:n kuninkuussarjan tulos "&amp;INDEX(Data!$BF$2:$BF$313,MATCH(1,(1=Data!$B$2:$B$313)*(F32=Data!$I$2:$I$313),0))&amp;" ("&amp;INDEX(Data!$BG$2:$BG$313,MATCH(1,(1=Data!$B$2:$B$313)*(F32=Data!$I$2:$I$313),0))&amp;")",_xlfn.IFNA(IF(SUMIFS(Data!$BP$2:$BP$313,Data!$B$2:$B$313,$A32)=0,IF(INDEX(Data!$CH$2:$CH$313,MATCH($A32-1,Data!$B$2:$B$313,0))=INDEX(Data!$BX$2:$BX$313,MATCH($A32,Data!$B$2:$B$313,0)),"","Edellisen haasteen voittaja "&amp;INDEX(Data!$CH$2:$CH$313,MATCH($A32-1,Data!$B$2:$B$313,0))&amp;" oli poissa."),"Edellisen haasteen voittaja "&amp;INDEX(Data!$CH$2:$CH$313,MATCH($A32-1,Data!$B$2:$B$313,0))&amp;" ei tuonut vyötä mukanaan."),""))</f>
        <v/>
      </c>
    </row>
    <row r="33" spans="1:7" x14ac:dyDescent="0.25">
      <c r="A33" s="126">
        <f>IF(A32="GP",1,IF(1+A32&gt;Data!$CP$1,"",1+A32))</f>
        <v>3</v>
      </c>
      <c r="B33" s="127" t="str">
        <f>_xlfn.XLOOKUP(A33,Data!$B$2:$B$313,Data!$CF$2:$CF$313,"",0)</f>
        <v>Ossi Oksa (P)</v>
      </c>
      <c r="C33" s="128" t="str">
        <f>_xlfn.XLOOKUP(A33,Data!$B$2:$B$313,Data!$CG$2:$CG$313,"",0)</f>
        <v>Sakari Leinonen (1)</v>
      </c>
      <c r="D33" s="128" t="str">
        <f>_xlfn.TEXTJOIN(", ",TRUE,_xlfn.XLOOKUP(A33,Data!$B$2:$B$313,Data!$BZ$2:$BZ$313,"",0),_xlfn.XLOOKUP(A33,Data!$B$2:$B$313,Data!$CA$2:$CA$313,"",0))</f>
        <v>209, 192</v>
      </c>
      <c r="E33" s="129" t="str">
        <f>_xlfn.TEXTJOIN(", ",TRUE,_xlfn.XLOOKUP(A33,Data!$B$2:$B$313,Data!$CC$2:$CC$313,"",0),_xlfn.XLOOKUP(A33,Data!$B$2:$B$313,Data!$CD$2:$CD$313,"",0))</f>
        <v>121, 105</v>
      </c>
      <c r="F33" s="228" t="str">
        <f>_xlfn.XLOOKUP(A33,Data!$B$2:$B$313,Data!$CH$2:$CH$313,"",0)</f>
        <v>Ossi Oksa</v>
      </c>
      <c r="G33" s="130" t="str" cm="1">
        <f t="array" ref="G33">IF(A33=1,"GP1:n kuninkuussarjan tulos "&amp;INDEX(Data!$BF$2:$BF$313,MATCH(1,(1=Data!$B$2:$B$313)*(F33=Data!$I$2:$I$313),0))&amp;" ("&amp;INDEX(Data!$BG$2:$BG$313,MATCH(1,(1=Data!$B$2:$B$313)*(F33=Data!$I$2:$I$313),0))&amp;")",_xlfn.IFNA(IF(SUMIFS(Data!$BP$2:$BP$313,Data!$B$2:$B$313,$A33)=0,IF(INDEX(Data!$CH$2:$CH$313,MATCH($A33-1,Data!$B$2:$B$313,0))=INDEX(Data!$BX$2:$BX$313,MATCH($A33,Data!$B$2:$B$313,0)),"","Edellisen haasteen voittaja "&amp;INDEX(Data!$CH$2:$CH$313,MATCH($A33-1,Data!$B$2:$B$313,0))&amp;" oli poissa."),"Edellisen haasteen voittaja "&amp;INDEX(Data!$CH$2:$CH$313,MATCH($A33-1,Data!$B$2:$B$313,0))&amp;" ei tuonut vyötä mukanaan."),""))</f>
        <v/>
      </c>
    </row>
    <row r="34" spans="1:7" x14ac:dyDescent="0.25">
      <c r="A34" s="126">
        <f>IF(A33="GP",1,IF(1+A33&gt;Data!$CP$1,"",1+A33))</f>
        <v>4</v>
      </c>
      <c r="B34" s="127" t="str">
        <f>_xlfn.XLOOKUP(A34,Data!$B$2:$B$313,Data!$CF$2:$CF$313,"",0)</f>
        <v>Mika Sola (2)</v>
      </c>
      <c r="C34" s="128" t="str">
        <f>_xlfn.XLOOKUP(A34,Data!$B$2:$B$313,Data!$CG$2:$CG$313,"",0)</f>
        <v>Miika Nordblad (3)</v>
      </c>
      <c r="D34" s="128" t="str">
        <f>_xlfn.TEXTJOIN(", ",TRUE,_xlfn.XLOOKUP(A34,Data!$B$2:$B$313,Data!$BZ$2:$BZ$313,"",0),_xlfn.XLOOKUP(A34,Data!$B$2:$B$313,Data!$CA$2:$CA$313,"",0))</f>
        <v>127, 118</v>
      </c>
      <c r="E34" s="129" t="str">
        <f>_xlfn.TEXTJOIN(", ",TRUE,_xlfn.XLOOKUP(A34,Data!$B$2:$B$313,Data!$CC$2:$CC$313,"",0),_xlfn.XLOOKUP(A34,Data!$B$2:$B$313,Data!$CD$2:$CD$313,"",0))</f>
        <v>158, 123</v>
      </c>
      <c r="F34" s="228" t="str">
        <f>_xlfn.XLOOKUP(A34,Data!$B$2:$B$313,Data!$CH$2:$CH$313,"",0)</f>
        <v>Miika Nordblad</v>
      </c>
      <c r="G34" s="130" t="str" cm="1">
        <f t="array" ref="G34">IF(A34=1,"GP1:n kuninkuussarjan tulos "&amp;INDEX(Data!$BF$2:$BF$313,MATCH(1,(1=Data!$B$2:$B$313)*(F34=Data!$I$2:$I$313),0))&amp;" ("&amp;INDEX(Data!$BG$2:$BG$313,MATCH(1,(1=Data!$B$2:$B$313)*(F34=Data!$I$2:$I$313),0))&amp;")",_xlfn.IFNA(IF(SUMIFS(Data!$BP$2:$BP$313,Data!$B$2:$B$313,$A34)=0,IF(INDEX(Data!$CH$2:$CH$313,MATCH($A34-1,Data!$B$2:$B$313,0))=INDEX(Data!$BX$2:$BX$313,MATCH($A34,Data!$B$2:$B$313,0)),"","Edellisen haasteen voittaja "&amp;INDEX(Data!$CH$2:$CH$313,MATCH($A34-1,Data!$B$2:$B$313,0))&amp;" oli poissa."),"Edellisen haasteen voittaja "&amp;INDEX(Data!$CH$2:$CH$313,MATCH($A34-1,Data!$B$2:$B$313,0))&amp;" ei tuonut vyötä mukanaan."),""))</f>
        <v>Edellisen haasteen voittaja Ossi Oksa oli poissa.</v>
      </c>
    </row>
    <row r="35" spans="1:7" x14ac:dyDescent="0.25">
      <c r="A35" s="126">
        <f>IF(A34="GP",1,IF(1+A34&gt;Data!$CP$1,"",1+A34))</f>
        <v>5</v>
      </c>
      <c r="B35" s="127" t="str">
        <f>_xlfn.XLOOKUP(A35,Data!$B$2:$B$313,Data!$CF$2:$CF$313,"",0)</f>
        <v>Miika Nordblad (P)</v>
      </c>
      <c r="C35" s="128" t="str">
        <f>_xlfn.XLOOKUP(A35,Data!$B$2:$B$313,Data!$CG$2:$CG$313,"",0)</f>
        <v>Jami Kallio (1)</v>
      </c>
      <c r="D35" s="128" t="str">
        <f>_xlfn.TEXTJOIN(", ",TRUE,_xlfn.XLOOKUP(A35,Data!$B$2:$B$313,Data!$BZ$2:$BZ$313,"",0),_xlfn.XLOOKUP(A35,Data!$B$2:$B$313,Data!$CA$2:$CA$313,"",0))</f>
        <v>184, 149</v>
      </c>
      <c r="E35" s="129" t="str">
        <f>_xlfn.TEXTJOIN(", ",TRUE,_xlfn.XLOOKUP(A35,Data!$B$2:$B$313,Data!$CC$2:$CC$313,"",0),_xlfn.XLOOKUP(A35,Data!$B$2:$B$313,Data!$CD$2:$CD$313,"",0))</f>
        <v>174, 131</v>
      </c>
      <c r="F35" s="228" t="str">
        <f>_xlfn.XLOOKUP(A35,Data!$B$2:$B$313,Data!$CH$2:$CH$313,"",0)</f>
        <v>Miika Nordblad</v>
      </c>
      <c r="G35" s="130" t="str" cm="1">
        <f t="array" ref="G35">IF(A35=1,"GP1:n kuninkuussarjan tulos "&amp;INDEX(Data!$BF$2:$BF$313,MATCH(1,(1=Data!$B$2:$B$313)*(F35=Data!$I$2:$I$313),0))&amp;" ("&amp;INDEX(Data!$BG$2:$BG$313,MATCH(1,(1=Data!$B$2:$B$313)*(F35=Data!$I$2:$I$313),0))&amp;")",_xlfn.IFNA(IF(SUMIFS(Data!$BP$2:$BP$313,Data!$B$2:$B$313,$A35)=0,IF(INDEX(Data!$CH$2:$CH$313,MATCH($A35-1,Data!$B$2:$B$313,0))=INDEX(Data!$BX$2:$BX$313,MATCH($A35,Data!$B$2:$B$313,0)),"","Edellisen haasteen voittaja "&amp;INDEX(Data!$CH$2:$CH$313,MATCH($A35-1,Data!$B$2:$B$313,0))&amp;" oli poissa."),"Edellisen haasteen voittaja "&amp;INDEX(Data!$CH$2:$CH$313,MATCH($A35-1,Data!$B$2:$B$313,0))&amp;" ei tuonut vyötä mukanaan."),""))</f>
        <v/>
      </c>
    </row>
    <row r="36" spans="1:7" x14ac:dyDescent="0.25">
      <c r="A36" s="126">
        <f>IF(A35="GP",1,IF(1+A35&gt;Data!$CP$1,"",1+A35))</f>
        <v>6</v>
      </c>
      <c r="B36" s="127" t="str">
        <f>_xlfn.XLOOKUP(A36,Data!$B$2:$B$313,Data!$CF$2:$CF$313,"",0)</f>
        <v>Jami Kallio (3)</v>
      </c>
      <c r="C36" s="128" t="str">
        <f>_xlfn.XLOOKUP(A36,Data!$B$2:$B$313,Data!$CG$2:$CG$313,"",0)</f>
        <v>Asko Haaksi (4)</v>
      </c>
      <c r="D36" s="128" t="str">
        <f>_xlfn.TEXTJOIN(", ",TRUE,_xlfn.XLOOKUP(A36,Data!$B$2:$B$313,Data!$BZ$2:$BZ$313,"",0),_xlfn.XLOOKUP(A36,Data!$B$2:$B$313,Data!$CA$2:$CA$313,"",0))</f>
        <v>164, 149</v>
      </c>
      <c r="E36" s="129" t="str">
        <f>_xlfn.TEXTJOIN(", ",TRUE,_xlfn.XLOOKUP(A36,Data!$B$2:$B$313,Data!$CC$2:$CC$313,"",0),_xlfn.XLOOKUP(A36,Data!$B$2:$B$313,Data!$CD$2:$CD$313,"",0))</f>
        <v>127, 97</v>
      </c>
      <c r="F36" s="228" t="str">
        <f>_xlfn.XLOOKUP(A36,Data!$B$2:$B$313,Data!$CH$2:$CH$313,"",0)</f>
        <v>Jami Kallio</v>
      </c>
      <c r="G36" s="130" t="str" cm="1">
        <f t="array" ref="G36">IF(A36=1,"GP1:n kuninkuussarjan tulos "&amp;INDEX(Data!$BF$2:$BF$313,MATCH(1,(1=Data!$B$2:$B$313)*(F36=Data!$I$2:$I$313),0))&amp;" ("&amp;INDEX(Data!$BG$2:$BG$313,MATCH(1,(1=Data!$B$2:$B$313)*(F36=Data!$I$2:$I$313),0))&amp;")",_xlfn.IFNA(IF(SUMIFS(Data!$BP$2:$BP$313,Data!$B$2:$B$313,$A36)=0,IF(INDEX(Data!$CH$2:$CH$313,MATCH($A36-1,Data!$B$2:$B$313,0))=INDEX(Data!$BX$2:$BX$313,MATCH($A36,Data!$B$2:$B$313,0)),"","Edellisen haasteen voittaja "&amp;INDEX(Data!$CH$2:$CH$313,MATCH($A36-1,Data!$B$2:$B$313,0))&amp;" oli poissa."),"Edellisen haasteen voittaja "&amp;INDEX(Data!$CH$2:$CH$313,MATCH($A36-1,Data!$B$2:$B$313,0))&amp;" ei tuonut vyötä mukanaan."),""))</f>
        <v>Edellisen haasteen voittaja Miika Nordblad ei tuonut vyötä mukanaan.</v>
      </c>
    </row>
    <row r="37" spans="1:7" x14ac:dyDescent="0.25">
      <c r="A37" s="126">
        <f>IF(A36="GP",1,IF(1+A36&gt;Data!$CP$1,"",1+A36))</f>
        <v>7</v>
      </c>
      <c r="B37" s="127" t="str">
        <f>_xlfn.XLOOKUP(A37,Data!$B$2:$B$313,Data!$CF$2:$CF$313,"",0)</f>
        <v>Jami Kallio (P)</v>
      </c>
      <c r="C37" s="128" t="str">
        <f>_xlfn.XLOOKUP(A37,Data!$B$2:$B$313,Data!$CG$2:$CG$313,"",0)</f>
        <v>Juho Korpi (2)</v>
      </c>
      <c r="D37" s="128" t="str">
        <f>_xlfn.TEXTJOIN(", ",TRUE,_xlfn.XLOOKUP(A37,Data!$B$2:$B$313,Data!$BZ$2:$BZ$313,"",0),_xlfn.XLOOKUP(A37,Data!$B$2:$B$313,Data!$CA$2:$CA$313,"",0))</f>
        <v>157, 155</v>
      </c>
      <c r="E37" s="129" t="str">
        <f>_xlfn.TEXTJOIN(", ",TRUE,_xlfn.XLOOKUP(A37,Data!$B$2:$B$313,Data!$CC$2:$CC$313,"",0),_xlfn.XLOOKUP(A37,Data!$B$2:$B$313,Data!$CD$2:$CD$313,"",0))</f>
        <v>142, 128</v>
      </c>
      <c r="F37" s="228" t="str">
        <f>_xlfn.XLOOKUP(A37,Data!$B$2:$B$313,Data!$CH$2:$CH$313,"",0)</f>
        <v>Jami Kallio</v>
      </c>
      <c r="G37" s="130" t="str" cm="1">
        <f t="array" ref="G37">IF(A37=1,"GP1:n kuninkuussarjan tulos "&amp;INDEX(Data!$BF$2:$BF$313,MATCH(1,(1=Data!$B$2:$B$313)*(F37=Data!$I$2:$I$313),0))&amp;" ("&amp;INDEX(Data!$BG$2:$BG$313,MATCH(1,(1=Data!$B$2:$B$313)*(F37=Data!$I$2:$I$313),0))&amp;")",_xlfn.IFNA(IF(SUMIFS(Data!$BP$2:$BP$313,Data!$B$2:$B$313,$A37)=0,IF(INDEX(Data!$CH$2:$CH$313,MATCH($A37-1,Data!$B$2:$B$313,0))=INDEX(Data!$BX$2:$BX$313,MATCH($A37,Data!$B$2:$B$313,0)),"","Edellisen haasteen voittaja "&amp;INDEX(Data!$CH$2:$CH$313,MATCH($A37-1,Data!$B$2:$B$313,0))&amp;" oli poissa."),"Edellisen haasteen voittaja "&amp;INDEX(Data!$CH$2:$CH$313,MATCH($A37-1,Data!$B$2:$B$313,0))&amp;" ei tuonut vyötä mukanaan."),""))</f>
        <v/>
      </c>
    </row>
    <row r="38" spans="1:7" x14ac:dyDescent="0.25">
      <c r="A38" s="126">
        <f>IF(A37="GP",1,IF(1+A37&gt;Data!$CP$1,"",1+A37))</f>
        <v>8</v>
      </c>
      <c r="B38" s="127" t="str">
        <f>_xlfn.XLOOKUP(A38,Data!$B$2:$B$313,Data!$CF$2:$CF$313,"",0)</f>
        <v>Jami Kallio (P)</v>
      </c>
      <c r="C38" s="128" t="str">
        <f>_xlfn.XLOOKUP(A38,Data!$B$2:$B$313,Data!$CG$2:$CG$313,"",0)</f>
        <v>Asko Haaksi (1)</v>
      </c>
      <c r="D38" s="128" t="str">
        <f>_xlfn.TEXTJOIN(", ",TRUE,_xlfn.XLOOKUP(A38,Data!$B$2:$B$313,Data!$BZ$2:$BZ$313,"",0),_xlfn.XLOOKUP(A38,Data!$B$2:$B$313,Data!$CA$2:$CA$313,"",0))</f>
        <v>171, 123</v>
      </c>
      <c r="E38" s="129" t="str">
        <f>_xlfn.TEXTJOIN(", ",TRUE,_xlfn.XLOOKUP(A38,Data!$B$2:$B$313,Data!$CC$2:$CC$313,"",0),_xlfn.XLOOKUP(A38,Data!$B$2:$B$313,Data!$CD$2:$CD$313,"",0))</f>
        <v>131, 129</v>
      </c>
      <c r="F38" s="228" t="str">
        <f>_xlfn.XLOOKUP(A38,Data!$B$2:$B$313,Data!$CH$2:$CH$313,"",0)</f>
        <v>Jami Kallio</v>
      </c>
      <c r="G38" s="130" t="str" cm="1">
        <f t="array" ref="G38">IF(A38=1,"GP1:n kuninkuussarjan tulos "&amp;INDEX(Data!$BF$2:$BF$313,MATCH(1,(1=Data!$B$2:$B$313)*(F38=Data!$I$2:$I$313),0))&amp;" ("&amp;INDEX(Data!$BG$2:$BG$313,MATCH(1,(1=Data!$B$2:$B$313)*(F38=Data!$I$2:$I$313),0))&amp;")",_xlfn.IFNA(IF(SUMIFS(Data!$BP$2:$BP$313,Data!$B$2:$B$313,$A38)=0,IF(INDEX(Data!$CH$2:$CH$313,MATCH($A38-1,Data!$B$2:$B$313,0))=INDEX(Data!$BX$2:$BX$313,MATCH($A38,Data!$B$2:$B$313,0)),"","Edellisen haasteen voittaja "&amp;INDEX(Data!$CH$2:$CH$313,MATCH($A38-1,Data!$B$2:$B$313,0))&amp;" oli poissa."),"Edellisen haasteen voittaja "&amp;INDEX(Data!$CH$2:$CH$313,MATCH($A38-1,Data!$B$2:$B$313,0))&amp;" ei tuonut vyötä mukanaan."),""))</f>
        <v/>
      </c>
    </row>
    <row r="39" spans="1:7" x14ac:dyDescent="0.25">
      <c r="A39" s="126">
        <f>IF(A38="GP",1,IF(1+A38&gt;Data!$CP$1,"",1+A38))</f>
        <v>9</v>
      </c>
      <c r="B39" s="127" t="str">
        <f>_xlfn.XLOOKUP(A39,Data!$B$2:$B$313,Data!$CF$2:$CF$313,"",0)</f>
        <v>Jami Kallio (P)</v>
      </c>
      <c r="C39" s="128" t="str">
        <f>_xlfn.XLOOKUP(A39,Data!$B$2:$B$313,Data!$CG$2:$CG$313,"",0)</f>
        <v>Mika Sola (1)</v>
      </c>
      <c r="D39" s="128" t="str">
        <f>_xlfn.TEXTJOIN(", ",TRUE,_xlfn.XLOOKUP(A39,Data!$B$2:$B$313,Data!$BZ$2:$BZ$313,"",0),_xlfn.XLOOKUP(A39,Data!$B$2:$B$313,Data!$CA$2:$CA$313,"",0))</f>
        <v>195, 112</v>
      </c>
      <c r="E39" s="129" t="str">
        <f>_xlfn.TEXTJOIN(", ",TRUE,_xlfn.XLOOKUP(A39,Data!$B$2:$B$313,Data!$CC$2:$CC$313,"",0),_xlfn.XLOOKUP(A39,Data!$B$2:$B$313,Data!$CD$2:$CD$313,"",0))</f>
        <v>123, 90</v>
      </c>
      <c r="F39" s="228" t="str">
        <f>_xlfn.XLOOKUP(A39,Data!$B$2:$B$313,Data!$CH$2:$CH$313,"",0)</f>
        <v>Jami Kallio</v>
      </c>
      <c r="G39" s="130" t="str" cm="1">
        <f t="array" ref="G39">IF(A39=1,"GP1:n kuninkuussarjan tulos "&amp;INDEX(Data!$BF$2:$BF$313,MATCH(1,(1=Data!$B$2:$B$313)*(F39=Data!$I$2:$I$313),0))&amp;" ("&amp;INDEX(Data!$BG$2:$BG$313,MATCH(1,(1=Data!$B$2:$B$313)*(F39=Data!$I$2:$I$313),0))&amp;")",_xlfn.IFNA(IF(SUMIFS(Data!$BP$2:$BP$313,Data!$B$2:$B$313,$A39)=0,IF(INDEX(Data!$CH$2:$CH$313,MATCH($A39-1,Data!$B$2:$B$313,0))=INDEX(Data!$BX$2:$BX$313,MATCH($A39,Data!$B$2:$B$313,0)),"","Edellisen haasteen voittaja "&amp;INDEX(Data!$CH$2:$CH$313,MATCH($A39-1,Data!$B$2:$B$313,0))&amp;" oli poissa."),"Edellisen haasteen voittaja "&amp;INDEX(Data!$CH$2:$CH$313,MATCH($A39-1,Data!$B$2:$B$313,0))&amp;" ei tuonut vyötä mukanaan."),""))</f>
        <v/>
      </c>
    </row>
    <row r="40" spans="1:7" x14ac:dyDescent="0.25">
      <c r="A40" s="126">
        <f>IF(A39="GP",1,IF(1+A39&gt;Data!$CP$1,"",1+A39))</f>
        <v>10</v>
      </c>
      <c r="B40" s="127" t="str">
        <f>_xlfn.XLOOKUP(A40,Data!$B$2:$B$313,Data!$CF$2:$CF$313,"",0)</f>
        <v>Jami Kallio (P)</v>
      </c>
      <c r="C40" s="128" t="str">
        <f>_xlfn.XLOOKUP(A40,Data!$B$2:$B$313,Data!$CG$2:$CG$313,"",0)</f>
        <v>Mikko Mansikkamäki (2)</v>
      </c>
      <c r="D40" s="128" t="str">
        <f>_xlfn.TEXTJOIN(", ",TRUE,_xlfn.XLOOKUP(A40,Data!$B$2:$B$313,Data!$BZ$2:$BZ$313,"",0),_xlfn.XLOOKUP(A40,Data!$B$2:$B$313,Data!$CA$2:$CA$313,"",0))</f>
        <v>145, 132</v>
      </c>
      <c r="E40" s="129" t="str">
        <f>_xlfn.TEXTJOIN(", ",TRUE,_xlfn.XLOOKUP(A40,Data!$B$2:$B$313,Data!$CC$2:$CC$313,"",0),_xlfn.XLOOKUP(A40,Data!$B$2:$B$313,Data!$CD$2:$CD$313,"",0))</f>
        <v>137, 127</v>
      </c>
      <c r="F40" s="228" t="str">
        <f>_xlfn.XLOOKUP(A40,Data!$B$2:$B$313,Data!$CH$2:$CH$313,"",0)</f>
        <v>Jami Kallio</v>
      </c>
      <c r="G40" s="130" t="str" cm="1">
        <f t="array" ref="G40">IF(A40=1,"GP1:n kuninkuussarjan tulos "&amp;INDEX(Data!$BF$2:$BF$313,MATCH(1,(1=Data!$B$2:$B$313)*(F40=Data!$I$2:$I$313),0))&amp;" ("&amp;INDEX(Data!$BG$2:$BG$313,MATCH(1,(1=Data!$B$2:$B$313)*(F40=Data!$I$2:$I$313),0))&amp;")",_xlfn.IFNA(IF(SUMIFS(Data!$BP$2:$BP$313,Data!$B$2:$B$313,$A40)=0,IF(INDEX(Data!$CH$2:$CH$313,MATCH($A40-1,Data!$B$2:$B$313,0))=INDEX(Data!$BX$2:$BX$313,MATCH($A40,Data!$B$2:$B$313,0)),"","Edellisen haasteen voittaja "&amp;INDEX(Data!$CH$2:$CH$313,MATCH($A40-1,Data!$B$2:$B$313,0))&amp;" oli poissa."),"Edellisen haasteen voittaja "&amp;INDEX(Data!$CH$2:$CH$313,MATCH($A40-1,Data!$B$2:$B$313,0))&amp;" ei tuonut vyötä mukanaan."),""))</f>
        <v/>
      </c>
    </row>
    <row r="41" spans="1:7" x14ac:dyDescent="0.25">
      <c r="A41" s="126">
        <f>IF(A40="GP",1,IF(1+A40&gt;Data!$CP$1,"",1+A40))</f>
        <v>11</v>
      </c>
      <c r="B41" s="127" t="str">
        <f>_xlfn.XLOOKUP(A41,Data!$B$2:$B$313,Data!$CF$2:$CF$313,"",0)</f>
        <v/>
      </c>
      <c r="C41" s="128" t="str">
        <f>_xlfn.XLOOKUP(A41,Data!$B$2:$B$313,Data!$CG$2:$CG$313,"",0)</f>
        <v/>
      </c>
      <c r="D41" s="128" t="str">
        <f>_xlfn.TEXTJOIN(", ",TRUE,_xlfn.XLOOKUP(A41,Data!$B$2:$B$313,Data!$BZ$2:$BZ$313,"",0),_xlfn.XLOOKUP(A41,Data!$B$2:$B$313,Data!$CA$2:$CA$313,"",0))</f>
        <v/>
      </c>
      <c r="E41" s="129" t="str">
        <f>_xlfn.TEXTJOIN(", ",TRUE,_xlfn.XLOOKUP(A41,Data!$B$2:$B$313,Data!$CC$2:$CC$313,"",0),_xlfn.XLOOKUP(A41,Data!$B$2:$B$313,Data!$CD$2:$CD$313,"",0))</f>
        <v/>
      </c>
      <c r="F41" s="228" t="str">
        <f>_xlfn.XLOOKUP(A41,Data!$B$2:$B$313,Data!$CH$2:$CH$313,"",0)</f>
        <v/>
      </c>
      <c r="G41" s="130" t="str" cm="1">
        <f t="array" ref="G41">IF(A41=1,"GP1:n kuninkuussarjan tulos "&amp;INDEX(Data!$BF$2:$BF$313,MATCH(1,(1=Data!$B$2:$B$313)*(F41=Data!$I$2:$I$313),0))&amp;" ("&amp;INDEX(Data!$BG$2:$BG$313,MATCH(1,(1=Data!$B$2:$B$313)*(F41=Data!$I$2:$I$313),0))&amp;")",_xlfn.IFNA(IF(SUMIFS(Data!$BP$2:$BP$313,Data!$B$2:$B$313,$A41)=0,IF(INDEX(Data!$CH$2:$CH$313,MATCH($A41-1,Data!$B$2:$B$313,0))=INDEX(Data!$BX$2:$BX$313,MATCH($A41,Data!$B$2:$B$313,0)),"","Edellisen haasteen voittaja "&amp;INDEX(Data!$CH$2:$CH$313,MATCH($A41-1,Data!$B$2:$B$313,0))&amp;" oli poissa."),"Edellisen haasteen voittaja "&amp;INDEX(Data!$CH$2:$CH$313,MATCH($A41-1,Data!$B$2:$B$313,0))&amp;" ei tuonut vyötä mukanaan."),""))</f>
        <v/>
      </c>
    </row>
    <row r="42" spans="1:7" x14ac:dyDescent="0.25">
      <c r="A42" s="126">
        <f>IF(A41="GP",1,IF(1+A41&gt;Data!$CP$1,"",1+A41))</f>
        <v>12</v>
      </c>
      <c r="B42" s="127" t="str">
        <f>_xlfn.XLOOKUP(A42,Data!$B$2:$B$313,Data!$CF$2:$CF$313,"",0)</f>
        <v/>
      </c>
      <c r="C42" s="128" t="str">
        <f>_xlfn.XLOOKUP(A42,Data!$B$2:$B$313,Data!$CG$2:$CG$313,"",0)</f>
        <v/>
      </c>
      <c r="D42" s="128" t="str">
        <f>_xlfn.TEXTJOIN(", ",TRUE,_xlfn.XLOOKUP(A42,Data!$B$2:$B$313,Data!$BZ$2:$BZ$313,"",0),_xlfn.XLOOKUP(A42,Data!$B$2:$B$313,Data!$CA$2:$CA$313,"",0))</f>
        <v/>
      </c>
      <c r="E42" s="129" t="str">
        <f>_xlfn.TEXTJOIN(", ",TRUE,_xlfn.XLOOKUP(A42,Data!$B$2:$B$313,Data!$CC$2:$CC$313,"",0),_xlfn.XLOOKUP(A42,Data!$B$2:$B$313,Data!$CD$2:$CD$313,"",0))</f>
        <v/>
      </c>
      <c r="F42" s="228" t="str">
        <f>_xlfn.XLOOKUP(A42,Data!$B$2:$B$313,Data!$CH$2:$CH$313,"",0)</f>
        <v/>
      </c>
      <c r="G42" s="130" t="str" cm="1">
        <f t="array" ref="G42">IF(A42=1,"GP1:n kuninkuussarjan tulos "&amp;INDEX(Data!$BF$2:$BF$313,MATCH(1,(1=Data!$B$2:$B$313)*(F42=Data!$I$2:$I$313),0))&amp;" ("&amp;INDEX(Data!$BG$2:$BG$313,MATCH(1,(1=Data!$B$2:$B$313)*(F42=Data!$I$2:$I$313),0))&amp;")",_xlfn.IFNA(IF(SUMIFS(Data!$BP$2:$BP$313,Data!$B$2:$B$313,$A42)=0,IF(INDEX(Data!$CH$2:$CH$313,MATCH($A42-1,Data!$B$2:$B$313,0))=INDEX(Data!$BX$2:$BX$313,MATCH($A42,Data!$B$2:$B$313,0)),"","Edellisen haasteen voittaja "&amp;INDEX(Data!$CH$2:$CH$313,MATCH($A42-1,Data!$B$2:$B$313,0))&amp;" oli poissa."),"Edellisen haasteen voittaja "&amp;INDEX(Data!$CH$2:$CH$313,MATCH($A42-1,Data!$B$2:$B$313,0))&amp;" ei tuonut vyötä mukanaan."),""))</f>
        <v/>
      </c>
    </row>
    <row r="43" spans="1:7" x14ac:dyDescent="0.25">
      <c r="A43" s="131">
        <f>IF(A42="GP",1,IF(1+A42&gt;Data!$CP$1,"",1+A42))</f>
        <v>13</v>
      </c>
      <c r="B43" s="132" t="str">
        <f>_xlfn.XLOOKUP(A43,Data!$B$2:$B$313,Data!$CF$2:$CF$313,"",0)</f>
        <v/>
      </c>
      <c r="C43" s="133" t="str">
        <f>_xlfn.XLOOKUP(A43,Data!$B$2:$B$313,Data!$CG$2:$CG$313,"",0)</f>
        <v/>
      </c>
      <c r="D43" s="133" t="str">
        <f>_xlfn.TEXTJOIN(", ",TRUE,_xlfn.XLOOKUP(A43,Data!$B$2:$B$313,Data!$BZ$2:$BZ$313,"",0),_xlfn.XLOOKUP(A43,Data!$B$2:$B$313,Data!$CA$2:$CA$313,"",0))</f>
        <v/>
      </c>
      <c r="E43" s="134" t="str">
        <f>_xlfn.TEXTJOIN(", ",TRUE,_xlfn.XLOOKUP(A43,Data!$B$2:$B$313,Data!$CC$2:$CC$313,"",0),_xlfn.XLOOKUP(A43,Data!$B$2:$B$313,Data!$CD$2:$CD$313,"",0))</f>
        <v/>
      </c>
      <c r="F43" s="229" t="str">
        <f>_xlfn.XLOOKUP(A43,Data!$B$2:$B$313,Data!$CH$2:$CH$313,"",0)</f>
        <v/>
      </c>
      <c r="G43" s="135" t="str" cm="1">
        <f t="array" ref="G43">IF(A43=1,"GP1:n kuninkuussarjan tulos "&amp;INDEX(Data!$BF$2:$BF$313,MATCH(1,(1=Data!$B$2:$B$313)*(F43=Data!$I$2:$I$313),0))&amp;" ("&amp;INDEX(Data!$BG$2:$BG$313,MATCH(1,(1=Data!$B$2:$B$313)*(F43=Data!$I$2:$I$313),0))&amp;")",_xlfn.IFNA(IF(SUMIFS(Data!$BP$2:$BP$313,Data!$B$2:$B$313,$A43)=0,IF(INDEX(Data!$CH$2:$CH$313,MATCH($A43-1,Data!$B$2:$B$313,0))=INDEX(Data!$BX$2:$BX$313,MATCH($A43,Data!$B$2:$B$313,0)),"","Edellisen haasteen voittaja "&amp;INDEX(Data!$CH$2:$CH$313,MATCH($A43-1,Data!$B$2:$B$313,0))&amp;" oli poissa."),"Edellisen haasteen voittaja "&amp;INDEX(Data!$CH$2:$CH$313,MATCH($A43-1,Data!$B$2:$B$313,0))&amp;" ei tuonut vyötä mukanaan."),""))</f>
        <v/>
      </c>
    </row>
    <row r="44" spans="1:7" x14ac:dyDescent="0.25">
      <c r="A44" s="137" t="s">
        <v>179</v>
      </c>
      <c r="B44" s="128"/>
      <c r="C44" s="128"/>
      <c r="D44" s="128"/>
      <c r="E44" s="128"/>
      <c r="F44" s="128"/>
      <c r="G44" s="128"/>
    </row>
    <row r="46" spans="1:7" x14ac:dyDescent="0.25">
      <c r="A46" s="51" t="s">
        <v>165</v>
      </c>
    </row>
    <row r="47" spans="1:7" s="136" customFormat="1" ht="12.75" x14ac:dyDescent="0.2">
      <c r="A47" s="136" t="s">
        <v>171</v>
      </c>
    </row>
    <row r="48" spans="1:7" s="136" customFormat="1" ht="12.75" x14ac:dyDescent="0.2">
      <c r="A48" s="136" t="s">
        <v>167</v>
      </c>
    </row>
    <row r="49" spans="1:1" s="136" customFormat="1" ht="12.75" x14ac:dyDescent="0.2">
      <c r="A49" s="136" t="s">
        <v>172</v>
      </c>
    </row>
    <row r="50" spans="1:1" s="136" customFormat="1" ht="12.75" x14ac:dyDescent="0.2">
      <c r="A50" s="136" t="s">
        <v>173</v>
      </c>
    </row>
    <row r="51" spans="1:1" s="136" customFormat="1" ht="12.75" x14ac:dyDescent="0.2">
      <c r="A51" s="136" t="s">
        <v>174</v>
      </c>
    </row>
    <row r="52" spans="1:1" s="136" customFormat="1" ht="12.75" x14ac:dyDescent="0.2">
      <c r="A52" s="136" t="s">
        <v>175</v>
      </c>
    </row>
    <row r="53" spans="1:1" s="136" customFormat="1" ht="12.75" x14ac:dyDescent="0.2">
      <c r="A53" s="136" t="s">
        <v>176</v>
      </c>
    </row>
    <row r="54" spans="1:1" s="136" customFormat="1" ht="12.75" x14ac:dyDescent="0.2">
      <c r="A54" s="136" t="s">
        <v>177</v>
      </c>
    </row>
    <row r="55" spans="1:1" s="136" customFormat="1" ht="12.75" x14ac:dyDescent="0.2">
      <c r="A55" s="136" t="s">
        <v>178</v>
      </c>
    </row>
  </sheetData>
  <mergeCells count="2">
    <mergeCell ref="A4:D5"/>
    <mergeCell ref="E4:F5"/>
  </mergeCells>
  <phoneticPr fontId="18" type="noConversion"/>
  <conditionalFormatting sqref="A9:C26">
    <cfRule type="expression" dxfId="231" priority="1">
      <formula>$B9=$E$4</formula>
    </cfRule>
    <cfRule type="expression" dxfId="230" priority="2">
      <formula>$E$4</formula>
    </cfRule>
  </conditionalFormatting>
  <pageMargins left="0.7" right="0.7" top="0.75" bottom="0.75" header="0.3" footer="0.3"/>
  <pageSetup scale="52" orientation="landscape" r:id="rId1"/>
  <colBreaks count="1" manualBreakCount="1">
    <brk id="7" max="71"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5183B-42A0-4AEA-80A1-4A5DD3EC6CBE}">
  <dimension ref="B1:M364"/>
  <sheetViews>
    <sheetView zoomScaleNormal="100" workbookViewId="0"/>
  </sheetViews>
  <sheetFormatPr defaultColWidth="8.85546875" defaultRowHeight="15" x14ac:dyDescent="0.25"/>
  <cols>
    <col min="1" max="1" width="1.7109375" style="78" customWidth="1"/>
    <col min="2" max="3" width="8.85546875" style="78" customWidth="1"/>
    <col min="4" max="4" width="14.5703125" style="78" customWidth="1"/>
    <col min="5" max="5" width="4.7109375" style="78" customWidth="1"/>
    <col min="6" max="6" width="18.7109375" style="78" customWidth="1"/>
    <col min="7" max="8" width="6.7109375" style="78" customWidth="1"/>
    <col min="9" max="9" width="8.7109375" style="78" customWidth="1"/>
    <col min="10" max="10" width="12.7109375" style="78" customWidth="1"/>
    <col min="11" max="11" width="7.7109375" style="78" customWidth="1"/>
    <col min="12" max="12" width="16.140625" style="78" customWidth="1"/>
    <col min="13" max="13" width="16.28515625" style="78" customWidth="1"/>
    <col min="14" max="16384" width="8.85546875" style="78"/>
  </cols>
  <sheetData>
    <row r="1" spans="2:13" ht="6" customHeight="1" x14ac:dyDescent="0.25"/>
    <row r="2" spans="2:13" x14ac:dyDescent="0.25">
      <c r="F2" s="78">
        <v>0</v>
      </c>
      <c r="G2" s="78">
        <v>1</v>
      </c>
      <c r="H2" s="78">
        <v>2</v>
      </c>
      <c r="I2" s="78">
        <v>3</v>
      </c>
      <c r="J2" s="78">
        <v>7</v>
      </c>
      <c r="K2" s="78">
        <v>29</v>
      </c>
      <c r="L2" s="78">
        <v>30</v>
      </c>
      <c r="M2" s="78">
        <v>79</v>
      </c>
    </row>
    <row r="3" spans="2:13" x14ac:dyDescent="0.25">
      <c r="E3" s="9" t="str">
        <f>otsikko</f>
        <v>Kaatokerho, 2024-25</v>
      </c>
    </row>
    <row r="4" spans="2:13" ht="26.25" x14ac:dyDescent="0.4">
      <c r="E4" s="11" t="s">
        <v>49</v>
      </c>
    </row>
    <row r="5" spans="2:13" ht="6" customHeight="1" x14ac:dyDescent="0.25">
      <c r="B5" s="78" t="s">
        <v>50</v>
      </c>
      <c r="C5" s="78" t="s">
        <v>51</v>
      </c>
      <c r="D5" s="78" t="s">
        <v>52</v>
      </c>
    </row>
    <row r="6" spans="2:13" x14ac:dyDescent="0.25">
      <c r="B6" s="78">
        <v>1</v>
      </c>
      <c r="C6" s="78">
        <f>COUNTIF($B$6:B6,B6)-2</f>
        <v>-1</v>
      </c>
      <c r="D6" s="79" t="str">
        <f t="array" ref="D6">IF($B6&lt;=keilatut,IF($C6&lt;1,"",IF($C6&gt;Data!$CP$2,"",SMALL(IF(Data!$B$2:$B$313=Tulokset!$B6,Data!$AN$2:$AN$313),Tulokset!$C6))),"")</f>
        <v/>
      </c>
      <c r="E6" s="78" t="str">
        <f>IF($B6&gt;keilatut,"",IF(C6=(-1),"GP"&amp;B6&amp;", "&amp;DAY(VLOOKUP(B6,kilpailukalenteri,2))&amp;"."&amp;MONTH(VLOOKUP(B6,kilpailukalenteri,2))&amp;"."&amp;YEAR(VLOOKUP(B6,kilpailukalenteri,2))&amp;", "&amp;IF(RIGHT(VLOOKUP(B6,kilpailukalenteri,4),1)="*",LEFT(VLOOKUP(B6,kilpailukalenteri,4),LEN(VLOOKUP(B6,kilpailukalenteri,4))-2)&amp;", Kultainen GP",VLOOKUP(B6,kilpailukalenteri,4)),IF(C6=0,"Sija",IF(C6&gt;Data!$CP$2,"",ROUND(Tulokset!D6,0)))))</f>
        <v>GP1, 21.9.2024, U7 Gdansk, Puola</v>
      </c>
    </row>
    <row r="7" spans="2:13" x14ac:dyDescent="0.25">
      <c r="B7" s="78">
        <f>IF(C6=25,1+B6,B6)</f>
        <v>1</v>
      </c>
      <c r="C7" s="78">
        <f>COUNTIF($B$6:B7,B7)-2</f>
        <v>0</v>
      </c>
      <c r="D7" s="79" t="str">
        <f t="array" ref="D7">IF($B7&lt;=keilatut,IF($C7&lt;1,"",IF($C7&gt;Data!$CP$2,"",SMALL(IF(Data!$B$2:$B$313=Tulokset!$B7,Data!$AN$2:$AN$313),Tulokset!$C7))),"")</f>
        <v/>
      </c>
      <c r="E7" s="78" t="str">
        <f>IF($B7&gt;keilatut,"",IF(C7=(-1),"GP"&amp;B7&amp;", "&amp;DAY(VLOOKUP(B7,kilpailukalenteri,2))&amp;"."&amp;MONTH(VLOOKUP(B7,kilpailukalenteri,2))&amp;"."&amp;YEAR(VLOOKUP(B7,kilpailukalenteri,2))&amp;", "&amp;IF(RIGHT(VLOOKUP(B7,kilpailukalenteri,4),1)="*",LEFT(VLOOKUP(B7,kilpailukalenteri,4),LEN(VLOOKUP(B7,kilpailukalenteri,4))-2)&amp;", Kultainen GP",VLOOKUP(B7,kilpailukalenteri,4)),IF(C7=0,"Sija",IF(C7&gt;Data!$CP$2,"",ROUND(Tulokset!D7,0)))))</f>
        <v>Sija</v>
      </c>
      <c r="F7" s="78" t="str">
        <f ca="1">IF($B7&gt;keilatut,"",IF($C7=(-1),"",IF($C7=0,"Nimi",IF($C7&gt;Data!$CP$2,"",OFFSET(tulossiirtymä,MATCH($D7,Data!$AN$2:$AN$313,0),Tulokset!F$2)))))</f>
        <v>Nimi</v>
      </c>
      <c r="G7" s="78" t="str">
        <f ca="1">IF($B7&gt;keilatut,"",IF($C7=(-1),"",IF($C7=0,"Sarja 1",IF($C7&gt;Data!$CP$2,"",OFFSET(tulossiirtymä,MATCH($D7,Data!$AN$2:$AN$313,0),Tulokset!G$2)))))</f>
        <v>Sarja 1</v>
      </c>
      <c r="H7" s="78" t="str">
        <f ca="1">IF($B7&gt;keilatut,"",IF($C7=(-1),"",IF($C7=0,"Sarja 2",IF($C7&gt;Data!$CP$2,"",OFFSET(tulossiirtymä,MATCH($D7,Data!$AN$2:$AN$313,0),Tulokset!H$2)))))</f>
        <v>Sarja 2</v>
      </c>
      <c r="I7" s="78" t="str">
        <f ca="1">IF($B7&gt;keilatut,"",IF($C7=(-1),"",IF($C7=0,"Yhteensä",IF($C7&gt;Data!$CP$2,"",OFFSET(tulossiirtymä,MATCH($D7,Data!$AN$2:$AN$313,0),Tulokset!I$2)))))</f>
        <v>Yhteensä</v>
      </c>
      <c r="J7" s="78" t="str">
        <f ca="1">IF($B7&gt;keilatut,"",IF($C7=(-1),"",IF($C7=0,"Ero voittajaan",IF($C7&gt;Data!$CP$2,"",OFFSET(tulossiirtymä,MATCH($D7,Data!$AN$2:$AN$313,0),Tulokset!J$2)))))</f>
        <v>Ero voittajaan</v>
      </c>
      <c r="K7" s="78" t="str">
        <f ca="1">IF($B7&gt;keilatut,"",IF($C7=(-1),"",IF($C7=0,"Pisteet",IF($C7&gt;Data!$CP$2,"",OFFSET(tulossiirtymä,MATCH($D7,Data!$AN$2:$AN$313,0),Tulokset!K$2)))))</f>
        <v>Pisteet</v>
      </c>
      <c r="L7" s="78" t="str">
        <f ca="1">IF($B7&gt;keilatut,"",IF($C7=(-1),"",IF($C7=0,"Pisteet yhteensä",IF($C7&gt;Data!$CP$2,"",OFFSET(tulossiirtymä,MATCH($D7,Data!$AN$2:$AN$313,0),Tulokset!L$2)))))</f>
        <v>Pisteet yhteensä</v>
      </c>
      <c r="M7" s="78" t="str">
        <f ca="1">IF($B7&gt;keilatut,"",IF($C7=(-1),"",IF($C7=0,"Pisteseloste",IF($C7&gt;Data!$CP$2,"",OFFSET(tulossiirtymä,MATCH($D7,Data!$AN$2:$AN$313,0),Tulokset!M$2)))))</f>
        <v>Pisteseloste</v>
      </c>
    </row>
    <row r="8" spans="2:13" x14ac:dyDescent="0.25">
      <c r="B8" s="78">
        <f t="shared" ref="B8:B37" si="0">IF(C7=25,1+B7,B7)</f>
        <v>1</v>
      </c>
      <c r="C8" s="78">
        <f>COUNTIF($B$6:B8,B8)-2</f>
        <v>1</v>
      </c>
      <c r="D8" s="79">
        <f t="array" ref="D8">IF($B8&lt;=keilatut,IF($C8&lt;1,"",IF($C8&gt;Data!$CP$2,"",SMALL(IF(Data!$B$2:$B$313=Tulokset!$B8,Data!$AN$2:$AN$313),Tulokset!$C8))),"")</f>
        <v>1.0000039999999999</v>
      </c>
      <c r="E8" s="78">
        <f>IF($B8&gt;keilatut,"",IF($C8=(-1),"GP"&amp;$B8&amp;", "&amp;DAY(VLOOKUP($B8,kilpailukalenteri,2))&amp;"."&amp;MONTH(VLOOKUP($B8,kilpailukalenteri,2))&amp;"."&amp;YEAR(VLOOKUP($B8,kilpailukalenteri,2))&amp;", "&amp;IF(RIGHT(VLOOKUP($B8,kilpailukalenteri,4),1)="*",LEFT(VLOOKUP($B8,kilpailukalenteri,4),LEN(VLOOKUP($B8,kilpailukalenteri,4))-2)&amp;", Kultainen GP",VLOOKUP($B8,kilpailukalenteri,4)),IF($C8=0,"Sija",IF($C8&gt;Data!$CP$2,"",ROUND(Tulokset!$D8,0)))))</f>
        <v>1</v>
      </c>
      <c r="F8" s="78" t="str">
        <f ca="1">IF($B8&gt;keilatut,"",IF($C8=(-1),"",IF($C8=0,"Nimi",IF($C8&gt;Data!$CP$2,"",OFFSET(tulossiirtymä,MATCH($D8,Data!$AN$2:$AN$313,0),Tulokset!F$2)))))</f>
        <v>Kaleva Latvala</v>
      </c>
      <c r="G8" s="78">
        <f ca="1">IF($B8&gt;keilatut,"",IF($C8=(-1),"",IF($C8=0,"Sarja 1",IF($C8&gt;Data!$CP$2,"",OFFSET(tulossiirtymä,MATCH($D8,Data!$AN$2:$AN$313,0),Tulokset!G$2)))))</f>
        <v>118</v>
      </c>
      <c r="H8" s="78">
        <f ca="1">IF($B8&gt;keilatut,"",IF($C8=(-1),"",IF($C8=0,"Sarja 2",IF($C8&gt;Data!$CP$2,"",OFFSET(tulossiirtymä,MATCH($D8,Data!$AN$2:$AN$313,0),Tulokset!H$2)))))</f>
        <v>141</v>
      </c>
      <c r="I8" s="78">
        <f ca="1">IF($B8&gt;keilatut,"",IF($C8=(-1),"",IF($C8=0,"Yhteensä",IF($C8&gt;Data!$CP$2,"",OFFSET(tulossiirtymä,MATCH($D8,Data!$AN$2:$AN$313,0),Tulokset!I$2)))))</f>
        <v>259</v>
      </c>
      <c r="J8" s="78" t="str">
        <f ca="1">IF($B8&gt;keilatut,"",IF($C8=(-1),"",IF($C8=0,"Ero voittajaan",IF($C8&gt;Data!$CP$2,"",OFFSET(tulossiirtymä,MATCH($D8,Data!$AN$2:$AN$313,0),Tulokset!J$2)))))</f>
        <v/>
      </c>
      <c r="K8" s="78">
        <f ca="1">IF($B8&gt;keilatut,"",IF($C8=(-1),"",IF($C8=0,"Pisteet",IF($C8&gt;Data!$CP$2,"",OFFSET(tulossiirtymä,MATCH($D8,Data!$AN$2:$AN$313,0),Tulokset!K$2)))))</f>
        <v>13</v>
      </c>
      <c r="L8" s="78">
        <f ca="1">IF($B8&gt;keilatut,"",IF($C8=(-1),"",IF($C8=0,"Pisteet yhteensä",IF($C8&gt;Data!$CP$2,"",OFFSET(tulossiirtymä,MATCH($D8,Data!$AN$2:$AN$313,0),Tulokset!L$2)))))</f>
        <v>13</v>
      </c>
      <c r="M8" s="78" t="str">
        <f ca="1">IF($B8&gt;keilatut,"",IF($C8=(-1),"",IF($C8=0,"Pisteseloste",IF($C8&gt;Data!$CP$2,"",OFFSET(tulossiirtymä,MATCH($D8,Data!$AN$2:$AN$313,0),Tulokset!M$2)))))</f>
        <v>+SP+KK</v>
      </c>
    </row>
    <row r="9" spans="2:13" x14ac:dyDescent="0.25">
      <c r="B9" s="78">
        <f t="shared" si="0"/>
        <v>1</v>
      </c>
      <c r="C9" s="78">
        <f>COUNTIF($B$6:B9,B9)-2</f>
        <v>2</v>
      </c>
      <c r="D9" s="79">
        <f t="array" ref="D9">IF($B9&lt;=keilatut,IF($C9&lt;1,"",IF($C9&gt;Data!$CP$2,"",SMALL(IF(Data!$B$2:$B$313=Tulokset!$B9,Data!$AN$2:$AN$313),Tulokset!$C9))),"")</f>
        <v>2.0000100000000001</v>
      </c>
      <c r="E9" s="78">
        <f>IF($B9&gt;keilatut,"",IF($C9=(-1),"GP"&amp;$B9&amp;", "&amp;DAY(VLOOKUP($B9,kilpailukalenteri,2))&amp;"."&amp;MONTH(VLOOKUP($B9,kilpailukalenteri,2))&amp;"."&amp;YEAR(VLOOKUP($B9,kilpailukalenteri,2))&amp;", "&amp;IF(RIGHT(VLOOKUP($B9,kilpailukalenteri,4),1)="*",LEFT(VLOOKUP($B9,kilpailukalenteri,4),LEN(VLOOKUP($B9,kilpailukalenteri,4))-2)&amp;", Kultainen GP",VLOOKUP($B9,kilpailukalenteri,4)),IF($C9=0,"Sija",IF($C9&gt;Data!$CP$2,"",ROUND(Tulokset!$D9,0)))))</f>
        <v>2</v>
      </c>
      <c r="F9" s="78" t="str">
        <f ca="1">IF($B9&gt;keilatut,"",IF($C9=(-1),"",IF($C9=0,"Nimi",IF($C9&gt;Data!$CP$2,"",OFFSET(tulossiirtymä,MATCH($D9,Data!$AN$2:$AN$313,0),Tulokset!F$2)))))</f>
        <v>Mika Sola</v>
      </c>
      <c r="G9" s="78">
        <f ca="1">IF($B9&gt;keilatut,"",IF($C9=(-1),"",IF($C9=0,"Sarja 1",IF($C9&gt;Data!$CP$2,"",OFFSET(tulossiirtymä,MATCH($D9,Data!$AN$2:$AN$313,0),Tulokset!G$2)))))</f>
        <v>121</v>
      </c>
      <c r="H9" s="78">
        <f ca="1">IF($B9&gt;keilatut,"",IF($C9=(-1),"",IF($C9=0,"Sarja 2",IF($C9&gt;Data!$CP$2,"",OFFSET(tulossiirtymä,MATCH($D9,Data!$AN$2:$AN$313,0),Tulokset!H$2)))))</f>
        <v>127</v>
      </c>
      <c r="I9" s="78">
        <f ca="1">IF($B9&gt;keilatut,"",IF($C9=(-1),"",IF($C9=0,"Yhteensä",IF($C9&gt;Data!$CP$2,"",OFFSET(tulossiirtymä,MATCH($D9,Data!$AN$2:$AN$313,0),Tulokset!I$2)))))</f>
        <v>248</v>
      </c>
      <c r="J9" s="78">
        <f ca="1">IF($B9&gt;keilatut,"",IF($C9=(-1),"",IF($C9=0,"Ero voittajaan",IF($C9&gt;Data!$CP$2,"",OFFSET(tulossiirtymä,MATCH($D9,Data!$AN$2:$AN$313,0),Tulokset!J$2)))))</f>
        <v>11</v>
      </c>
      <c r="K9" s="78">
        <f ca="1">IF($B9&gt;keilatut,"",IF($C9=(-1),"",IF($C9=0,"Pisteet",IF($C9&gt;Data!$CP$2,"",OFFSET(tulossiirtymä,MATCH($D9,Data!$AN$2:$AN$313,0),Tulokset!K$2)))))</f>
        <v>10</v>
      </c>
      <c r="L9" s="78">
        <f ca="1">IF($B9&gt;keilatut,"",IF($C9=(-1),"",IF($C9=0,"Pisteet yhteensä",IF($C9&gt;Data!$CP$2,"",OFFSET(tulossiirtymä,MATCH($D9,Data!$AN$2:$AN$313,0),Tulokset!L$2)))))</f>
        <v>10</v>
      </c>
      <c r="M9" s="78" t="str">
        <f ca="1">IF($B9&gt;keilatut,"",IF($C9=(-1),"",IF($C9=0,"Pisteseloste",IF($C9&gt;Data!$CP$2,"",OFFSET(tulossiirtymä,MATCH($D9,Data!$AN$2:$AN$313,0),Tulokset!M$2)))))</f>
        <v>+SP</v>
      </c>
    </row>
    <row r="10" spans="2:13" x14ac:dyDescent="0.25">
      <c r="B10" s="78">
        <f t="shared" si="0"/>
        <v>1</v>
      </c>
      <c r="C10" s="78">
        <f>COUNTIF($B$6:B10,B10)-2</f>
        <v>3</v>
      </c>
      <c r="D10" s="79">
        <f t="array" ref="D10">IF($B10&lt;=keilatut,IF($C10&lt;1,"",IF($C10&gt;Data!$CP$2,"",SMALL(IF(Data!$B$2:$B$313=Tulokset!$B10,Data!$AN$2:$AN$313),Tulokset!$C10))),"")</f>
        <v>3.0000070000000001</v>
      </c>
      <c r="E10" s="78">
        <f>IF($B10&gt;keilatut,"",IF($C10=(-1),"GP"&amp;$B10&amp;", "&amp;DAY(VLOOKUP($B10,kilpailukalenteri,2))&amp;"."&amp;MONTH(VLOOKUP($B10,kilpailukalenteri,2))&amp;"."&amp;YEAR(VLOOKUP($B10,kilpailukalenteri,2))&amp;", "&amp;IF(RIGHT(VLOOKUP($B10,kilpailukalenteri,4),1)="*",LEFT(VLOOKUP($B10,kilpailukalenteri,4),LEN(VLOOKUP($B10,kilpailukalenteri,4))-2)&amp;", Kultainen GP",VLOOKUP($B10,kilpailukalenteri,4)),IF($C10=0,"Sija",IF($C10&gt;Data!$CP$2,"",ROUND(Tulokset!$D10,0)))))</f>
        <v>3</v>
      </c>
      <c r="F10" s="78" t="str">
        <f ca="1">IF($B10&gt;keilatut,"",IF($C10=(-1),"",IF($C10=0,"Nimi",IF($C10&gt;Data!$CP$2,"",OFFSET(tulossiirtymä,MATCH($D10,Data!$AN$2:$AN$313,0),Tulokset!F$2)))))</f>
        <v>Frans Hartman</v>
      </c>
      <c r="G10" s="78">
        <f ca="1">IF($B10&gt;keilatut,"",IF($C10=(-1),"",IF($C10=0,"Sarja 1",IF($C10&gt;Data!$CP$2,"",OFFSET(tulossiirtymä,MATCH($D10,Data!$AN$2:$AN$313,0),Tulokset!G$2)))))</f>
        <v>130</v>
      </c>
      <c r="H10" s="78">
        <f ca="1">IF($B10&gt;keilatut,"",IF($C10=(-1),"",IF($C10=0,"Sarja 2",IF($C10&gt;Data!$CP$2,"",OFFSET(tulossiirtymä,MATCH($D10,Data!$AN$2:$AN$313,0),Tulokset!H$2)))))</f>
        <v>111</v>
      </c>
      <c r="I10" s="78">
        <f ca="1">IF($B10&gt;keilatut,"",IF($C10=(-1),"",IF($C10=0,"Yhteensä",IF($C10&gt;Data!$CP$2,"",OFFSET(tulossiirtymä,MATCH($D10,Data!$AN$2:$AN$313,0),Tulokset!I$2)))))</f>
        <v>241</v>
      </c>
      <c r="J10" s="78">
        <f ca="1">IF($B10&gt;keilatut,"",IF($C10=(-1),"",IF($C10=0,"Ero voittajaan",IF($C10&gt;Data!$CP$2,"",OFFSET(tulossiirtymä,MATCH($D10,Data!$AN$2:$AN$313,0),Tulokset!J$2)))))</f>
        <v>18</v>
      </c>
      <c r="K10" s="78">
        <f ca="1">IF($B10&gt;keilatut,"",IF($C10=(-1),"",IF($C10=0,"Pisteet",IF($C10&gt;Data!$CP$2,"",OFFSET(tulossiirtymä,MATCH($D10,Data!$AN$2:$AN$313,0),Tulokset!K$2)))))</f>
        <v>7.5</v>
      </c>
      <c r="L10" s="78">
        <f ca="1">IF($B10&gt;keilatut,"",IF($C10=(-1),"",IF($C10=0,"Pisteet yhteensä",IF($C10&gt;Data!$CP$2,"",OFFSET(tulossiirtymä,MATCH($D10,Data!$AN$2:$AN$313,0),Tulokset!L$2)))))</f>
        <v>7.5</v>
      </c>
      <c r="M10" s="78" t="str">
        <f ca="1">IF($B10&gt;keilatut,"",IF($C10=(-1),"",IF($C10=0,"Pisteseloste",IF($C10&gt;Data!$CP$2,"",OFFSET(tulossiirtymä,MATCH($D10,Data!$AN$2:$AN$313,0),Tulokset!M$2)))))</f>
        <v>+SP</v>
      </c>
    </row>
    <row r="11" spans="2:13" x14ac:dyDescent="0.25">
      <c r="B11" s="78">
        <f t="shared" si="0"/>
        <v>1</v>
      </c>
      <c r="C11" s="78">
        <f>COUNTIF($B$6:B11,B11)-2</f>
        <v>4</v>
      </c>
      <c r="D11" s="79">
        <f t="array" ref="D11">IF($B11&lt;=keilatut,IF($C11&lt;1,"",IF($C11&gt;Data!$CP$2,"",SMALL(IF(Data!$B$2:$B$313=Tulokset!$B11,Data!$AN$2:$AN$313),Tulokset!$C11))),"")</f>
        <v>3.0000089999999999</v>
      </c>
      <c r="E11" s="78">
        <f>IF($B11&gt;keilatut,"",IF($C11=(-1),"GP"&amp;$B11&amp;", "&amp;DAY(VLOOKUP($B11,kilpailukalenteri,2))&amp;"."&amp;MONTH(VLOOKUP($B11,kilpailukalenteri,2))&amp;"."&amp;YEAR(VLOOKUP($B11,kilpailukalenteri,2))&amp;", "&amp;IF(RIGHT(VLOOKUP($B11,kilpailukalenteri,4),1)="*",LEFT(VLOOKUP($B11,kilpailukalenteri,4),LEN(VLOOKUP($B11,kilpailukalenteri,4))-2)&amp;", Kultainen GP",VLOOKUP($B11,kilpailukalenteri,4)),IF($C11=0,"Sija",IF($C11&gt;Data!$CP$2,"",ROUND(Tulokset!$D11,0)))))</f>
        <v>3</v>
      </c>
      <c r="F11" s="78" t="str">
        <f ca="1">IF($B11&gt;keilatut,"",IF($C11=(-1),"",IF($C11=0,"Nimi",IF($C11&gt;Data!$CP$2,"",OFFSET(tulossiirtymä,MATCH($D11,Data!$AN$2:$AN$313,0),Tulokset!F$2)))))</f>
        <v>Ossi Oksa</v>
      </c>
      <c r="G11" s="78">
        <f ca="1">IF($B11&gt;keilatut,"",IF($C11=(-1),"",IF($C11=0,"Sarja 1",IF($C11&gt;Data!$CP$2,"",OFFSET(tulossiirtymä,MATCH($D11,Data!$AN$2:$AN$313,0),Tulokset!G$2)))))</f>
        <v>130</v>
      </c>
      <c r="H11" s="78">
        <f ca="1">IF($B11&gt;keilatut,"",IF($C11=(-1),"",IF($C11=0,"Sarja 2",IF($C11&gt;Data!$CP$2,"",OFFSET(tulossiirtymä,MATCH($D11,Data!$AN$2:$AN$313,0),Tulokset!H$2)))))</f>
        <v>111</v>
      </c>
      <c r="I11" s="78">
        <f ca="1">IF($B11&gt;keilatut,"",IF($C11=(-1),"",IF($C11=0,"Yhteensä",IF($C11&gt;Data!$CP$2,"",OFFSET(tulossiirtymä,MATCH($D11,Data!$AN$2:$AN$313,0),Tulokset!I$2)))))</f>
        <v>241</v>
      </c>
      <c r="J11" s="78">
        <f ca="1">IF($B11&gt;keilatut,"",IF($C11=(-1),"",IF($C11=0,"Ero voittajaan",IF($C11&gt;Data!$CP$2,"",OFFSET(tulossiirtymä,MATCH($D11,Data!$AN$2:$AN$313,0),Tulokset!J$2)))))</f>
        <v>18</v>
      </c>
      <c r="K11" s="78">
        <f ca="1">IF($B11&gt;keilatut,"",IF($C11=(-1),"",IF($C11=0,"Pisteet",IF($C11&gt;Data!$CP$2,"",OFFSET(tulossiirtymä,MATCH($D11,Data!$AN$2:$AN$313,0),Tulokset!K$2)))))</f>
        <v>7.5</v>
      </c>
      <c r="L11" s="78">
        <f ca="1">IF($B11&gt;keilatut,"",IF($C11=(-1),"",IF($C11=0,"Pisteet yhteensä",IF($C11&gt;Data!$CP$2,"",OFFSET(tulossiirtymä,MATCH($D11,Data!$AN$2:$AN$313,0),Tulokset!L$2)))))</f>
        <v>7.5</v>
      </c>
      <c r="M11" s="78" t="str">
        <f ca="1">IF($B11&gt;keilatut,"",IF($C11=(-1),"",IF($C11=0,"Pisteseloste",IF($C11&gt;Data!$CP$2,"",OFFSET(tulossiirtymä,MATCH($D11,Data!$AN$2:$AN$313,0),Tulokset!M$2)))))</f>
        <v>+SP</v>
      </c>
    </row>
    <row r="12" spans="2:13" x14ac:dyDescent="0.25">
      <c r="B12" s="78">
        <f t="shared" si="0"/>
        <v>1</v>
      </c>
      <c r="C12" s="78">
        <f>COUNTIF($B$6:B12,B12)-2</f>
        <v>5</v>
      </c>
      <c r="D12" s="79">
        <f t="array" ref="D12">IF($B12&lt;=keilatut,IF($C12&lt;1,"",IF($C12&gt;Data!$CP$2,"",SMALL(IF(Data!$B$2:$B$313=Tulokset!$B12,Data!$AN$2:$AN$313),Tulokset!$C12))),"")</f>
        <v>5.0000030000000004</v>
      </c>
      <c r="E12" s="78">
        <f>IF($B12&gt;keilatut,"",IF($C12=(-1),"GP"&amp;$B12&amp;", "&amp;DAY(VLOOKUP($B12,kilpailukalenteri,2))&amp;"."&amp;MONTH(VLOOKUP($B12,kilpailukalenteri,2))&amp;"."&amp;YEAR(VLOOKUP($B12,kilpailukalenteri,2))&amp;", "&amp;IF(RIGHT(VLOOKUP($B12,kilpailukalenteri,4),1)="*",LEFT(VLOOKUP($B12,kilpailukalenteri,4),LEN(VLOOKUP($B12,kilpailukalenteri,4))-2)&amp;", Kultainen GP",VLOOKUP($B12,kilpailukalenteri,4)),IF($C12=0,"Sija",IF($C12&gt;Data!$CP$2,"",ROUND(Tulokset!$D12,0)))))</f>
        <v>5</v>
      </c>
      <c r="F12" s="78" t="str">
        <f ca="1">IF($B12&gt;keilatut,"",IF($C12=(-1),"",IF($C12=0,"Nimi",IF($C12&gt;Data!$CP$2,"",OFFSET(tulossiirtymä,MATCH($D12,Data!$AN$2:$AN$313,0),Tulokset!F$2)))))</f>
        <v>Tatu Erlin</v>
      </c>
      <c r="G12" s="78">
        <f ca="1">IF($B12&gt;keilatut,"",IF($C12=(-1),"",IF($C12=0,"Sarja 1",IF($C12&gt;Data!$CP$2,"",OFFSET(tulossiirtymä,MATCH($D12,Data!$AN$2:$AN$313,0),Tulokset!G$2)))))</f>
        <v>101</v>
      </c>
      <c r="H12" s="78">
        <f ca="1">IF($B12&gt;keilatut,"",IF($C12=(-1),"",IF($C12=0,"Sarja 2",IF($C12&gt;Data!$CP$2,"",OFFSET(tulossiirtymä,MATCH($D12,Data!$AN$2:$AN$313,0),Tulokset!H$2)))))</f>
        <v>129</v>
      </c>
      <c r="I12" s="78">
        <f ca="1">IF($B12&gt;keilatut,"",IF($C12=(-1),"",IF($C12=0,"Yhteensä",IF($C12&gt;Data!$CP$2,"",OFFSET(tulossiirtymä,MATCH($D12,Data!$AN$2:$AN$313,0),Tulokset!I$2)))))</f>
        <v>230</v>
      </c>
      <c r="J12" s="78">
        <f ca="1">IF($B12&gt;keilatut,"",IF($C12=(-1),"",IF($C12=0,"Ero voittajaan",IF($C12&gt;Data!$CP$2,"",OFFSET(tulossiirtymä,MATCH($D12,Data!$AN$2:$AN$313,0),Tulokset!J$2)))))</f>
        <v>29</v>
      </c>
      <c r="K12" s="78">
        <f ca="1">IF($B12&gt;keilatut,"",IF($C12=(-1),"",IF($C12=0,"Pisteet",IF($C12&gt;Data!$CP$2,"",OFFSET(tulossiirtymä,MATCH($D12,Data!$AN$2:$AN$313,0),Tulokset!K$2)))))</f>
        <v>6</v>
      </c>
      <c r="L12" s="78">
        <f ca="1">IF($B12&gt;keilatut,"",IF($C12=(-1),"",IF($C12=0,"Pisteet yhteensä",IF($C12&gt;Data!$CP$2,"",OFFSET(tulossiirtymä,MATCH($D12,Data!$AN$2:$AN$313,0),Tulokset!L$2)))))</f>
        <v>6</v>
      </c>
      <c r="M12" s="78" t="str">
        <f ca="1">IF($B12&gt;keilatut,"",IF($C12=(-1),"",IF($C12=0,"Pisteseloste",IF($C12&gt;Data!$CP$2,"",OFFSET(tulossiirtymä,MATCH($D12,Data!$AN$2:$AN$313,0),Tulokset!M$2)))))</f>
        <v>+SP</v>
      </c>
    </row>
    <row r="13" spans="2:13" x14ac:dyDescent="0.25">
      <c r="B13" s="78">
        <f t="shared" si="0"/>
        <v>1</v>
      </c>
      <c r="C13" s="78">
        <f>COUNTIF($B$6:B13,B13)-2</f>
        <v>6</v>
      </c>
      <c r="D13" s="79">
        <f t="array" ref="D13">IF($B13&lt;=keilatut,IF($C13&lt;1,"",IF($C13&gt;Data!$CP$2,"",SMALL(IF(Data!$B$2:$B$313=Tulokset!$B13,Data!$AN$2:$AN$313),Tulokset!$C13))),"")</f>
        <v>6.0000010000000001</v>
      </c>
      <c r="E13" s="78">
        <f>IF($B13&gt;keilatut,"",IF($C13=(-1),"GP"&amp;$B13&amp;", "&amp;DAY(VLOOKUP($B13,kilpailukalenteri,2))&amp;"."&amp;MONTH(VLOOKUP($B13,kilpailukalenteri,2))&amp;"."&amp;YEAR(VLOOKUP($B13,kilpailukalenteri,2))&amp;", "&amp;IF(RIGHT(VLOOKUP($B13,kilpailukalenteri,4),1)="*",LEFT(VLOOKUP($B13,kilpailukalenteri,4),LEN(VLOOKUP($B13,kilpailukalenteri,4))-2)&amp;", Kultainen GP",VLOOKUP($B13,kilpailukalenteri,4)),IF($C13=0,"Sija",IF($C13&gt;Data!$CP$2,"",ROUND(Tulokset!$D13,0)))))</f>
        <v>6</v>
      </c>
      <c r="F13" s="78" t="str">
        <f ca="1">IF($B13&gt;keilatut,"",IF($C13=(-1),"",IF($C13=0,"Nimi",IF($C13&gt;Data!$CP$2,"",OFFSET(tulossiirtymä,MATCH($D13,Data!$AN$2:$AN$313,0),Tulokset!F$2)))))</f>
        <v>Henri Verho</v>
      </c>
      <c r="G13" s="78">
        <f ca="1">IF($B13&gt;keilatut,"",IF($C13=(-1),"",IF($C13=0,"Sarja 1",IF($C13&gt;Data!$CP$2,"",OFFSET(tulossiirtymä,MATCH($D13,Data!$AN$2:$AN$313,0),Tulokset!G$2)))))</f>
        <v>102</v>
      </c>
      <c r="H13" s="78">
        <f ca="1">IF($B13&gt;keilatut,"",IF($C13=(-1),"",IF($C13=0,"Sarja 2",IF($C13&gt;Data!$CP$2,"",OFFSET(tulossiirtymä,MATCH($D13,Data!$AN$2:$AN$313,0),Tulokset!H$2)))))</f>
        <v>111</v>
      </c>
      <c r="I13" s="78">
        <f ca="1">IF($B13&gt;keilatut,"",IF($C13=(-1),"",IF($C13=0,"Yhteensä",IF($C13&gt;Data!$CP$2,"",OFFSET(tulossiirtymä,MATCH($D13,Data!$AN$2:$AN$313,0),Tulokset!I$2)))))</f>
        <v>213</v>
      </c>
      <c r="J13" s="78">
        <f ca="1">IF($B13&gt;keilatut,"",IF($C13=(-1),"",IF($C13=0,"Ero voittajaan",IF($C13&gt;Data!$CP$2,"",OFFSET(tulossiirtymä,MATCH($D13,Data!$AN$2:$AN$313,0),Tulokset!J$2)))))</f>
        <v>46</v>
      </c>
      <c r="K13" s="78">
        <f ca="1">IF($B13&gt;keilatut,"",IF($C13=(-1),"",IF($C13=0,"Pisteet",IF($C13&gt;Data!$CP$2,"",OFFSET(tulossiirtymä,MATCH($D13,Data!$AN$2:$AN$313,0),Tulokset!K$2)))))</f>
        <v>5</v>
      </c>
      <c r="L13" s="78">
        <f ca="1">IF($B13&gt;keilatut,"",IF($C13=(-1),"",IF($C13=0,"Pisteet yhteensä",IF($C13&gt;Data!$CP$2,"",OFFSET(tulossiirtymä,MATCH($D13,Data!$AN$2:$AN$313,0),Tulokset!L$2)))))</f>
        <v>5</v>
      </c>
      <c r="M13" s="78" t="str">
        <f ca="1">IF($B13&gt;keilatut,"",IF($C13=(-1),"",IF($C13=0,"Pisteseloste",IF($C13&gt;Data!$CP$2,"",OFFSET(tulossiirtymä,MATCH($D13,Data!$AN$2:$AN$313,0),Tulokset!M$2)))))</f>
        <v>+SP</v>
      </c>
    </row>
    <row r="14" spans="2:13" x14ac:dyDescent="0.25">
      <c r="B14" s="78">
        <f t="shared" si="0"/>
        <v>1</v>
      </c>
      <c r="C14" s="78">
        <f>COUNTIF($B$6:B14,B14)-2</f>
        <v>7</v>
      </c>
      <c r="D14" s="79">
        <f t="array" ref="D14">IF($B14&lt;=keilatut,IF($C14&lt;1,"",IF($C14&gt;Data!$CP$2,"",SMALL(IF(Data!$B$2:$B$313=Tulokset!$B14,Data!$AN$2:$AN$313),Tulokset!$C14))),"")</f>
        <v>7.0000109999999998</v>
      </c>
      <c r="E14" s="78">
        <f>IF($B14&gt;keilatut,"",IF($C14=(-1),"GP"&amp;$B14&amp;", "&amp;DAY(VLOOKUP($B14,kilpailukalenteri,2))&amp;"."&amp;MONTH(VLOOKUP($B14,kilpailukalenteri,2))&amp;"."&amp;YEAR(VLOOKUP($B14,kilpailukalenteri,2))&amp;", "&amp;IF(RIGHT(VLOOKUP($B14,kilpailukalenteri,4),1)="*",LEFT(VLOOKUP($B14,kilpailukalenteri,4),LEN(VLOOKUP($B14,kilpailukalenteri,4))-2)&amp;", Kultainen GP",VLOOKUP($B14,kilpailukalenteri,4)),IF($C14=0,"Sija",IF($C14&gt;Data!$CP$2,"",ROUND(Tulokset!$D14,0)))))</f>
        <v>7</v>
      </c>
      <c r="F14" s="78" t="str">
        <f ca="1">IF($B14&gt;keilatut,"",IF($C14=(-1),"",IF($C14=0,"Nimi",IF($C14&gt;Data!$CP$2,"",OFFSET(tulossiirtymä,MATCH($D14,Data!$AN$2:$AN$313,0),Tulokset!F$2)))))</f>
        <v>Roope Warro</v>
      </c>
      <c r="G14" s="78">
        <f ca="1">IF($B14&gt;keilatut,"",IF($C14=(-1),"",IF($C14=0,"Sarja 1",IF($C14&gt;Data!$CP$2,"",OFFSET(tulossiirtymä,MATCH($D14,Data!$AN$2:$AN$313,0),Tulokset!G$2)))))</f>
        <v>73</v>
      </c>
      <c r="H14" s="78">
        <f ca="1">IF($B14&gt;keilatut,"",IF($C14=(-1),"",IF($C14=0,"Sarja 2",IF($C14&gt;Data!$CP$2,"",OFFSET(tulossiirtymä,MATCH($D14,Data!$AN$2:$AN$313,0),Tulokset!H$2)))))</f>
        <v>131</v>
      </c>
      <c r="I14" s="78">
        <f ca="1">IF($B14&gt;keilatut,"",IF($C14=(-1),"",IF($C14=0,"Yhteensä",IF($C14&gt;Data!$CP$2,"",OFFSET(tulossiirtymä,MATCH($D14,Data!$AN$2:$AN$313,0),Tulokset!I$2)))))</f>
        <v>204</v>
      </c>
      <c r="J14" s="78">
        <f ca="1">IF($B14&gt;keilatut,"",IF($C14=(-1),"",IF($C14=0,"Ero voittajaan",IF($C14&gt;Data!$CP$2,"",OFFSET(tulossiirtymä,MATCH($D14,Data!$AN$2:$AN$313,0),Tulokset!J$2)))))</f>
        <v>55</v>
      </c>
      <c r="K14" s="78">
        <f ca="1">IF($B14&gt;keilatut,"",IF($C14=(-1),"",IF($C14=0,"Pisteet",IF($C14&gt;Data!$CP$2,"",OFFSET(tulossiirtymä,MATCH($D14,Data!$AN$2:$AN$313,0),Tulokset!K$2)))))</f>
        <v>4</v>
      </c>
      <c r="L14" s="78">
        <f ca="1">IF($B14&gt;keilatut,"",IF($C14=(-1),"",IF($C14=0,"Pisteet yhteensä",IF($C14&gt;Data!$CP$2,"",OFFSET(tulossiirtymä,MATCH($D14,Data!$AN$2:$AN$313,0),Tulokset!L$2)))))</f>
        <v>4</v>
      </c>
      <c r="M14" s="78" t="str">
        <f ca="1">IF($B14&gt;keilatut,"",IF($C14=(-1),"",IF($C14=0,"Pisteseloste",IF($C14&gt;Data!$CP$2,"",OFFSET(tulossiirtymä,MATCH($D14,Data!$AN$2:$AN$313,0),Tulokset!M$2)))))</f>
        <v>+SP</v>
      </c>
    </row>
    <row r="15" spans="2:13" x14ac:dyDescent="0.25">
      <c r="B15" s="78">
        <f t="shared" si="0"/>
        <v>1</v>
      </c>
      <c r="C15" s="78">
        <f>COUNTIF($B$6:B15,B15)-2</f>
        <v>8</v>
      </c>
      <c r="D15" s="79">
        <f t="array" ref="D15">IF($B15&lt;=keilatut,IF($C15&lt;1,"",IF($C15&gt;Data!$CP$2,"",SMALL(IF(Data!$B$2:$B$313=Tulokset!$B15,Data!$AN$2:$AN$313),Tulokset!$C15))),"")</f>
        <v>8.0000020000000003</v>
      </c>
      <c r="E15" s="78">
        <f>IF($B15&gt;keilatut,"",IF($C15=(-1),"GP"&amp;$B15&amp;", "&amp;DAY(VLOOKUP($B15,kilpailukalenteri,2))&amp;"."&amp;MONTH(VLOOKUP($B15,kilpailukalenteri,2))&amp;"."&amp;YEAR(VLOOKUP($B15,kilpailukalenteri,2))&amp;", "&amp;IF(RIGHT(VLOOKUP($B15,kilpailukalenteri,4),1)="*",LEFT(VLOOKUP($B15,kilpailukalenteri,4),LEN(VLOOKUP($B15,kilpailukalenteri,4))-2)&amp;", Kultainen GP",VLOOKUP($B15,kilpailukalenteri,4)),IF($C15=0,"Sija",IF($C15&gt;Data!$CP$2,"",ROUND(Tulokset!$D15,0)))))</f>
        <v>8</v>
      </c>
      <c r="F15" s="78" t="str">
        <f ca="1">IF($B15&gt;keilatut,"",IF($C15=(-1),"",IF($C15=0,"Nimi",IF($C15&gt;Data!$CP$2,"",OFFSET(tulossiirtymä,MATCH($D15,Data!$AN$2:$AN$313,0),Tulokset!F$2)))))</f>
        <v>Niko Reunanen</v>
      </c>
      <c r="G15" s="78">
        <f ca="1">IF($B15&gt;keilatut,"",IF($C15=(-1),"",IF($C15=0,"Sarja 1",IF($C15&gt;Data!$CP$2,"",OFFSET(tulossiirtymä,MATCH($D15,Data!$AN$2:$AN$313,0),Tulokset!G$2)))))</f>
        <v>114</v>
      </c>
      <c r="H15" s="78">
        <f ca="1">IF($B15&gt;keilatut,"",IF($C15=(-1),"",IF($C15=0,"Sarja 2",IF($C15&gt;Data!$CP$2,"",OFFSET(tulossiirtymä,MATCH($D15,Data!$AN$2:$AN$313,0),Tulokset!H$2)))))</f>
        <v>87</v>
      </c>
      <c r="I15" s="78">
        <f ca="1">IF($B15&gt;keilatut,"",IF($C15=(-1),"",IF($C15=0,"Yhteensä",IF($C15&gt;Data!$CP$2,"",OFFSET(tulossiirtymä,MATCH($D15,Data!$AN$2:$AN$313,0),Tulokset!I$2)))))</f>
        <v>201</v>
      </c>
      <c r="J15" s="78">
        <f ca="1">IF($B15&gt;keilatut,"",IF($C15=(-1),"",IF($C15=0,"Ero voittajaan",IF($C15&gt;Data!$CP$2,"",OFFSET(tulossiirtymä,MATCH($D15,Data!$AN$2:$AN$313,0),Tulokset!J$2)))))</f>
        <v>58</v>
      </c>
      <c r="K15" s="78">
        <f ca="1">IF($B15&gt;keilatut,"",IF($C15=(-1),"",IF($C15=0,"Pisteet",IF($C15&gt;Data!$CP$2,"",OFFSET(tulossiirtymä,MATCH($D15,Data!$AN$2:$AN$313,0),Tulokset!K$2)))))</f>
        <v>3</v>
      </c>
      <c r="L15" s="78">
        <f ca="1">IF($B15&gt;keilatut,"",IF($C15=(-1),"",IF($C15=0,"Pisteet yhteensä",IF($C15&gt;Data!$CP$2,"",OFFSET(tulossiirtymä,MATCH($D15,Data!$AN$2:$AN$313,0),Tulokset!L$2)))))</f>
        <v>3</v>
      </c>
      <c r="M15" s="78" t="str">
        <f ca="1">IF($B15&gt;keilatut,"",IF($C15=(-1),"",IF($C15=0,"Pisteseloste",IF($C15&gt;Data!$CP$2,"",OFFSET(tulossiirtymä,MATCH($D15,Data!$AN$2:$AN$313,0),Tulokset!M$2)))))</f>
        <v>+SP</v>
      </c>
    </row>
    <row r="16" spans="2:13" x14ac:dyDescent="0.25">
      <c r="B16" s="78">
        <f t="shared" si="0"/>
        <v>1</v>
      </c>
      <c r="C16" s="78">
        <f>COUNTIF($B$6:B16,B16)-2</f>
        <v>9</v>
      </c>
      <c r="D16" s="79">
        <f t="array" ref="D16">IF($B16&lt;=keilatut,IF($C16&lt;1,"",IF($C16&gt;Data!$CP$2,"",SMALL(IF(Data!$B$2:$B$313=Tulokset!$B16,Data!$AN$2:$AN$313),Tulokset!$C16))),"")</f>
        <v>9.0000079999999993</v>
      </c>
      <c r="E16" s="78">
        <f>IF($B16&gt;keilatut,"",IF($C16=(-1),"GP"&amp;$B16&amp;", "&amp;DAY(VLOOKUP($B16,kilpailukalenteri,2))&amp;"."&amp;MONTH(VLOOKUP($B16,kilpailukalenteri,2))&amp;"."&amp;YEAR(VLOOKUP($B16,kilpailukalenteri,2))&amp;", "&amp;IF(RIGHT(VLOOKUP($B16,kilpailukalenteri,4),1)="*",LEFT(VLOOKUP($B16,kilpailukalenteri,4),LEN(VLOOKUP($B16,kilpailukalenteri,4))-2)&amp;", Kultainen GP",VLOOKUP($B16,kilpailukalenteri,4)),IF($C16=0,"Sija",IF($C16&gt;Data!$CP$2,"",ROUND(Tulokset!$D16,0)))))</f>
        <v>9</v>
      </c>
      <c r="F16" s="78" t="str">
        <f ca="1">IF($B16&gt;keilatut,"",IF($C16=(-1),"",IF($C16=0,"Nimi",IF($C16&gt;Data!$CP$2,"",OFFSET(tulossiirtymä,MATCH($D16,Data!$AN$2:$AN$313,0),Tulokset!F$2)))))</f>
        <v>Jami Kallio</v>
      </c>
      <c r="G16" s="78">
        <f ca="1">IF($B16&gt;keilatut,"",IF($C16=(-1),"",IF($C16=0,"Sarja 1",IF($C16&gt;Data!$CP$2,"",OFFSET(tulossiirtymä,MATCH($D16,Data!$AN$2:$AN$313,0),Tulokset!G$2)))))</f>
        <v>102</v>
      </c>
      <c r="H16" s="78">
        <f ca="1">IF($B16&gt;keilatut,"",IF($C16=(-1),"",IF($C16=0,"Sarja 2",IF($C16&gt;Data!$CP$2,"",OFFSET(tulossiirtymä,MATCH($D16,Data!$AN$2:$AN$313,0),Tulokset!H$2)))))</f>
        <v>97</v>
      </c>
      <c r="I16" s="78">
        <f ca="1">IF($B16&gt;keilatut,"",IF($C16=(-1),"",IF($C16=0,"Yhteensä",IF($C16&gt;Data!$CP$2,"",OFFSET(tulossiirtymä,MATCH($D16,Data!$AN$2:$AN$313,0),Tulokset!I$2)))))</f>
        <v>199</v>
      </c>
      <c r="J16" s="78">
        <f ca="1">IF($B16&gt;keilatut,"",IF($C16=(-1),"",IF($C16=0,"Ero voittajaan",IF($C16&gt;Data!$CP$2,"",OFFSET(tulossiirtymä,MATCH($D16,Data!$AN$2:$AN$313,0),Tulokset!J$2)))))</f>
        <v>60</v>
      </c>
      <c r="K16" s="78">
        <f ca="1">IF($B16&gt;keilatut,"",IF($C16=(-1),"",IF($C16=0,"Pisteet",IF($C16&gt;Data!$CP$2,"",OFFSET(tulossiirtymä,MATCH($D16,Data!$AN$2:$AN$313,0),Tulokset!K$2)))))</f>
        <v>2</v>
      </c>
      <c r="L16" s="78">
        <f ca="1">IF($B16&gt;keilatut,"",IF($C16=(-1),"",IF($C16=0,"Pisteet yhteensä",IF($C16&gt;Data!$CP$2,"",OFFSET(tulossiirtymä,MATCH($D16,Data!$AN$2:$AN$313,0),Tulokset!L$2)))))</f>
        <v>2</v>
      </c>
      <c r="M16" s="78" t="str">
        <f ca="1">IF($B16&gt;keilatut,"",IF($C16=(-1),"",IF($C16=0,"Pisteseloste",IF($C16&gt;Data!$CP$2,"",OFFSET(tulossiirtymä,MATCH($D16,Data!$AN$2:$AN$313,0),Tulokset!M$2)))))</f>
        <v>+SP</v>
      </c>
    </row>
    <row r="17" spans="2:13" x14ac:dyDescent="0.25">
      <c r="B17" s="78">
        <f t="shared" si="0"/>
        <v>1</v>
      </c>
      <c r="C17" s="78">
        <f>COUNTIF($B$6:B17,B17)-2</f>
        <v>10</v>
      </c>
      <c r="D17" s="79">
        <f t="array" ref="D17">IF($B17&lt;=keilatut,IF($C17&lt;1,"",IF($C17&gt;Data!$CP$2,"",SMALL(IF(Data!$B$2:$B$313=Tulokset!$B17,Data!$AN$2:$AN$313),Tulokset!$C17))),"")</f>
        <v>10.000006000000001</v>
      </c>
      <c r="E17" s="78">
        <f>IF($B17&gt;keilatut,"",IF($C17=(-1),"GP"&amp;$B17&amp;", "&amp;DAY(VLOOKUP($B17,kilpailukalenteri,2))&amp;"."&amp;MONTH(VLOOKUP($B17,kilpailukalenteri,2))&amp;"."&amp;YEAR(VLOOKUP($B17,kilpailukalenteri,2))&amp;", "&amp;IF(RIGHT(VLOOKUP($B17,kilpailukalenteri,4),1)="*",LEFT(VLOOKUP($B17,kilpailukalenteri,4),LEN(VLOOKUP($B17,kilpailukalenteri,4))-2)&amp;", Kultainen GP",VLOOKUP($B17,kilpailukalenteri,4)),IF($C17=0,"Sija",IF($C17&gt;Data!$CP$2,"",ROUND(Tulokset!$D17,0)))))</f>
        <v>10</v>
      </c>
      <c r="F17" s="78" t="str">
        <f ca="1">IF($B17&gt;keilatut,"",IF($C17=(-1),"",IF($C17=0,"Nimi",IF($C17&gt;Data!$CP$2,"",OFFSET(tulossiirtymä,MATCH($D17,Data!$AN$2:$AN$313,0),Tulokset!F$2)))))</f>
        <v>Sakari Leinonen</v>
      </c>
      <c r="G17" s="78">
        <f ca="1">IF($B17&gt;keilatut,"",IF($C17=(-1),"",IF($C17=0,"Sarja 1",IF($C17&gt;Data!$CP$2,"",OFFSET(tulossiirtymä,MATCH($D17,Data!$AN$2:$AN$313,0),Tulokset!G$2)))))</f>
        <v>82</v>
      </c>
      <c r="H17" s="78">
        <f ca="1">IF($B17&gt;keilatut,"",IF($C17=(-1),"",IF($C17=0,"Sarja 2",IF($C17&gt;Data!$CP$2,"",OFFSET(tulossiirtymä,MATCH($D17,Data!$AN$2:$AN$313,0),Tulokset!H$2)))))</f>
        <v>110</v>
      </c>
      <c r="I17" s="78">
        <f ca="1">IF($B17&gt;keilatut,"",IF($C17=(-1),"",IF($C17=0,"Yhteensä",IF($C17&gt;Data!$CP$2,"",OFFSET(tulossiirtymä,MATCH($D17,Data!$AN$2:$AN$313,0),Tulokset!I$2)))))</f>
        <v>192</v>
      </c>
      <c r="J17" s="78">
        <f ca="1">IF($B17&gt;keilatut,"",IF($C17=(-1),"",IF($C17=0,"Ero voittajaan",IF($C17&gt;Data!$CP$2,"",OFFSET(tulossiirtymä,MATCH($D17,Data!$AN$2:$AN$313,0),Tulokset!J$2)))))</f>
        <v>67</v>
      </c>
      <c r="K17" s="78">
        <f ca="1">IF($B17&gt;keilatut,"",IF($C17=(-1),"",IF($C17=0,"Pisteet",IF($C17&gt;Data!$CP$2,"",OFFSET(tulossiirtymä,MATCH($D17,Data!$AN$2:$AN$313,0),Tulokset!K$2)))))</f>
        <v>1</v>
      </c>
      <c r="L17" s="78">
        <f ca="1">IF($B17&gt;keilatut,"",IF($C17=(-1),"",IF($C17=0,"Pisteet yhteensä",IF($C17&gt;Data!$CP$2,"",OFFSET(tulossiirtymä,MATCH($D17,Data!$AN$2:$AN$313,0),Tulokset!L$2)))))</f>
        <v>1</v>
      </c>
      <c r="M17" s="78" t="str">
        <f ca="1">IF($B17&gt;keilatut,"",IF($C17=(-1),"",IF($C17=0,"Pisteseloste",IF($C17&gt;Data!$CP$2,"",OFFSET(tulossiirtymä,MATCH($D17,Data!$AN$2:$AN$313,0),Tulokset!M$2)))))</f>
        <v>+SP</v>
      </c>
    </row>
    <row r="18" spans="2:13" x14ac:dyDescent="0.25">
      <c r="B18" s="78">
        <f t="shared" si="0"/>
        <v>1</v>
      </c>
      <c r="C18" s="78">
        <f>COUNTIF($B$6:B18,B18)-2</f>
        <v>11</v>
      </c>
      <c r="D18" s="79">
        <f t="array" ref="D18">IF($B18&lt;=keilatut,IF($C18&lt;1,"",IF($C18&gt;Data!$CP$2,"",SMALL(IF(Data!$B$2:$B$313=Tulokset!$B18,Data!$AN$2:$AN$313),Tulokset!$C18))),"")</f>
        <v>11.000005</v>
      </c>
      <c r="E18" s="78">
        <f>IF($B18&gt;keilatut,"",IF($C18=(-1),"GP"&amp;$B18&amp;", "&amp;DAY(VLOOKUP($B18,kilpailukalenteri,2))&amp;"."&amp;MONTH(VLOOKUP($B18,kilpailukalenteri,2))&amp;"."&amp;YEAR(VLOOKUP($B18,kilpailukalenteri,2))&amp;", "&amp;IF(RIGHT(VLOOKUP($B18,kilpailukalenteri,4),1)="*",LEFT(VLOOKUP($B18,kilpailukalenteri,4),LEN(VLOOKUP($B18,kilpailukalenteri,4))-2)&amp;", Kultainen GP",VLOOKUP($B18,kilpailukalenteri,4)),IF($C18=0,"Sija",IF($C18&gt;Data!$CP$2,"",ROUND(Tulokset!$D18,0)))))</f>
        <v>11</v>
      </c>
      <c r="F18" s="78" t="str">
        <f ca="1">IF($B18&gt;keilatut,"",IF($C18=(-1),"",IF($C18=0,"Nimi",IF($C18&gt;Data!$CP$2,"",OFFSET(tulossiirtymä,MATCH($D18,Data!$AN$2:$AN$313,0),Tulokset!F$2)))))</f>
        <v>Miikka Korventausta</v>
      </c>
      <c r="G18" s="78">
        <f ca="1">IF($B18&gt;keilatut,"",IF($C18=(-1),"",IF($C18=0,"Sarja 1",IF($C18&gt;Data!$CP$2,"",OFFSET(tulossiirtymä,MATCH($D18,Data!$AN$2:$AN$313,0),Tulokset!G$2)))))</f>
        <v>107</v>
      </c>
      <c r="H18" s="78">
        <f ca="1">IF($B18&gt;keilatut,"",IF($C18=(-1),"",IF($C18=0,"Sarja 2",IF($C18&gt;Data!$CP$2,"",OFFSET(tulossiirtymä,MATCH($D18,Data!$AN$2:$AN$313,0),Tulokset!H$2)))))</f>
        <v>73</v>
      </c>
      <c r="I18" s="78">
        <f ca="1">IF($B18&gt;keilatut,"",IF($C18=(-1),"",IF($C18=0,"Yhteensä",IF($C18&gt;Data!$CP$2,"",OFFSET(tulossiirtymä,MATCH($D18,Data!$AN$2:$AN$313,0),Tulokset!I$2)))))</f>
        <v>180</v>
      </c>
      <c r="J18" s="78">
        <f ca="1">IF($B18&gt;keilatut,"",IF($C18=(-1),"",IF($C18=0,"Ero voittajaan",IF($C18&gt;Data!$CP$2,"",OFFSET(tulossiirtymä,MATCH($D18,Data!$AN$2:$AN$313,0),Tulokset!J$2)))))</f>
        <v>79</v>
      </c>
      <c r="K18" s="78">
        <f ca="1">IF($B18&gt;keilatut,"",IF($C18=(-1),"",IF($C18=0,"Pisteet",IF($C18&gt;Data!$CP$2,"",OFFSET(tulossiirtymä,MATCH($D18,Data!$AN$2:$AN$313,0),Tulokset!K$2)))))</f>
        <v>0</v>
      </c>
      <c r="L18" s="78">
        <f ca="1">IF($B18&gt;keilatut,"",IF($C18=(-1),"",IF($C18=0,"Pisteet yhteensä",IF($C18&gt;Data!$CP$2,"",OFFSET(tulossiirtymä,MATCH($D18,Data!$AN$2:$AN$313,0),Tulokset!L$2)))))</f>
        <v>0</v>
      </c>
      <c r="M18" s="78" t="str">
        <f ca="1">IF($B18&gt;keilatut,"",IF($C18=(-1),"",IF($C18=0,"Pisteseloste",IF($C18&gt;Data!$CP$2,"",OFFSET(tulossiirtymä,MATCH($D18,Data!$AN$2:$AN$313,0),Tulokset!M$2)))))</f>
        <v/>
      </c>
    </row>
    <row r="19" spans="2:13" x14ac:dyDescent="0.25">
      <c r="B19" s="78">
        <f t="shared" si="0"/>
        <v>1</v>
      </c>
      <c r="C19" s="78">
        <f>COUNTIF($B$6:B19,B19)-2</f>
        <v>12</v>
      </c>
      <c r="D19" s="79">
        <f t="array" ref="D19">IF($B19&lt;=keilatut,IF($C19&lt;1,"",IF($C19&gt;Data!$CP$2,"",SMALL(IF(Data!$B$2:$B$313=Tulokset!$B19,Data!$AN$2:$AN$313),Tulokset!$C19))),"")</f>
        <v>12.000012</v>
      </c>
      <c r="E19" s="78">
        <f>IF($B19&gt;keilatut,"",IF($C19=(-1),"GP"&amp;$B19&amp;", "&amp;DAY(VLOOKUP($B19,kilpailukalenteri,2))&amp;"."&amp;MONTH(VLOOKUP($B19,kilpailukalenteri,2))&amp;"."&amp;YEAR(VLOOKUP($B19,kilpailukalenteri,2))&amp;", "&amp;IF(RIGHT(VLOOKUP($B19,kilpailukalenteri,4),1)="*",LEFT(VLOOKUP($B19,kilpailukalenteri,4),LEN(VLOOKUP($B19,kilpailukalenteri,4))-2)&amp;", Kultainen GP",VLOOKUP($B19,kilpailukalenteri,4)),IF($C19=0,"Sija",IF($C19&gt;Data!$CP$2,"",ROUND(Tulokset!$D19,0)))))</f>
        <v>12</v>
      </c>
      <c r="F19" s="78" t="str">
        <f ca="1">IF($B19&gt;keilatut,"",IF($C19=(-1),"",IF($C19=0,"Nimi",IF($C19&gt;Data!$CP$2,"",OFFSET(tulossiirtymä,MATCH($D19,Data!$AN$2:$AN$313,0),Tulokset!F$2)))))</f>
        <v>Joonas Ollonqvist</v>
      </c>
      <c r="G19" s="78">
        <f ca="1">IF($B19&gt;keilatut,"",IF($C19=(-1),"",IF($C19=0,"Sarja 1",IF($C19&gt;Data!$CP$2,"",OFFSET(tulossiirtymä,MATCH($D19,Data!$AN$2:$AN$313,0),Tulokset!G$2)))))</f>
        <v>0</v>
      </c>
      <c r="H19" s="78">
        <f ca="1">IF($B19&gt;keilatut,"",IF($C19=(-1),"",IF($C19=0,"Sarja 2",IF($C19&gt;Data!$CP$2,"",OFFSET(tulossiirtymä,MATCH($D19,Data!$AN$2:$AN$313,0),Tulokset!H$2)))))</f>
        <v>0</v>
      </c>
      <c r="I19" s="78">
        <f ca="1">IF($B19&gt;keilatut,"",IF($C19=(-1),"",IF($C19=0,"Yhteensä",IF($C19&gt;Data!$CP$2,"",OFFSET(tulossiirtymä,MATCH($D19,Data!$AN$2:$AN$313,0),Tulokset!I$2)))))</f>
        <v>0</v>
      </c>
      <c r="J19" s="78" t="str">
        <f ca="1">IF($B19&gt;keilatut,"",IF($C19=(-1),"",IF($C19=0,"Ero voittajaan",IF($C19&gt;Data!$CP$2,"",OFFSET(tulossiirtymä,MATCH($D19,Data!$AN$2:$AN$313,0),Tulokset!J$2)))))</f>
        <v/>
      </c>
      <c r="K19" s="78">
        <f ca="1">IF($B19&gt;keilatut,"",IF($C19=(-1),"",IF($C19=0,"Pisteet",IF($C19&gt;Data!$CP$2,"",OFFSET(tulossiirtymä,MATCH($D19,Data!$AN$2:$AN$313,0),Tulokset!K$2)))))</f>
        <v>0</v>
      </c>
      <c r="L19" s="78">
        <f ca="1">IF($B19&gt;keilatut,"",IF($C19=(-1),"",IF($C19=0,"Pisteet yhteensä",IF($C19&gt;Data!$CP$2,"",OFFSET(tulossiirtymä,MATCH($D19,Data!$AN$2:$AN$313,0),Tulokset!L$2)))))</f>
        <v>0</v>
      </c>
      <c r="M19" s="78" t="str">
        <f ca="1">IF($B19&gt;keilatut,"",IF($C19=(-1),"",IF($C19=0,"Pisteseloste",IF($C19&gt;Data!$CP$2,"",OFFSET(tulossiirtymä,MATCH($D19,Data!$AN$2:$AN$313,0),Tulokset!M$2)))))</f>
        <v/>
      </c>
    </row>
    <row r="20" spans="2:13" x14ac:dyDescent="0.25">
      <c r="B20" s="78">
        <f t="shared" si="0"/>
        <v>1</v>
      </c>
      <c r="C20" s="78">
        <f>COUNTIF($B$6:B20,B20)-2</f>
        <v>13</v>
      </c>
      <c r="D20" s="79">
        <f t="array" ref="D20">IF($B20&lt;=keilatut,IF($C20&lt;1,"",IF($C20&gt;Data!$CP$2,"",SMALL(IF(Data!$B$2:$B$313=Tulokset!$B20,Data!$AN$2:$AN$313),Tulokset!$C20))),"")</f>
        <v>12.000012999999999</v>
      </c>
      <c r="E20" s="78">
        <f>IF($B20&gt;keilatut,"",IF($C20=(-1),"GP"&amp;$B20&amp;", "&amp;DAY(VLOOKUP($B20,kilpailukalenteri,2))&amp;"."&amp;MONTH(VLOOKUP($B20,kilpailukalenteri,2))&amp;"."&amp;YEAR(VLOOKUP($B20,kilpailukalenteri,2))&amp;", "&amp;IF(RIGHT(VLOOKUP($B20,kilpailukalenteri,4),1)="*",LEFT(VLOOKUP($B20,kilpailukalenteri,4),LEN(VLOOKUP($B20,kilpailukalenteri,4))-2)&amp;", Kultainen GP",VLOOKUP($B20,kilpailukalenteri,4)),IF($C20=0,"Sija",IF($C20&gt;Data!$CP$2,"",ROUND(Tulokset!$D20,0)))))</f>
        <v>12</v>
      </c>
      <c r="F20" s="78" t="str">
        <f ca="1">IF($B20&gt;keilatut,"",IF($C20=(-1),"",IF($C20=0,"Nimi",IF($C20&gt;Data!$CP$2,"",OFFSET(tulossiirtymä,MATCH($D20,Data!$AN$2:$AN$313,0),Tulokset!F$2)))))</f>
        <v>Miika Nordblad</v>
      </c>
      <c r="G20" s="78">
        <f ca="1">IF($B20&gt;keilatut,"",IF($C20=(-1),"",IF($C20=0,"Sarja 1",IF($C20&gt;Data!$CP$2,"",OFFSET(tulossiirtymä,MATCH($D20,Data!$AN$2:$AN$313,0),Tulokset!G$2)))))</f>
        <v>0</v>
      </c>
      <c r="H20" s="78">
        <f ca="1">IF($B20&gt;keilatut,"",IF($C20=(-1),"",IF($C20=0,"Sarja 2",IF($C20&gt;Data!$CP$2,"",OFFSET(tulossiirtymä,MATCH($D20,Data!$AN$2:$AN$313,0),Tulokset!H$2)))))</f>
        <v>0</v>
      </c>
      <c r="I20" s="78">
        <f ca="1">IF($B20&gt;keilatut,"",IF($C20=(-1),"",IF($C20=0,"Yhteensä",IF($C20&gt;Data!$CP$2,"",OFFSET(tulossiirtymä,MATCH($D20,Data!$AN$2:$AN$313,0),Tulokset!I$2)))))</f>
        <v>0</v>
      </c>
      <c r="J20" s="78" t="str">
        <f ca="1">IF($B20&gt;keilatut,"",IF($C20=(-1),"",IF($C20=0,"Ero voittajaan",IF($C20&gt;Data!$CP$2,"",OFFSET(tulossiirtymä,MATCH($D20,Data!$AN$2:$AN$313,0),Tulokset!J$2)))))</f>
        <v/>
      </c>
      <c r="K20" s="78">
        <f ca="1">IF($B20&gt;keilatut,"",IF($C20=(-1),"",IF($C20=0,"Pisteet",IF($C20&gt;Data!$CP$2,"",OFFSET(tulossiirtymä,MATCH($D20,Data!$AN$2:$AN$313,0),Tulokset!K$2)))))</f>
        <v>0</v>
      </c>
      <c r="L20" s="78">
        <f ca="1">IF($B20&gt;keilatut,"",IF($C20=(-1),"",IF($C20=0,"Pisteet yhteensä",IF($C20&gt;Data!$CP$2,"",OFFSET(tulossiirtymä,MATCH($D20,Data!$AN$2:$AN$313,0),Tulokset!L$2)))))</f>
        <v>0</v>
      </c>
      <c r="M20" s="78" t="str">
        <f ca="1">IF($B20&gt;keilatut,"",IF($C20=(-1),"",IF($C20=0,"Pisteseloste",IF($C20&gt;Data!$CP$2,"",OFFSET(tulossiirtymä,MATCH($D20,Data!$AN$2:$AN$313,0),Tulokset!M$2)))))</f>
        <v/>
      </c>
    </row>
    <row r="21" spans="2:13" x14ac:dyDescent="0.25">
      <c r="B21" s="78">
        <f t="shared" si="0"/>
        <v>1</v>
      </c>
      <c r="C21" s="78">
        <f>COUNTIF($B$6:B21,B21)-2</f>
        <v>14</v>
      </c>
      <c r="D21" s="79">
        <f t="array" ref="D21">IF($B21&lt;=keilatut,IF($C21&lt;1,"",IF($C21&gt;Data!$CP$2,"",SMALL(IF(Data!$B$2:$B$313=Tulokset!$B21,Data!$AN$2:$AN$313),Tulokset!$C21))),"")</f>
        <v>12.000014</v>
      </c>
      <c r="E21" s="78">
        <f>IF($B21&gt;keilatut,"",IF($C21=(-1),"GP"&amp;$B21&amp;", "&amp;DAY(VLOOKUP($B21,kilpailukalenteri,2))&amp;"."&amp;MONTH(VLOOKUP($B21,kilpailukalenteri,2))&amp;"."&amp;YEAR(VLOOKUP($B21,kilpailukalenteri,2))&amp;", "&amp;IF(RIGHT(VLOOKUP($B21,kilpailukalenteri,4),1)="*",LEFT(VLOOKUP($B21,kilpailukalenteri,4),LEN(VLOOKUP($B21,kilpailukalenteri,4))-2)&amp;", Kultainen GP",VLOOKUP($B21,kilpailukalenteri,4)),IF($C21=0,"Sija",IF($C21&gt;Data!$CP$2,"",ROUND(Tulokset!$D21,0)))))</f>
        <v>12</v>
      </c>
      <c r="F21" s="78" t="str">
        <f ca="1">IF($B21&gt;keilatut,"",IF($C21=(-1),"",IF($C21=0,"Nimi",IF($C21&gt;Data!$CP$2,"",OFFSET(tulossiirtymä,MATCH($D21,Data!$AN$2:$AN$313,0),Tulokset!F$2)))))</f>
        <v>Juho Korpi</v>
      </c>
      <c r="G21" s="78">
        <f ca="1">IF($B21&gt;keilatut,"",IF($C21=(-1),"",IF($C21=0,"Sarja 1",IF($C21&gt;Data!$CP$2,"",OFFSET(tulossiirtymä,MATCH($D21,Data!$AN$2:$AN$313,0),Tulokset!G$2)))))</f>
        <v>0</v>
      </c>
      <c r="H21" s="78">
        <f ca="1">IF($B21&gt;keilatut,"",IF($C21=(-1),"",IF($C21=0,"Sarja 2",IF($C21&gt;Data!$CP$2,"",OFFSET(tulossiirtymä,MATCH($D21,Data!$AN$2:$AN$313,0),Tulokset!H$2)))))</f>
        <v>0</v>
      </c>
      <c r="I21" s="78">
        <f ca="1">IF($B21&gt;keilatut,"",IF($C21=(-1),"",IF($C21=0,"Yhteensä",IF($C21&gt;Data!$CP$2,"",OFFSET(tulossiirtymä,MATCH($D21,Data!$AN$2:$AN$313,0),Tulokset!I$2)))))</f>
        <v>0</v>
      </c>
      <c r="J21" s="78" t="str">
        <f ca="1">IF($B21&gt;keilatut,"",IF($C21=(-1),"",IF($C21=0,"Ero voittajaan",IF($C21&gt;Data!$CP$2,"",OFFSET(tulossiirtymä,MATCH($D21,Data!$AN$2:$AN$313,0),Tulokset!J$2)))))</f>
        <v/>
      </c>
      <c r="K21" s="78">
        <f ca="1">IF($B21&gt;keilatut,"",IF($C21=(-1),"",IF($C21=0,"Pisteet",IF($C21&gt;Data!$CP$2,"",OFFSET(tulossiirtymä,MATCH($D21,Data!$AN$2:$AN$313,0),Tulokset!K$2)))))</f>
        <v>0</v>
      </c>
      <c r="L21" s="78">
        <f ca="1">IF($B21&gt;keilatut,"",IF($C21=(-1),"",IF($C21=0,"Pisteet yhteensä",IF($C21&gt;Data!$CP$2,"",OFFSET(tulossiirtymä,MATCH($D21,Data!$AN$2:$AN$313,0),Tulokset!L$2)))))</f>
        <v>0</v>
      </c>
      <c r="M21" s="78" t="str">
        <f ca="1">IF($B21&gt;keilatut,"",IF($C21=(-1),"",IF($C21=0,"Pisteseloste",IF($C21&gt;Data!$CP$2,"",OFFSET(tulossiirtymä,MATCH($D21,Data!$AN$2:$AN$313,0),Tulokset!M$2)))))</f>
        <v/>
      </c>
    </row>
    <row r="22" spans="2:13" x14ac:dyDescent="0.25">
      <c r="B22" s="78">
        <f t="shared" si="0"/>
        <v>1</v>
      </c>
      <c r="C22" s="78">
        <f>COUNTIF($B$6:B22,B22)-2</f>
        <v>15</v>
      </c>
      <c r="D22" s="79">
        <f t="array" ref="D22">IF($B22&lt;=keilatut,IF($C22&lt;1,"",IF($C22&gt;Data!$CP$2,"",SMALL(IF(Data!$B$2:$B$313=Tulokset!$B22,Data!$AN$2:$AN$313),Tulokset!$C22))),"")</f>
        <v>12.000014999999999</v>
      </c>
      <c r="E22" s="78">
        <f>IF($B22&gt;keilatut,"",IF($C22=(-1),"GP"&amp;$B22&amp;", "&amp;DAY(VLOOKUP($B22,kilpailukalenteri,2))&amp;"."&amp;MONTH(VLOOKUP($B22,kilpailukalenteri,2))&amp;"."&amp;YEAR(VLOOKUP($B22,kilpailukalenteri,2))&amp;", "&amp;IF(RIGHT(VLOOKUP($B22,kilpailukalenteri,4),1)="*",LEFT(VLOOKUP($B22,kilpailukalenteri,4),LEN(VLOOKUP($B22,kilpailukalenteri,4))-2)&amp;", Kultainen GP",VLOOKUP($B22,kilpailukalenteri,4)),IF($C22=0,"Sija",IF($C22&gt;Data!$CP$2,"",ROUND(Tulokset!$D22,0)))))</f>
        <v>12</v>
      </c>
      <c r="F22" s="78" t="str">
        <f ca="1">IF($B22&gt;keilatut,"",IF($C22=(-1),"",IF($C22=0,"Nimi",IF($C22&gt;Data!$CP$2,"",OFFSET(tulossiirtymä,MATCH($D22,Data!$AN$2:$AN$313,0),Tulokset!F$2)))))</f>
        <v>Asko Haaksi</v>
      </c>
      <c r="G22" s="78">
        <f ca="1">IF($B22&gt;keilatut,"",IF($C22=(-1),"",IF($C22=0,"Sarja 1",IF($C22&gt;Data!$CP$2,"",OFFSET(tulossiirtymä,MATCH($D22,Data!$AN$2:$AN$313,0),Tulokset!G$2)))))</f>
        <v>0</v>
      </c>
      <c r="H22" s="78">
        <f ca="1">IF($B22&gt;keilatut,"",IF($C22=(-1),"",IF($C22=0,"Sarja 2",IF($C22&gt;Data!$CP$2,"",OFFSET(tulossiirtymä,MATCH($D22,Data!$AN$2:$AN$313,0),Tulokset!H$2)))))</f>
        <v>0</v>
      </c>
      <c r="I22" s="78">
        <f ca="1">IF($B22&gt;keilatut,"",IF($C22=(-1),"",IF($C22=0,"Yhteensä",IF($C22&gt;Data!$CP$2,"",OFFSET(tulossiirtymä,MATCH($D22,Data!$AN$2:$AN$313,0),Tulokset!I$2)))))</f>
        <v>0</v>
      </c>
      <c r="J22" s="78" t="str">
        <f ca="1">IF($B22&gt;keilatut,"",IF($C22=(-1),"",IF($C22=0,"Ero voittajaan",IF($C22&gt;Data!$CP$2,"",OFFSET(tulossiirtymä,MATCH($D22,Data!$AN$2:$AN$313,0),Tulokset!J$2)))))</f>
        <v/>
      </c>
      <c r="K22" s="78">
        <f ca="1">IF($B22&gt;keilatut,"",IF($C22=(-1),"",IF($C22=0,"Pisteet",IF($C22&gt;Data!$CP$2,"",OFFSET(tulossiirtymä,MATCH($D22,Data!$AN$2:$AN$313,0),Tulokset!K$2)))))</f>
        <v>0</v>
      </c>
      <c r="L22" s="78">
        <f ca="1">IF($B22&gt;keilatut,"",IF($C22=(-1),"",IF($C22=0,"Pisteet yhteensä",IF($C22&gt;Data!$CP$2,"",OFFSET(tulossiirtymä,MATCH($D22,Data!$AN$2:$AN$313,0),Tulokset!L$2)))))</f>
        <v>0</v>
      </c>
      <c r="M22" s="78" t="str">
        <f ca="1">IF($B22&gt;keilatut,"",IF($C22=(-1),"",IF($C22=0,"Pisteseloste",IF($C22&gt;Data!$CP$2,"",OFFSET(tulossiirtymä,MATCH($D22,Data!$AN$2:$AN$313,0),Tulokset!M$2)))))</f>
        <v/>
      </c>
    </row>
    <row r="23" spans="2:13" x14ac:dyDescent="0.25">
      <c r="B23" s="78">
        <f t="shared" si="0"/>
        <v>1</v>
      </c>
      <c r="C23" s="78">
        <f>COUNTIF($B$6:B23,B23)-2</f>
        <v>16</v>
      </c>
      <c r="D23" s="79">
        <f t="array" ref="D23">IF($B23&lt;=keilatut,IF($C23&lt;1,"",IF($C23&gt;Data!$CP$2,"",SMALL(IF(Data!$B$2:$B$313=Tulokset!$B23,Data!$AN$2:$AN$313),Tulokset!$C23))),"")</f>
        <v>12.000016</v>
      </c>
      <c r="E23" s="78">
        <f>IF($B23&gt;keilatut,"",IF($C23=(-1),"GP"&amp;$B23&amp;", "&amp;DAY(VLOOKUP($B23,kilpailukalenteri,2))&amp;"."&amp;MONTH(VLOOKUP($B23,kilpailukalenteri,2))&amp;"."&amp;YEAR(VLOOKUP($B23,kilpailukalenteri,2))&amp;", "&amp;IF(RIGHT(VLOOKUP($B23,kilpailukalenteri,4),1)="*",LEFT(VLOOKUP($B23,kilpailukalenteri,4),LEN(VLOOKUP($B23,kilpailukalenteri,4))-2)&amp;", Kultainen GP",VLOOKUP($B23,kilpailukalenteri,4)),IF($C23=0,"Sija",IF($C23&gt;Data!$CP$2,"",ROUND(Tulokset!$D23,0)))))</f>
        <v>12</v>
      </c>
      <c r="F23" s="78" t="str">
        <f ca="1">IF($B23&gt;keilatut,"",IF($C23=(-1),"",IF($C23=0,"Nimi",IF($C23&gt;Data!$CP$2,"",OFFSET(tulossiirtymä,MATCH($D23,Data!$AN$2:$AN$313,0),Tulokset!F$2)))))</f>
        <v>Iiro Riikonen</v>
      </c>
      <c r="G23" s="78">
        <f ca="1">IF($B23&gt;keilatut,"",IF($C23=(-1),"",IF($C23=0,"Sarja 1",IF($C23&gt;Data!$CP$2,"",OFFSET(tulossiirtymä,MATCH($D23,Data!$AN$2:$AN$313,0),Tulokset!G$2)))))</f>
        <v>0</v>
      </c>
      <c r="H23" s="78">
        <f ca="1">IF($B23&gt;keilatut,"",IF($C23=(-1),"",IF($C23=0,"Sarja 2",IF($C23&gt;Data!$CP$2,"",OFFSET(tulossiirtymä,MATCH($D23,Data!$AN$2:$AN$313,0),Tulokset!H$2)))))</f>
        <v>0</v>
      </c>
      <c r="I23" s="78">
        <f ca="1">IF($B23&gt;keilatut,"",IF($C23=(-1),"",IF($C23=0,"Yhteensä",IF($C23&gt;Data!$CP$2,"",OFFSET(tulossiirtymä,MATCH($D23,Data!$AN$2:$AN$313,0),Tulokset!I$2)))))</f>
        <v>0</v>
      </c>
      <c r="J23" s="78" t="str">
        <f ca="1">IF($B23&gt;keilatut,"",IF($C23=(-1),"",IF($C23=0,"Ero voittajaan",IF($C23&gt;Data!$CP$2,"",OFFSET(tulossiirtymä,MATCH($D23,Data!$AN$2:$AN$313,0),Tulokset!J$2)))))</f>
        <v/>
      </c>
      <c r="K23" s="78">
        <f ca="1">IF($B23&gt;keilatut,"",IF($C23=(-1),"",IF($C23=0,"Pisteet",IF($C23&gt;Data!$CP$2,"",OFFSET(tulossiirtymä,MATCH($D23,Data!$AN$2:$AN$313,0),Tulokset!K$2)))))</f>
        <v>0</v>
      </c>
      <c r="L23" s="78">
        <f ca="1">IF($B23&gt;keilatut,"",IF($C23=(-1),"",IF($C23=0,"Pisteet yhteensä",IF($C23&gt;Data!$CP$2,"",OFFSET(tulossiirtymä,MATCH($D23,Data!$AN$2:$AN$313,0),Tulokset!L$2)))))</f>
        <v>0</v>
      </c>
      <c r="M23" s="78" t="str">
        <f ca="1">IF($B23&gt;keilatut,"",IF($C23=(-1),"",IF($C23=0,"Pisteseloste",IF($C23&gt;Data!$CP$2,"",OFFSET(tulossiirtymä,MATCH($D23,Data!$AN$2:$AN$313,0),Tulokset!M$2)))))</f>
        <v/>
      </c>
    </row>
    <row r="24" spans="2:13" x14ac:dyDescent="0.25">
      <c r="B24" s="78">
        <f t="shared" si="0"/>
        <v>1</v>
      </c>
      <c r="C24" s="78">
        <f>COUNTIF($B$6:B24,B24)-2</f>
        <v>17</v>
      </c>
      <c r="D24" s="79">
        <f t="array" ref="D24">IF($B24&lt;=keilatut,IF($C24&lt;1,"",IF($C24&gt;Data!$CP$2,"",SMALL(IF(Data!$B$2:$B$313=Tulokset!$B24,Data!$AN$2:$AN$313),Tulokset!$C24))),"")</f>
        <v>12.000017</v>
      </c>
      <c r="E24" s="78">
        <f>IF($B24&gt;keilatut,"",IF($C24=(-1),"GP"&amp;$B24&amp;", "&amp;DAY(VLOOKUP($B24,kilpailukalenteri,2))&amp;"."&amp;MONTH(VLOOKUP($B24,kilpailukalenteri,2))&amp;"."&amp;YEAR(VLOOKUP($B24,kilpailukalenteri,2))&amp;", "&amp;IF(RIGHT(VLOOKUP($B24,kilpailukalenteri,4),1)="*",LEFT(VLOOKUP($B24,kilpailukalenteri,4),LEN(VLOOKUP($B24,kilpailukalenteri,4))-2)&amp;", Kultainen GP",VLOOKUP($B24,kilpailukalenteri,4)),IF($C24=0,"Sija",IF($C24&gt;Data!$CP$2,"",ROUND(Tulokset!$D24,0)))))</f>
        <v>12</v>
      </c>
      <c r="F24" s="78" t="str">
        <f ca="1">IF($B24&gt;keilatut,"",IF($C24=(-1),"",IF($C24=0,"Nimi",IF($C24&gt;Data!$CP$2,"",OFFSET(tulossiirtymä,MATCH($D24,Data!$AN$2:$AN$313,0),Tulokset!F$2)))))</f>
        <v>Olli Kajava</v>
      </c>
      <c r="G24" s="78">
        <f ca="1">IF($B24&gt;keilatut,"",IF($C24=(-1),"",IF($C24=0,"Sarja 1",IF($C24&gt;Data!$CP$2,"",OFFSET(tulossiirtymä,MATCH($D24,Data!$AN$2:$AN$313,0),Tulokset!G$2)))))</f>
        <v>0</v>
      </c>
      <c r="H24" s="78">
        <f ca="1">IF($B24&gt;keilatut,"",IF($C24=(-1),"",IF($C24=0,"Sarja 2",IF($C24&gt;Data!$CP$2,"",OFFSET(tulossiirtymä,MATCH($D24,Data!$AN$2:$AN$313,0),Tulokset!H$2)))))</f>
        <v>0</v>
      </c>
      <c r="I24" s="78">
        <f ca="1">IF($B24&gt;keilatut,"",IF($C24=(-1),"",IF($C24=0,"Yhteensä",IF($C24&gt;Data!$CP$2,"",OFFSET(tulossiirtymä,MATCH($D24,Data!$AN$2:$AN$313,0),Tulokset!I$2)))))</f>
        <v>0</v>
      </c>
      <c r="J24" s="78" t="str">
        <f ca="1">IF($B24&gt;keilatut,"",IF($C24=(-1),"",IF($C24=0,"Ero voittajaan",IF($C24&gt;Data!$CP$2,"",OFFSET(tulossiirtymä,MATCH($D24,Data!$AN$2:$AN$313,0),Tulokset!J$2)))))</f>
        <v/>
      </c>
      <c r="K24" s="78">
        <f ca="1">IF($B24&gt;keilatut,"",IF($C24=(-1),"",IF($C24=0,"Pisteet",IF($C24&gt;Data!$CP$2,"",OFFSET(tulossiirtymä,MATCH($D24,Data!$AN$2:$AN$313,0),Tulokset!K$2)))))</f>
        <v>0</v>
      </c>
      <c r="L24" s="78">
        <f ca="1">IF($B24&gt;keilatut,"",IF($C24=(-1),"",IF($C24=0,"Pisteet yhteensä",IF($C24&gt;Data!$CP$2,"",OFFSET(tulossiirtymä,MATCH($D24,Data!$AN$2:$AN$313,0),Tulokset!L$2)))))</f>
        <v>0</v>
      </c>
      <c r="M24" s="78" t="str">
        <f ca="1">IF($B24&gt;keilatut,"",IF($C24=(-1),"",IF($C24=0,"Pisteseloste",IF($C24&gt;Data!$CP$2,"",OFFSET(tulossiirtymä,MATCH($D24,Data!$AN$2:$AN$313,0),Tulokset!M$2)))))</f>
        <v/>
      </c>
    </row>
    <row r="25" spans="2:13" x14ac:dyDescent="0.25">
      <c r="B25" s="78">
        <f t="shared" si="0"/>
        <v>1</v>
      </c>
      <c r="C25" s="78">
        <f>COUNTIF($B$6:B25,B25)-2</f>
        <v>18</v>
      </c>
      <c r="D25" s="79">
        <f t="array" ref="D25">IF($B25&lt;=keilatut,IF($C25&lt;1,"",IF($C25&gt;Data!$CP$2,"",SMALL(IF(Data!$B$2:$B$313=Tulokset!$B25,Data!$AN$2:$AN$313),Tulokset!$C25))),"")</f>
        <v>12.000018000000001</v>
      </c>
      <c r="E25" s="78">
        <f>IF($B25&gt;keilatut,"",IF($C25=(-1),"GP"&amp;$B25&amp;", "&amp;DAY(VLOOKUP($B25,kilpailukalenteri,2))&amp;"."&amp;MONTH(VLOOKUP($B25,kilpailukalenteri,2))&amp;"."&amp;YEAR(VLOOKUP($B25,kilpailukalenteri,2))&amp;", "&amp;IF(RIGHT(VLOOKUP($B25,kilpailukalenteri,4),1)="*",LEFT(VLOOKUP($B25,kilpailukalenteri,4),LEN(VLOOKUP($B25,kilpailukalenteri,4))-2)&amp;", Kultainen GP",VLOOKUP($B25,kilpailukalenteri,4)),IF($C25=0,"Sija",IF($C25&gt;Data!$CP$2,"",ROUND(Tulokset!$D25,0)))))</f>
        <v>12</v>
      </c>
      <c r="F25" s="78" t="str">
        <f ca="1">IF($B25&gt;keilatut,"",IF($C25=(-1),"",IF($C25=0,"Nimi",IF($C25&gt;Data!$CP$2,"",OFFSET(tulossiirtymä,MATCH($D25,Data!$AN$2:$AN$313,0),Tulokset!F$2)))))</f>
        <v>Mikko Mansikkamäki</v>
      </c>
      <c r="G25" s="78">
        <f ca="1">IF($B25&gt;keilatut,"",IF($C25=(-1),"",IF($C25=0,"Sarja 1",IF($C25&gt;Data!$CP$2,"",OFFSET(tulossiirtymä,MATCH($D25,Data!$AN$2:$AN$313,0),Tulokset!G$2)))))</f>
        <v>0</v>
      </c>
      <c r="H25" s="78">
        <f ca="1">IF($B25&gt;keilatut,"",IF($C25=(-1),"",IF($C25=0,"Sarja 2",IF($C25&gt;Data!$CP$2,"",OFFSET(tulossiirtymä,MATCH($D25,Data!$AN$2:$AN$313,0),Tulokset!H$2)))))</f>
        <v>0</v>
      </c>
      <c r="I25" s="78">
        <f ca="1">IF($B25&gt;keilatut,"",IF($C25=(-1),"",IF($C25=0,"Yhteensä",IF($C25&gt;Data!$CP$2,"",OFFSET(tulossiirtymä,MATCH($D25,Data!$AN$2:$AN$313,0),Tulokset!I$2)))))</f>
        <v>0</v>
      </c>
      <c r="J25" s="78" t="str">
        <f ca="1">IF($B25&gt;keilatut,"",IF($C25=(-1),"",IF($C25=0,"Ero voittajaan",IF($C25&gt;Data!$CP$2,"",OFFSET(tulossiirtymä,MATCH($D25,Data!$AN$2:$AN$313,0),Tulokset!J$2)))))</f>
        <v/>
      </c>
      <c r="K25" s="78">
        <f ca="1">IF($B25&gt;keilatut,"",IF($C25=(-1),"",IF($C25=0,"Pisteet",IF($C25&gt;Data!$CP$2,"",OFFSET(tulossiirtymä,MATCH($D25,Data!$AN$2:$AN$313,0),Tulokset!K$2)))))</f>
        <v>0</v>
      </c>
      <c r="L25" s="78">
        <f ca="1">IF($B25&gt;keilatut,"",IF($C25=(-1),"",IF($C25=0,"Pisteet yhteensä",IF($C25&gt;Data!$CP$2,"",OFFSET(tulossiirtymä,MATCH($D25,Data!$AN$2:$AN$313,0),Tulokset!L$2)))))</f>
        <v>0</v>
      </c>
      <c r="M25" s="78" t="str">
        <f ca="1">IF($B25&gt;keilatut,"",IF($C25=(-1),"",IF($C25=0,"Pisteseloste",IF($C25&gt;Data!$CP$2,"",OFFSET(tulossiirtymä,MATCH($D25,Data!$AN$2:$AN$313,0),Tulokset!M$2)))))</f>
        <v/>
      </c>
    </row>
    <row r="26" spans="2:13" x14ac:dyDescent="0.25">
      <c r="B26" s="78">
        <f t="shared" si="0"/>
        <v>1</v>
      </c>
      <c r="C26" s="78">
        <f>COUNTIF($B$6:B26,B26)-2</f>
        <v>19</v>
      </c>
      <c r="D26" s="79" t="str">
        <f t="array" ref="D26">IF($B26&lt;=keilatut,IF($C26&lt;1,"",IF($C26&gt;Data!$CP$2,"",SMALL(IF(Data!$B$2:$B$313=Tulokset!$B26,Data!$AN$2:$AN$313),Tulokset!$C26))),"")</f>
        <v/>
      </c>
      <c r="E26" s="78" t="str">
        <f>IF($B26&gt;keilatut,"",IF($C26=(-1),"GP"&amp;$B26&amp;", "&amp;DAY(VLOOKUP($B26,kilpailukalenteri,2))&amp;"."&amp;MONTH(VLOOKUP($B26,kilpailukalenteri,2))&amp;"."&amp;YEAR(VLOOKUP($B26,kilpailukalenteri,2))&amp;", "&amp;IF(RIGHT(VLOOKUP($B26,kilpailukalenteri,4),1)="*",LEFT(VLOOKUP($B26,kilpailukalenteri,4),LEN(VLOOKUP($B26,kilpailukalenteri,4))-2)&amp;", Kultainen GP",VLOOKUP($B26,kilpailukalenteri,4)),IF($C26=0,"Sija",IF($C26&gt;Data!$CP$2,"",ROUND(Tulokset!$D26,0)))))</f>
        <v/>
      </c>
      <c r="F26" s="78" t="str">
        <f ca="1">IF($B26&gt;keilatut,"",IF($C26=(-1),"",IF($C26=0,"Nimi",IF($C26&gt;Data!$CP$2,"",OFFSET(tulossiirtymä,MATCH($D26,Data!$AN$2:$AN$313,0),Tulokset!F$2)))))</f>
        <v/>
      </c>
      <c r="G26" s="78" t="str">
        <f ca="1">IF($B26&gt;keilatut,"",IF($C26=(-1),"",IF($C26=0,"Sarja 1",IF($C26&gt;Data!$CP$2,"",OFFSET(tulossiirtymä,MATCH($D26,Data!$AN$2:$AN$313,0),Tulokset!G$2)))))</f>
        <v/>
      </c>
      <c r="H26" s="78" t="str">
        <f ca="1">IF($B26&gt;keilatut,"",IF($C26=(-1),"",IF($C26=0,"Sarja 2",IF($C26&gt;Data!$CP$2,"",OFFSET(tulossiirtymä,MATCH($D26,Data!$AN$2:$AN$313,0),Tulokset!H$2)))))</f>
        <v/>
      </c>
      <c r="I26" s="78" t="str">
        <f ca="1">IF($B26&gt;keilatut,"",IF($C26=(-1),"",IF($C26=0,"Yhteensä",IF($C26&gt;Data!$CP$2,"",OFFSET(tulossiirtymä,MATCH($D26,Data!$AN$2:$AN$313,0),Tulokset!I$2)))))</f>
        <v/>
      </c>
      <c r="J26" s="78" t="str">
        <f ca="1">IF($B26&gt;keilatut,"",IF($C26=(-1),"",IF($C26=0,"Ero voittajaan",IF($C26&gt;Data!$CP$2,"",OFFSET(tulossiirtymä,MATCH($D26,Data!$AN$2:$AN$313,0),Tulokset!J$2)))))</f>
        <v/>
      </c>
      <c r="K26" s="78" t="str">
        <f ca="1">IF($B26&gt;keilatut,"",IF($C26=(-1),"",IF($C26=0,"Pisteet",IF($C26&gt;Data!$CP$2,"",OFFSET(tulossiirtymä,MATCH($D26,Data!$AN$2:$AN$313,0),Tulokset!K$2)))))</f>
        <v/>
      </c>
      <c r="L26" s="78" t="str">
        <f ca="1">IF($B26&gt;keilatut,"",IF($C26=(-1),"",IF($C26=0,"Pisteet yhteensä",IF($C26&gt;Data!$CP$2,"",OFFSET(tulossiirtymä,MATCH($D26,Data!$AN$2:$AN$313,0),Tulokset!L$2)))))</f>
        <v/>
      </c>
      <c r="M26" s="78" t="str">
        <f ca="1">IF($B26&gt;keilatut,"",IF($C26=(-1),"",IF($C26=0,"Pisteseloste",IF($C26&gt;Data!$CP$2,"",OFFSET(tulossiirtymä,MATCH($D26,Data!$AN$2:$AN$313,0),Tulokset!M$2)))))</f>
        <v/>
      </c>
    </row>
    <row r="27" spans="2:13" x14ac:dyDescent="0.25">
      <c r="B27" s="78">
        <f t="shared" si="0"/>
        <v>1</v>
      </c>
      <c r="C27" s="78">
        <f>COUNTIF($B$6:B27,B27)-2</f>
        <v>20</v>
      </c>
      <c r="D27" s="79" t="str">
        <f t="array" ref="D27">IF($B27&lt;=keilatut,IF($C27&lt;1,"",IF($C27&gt;Data!$CP$2,"",SMALL(IF(Data!$B$2:$B$313=Tulokset!$B27,Data!$AN$2:$AN$313),Tulokset!$C27))),"")</f>
        <v/>
      </c>
      <c r="E27" s="78" t="str">
        <f>IF($B27&gt;keilatut,"",IF($C27=(-1),"GP"&amp;$B27&amp;", "&amp;DAY(VLOOKUP($B27,kilpailukalenteri,2))&amp;"."&amp;MONTH(VLOOKUP($B27,kilpailukalenteri,2))&amp;"."&amp;YEAR(VLOOKUP($B27,kilpailukalenteri,2))&amp;", "&amp;IF(RIGHT(VLOOKUP($B27,kilpailukalenteri,4),1)="*",LEFT(VLOOKUP($B27,kilpailukalenteri,4),LEN(VLOOKUP($B27,kilpailukalenteri,4))-2)&amp;", Kultainen GP",VLOOKUP($B27,kilpailukalenteri,4)),IF($C27=0,"Sija",IF($C27&gt;Data!$CP$2,"",ROUND(Tulokset!$D27,0)))))</f>
        <v/>
      </c>
      <c r="F27" s="78" t="str">
        <f ca="1">IF($B27&gt;keilatut,"",IF($C27=(-1),"",IF($C27=0,"Nimi",IF($C27&gt;Data!$CP$2,"",OFFSET(tulossiirtymä,MATCH($D27,Data!$AN$2:$AN$313,0),Tulokset!F$2)))))</f>
        <v/>
      </c>
      <c r="G27" s="78" t="str">
        <f ca="1">IF($B27&gt;keilatut,"",IF($C27=(-1),"",IF($C27=0,"Sarja 1",IF($C27&gt;Data!$CP$2,"",OFFSET(tulossiirtymä,MATCH($D27,Data!$AN$2:$AN$313,0),Tulokset!G$2)))))</f>
        <v/>
      </c>
      <c r="H27" s="78" t="str">
        <f ca="1">IF($B27&gt;keilatut,"",IF($C27=(-1),"",IF($C27=0,"Sarja 2",IF($C27&gt;Data!$CP$2,"",OFFSET(tulossiirtymä,MATCH($D27,Data!$AN$2:$AN$313,0),Tulokset!H$2)))))</f>
        <v/>
      </c>
      <c r="I27" s="78" t="str">
        <f ca="1">IF($B27&gt;keilatut,"",IF($C27=(-1),"",IF($C27=0,"Yhteensä",IF($C27&gt;Data!$CP$2,"",OFFSET(tulossiirtymä,MATCH($D27,Data!$AN$2:$AN$313,0),Tulokset!I$2)))))</f>
        <v/>
      </c>
      <c r="J27" s="78" t="str">
        <f ca="1">IF($B27&gt;keilatut,"",IF($C27=(-1),"",IF($C27=0,"Ero voittajaan",IF($C27&gt;Data!$CP$2,"",OFFSET(tulossiirtymä,MATCH($D27,Data!$AN$2:$AN$313,0),Tulokset!J$2)))))</f>
        <v/>
      </c>
      <c r="K27" s="78" t="str">
        <f ca="1">IF($B27&gt;keilatut,"",IF($C27=(-1),"",IF($C27=0,"Pisteet",IF($C27&gt;Data!$CP$2,"",OFFSET(tulossiirtymä,MATCH($D27,Data!$AN$2:$AN$313,0),Tulokset!K$2)))))</f>
        <v/>
      </c>
      <c r="L27" s="78" t="str">
        <f ca="1">IF($B27&gt;keilatut,"",IF($C27=(-1),"",IF($C27=0,"Pisteet yhteensä",IF($C27&gt;Data!$CP$2,"",OFFSET(tulossiirtymä,MATCH($D27,Data!$AN$2:$AN$313,0),Tulokset!L$2)))))</f>
        <v/>
      </c>
      <c r="M27" s="78" t="str">
        <f ca="1">IF($B27&gt;keilatut,"",IF($C27=(-1),"",IF($C27=0,"Pisteseloste",IF($C27&gt;Data!$CP$2,"",OFFSET(tulossiirtymä,MATCH($D27,Data!$AN$2:$AN$313,0),Tulokset!M$2)))))</f>
        <v/>
      </c>
    </row>
    <row r="28" spans="2:13" x14ac:dyDescent="0.25">
      <c r="B28" s="78">
        <f t="shared" si="0"/>
        <v>1</v>
      </c>
      <c r="C28" s="78">
        <f>COUNTIF($B$6:B28,B28)-2</f>
        <v>21</v>
      </c>
      <c r="D28" s="79" t="str">
        <f t="array" ref="D28">IF($B28&lt;=keilatut,IF($C28&lt;1,"",IF($C28&gt;Data!$CP$2,"",SMALL(IF(Data!$B$2:$B$313=Tulokset!$B28,Data!$AN$2:$AN$313),Tulokset!$C28))),"")</f>
        <v/>
      </c>
      <c r="E28" s="78" t="str">
        <f>IF($B28&gt;keilatut,"",IF($C28=(-1),"GP"&amp;$B28&amp;", "&amp;DAY(VLOOKUP($B28,kilpailukalenteri,2))&amp;"."&amp;MONTH(VLOOKUP($B28,kilpailukalenteri,2))&amp;"."&amp;YEAR(VLOOKUP($B28,kilpailukalenteri,2))&amp;", "&amp;IF(RIGHT(VLOOKUP($B28,kilpailukalenteri,4),1)="*",LEFT(VLOOKUP($B28,kilpailukalenteri,4),LEN(VLOOKUP($B28,kilpailukalenteri,4))-2)&amp;", Kultainen GP",VLOOKUP($B28,kilpailukalenteri,4)),IF($C28=0,"Sija",IF($C28&gt;Data!$CP$2,"",ROUND(Tulokset!$D28,0)))))</f>
        <v/>
      </c>
      <c r="F28" s="78" t="str">
        <f ca="1">IF($B28&gt;keilatut,"",IF($C28=(-1),"",IF($C28=0,"Nimi",IF($C28&gt;Data!$CP$2,"",OFFSET(tulossiirtymä,MATCH($D28,Data!$AN$2:$AN$313,0),Tulokset!F$2)))))</f>
        <v/>
      </c>
      <c r="G28" s="78" t="str">
        <f ca="1">IF($B28&gt;keilatut,"",IF($C28=(-1),"",IF($C28=0,"Sarja 1",IF($C28&gt;Data!$CP$2,"",OFFSET(tulossiirtymä,MATCH($D28,Data!$AN$2:$AN$313,0),Tulokset!G$2)))))</f>
        <v/>
      </c>
      <c r="H28" s="78" t="str">
        <f ca="1">IF($B28&gt;keilatut,"",IF($C28=(-1),"",IF($C28=0,"Sarja 2",IF($C28&gt;Data!$CP$2,"",OFFSET(tulossiirtymä,MATCH($D28,Data!$AN$2:$AN$313,0),Tulokset!H$2)))))</f>
        <v/>
      </c>
      <c r="I28" s="78" t="str">
        <f ca="1">IF($B28&gt;keilatut,"",IF($C28=(-1),"",IF($C28=0,"Yhteensä",IF($C28&gt;Data!$CP$2,"",OFFSET(tulossiirtymä,MATCH($D28,Data!$AN$2:$AN$313,0),Tulokset!I$2)))))</f>
        <v/>
      </c>
      <c r="J28" s="78" t="str">
        <f ca="1">IF($B28&gt;keilatut,"",IF($C28=(-1),"",IF($C28=0,"Ero voittajaan",IF($C28&gt;Data!$CP$2,"",OFFSET(tulossiirtymä,MATCH($D28,Data!$AN$2:$AN$313,0),Tulokset!J$2)))))</f>
        <v/>
      </c>
      <c r="K28" s="78" t="str">
        <f ca="1">IF($B28&gt;keilatut,"",IF($C28=(-1),"",IF($C28=0,"Pisteet",IF($C28&gt;Data!$CP$2,"",OFFSET(tulossiirtymä,MATCH($D28,Data!$AN$2:$AN$313,0),Tulokset!K$2)))))</f>
        <v/>
      </c>
      <c r="L28" s="78" t="str">
        <f ca="1">IF($B28&gt;keilatut,"",IF($C28=(-1),"",IF($C28=0,"Pisteet yhteensä",IF($C28&gt;Data!$CP$2,"",OFFSET(tulossiirtymä,MATCH($D28,Data!$AN$2:$AN$313,0),Tulokset!L$2)))))</f>
        <v/>
      </c>
      <c r="M28" s="78" t="str">
        <f ca="1">IF($B28&gt;keilatut,"",IF($C28=(-1),"",IF($C28=0,"Pisteseloste",IF($C28&gt;Data!$CP$2,"",OFFSET(tulossiirtymä,MATCH($D28,Data!$AN$2:$AN$313,0),Tulokset!M$2)))))</f>
        <v/>
      </c>
    </row>
    <row r="29" spans="2:13" x14ac:dyDescent="0.25">
      <c r="B29" s="78">
        <f t="shared" si="0"/>
        <v>1</v>
      </c>
      <c r="C29" s="78">
        <f>COUNTIF($B$6:B29,B29)-2</f>
        <v>22</v>
      </c>
      <c r="D29" s="79" t="str">
        <f t="array" ref="D29">IF($B29&lt;=keilatut,IF($C29&lt;1,"",IF($C29&gt;Data!$CP$2,"",SMALL(IF(Data!$B$2:$B$313=Tulokset!$B29,Data!$AN$2:$AN$313),Tulokset!$C29))),"")</f>
        <v/>
      </c>
      <c r="E29" s="78" t="str">
        <f>IF($B29&gt;keilatut,"",IF($C29=(-1),"GP"&amp;$B29&amp;", "&amp;DAY(VLOOKUP($B29,kilpailukalenteri,2))&amp;"."&amp;MONTH(VLOOKUP($B29,kilpailukalenteri,2))&amp;"."&amp;YEAR(VLOOKUP($B29,kilpailukalenteri,2))&amp;", "&amp;IF(RIGHT(VLOOKUP($B29,kilpailukalenteri,4),1)="*",LEFT(VLOOKUP($B29,kilpailukalenteri,4),LEN(VLOOKUP($B29,kilpailukalenteri,4))-2)&amp;", Kultainen GP",VLOOKUP($B29,kilpailukalenteri,4)),IF($C29=0,"Sija",IF($C29&gt;Data!$CP$2,"",ROUND(Tulokset!$D29,0)))))</f>
        <v/>
      </c>
      <c r="F29" s="78" t="str">
        <f ca="1">IF($B29&gt;keilatut,"",IF($C29=(-1),"",IF($C29=0,"Nimi",IF($C29&gt;Data!$CP$2,"",OFFSET(tulossiirtymä,MATCH($D29,Data!$AN$2:$AN$313,0),Tulokset!F$2)))))</f>
        <v/>
      </c>
      <c r="G29" s="78" t="str">
        <f ca="1">IF($B29&gt;keilatut,"",IF($C29=(-1),"",IF($C29=0,"Sarja 1",IF($C29&gt;Data!$CP$2,"",OFFSET(tulossiirtymä,MATCH($D29,Data!$AN$2:$AN$313,0),Tulokset!G$2)))))</f>
        <v/>
      </c>
      <c r="H29" s="78" t="str">
        <f ca="1">IF($B29&gt;keilatut,"",IF($C29=(-1),"",IF($C29=0,"Sarja 2",IF($C29&gt;Data!$CP$2,"",OFFSET(tulossiirtymä,MATCH($D29,Data!$AN$2:$AN$313,0),Tulokset!H$2)))))</f>
        <v/>
      </c>
      <c r="I29" s="78" t="str">
        <f ca="1">IF($B29&gt;keilatut,"",IF($C29=(-1),"",IF($C29=0,"Yhteensä",IF($C29&gt;Data!$CP$2,"",OFFSET(tulossiirtymä,MATCH($D29,Data!$AN$2:$AN$313,0),Tulokset!I$2)))))</f>
        <v/>
      </c>
      <c r="J29" s="78" t="str">
        <f ca="1">IF($B29&gt;keilatut,"",IF($C29=(-1),"",IF($C29=0,"Ero voittajaan",IF($C29&gt;Data!$CP$2,"",OFFSET(tulossiirtymä,MATCH($D29,Data!$AN$2:$AN$313,0),Tulokset!J$2)))))</f>
        <v/>
      </c>
      <c r="K29" s="78" t="str">
        <f ca="1">IF($B29&gt;keilatut,"",IF($C29=(-1),"",IF($C29=0,"Pisteet",IF($C29&gt;Data!$CP$2,"",OFFSET(tulossiirtymä,MATCH($D29,Data!$AN$2:$AN$313,0),Tulokset!K$2)))))</f>
        <v/>
      </c>
      <c r="L29" s="78" t="str">
        <f ca="1">IF($B29&gt;keilatut,"",IF($C29=(-1),"",IF($C29=0,"Pisteet yhteensä",IF($C29&gt;Data!$CP$2,"",OFFSET(tulossiirtymä,MATCH($D29,Data!$AN$2:$AN$313,0),Tulokset!L$2)))))</f>
        <v/>
      </c>
      <c r="M29" s="78" t="str">
        <f ca="1">IF($B29&gt;keilatut,"",IF($C29=(-1),"",IF($C29=0,"Pisteseloste",IF($C29&gt;Data!$CP$2,"",OFFSET(tulossiirtymä,MATCH($D29,Data!$AN$2:$AN$313,0),Tulokset!M$2)))))</f>
        <v/>
      </c>
    </row>
    <row r="30" spans="2:13" x14ac:dyDescent="0.25">
      <c r="B30" s="78">
        <f t="shared" si="0"/>
        <v>1</v>
      </c>
      <c r="C30" s="78">
        <f>COUNTIF($B$6:B30,B30)-2</f>
        <v>23</v>
      </c>
      <c r="D30" s="79" t="str">
        <f t="array" ref="D30">IF($B30&lt;=keilatut,IF($C30&lt;1,"",IF($C30&gt;Data!$CP$2,"",SMALL(IF(Data!$B$2:$B$313=Tulokset!$B30,Data!$AN$2:$AN$313),Tulokset!$C30))),"")</f>
        <v/>
      </c>
      <c r="E30" s="78" t="str">
        <f>IF($B30&gt;keilatut,"",IF($C30=(-1),"GP"&amp;$B30&amp;", "&amp;DAY(VLOOKUP($B30,kilpailukalenteri,2))&amp;"."&amp;MONTH(VLOOKUP($B30,kilpailukalenteri,2))&amp;"."&amp;YEAR(VLOOKUP($B30,kilpailukalenteri,2))&amp;", "&amp;IF(RIGHT(VLOOKUP($B30,kilpailukalenteri,4),1)="*",LEFT(VLOOKUP($B30,kilpailukalenteri,4),LEN(VLOOKUP($B30,kilpailukalenteri,4))-2)&amp;", Kultainen GP",VLOOKUP($B30,kilpailukalenteri,4)),IF($C30=0,"Sija",IF($C30&gt;Data!$CP$2,"",ROUND(Tulokset!$D30,0)))))</f>
        <v/>
      </c>
      <c r="F30" s="78" t="str">
        <f ca="1">IF($B30&gt;keilatut,"",IF($C30=(-1),"",IF($C30=0,"Nimi",IF($C30&gt;Data!$CP$2,"",OFFSET(tulossiirtymä,MATCH($D30,Data!$AN$2:$AN$313,0),Tulokset!F$2)))))</f>
        <v/>
      </c>
      <c r="G30" s="78" t="str">
        <f ca="1">IF($B30&gt;keilatut,"",IF($C30=(-1),"",IF($C30=0,"Sarja 1",IF($C30&gt;Data!$CP$2,"",OFFSET(tulossiirtymä,MATCH($D30,Data!$AN$2:$AN$313,0),Tulokset!G$2)))))</f>
        <v/>
      </c>
      <c r="H30" s="78" t="str">
        <f ca="1">IF($B30&gt;keilatut,"",IF($C30=(-1),"",IF($C30=0,"Sarja 2",IF($C30&gt;Data!$CP$2,"",OFFSET(tulossiirtymä,MATCH($D30,Data!$AN$2:$AN$313,0),Tulokset!H$2)))))</f>
        <v/>
      </c>
      <c r="I30" s="78" t="str">
        <f ca="1">IF($B30&gt;keilatut,"",IF($C30=(-1),"",IF($C30=0,"Yhteensä",IF($C30&gt;Data!$CP$2,"",OFFSET(tulossiirtymä,MATCH($D30,Data!$AN$2:$AN$313,0),Tulokset!I$2)))))</f>
        <v/>
      </c>
      <c r="J30" s="78" t="str">
        <f ca="1">IF($B30&gt;keilatut,"",IF($C30=(-1),"",IF($C30=0,"Ero voittajaan",IF($C30&gt;Data!$CP$2,"",OFFSET(tulossiirtymä,MATCH($D30,Data!$AN$2:$AN$313,0),Tulokset!J$2)))))</f>
        <v/>
      </c>
      <c r="K30" s="78" t="str">
        <f ca="1">IF($B30&gt;keilatut,"",IF($C30=(-1),"",IF($C30=0,"Pisteet",IF($C30&gt;Data!$CP$2,"",OFFSET(tulossiirtymä,MATCH($D30,Data!$AN$2:$AN$313,0),Tulokset!K$2)))))</f>
        <v/>
      </c>
      <c r="L30" s="78" t="str">
        <f ca="1">IF($B30&gt;keilatut,"",IF($C30=(-1),"",IF($C30=0,"Pisteet yhteensä",IF($C30&gt;Data!$CP$2,"",OFFSET(tulossiirtymä,MATCH($D30,Data!$AN$2:$AN$313,0),Tulokset!L$2)))))</f>
        <v/>
      </c>
      <c r="M30" s="78" t="str">
        <f ca="1">IF($B30&gt;keilatut,"",IF($C30=(-1),"",IF($C30=0,"Pisteseloste",IF($C30&gt;Data!$CP$2,"",OFFSET(tulossiirtymä,MATCH($D30,Data!$AN$2:$AN$313,0),Tulokset!M$2)))))</f>
        <v/>
      </c>
    </row>
    <row r="31" spans="2:13" x14ac:dyDescent="0.25">
      <c r="B31" s="78">
        <f t="shared" si="0"/>
        <v>1</v>
      </c>
      <c r="C31" s="78">
        <f>COUNTIF($B$6:B31,B31)-2</f>
        <v>24</v>
      </c>
      <c r="D31" s="79" t="str">
        <f t="array" ref="D31">IF($B31&lt;=keilatut,IF($C31&lt;1,"",IF($C31&gt;Data!$CP$2,"",SMALL(IF(Data!$B$2:$B$313=Tulokset!$B31,Data!$AN$2:$AN$313),Tulokset!$C31))),"")</f>
        <v/>
      </c>
      <c r="E31" s="78" t="str">
        <f>IF($B31&gt;keilatut,"",IF($C31=(-1),"GP"&amp;$B31&amp;", "&amp;DAY(VLOOKUP($B31,kilpailukalenteri,2))&amp;"."&amp;MONTH(VLOOKUP($B31,kilpailukalenteri,2))&amp;"."&amp;YEAR(VLOOKUP($B31,kilpailukalenteri,2))&amp;", "&amp;IF(RIGHT(VLOOKUP($B31,kilpailukalenteri,4),1)="*",LEFT(VLOOKUP($B31,kilpailukalenteri,4),LEN(VLOOKUP($B31,kilpailukalenteri,4))-2)&amp;", Kultainen GP",VLOOKUP($B31,kilpailukalenteri,4)),IF($C31=0,"Sija",IF($C31&gt;Data!$CP$2,"",ROUND(Tulokset!$D31,0)))))</f>
        <v/>
      </c>
      <c r="F31" s="78" t="str">
        <f ca="1">IF($B31&gt;keilatut,"",IF($C31=(-1),"",IF($C31=0,"Nimi",IF($C31&gt;Data!$CP$2,"",OFFSET(tulossiirtymä,MATCH($D31,Data!$AN$2:$AN$313,0),Tulokset!F$2)))))</f>
        <v/>
      </c>
      <c r="G31" s="78" t="str">
        <f ca="1">IF($B31&gt;keilatut,"",IF($C31=(-1),"",IF($C31=0,"Sarja 1",IF($C31&gt;Data!$CP$2,"",OFFSET(tulossiirtymä,MATCH($D31,Data!$AN$2:$AN$313,0),Tulokset!G$2)))))</f>
        <v/>
      </c>
      <c r="H31" s="78" t="str">
        <f ca="1">IF($B31&gt;keilatut,"",IF($C31=(-1),"",IF($C31=0,"Sarja 2",IF($C31&gt;Data!$CP$2,"",OFFSET(tulossiirtymä,MATCH($D31,Data!$AN$2:$AN$313,0),Tulokset!H$2)))))</f>
        <v/>
      </c>
      <c r="I31" s="78" t="str">
        <f ca="1">IF($B31&gt;keilatut,"",IF($C31=(-1),"",IF($C31=0,"Yhteensä",IF($C31&gt;Data!$CP$2,"",OFFSET(tulossiirtymä,MATCH($D31,Data!$AN$2:$AN$313,0),Tulokset!I$2)))))</f>
        <v/>
      </c>
      <c r="J31" s="78" t="str">
        <f ca="1">IF($B31&gt;keilatut,"",IF($C31=(-1),"",IF($C31=0,"Ero voittajaan",IF($C31&gt;Data!$CP$2,"",OFFSET(tulossiirtymä,MATCH($D31,Data!$AN$2:$AN$313,0),Tulokset!J$2)))))</f>
        <v/>
      </c>
      <c r="K31" s="78" t="str">
        <f ca="1">IF($B31&gt;keilatut,"",IF($C31=(-1),"",IF($C31=0,"Pisteet",IF($C31&gt;Data!$CP$2,"",OFFSET(tulossiirtymä,MATCH($D31,Data!$AN$2:$AN$313,0),Tulokset!K$2)))))</f>
        <v/>
      </c>
      <c r="L31" s="78" t="str">
        <f ca="1">IF($B31&gt;keilatut,"",IF($C31=(-1),"",IF($C31=0,"Pisteet yhteensä",IF($C31&gt;Data!$CP$2,"",OFFSET(tulossiirtymä,MATCH($D31,Data!$AN$2:$AN$313,0),Tulokset!L$2)))))</f>
        <v/>
      </c>
      <c r="M31" s="78" t="str">
        <f ca="1">IF($B31&gt;keilatut,"",IF($C31=(-1),"",IF($C31=0,"Pisteseloste",IF($C31&gt;Data!$CP$2,"",OFFSET(tulossiirtymä,MATCH($D31,Data!$AN$2:$AN$313,0),Tulokset!M$2)))))</f>
        <v/>
      </c>
    </row>
    <row r="32" spans="2:13" x14ac:dyDescent="0.25">
      <c r="B32" s="78">
        <f t="shared" si="0"/>
        <v>1</v>
      </c>
      <c r="C32" s="78">
        <f>COUNTIF($B$6:B32,B32)-2</f>
        <v>25</v>
      </c>
      <c r="D32" s="79" t="str">
        <f t="array" ref="D32">IF($B32&lt;=keilatut,IF($C32&lt;1,"",IF($C32&gt;Data!$CP$2,"",SMALL(IF(Data!$B$2:$B$313=Tulokset!$B32,Data!$AN$2:$AN$313),Tulokset!$C32))),"")</f>
        <v/>
      </c>
      <c r="E32" s="78" t="str">
        <f>IF($B32&gt;keilatut,"",IF($C32=(-1),"GP"&amp;$B32&amp;", "&amp;DAY(VLOOKUP($B32,kilpailukalenteri,2))&amp;"."&amp;MONTH(VLOOKUP($B32,kilpailukalenteri,2))&amp;"."&amp;YEAR(VLOOKUP($B32,kilpailukalenteri,2))&amp;", "&amp;IF(RIGHT(VLOOKUP($B32,kilpailukalenteri,4),1)="*",LEFT(VLOOKUP($B32,kilpailukalenteri,4),LEN(VLOOKUP($B32,kilpailukalenteri,4))-2)&amp;", Kultainen GP",VLOOKUP($B32,kilpailukalenteri,4)),IF($C32=0,"Sija",IF($C32&gt;Data!$CP$2,"",ROUND(Tulokset!$D32,0)))))</f>
        <v/>
      </c>
      <c r="F32" s="78" t="str">
        <f ca="1">IF($B32&gt;keilatut,"",IF($C32=(-1),"",IF($C32=0,"Nimi",IF($C32&gt;Data!$CP$2,"",OFFSET(tulossiirtymä,MATCH($D32,Data!$AN$2:$AN$313,0),Tulokset!F$2)))))</f>
        <v/>
      </c>
      <c r="G32" s="78" t="str">
        <f ca="1">IF($B32&gt;keilatut,"",IF($C32=(-1),"",IF($C32=0,"Sarja 1",IF($C32&gt;Data!$CP$2,"",OFFSET(tulossiirtymä,MATCH($D32,Data!$AN$2:$AN$313,0),Tulokset!G$2)))))</f>
        <v/>
      </c>
      <c r="H32" s="78" t="str">
        <f ca="1">IF($B32&gt;keilatut,"",IF($C32=(-1),"",IF($C32=0,"Sarja 2",IF($C32&gt;Data!$CP$2,"",OFFSET(tulossiirtymä,MATCH($D32,Data!$AN$2:$AN$313,0),Tulokset!H$2)))))</f>
        <v/>
      </c>
      <c r="I32" s="78" t="str">
        <f ca="1">IF($B32&gt;keilatut,"",IF($C32=(-1),"",IF($C32=0,"Yhteensä",IF($C32&gt;Data!$CP$2,"",OFFSET(tulossiirtymä,MATCH($D32,Data!$AN$2:$AN$313,0),Tulokset!I$2)))))</f>
        <v/>
      </c>
      <c r="J32" s="78" t="str">
        <f ca="1">IF($B32&gt;keilatut,"",IF($C32=(-1),"",IF($C32=0,"Ero voittajaan",IF($C32&gt;Data!$CP$2,"",OFFSET(tulossiirtymä,MATCH($D32,Data!$AN$2:$AN$313,0),Tulokset!J$2)))))</f>
        <v/>
      </c>
      <c r="K32" s="78" t="str">
        <f ca="1">IF($B32&gt;keilatut,"",IF($C32=(-1),"",IF($C32=0,"Pisteet",IF($C32&gt;Data!$CP$2,"",OFFSET(tulossiirtymä,MATCH($D32,Data!$AN$2:$AN$313,0),Tulokset!K$2)))))</f>
        <v/>
      </c>
      <c r="L32" s="78" t="str">
        <f ca="1">IF($B32&gt;keilatut,"",IF($C32=(-1),"",IF($C32=0,"Pisteet yhteensä",IF($C32&gt;Data!$CP$2,"",OFFSET(tulossiirtymä,MATCH($D32,Data!$AN$2:$AN$313,0),Tulokset!L$2)))))</f>
        <v/>
      </c>
      <c r="M32" s="78" t="str">
        <f ca="1">IF($B32&gt;keilatut,"",IF($C32=(-1),"",IF($C32=0,"Pisteseloste",IF($C32&gt;Data!$CP$2,"",OFFSET(tulossiirtymä,MATCH($D32,Data!$AN$2:$AN$313,0),Tulokset!M$2)))))</f>
        <v/>
      </c>
    </row>
    <row r="33" spans="2:13" x14ac:dyDescent="0.25">
      <c r="B33" s="78">
        <f t="shared" si="0"/>
        <v>2</v>
      </c>
      <c r="C33" s="78">
        <f>COUNTIF($B$6:B33,B33)-2</f>
        <v>-1</v>
      </c>
      <c r="D33" s="79" t="str">
        <f t="array" ref="D33">IF($B33&lt;=keilatut,IF($C33&lt;1,"",IF($C33&gt;Data!$CP$2,"",SMALL(IF(Data!$B$2:$B$313=Tulokset!$B33,Data!$AN$2:$AN$313),Tulokset!$C33))),"")</f>
        <v/>
      </c>
      <c r="E33" s="78" t="str">
        <f>IF($B33&gt;keilatut,"",IF($C33=(-1),"GP"&amp;$B33&amp;", "&amp;DAY(VLOOKUP($B33,kilpailukalenteri,2))&amp;"."&amp;MONTH(VLOOKUP($B33,kilpailukalenteri,2))&amp;"."&amp;YEAR(VLOOKUP($B33,kilpailukalenteri,2))&amp;", "&amp;IF(RIGHT(VLOOKUP($B33,kilpailukalenteri,4),1)="*",LEFT(VLOOKUP($B33,kilpailukalenteri,4),LEN(VLOOKUP($B33,kilpailukalenteri,4))-2)&amp;", Kultainen GP",VLOOKUP($B33,kilpailukalenteri,4)),IF($C33=0,"Sija",IF($C33&gt;Data!$CP$2,"",ROUND(Tulokset!$D33,0)))))</f>
        <v>GP2, 20.10.2024, Raision keilahalli</v>
      </c>
    </row>
    <row r="34" spans="2:13" x14ac:dyDescent="0.25">
      <c r="B34" s="78">
        <f t="shared" si="0"/>
        <v>2</v>
      </c>
      <c r="C34" s="78">
        <f>COUNTIF($B$6:B34,B34)-2</f>
        <v>0</v>
      </c>
      <c r="D34" s="79" t="str">
        <f t="array" ref="D34">IF($B34&lt;=keilatut,IF($C34&lt;1,"",IF($C34&gt;Data!$CP$2,"",SMALL(IF(Data!$B$2:$B$313=Tulokset!$B34,Data!$AN$2:$AN$313),Tulokset!$C34))),"")</f>
        <v/>
      </c>
      <c r="E34" s="78" t="str">
        <f>IF($B34&gt;keilatut,"",IF($C34=(-1),"GP"&amp;$B34&amp;", "&amp;DAY(VLOOKUP($B34,kilpailukalenteri,2))&amp;"."&amp;MONTH(VLOOKUP($B34,kilpailukalenteri,2))&amp;"."&amp;YEAR(VLOOKUP($B34,kilpailukalenteri,2))&amp;", "&amp;IF(RIGHT(VLOOKUP($B34,kilpailukalenteri,4),1)="*",LEFT(VLOOKUP($B34,kilpailukalenteri,4),LEN(VLOOKUP($B34,kilpailukalenteri,4))-2)&amp;", Kultainen GP",VLOOKUP($B34,kilpailukalenteri,4)),IF($C34=0,"Sija",IF($C34&gt;Data!$CP$2,"",ROUND(Tulokset!$D34,0)))))</f>
        <v>Sija</v>
      </c>
      <c r="F34" s="78" t="str">
        <f ca="1">IF($B34&gt;keilatut,"",IF($C34=(-1),"",IF($C34=0,"Nimi",IF($C34&gt;Data!$CP$2,"",OFFSET(tulossiirtymä,MATCH($D34,Data!$AN$2:$AN$313,0),Tulokset!F$2)))))</f>
        <v>Nimi</v>
      </c>
      <c r="G34" s="78" t="str">
        <f ca="1">IF($B34&gt;keilatut,"",IF($C34=(-1),"",IF($C34=0,"Sarja 1",IF($C34&gt;Data!$CP$2,"",OFFSET(tulossiirtymä,MATCH($D34,Data!$AN$2:$AN$313,0),Tulokset!G$2)))))</f>
        <v>Sarja 1</v>
      </c>
      <c r="H34" s="78" t="str">
        <f ca="1">IF($B34&gt;keilatut,"",IF($C34=(-1),"",IF($C34=0,"Sarja 2",IF($C34&gt;Data!$CP$2,"",OFFSET(tulossiirtymä,MATCH($D34,Data!$AN$2:$AN$313,0),Tulokset!H$2)))))</f>
        <v>Sarja 2</v>
      </c>
      <c r="I34" s="78" t="str">
        <f ca="1">IF($B34&gt;keilatut,"",IF($C34=(-1),"",IF($C34=0,"Yhteensä",IF($C34&gt;Data!$CP$2,"",OFFSET(tulossiirtymä,MATCH($D34,Data!$AN$2:$AN$313,0),Tulokset!I$2)))))</f>
        <v>Yhteensä</v>
      </c>
      <c r="J34" s="78" t="str">
        <f ca="1">IF($B34&gt;keilatut,"",IF($C34=(-1),"",IF($C34=0,"Ero voittajaan",IF($C34&gt;Data!$CP$2,"",OFFSET(tulossiirtymä,MATCH($D34,Data!$AN$2:$AN$313,0),Tulokset!J$2)))))</f>
        <v>Ero voittajaan</v>
      </c>
      <c r="K34" s="78" t="str">
        <f ca="1">IF($B34&gt;keilatut,"",IF($C34=(-1),"",IF($C34=0,"Pisteet",IF($C34&gt;Data!$CP$2,"",OFFSET(tulossiirtymä,MATCH($D34,Data!$AN$2:$AN$313,0),Tulokset!K$2)))))</f>
        <v>Pisteet</v>
      </c>
      <c r="L34" s="78" t="str">
        <f ca="1">IF($B34&gt;keilatut,"",IF($C34=(-1),"",IF($C34=0,"Pisteet yhteensä",IF($C34&gt;Data!$CP$2,"",OFFSET(tulossiirtymä,MATCH($D34,Data!$AN$2:$AN$313,0),Tulokset!L$2)))))</f>
        <v>Pisteet yhteensä</v>
      </c>
      <c r="M34" s="78" t="str">
        <f ca="1">IF($B34&gt;keilatut,"",IF($C34=(-1),"",IF($C34=0,"Pisteseloste",IF($C34&gt;Data!$CP$2,"",OFFSET(tulossiirtymä,MATCH($D34,Data!$AN$2:$AN$313,0),Tulokset!M$2)))))</f>
        <v>Pisteseloste</v>
      </c>
    </row>
    <row r="35" spans="2:13" x14ac:dyDescent="0.25">
      <c r="B35" s="78">
        <f t="shared" si="0"/>
        <v>2</v>
      </c>
      <c r="C35" s="78">
        <f>COUNTIF($B$6:B35,B35)-2</f>
        <v>1</v>
      </c>
      <c r="D35" s="79">
        <f t="array" ref="D35">IF($B35&lt;=keilatut,IF($C35&lt;1,"",IF($C35&gt;Data!$CP$2,"",SMALL(IF(Data!$B$2:$B$313=Tulokset!$B35,Data!$AN$2:$AN$313),Tulokset!$C35))),"")</f>
        <v>1.00003</v>
      </c>
      <c r="E35" s="78">
        <f>IF($B35&gt;keilatut,"",IF($C35=(-1),"GP"&amp;$B35&amp;", "&amp;DAY(VLOOKUP($B35,kilpailukalenteri,2))&amp;"."&amp;MONTH(VLOOKUP($B35,kilpailukalenteri,2))&amp;"."&amp;YEAR(VLOOKUP($B35,kilpailukalenteri,2))&amp;", "&amp;IF(RIGHT(VLOOKUP($B35,kilpailukalenteri,4),1)="*",LEFT(VLOOKUP($B35,kilpailukalenteri,4),LEN(VLOOKUP($B35,kilpailukalenteri,4))-2)&amp;", Kultainen GP",VLOOKUP($B35,kilpailukalenteri,4)),IF($C35=0,"Sija",IF($C35&gt;Data!$CP$2,"",ROUND(Tulokset!$D35,0)))))</f>
        <v>1</v>
      </c>
      <c r="F35" s="78" t="str">
        <f ca="1">IF($B35&gt;keilatut,"",IF($C35=(-1),"",IF($C35=0,"Nimi",IF($C35&gt;Data!$CP$2,"",OFFSET(tulossiirtymä,MATCH($D35,Data!$AN$2:$AN$313,0),Tulokset!F$2)))))</f>
        <v>Frans Hartman</v>
      </c>
      <c r="G35" s="78">
        <f ca="1">IF($B35&gt;keilatut,"",IF($C35=(-1),"",IF($C35=0,"Sarja 1",IF($C35&gt;Data!$CP$2,"",OFFSET(tulossiirtymä,MATCH($D35,Data!$AN$2:$AN$313,0),Tulokset!G$2)))))</f>
        <v>187</v>
      </c>
      <c r="H35" s="78">
        <f ca="1">IF($B35&gt;keilatut,"",IF($C35=(-1),"",IF($C35=0,"Sarja 2",IF($C35&gt;Data!$CP$2,"",OFFSET(tulossiirtymä,MATCH($D35,Data!$AN$2:$AN$313,0),Tulokset!H$2)))))</f>
        <v>146</v>
      </c>
      <c r="I35" s="78">
        <f ca="1">IF($B35&gt;keilatut,"",IF($C35=(-1),"",IF($C35=0,"Yhteensä",IF($C35&gt;Data!$CP$2,"",OFFSET(tulossiirtymä,MATCH($D35,Data!$AN$2:$AN$313,0),Tulokset!I$2)))))</f>
        <v>333</v>
      </c>
      <c r="J35" s="78" t="str">
        <f ca="1">IF($B35&gt;keilatut,"",IF($C35=(-1),"",IF($C35=0,"Ero voittajaan",IF($C35&gt;Data!$CP$2,"",OFFSET(tulossiirtymä,MATCH($D35,Data!$AN$2:$AN$313,0),Tulokset!J$2)))))</f>
        <v/>
      </c>
      <c r="K35" s="78">
        <f ca="1">IF($B35&gt;keilatut,"",IF($C35=(-1),"",IF($C35=0,"Pisteet",IF($C35&gt;Data!$CP$2,"",OFFSET(tulossiirtymä,MATCH($D35,Data!$AN$2:$AN$313,0),Tulokset!K$2)))))</f>
        <v>11</v>
      </c>
      <c r="L35" s="78">
        <f ca="1">IF($B35&gt;keilatut,"",IF($C35=(-1),"",IF($C35=0,"Pisteet yhteensä",IF($C35&gt;Data!$CP$2,"",OFFSET(tulossiirtymä,MATCH($D35,Data!$AN$2:$AN$313,0),Tulokset!L$2)))))</f>
        <v>18.5</v>
      </c>
      <c r="M35" s="78" t="str">
        <f ca="1">IF($B35&gt;keilatut,"",IF($C35=(-1),"",IF($C35=0,"Pisteseloste",IF($C35&gt;Data!$CP$2,"",OFFSET(tulossiirtymä,MATCH($D35,Data!$AN$2:$AN$313,0),Tulokset!M$2)))))</f>
        <v>+SP</v>
      </c>
    </row>
    <row r="36" spans="2:13" x14ac:dyDescent="0.25">
      <c r="B36" s="78">
        <f t="shared" si="0"/>
        <v>2</v>
      </c>
      <c r="C36" s="78">
        <f>COUNTIF($B$6:B36,B36)-2</f>
        <v>2</v>
      </c>
      <c r="D36" s="79">
        <f t="array" ref="D36">IF($B36&lt;=keilatut,IF($C36&lt;1,"",IF($C36&gt;Data!$CP$2,"",SMALL(IF(Data!$B$2:$B$313=Tulokset!$B36,Data!$AN$2:$AN$313),Tulokset!$C36))),"")</f>
        <v>1.000032</v>
      </c>
      <c r="E36" s="78">
        <f>IF($B36&gt;keilatut,"",IF($C36=(-1),"GP"&amp;$B36&amp;", "&amp;DAY(VLOOKUP($B36,kilpailukalenteri,2))&amp;"."&amp;MONTH(VLOOKUP($B36,kilpailukalenteri,2))&amp;"."&amp;YEAR(VLOOKUP($B36,kilpailukalenteri,2))&amp;", "&amp;IF(RIGHT(VLOOKUP($B36,kilpailukalenteri,4),1)="*",LEFT(VLOOKUP($B36,kilpailukalenteri,4),LEN(VLOOKUP($B36,kilpailukalenteri,4))-2)&amp;", Kultainen GP",VLOOKUP($B36,kilpailukalenteri,4)),IF($C36=0,"Sija",IF($C36&gt;Data!$CP$2,"",ROUND(Tulokset!$D36,0)))))</f>
        <v>1</v>
      </c>
      <c r="F36" s="78" t="str">
        <f ca="1">IF($B36&gt;keilatut,"",IF($C36=(-1),"",IF($C36=0,"Nimi",IF($C36&gt;Data!$CP$2,"",OFFSET(tulossiirtymä,MATCH($D36,Data!$AN$2:$AN$313,0),Tulokset!F$2)))))</f>
        <v>Miika Nordblad</v>
      </c>
      <c r="G36" s="78">
        <f ca="1">IF($B36&gt;keilatut,"",IF($C36=(-1),"",IF($C36=0,"Sarja 1",IF($C36&gt;Data!$CP$2,"",OFFSET(tulossiirtymä,MATCH($D36,Data!$AN$2:$AN$313,0),Tulokset!G$2)))))</f>
        <v>157</v>
      </c>
      <c r="H36" s="78">
        <f ca="1">IF($B36&gt;keilatut,"",IF($C36=(-1),"",IF($C36=0,"Sarja 2",IF($C36&gt;Data!$CP$2,"",OFFSET(tulossiirtymä,MATCH($D36,Data!$AN$2:$AN$313,0),Tulokset!H$2)))))</f>
        <v>176</v>
      </c>
      <c r="I36" s="78">
        <f ca="1">IF($B36&gt;keilatut,"",IF($C36=(-1),"",IF($C36=0,"Yhteensä",IF($C36&gt;Data!$CP$2,"",OFFSET(tulossiirtymä,MATCH($D36,Data!$AN$2:$AN$313,0),Tulokset!I$2)))))</f>
        <v>333</v>
      </c>
      <c r="J36" s="78" t="str">
        <f ca="1">IF($B36&gt;keilatut,"",IF($C36=(-1),"",IF($C36=0,"Ero voittajaan",IF($C36&gt;Data!$CP$2,"",OFFSET(tulossiirtymä,MATCH($D36,Data!$AN$2:$AN$313,0),Tulokset!J$2)))))</f>
        <v/>
      </c>
      <c r="K36" s="78">
        <f ca="1">IF($B36&gt;keilatut,"",IF($C36=(-1),"",IF($C36=0,"Pisteet",IF($C36&gt;Data!$CP$2,"",OFFSET(tulossiirtymä,MATCH($D36,Data!$AN$2:$AN$313,0),Tulokset!K$2)))))</f>
        <v>11</v>
      </c>
      <c r="L36" s="78">
        <f ca="1">IF($B36&gt;keilatut,"",IF($C36=(-1),"",IF($C36=0,"Pisteet yhteensä",IF($C36&gt;Data!$CP$2,"",OFFSET(tulossiirtymä,MATCH($D36,Data!$AN$2:$AN$313,0),Tulokset!L$2)))))</f>
        <v>11</v>
      </c>
      <c r="M36" s="78" t="str">
        <f ca="1">IF($B36&gt;keilatut,"",IF($C36=(-1),"",IF($C36=0,"Pisteseloste",IF($C36&gt;Data!$CP$2,"",OFFSET(tulossiirtymä,MATCH($D36,Data!$AN$2:$AN$313,0),Tulokset!M$2)))))</f>
        <v>+SP</v>
      </c>
    </row>
    <row r="37" spans="2:13" x14ac:dyDescent="0.25">
      <c r="B37" s="78">
        <f t="shared" si="0"/>
        <v>2</v>
      </c>
      <c r="C37" s="78">
        <f>COUNTIF($B$6:B37,B37)-2</f>
        <v>3</v>
      </c>
      <c r="D37" s="79">
        <f t="array" ref="D37">IF($B37&lt;=keilatut,IF($C37&lt;1,"",IF($C37&gt;Data!$CP$2,"",SMALL(IF(Data!$B$2:$B$313=Tulokset!$B37,Data!$AN$2:$AN$313),Tulokset!$C37))),"")</f>
        <v>3.0000290000000001</v>
      </c>
      <c r="E37" s="78">
        <f>IF($B37&gt;keilatut,"",IF($C37=(-1),"GP"&amp;$B37&amp;", "&amp;DAY(VLOOKUP($B37,kilpailukalenteri,2))&amp;"."&amp;MONTH(VLOOKUP($B37,kilpailukalenteri,2))&amp;"."&amp;YEAR(VLOOKUP($B37,kilpailukalenteri,2))&amp;", "&amp;IF(RIGHT(VLOOKUP($B37,kilpailukalenteri,4),1)="*",LEFT(VLOOKUP($B37,kilpailukalenteri,4),LEN(VLOOKUP($B37,kilpailukalenteri,4))-2)&amp;", Kultainen GP",VLOOKUP($B37,kilpailukalenteri,4)),IF($C37=0,"Sija",IF($C37&gt;Data!$CP$2,"",ROUND(Tulokset!$D37,0)))))</f>
        <v>3</v>
      </c>
      <c r="F37" s="78" t="str">
        <f ca="1">IF($B37&gt;keilatut,"",IF($C37=(-1),"",IF($C37=0,"Nimi",IF($C37&gt;Data!$CP$2,"",OFFSET(tulossiirtymä,MATCH($D37,Data!$AN$2:$AN$313,0),Tulokset!F$2)))))</f>
        <v>Sakari Leinonen</v>
      </c>
      <c r="G37" s="78">
        <f ca="1">IF($B37&gt;keilatut,"",IF($C37=(-1),"",IF($C37=0,"Sarja 1",IF($C37&gt;Data!$CP$2,"",OFFSET(tulossiirtymä,MATCH($D37,Data!$AN$2:$AN$313,0),Tulokset!G$2)))))</f>
        <v>139</v>
      </c>
      <c r="H37" s="78">
        <f ca="1">IF($B37&gt;keilatut,"",IF($C37=(-1),"",IF($C37=0,"Sarja 2",IF($C37&gt;Data!$CP$2,"",OFFSET(tulossiirtymä,MATCH($D37,Data!$AN$2:$AN$313,0),Tulokset!H$2)))))</f>
        <v>193</v>
      </c>
      <c r="I37" s="78">
        <f ca="1">IF($B37&gt;keilatut,"",IF($C37=(-1),"",IF($C37=0,"Yhteensä",IF($C37&gt;Data!$CP$2,"",OFFSET(tulossiirtymä,MATCH($D37,Data!$AN$2:$AN$313,0),Tulokset!I$2)))))</f>
        <v>332</v>
      </c>
      <c r="J37" s="78">
        <f ca="1">IF($B37&gt;keilatut,"",IF($C37=(-1),"",IF($C37=0,"Ero voittajaan",IF($C37&gt;Data!$CP$2,"",OFFSET(tulossiirtymä,MATCH($D37,Data!$AN$2:$AN$313,0),Tulokset!J$2)))))</f>
        <v>1</v>
      </c>
      <c r="K37" s="78">
        <f ca="1">IF($B37&gt;keilatut,"",IF($C37=(-1),"",IF($C37=0,"Pisteet",IF($C37&gt;Data!$CP$2,"",OFFSET(tulossiirtymä,MATCH($D37,Data!$AN$2:$AN$313,0),Tulokset!K$2)))))</f>
        <v>8</v>
      </c>
      <c r="L37" s="78">
        <f ca="1">IF($B37&gt;keilatut,"",IF($C37=(-1),"",IF($C37=0,"Pisteet yhteensä",IF($C37&gt;Data!$CP$2,"",OFFSET(tulossiirtymä,MATCH($D37,Data!$AN$2:$AN$313,0),Tulokset!L$2)))))</f>
        <v>9</v>
      </c>
      <c r="M37" s="78" t="str">
        <f ca="1">IF($B37&gt;keilatut,"",IF($C37=(-1),"",IF($C37=0,"Pisteseloste",IF($C37&gt;Data!$CP$2,"",OFFSET(tulossiirtymä,MATCH($D37,Data!$AN$2:$AN$313,0),Tulokset!M$2)))))</f>
        <v>+SP</v>
      </c>
    </row>
    <row r="38" spans="2:13" x14ac:dyDescent="0.25">
      <c r="B38" s="78">
        <f t="shared" ref="B38:B101" si="1">IF(C37=25,1+B37,B37)</f>
        <v>2</v>
      </c>
      <c r="C38" s="78">
        <f>COUNTIF($B$6:B38,B38)-2</f>
        <v>4</v>
      </c>
      <c r="D38" s="79">
        <f t="array" ref="D38">IF($B38&lt;=keilatut,IF($C38&lt;1,"",IF($C38&gt;Data!$CP$2,"",SMALL(IF(Data!$B$2:$B$313=Tulokset!$B38,Data!$AN$2:$AN$313),Tulokset!$C38))),"")</f>
        <v>4.0000260000000001</v>
      </c>
      <c r="E38" s="78">
        <f>IF($B38&gt;keilatut,"",IF($C38=(-1),"GP"&amp;$B38&amp;", "&amp;DAY(VLOOKUP($B38,kilpailukalenteri,2))&amp;"."&amp;MONTH(VLOOKUP($B38,kilpailukalenteri,2))&amp;"."&amp;YEAR(VLOOKUP($B38,kilpailukalenteri,2))&amp;", "&amp;IF(RIGHT(VLOOKUP($B38,kilpailukalenteri,4),1)="*",LEFT(VLOOKUP($B38,kilpailukalenteri,4),LEN(VLOOKUP($B38,kilpailukalenteri,4))-2)&amp;", Kultainen GP",VLOOKUP($B38,kilpailukalenteri,4)),IF($C38=0,"Sija",IF($C38&gt;Data!$CP$2,"",ROUND(Tulokset!$D38,0)))))</f>
        <v>4</v>
      </c>
      <c r="F38" s="78" t="str">
        <f ca="1">IF($B38&gt;keilatut,"",IF($C38=(-1),"",IF($C38=0,"Nimi",IF($C38&gt;Data!$CP$2,"",OFFSET(tulossiirtymä,MATCH($D38,Data!$AN$2:$AN$313,0),Tulokset!F$2)))))</f>
        <v>Jami Kallio</v>
      </c>
      <c r="G38" s="78">
        <f ca="1">IF($B38&gt;keilatut,"",IF($C38=(-1),"",IF($C38=0,"Sarja 1",IF($C38&gt;Data!$CP$2,"",OFFSET(tulossiirtymä,MATCH($D38,Data!$AN$2:$AN$313,0),Tulokset!G$2)))))</f>
        <v>156</v>
      </c>
      <c r="H38" s="78">
        <f ca="1">IF($B38&gt;keilatut,"",IF($C38=(-1),"",IF($C38=0,"Sarja 2",IF($C38&gt;Data!$CP$2,"",OFFSET(tulossiirtymä,MATCH($D38,Data!$AN$2:$AN$313,0),Tulokset!H$2)))))</f>
        <v>170</v>
      </c>
      <c r="I38" s="78">
        <f ca="1">IF($B38&gt;keilatut,"",IF($C38=(-1),"",IF($C38=0,"Yhteensä",IF($C38&gt;Data!$CP$2,"",OFFSET(tulossiirtymä,MATCH($D38,Data!$AN$2:$AN$313,0),Tulokset!I$2)))))</f>
        <v>326</v>
      </c>
      <c r="J38" s="78">
        <f ca="1">IF($B38&gt;keilatut,"",IF($C38=(-1),"",IF($C38=0,"Ero voittajaan",IF($C38&gt;Data!$CP$2,"",OFFSET(tulossiirtymä,MATCH($D38,Data!$AN$2:$AN$313,0),Tulokset!J$2)))))</f>
        <v>7</v>
      </c>
      <c r="K38" s="78">
        <f ca="1">IF($B38&gt;keilatut,"",IF($C38=(-1),"",IF($C38=0,"Pisteet",IF($C38&gt;Data!$CP$2,"",OFFSET(tulossiirtymä,MATCH($D38,Data!$AN$2:$AN$313,0),Tulokset!K$2)))))</f>
        <v>7</v>
      </c>
      <c r="L38" s="78">
        <f ca="1">IF($B38&gt;keilatut,"",IF($C38=(-1),"",IF($C38=0,"Pisteet yhteensä",IF($C38&gt;Data!$CP$2,"",OFFSET(tulossiirtymä,MATCH($D38,Data!$AN$2:$AN$313,0),Tulokset!L$2)))))</f>
        <v>9</v>
      </c>
      <c r="M38" s="78" t="str">
        <f ca="1">IF($B38&gt;keilatut,"",IF($C38=(-1),"",IF($C38=0,"Pisteseloste",IF($C38&gt;Data!$CP$2,"",OFFSET(tulossiirtymä,MATCH($D38,Data!$AN$2:$AN$313,0),Tulokset!M$2)))))</f>
        <v>+SP</v>
      </c>
    </row>
    <row r="39" spans="2:13" x14ac:dyDescent="0.25">
      <c r="B39" s="78">
        <f t="shared" si="1"/>
        <v>2</v>
      </c>
      <c r="C39" s="78">
        <f>COUNTIF($B$6:B39,B39)-2</f>
        <v>5</v>
      </c>
      <c r="D39" s="79">
        <f t="array" ref="D39">IF($B39&lt;=keilatut,IF($C39&lt;1,"",IF($C39&gt;Data!$CP$2,"",SMALL(IF(Data!$B$2:$B$313=Tulokset!$B39,Data!$AN$2:$AN$313),Tulokset!$C39))),"")</f>
        <v>5.0000239999999998</v>
      </c>
      <c r="E39" s="78">
        <f>IF($B39&gt;keilatut,"",IF($C39=(-1),"GP"&amp;$B39&amp;", "&amp;DAY(VLOOKUP($B39,kilpailukalenteri,2))&amp;"."&amp;MONTH(VLOOKUP($B39,kilpailukalenteri,2))&amp;"."&amp;YEAR(VLOOKUP($B39,kilpailukalenteri,2))&amp;", "&amp;IF(RIGHT(VLOOKUP($B39,kilpailukalenteri,4),1)="*",LEFT(VLOOKUP($B39,kilpailukalenteri,4),LEN(VLOOKUP($B39,kilpailukalenteri,4))-2)&amp;", Kultainen GP",VLOOKUP($B39,kilpailukalenteri,4)),IF($C39=0,"Sija",IF($C39&gt;Data!$CP$2,"",ROUND(Tulokset!$D39,0)))))</f>
        <v>5</v>
      </c>
      <c r="F39" s="78" t="str">
        <f ca="1">IF($B39&gt;keilatut,"",IF($C39=(-1),"",IF($C39=0,"Nimi",IF($C39&gt;Data!$CP$2,"",OFFSET(tulossiirtymä,MATCH($D39,Data!$AN$2:$AN$313,0),Tulokset!F$2)))))</f>
        <v>Henri Verho</v>
      </c>
      <c r="G39" s="78">
        <f ca="1">IF($B39&gt;keilatut,"",IF($C39=(-1),"",IF($C39=0,"Sarja 1",IF($C39&gt;Data!$CP$2,"",OFFSET(tulossiirtymä,MATCH($D39,Data!$AN$2:$AN$313,0),Tulokset!G$2)))))</f>
        <v>147</v>
      </c>
      <c r="H39" s="78">
        <f ca="1">IF($B39&gt;keilatut,"",IF($C39=(-1),"",IF($C39=0,"Sarja 2",IF($C39&gt;Data!$CP$2,"",OFFSET(tulossiirtymä,MATCH($D39,Data!$AN$2:$AN$313,0),Tulokset!H$2)))))</f>
        <v>170</v>
      </c>
      <c r="I39" s="78">
        <f ca="1">IF($B39&gt;keilatut,"",IF($C39=(-1),"",IF($C39=0,"Yhteensä",IF($C39&gt;Data!$CP$2,"",OFFSET(tulossiirtymä,MATCH($D39,Data!$AN$2:$AN$313,0),Tulokset!I$2)))))</f>
        <v>317</v>
      </c>
      <c r="J39" s="78">
        <f ca="1">IF($B39&gt;keilatut,"",IF($C39=(-1),"",IF($C39=0,"Ero voittajaan",IF($C39&gt;Data!$CP$2,"",OFFSET(tulossiirtymä,MATCH($D39,Data!$AN$2:$AN$313,0),Tulokset!J$2)))))</f>
        <v>16</v>
      </c>
      <c r="K39" s="78">
        <f ca="1">IF($B39&gt;keilatut,"",IF($C39=(-1),"",IF($C39=0,"Pisteet",IF($C39&gt;Data!$CP$2,"",OFFSET(tulossiirtymä,MATCH($D39,Data!$AN$2:$AN$313,0),Tulokset!K$2)))))</f>
        <v>6</v>
      </c>
      <c r="L39" s="78">
        <f ca="1">IF($B39&gt;keilatut,"",IF($C39=(-1),"",IF($C39=0,"Pisteet yhteensä",IF($C39&gt;Data!$CP$2,"",OFFSET(tulossiirtymä,MATCH($D39,Data!$AN$2:$AN$313,0),Tulokset!L$2)))))</f>
        <v>11</v>
      </c>
      <c r="M39" s="78" t="str">
        <f ca="1">IF($B39&gt;keilatut,"",IF($C39=(-1),"",IF($C39=0,"Pisteseloste",IF($C39&gt;Data!$CP$2,"",OFFSET(tulossiirtymä,MATCH($D39,Data!$AN$2:$AN$313,0),Tulokset!M$2)))))</f>
        <v>+SP</v>
      </c>
    </row>
    <row r="40" spans="2:13" x14ac:dyDescent="0.25">
      <c r="B40" s="78">
        <f t="shared" si="1"/>
        <v>2</v>
      </c>
      <c r="C40" s="78">
        <f>COUNTIF($B$6:B40,B40)-2</f>
        <v>6</v>
      </c>
      <c r="D40" s="79">
        <f t="array" ref="D40">IF($B40&lt;=keilatut,IF($C40&lt;1,"",IF($C40&gt;Data!$CP$2,"",SMALL(IF(Data!$B$2:$B$313=Tulokset!$B40,Data!$AN$2:$AN$313),Tulokset!$C40))),"")</f>
        <v>6.0000220000000004</v>
      </c>
      <c r="E40" s="78">
        <f>IF($B40&gt;keilatut,"",IF($C40=(-1),"GP"&amp;$B40&amp;", "&amp;DAY(VLOOKUP($B40,kilpailukalenteri,2))&amp;"."&amp;MONTH(VLOOKUP($B40,kilpailukalenteri,2))&amp;"."&amp;YEAR(VLOOKUP($B40,kilpailukalenteri,2))&amp;", "&amp;IF(RIGHT(VLOOKUP($B40,kilpailukalenteri,4),1)="*",LEFT(VLOOKUP($B40,kilpailukalenteri,4),LEN(VLOOKUP($B40,kilpailukalenteri,4))-2)&amp;", Kultainen GP",VLOOKUP($B40,kilpailukalenteri,4)),IF($C40=0,"Sija",IF($C40&gt;Data!$CP$2,"",ROUND(Tulokset!$D40,0)))))</f>
        <v>6</v>
      </c>
      <c r="F40" s="78" t="str">
        <f ca="1">IF($B40&gt;keilatut,"",IF($C40=(-1),"",IF($C40=0,"Nimi",IF($C40&gt;Data!$CP$2,"",OFFSET(tulossiirtymä,MATCH($D40,Data!$AN$2:$AN$313,0),Tulokset!F$2)))))</f>
        <v>Ossi Oksa</v>
      </c>
      <c r="G40" s="78">
        <f ca="1">IF($B40&gt;keilatut,"",IF($C40=(-1),"",IF($C40=0,"Sarja 1",IF($C40&gt;Data!$CP$2,"",OFFSET(tulossiirtymä,MATCH($D40,Data!$AN$2:$AN$313,0),Tulokset!G$2)))))</f>
        <v>126</v>
      </c>
      <c r="H40" s="78">
        <f ca="1">IF($B40&gt;keilatut,"",IF($C40=(-1),"",IF($C40=0,"Sarja 2",IF($C40&gt;Data!$CP$2,"",OFFSET(tulossiirtymä,MATCH($D40,Data!$AN$2:$AN$313,0),Tulokset!H$2)))))</f>
        <v>182</v>
      </c>
      <c r="I40" s="78">
        <f ca="1">IF($B40&gt;keilatut,"",IF($C40=(-1),"",IF($C40=0,"Yhteensä",IF($C40&gt;Data!$CP$2,"",OFFSET(tulossiirtymä,MATCH($D40,Data!$AN$2:$AN$313,0),Tulokset!I$2)))))</f>
        <v>308</v>
      </c>
      <c r="J40" s="78">
        <f ca="1">IF($B40&gt;keilatut,"",IF($C40=(-1),"",IF($C40=0,"Ero voittajaan",IF($C40&gt;Data!$CP$2,"",OFFSET(tulossiirtymä,MATCH($D40,Data!$AN$2:$AN$313,0),Tulokset!J$2)))))</f>
        <v>25</v>
      </c>
      <c r="K40" s="78">
        <f ca="1">IF($B40&gt;keilatut,"",IF($C40=(-1),"",IF($C40=0,"Pisteet",IF($C40&gt;Data!$CP$2,"",OFFSET(tulossiirtymä,MATCH($D40,Data!$AN$2:$AN$313,0),Tulokset!K$2)))))</f>
        <v>6</v>
      </c>
      <c r="L40" s="78">
        <f ca="1">IF($B40&gt;keilatut,"",IF($C40=(-1),"",IF($C40=0,"Pisteet yhteensä",IF($C40&gt;Data!$CP$2,"",OFFSET(tulossiirtymä,MATCH($D40,Data!$AN$2:$AN$313,0),Tulokset!L$2)))))</f>
        <v>13.5</v>
      </c>
      <c r="M40" s="78" t="str">
        <f ca="1">IF($B40&gt;keilatut,"",IF($C40=(-1),"",IF($C40=0,"Pisteseloste",IF($C40&gt;Data!$CP$2,"",OFFSET(tulossiirtymä,MATCH($D40,Data!$AN$2:$AN$313,0),Tulokset!M$2)))))</f>
        <v>+SP+KK</v>
      </c>
    </row>
    <row r="41" spans="2:13" x14ac:dyDescent="0.25">
      <c r="B41" s="78">
        <f t="shared" si="1"/>
        <v>2</v>
      </c>
      <c r="C41" s="78">
        <f>COUNTIF($B$6:B41,B41)-2</f>
        <v>7</v>
      </c>
      <c r="D41" s="79">
        <f t="array" ref="D41">IF($B41&lt;=keilatut,IF($C41&lt;1,"",IF($C41&gt;Data!$CP$2,"",SMALL(IF(Data!$B$2:$B$313=Tulokset!$B41,Data!$AN$2:$AN$313),Tulokset!$C41))),"")</f>
        <v>7.0000309999999999</v>
      </c>
      <c r="E41" s="78">
        <f>IF($B41&gt;keilatut,"",IF($C41=(-1),"GP"&amp;$B41&amp;", "&amp;DAY(VLOOKUP($B41,kilpailukalenteri,2))&amp;"."&amp;MONTH(VLOOKUP($B41,kilpailukalenteri,2))&amp;"."&amp;YEAR(VLOOKUP($B41,kilpailukalenteri,2))&amp;", "&amp;IF(RIGHT(VLOOKUP($B41,kilpailukalenteri,4),1)="*",LEFT(VLOOKUP($B41,kilpailukalenteri,4),LEN(VLOOKUP($B41,kilpailukalenteri,4))-2)&amp;", Kultainen GP",VLOOKUP($B41,kilpailukalenteri,4)),IF($C41=0,"Sija",IF($C41&gt;Data!$CP$2,"",ROUND(Tulokset!$D41,0)))))</f>
        <v>7</v>
      </c>
      <c r="F41" s="78" t="str">
        <f ca="1">IF($B41&gt;keilatut,"",IF($C41=(-1),"",IF($C41=0,"Nimi",IF($C41&gt;Data!$CP$2,"",OFFSET(tulossiirtymä,MATCH($D41,Data!$AN$2:$AN$313,0),Tulokset!F$2)))))</f>
        <v>Asko Haaksi</v>
      </c>
      <c r="G41" s="78">
        <f ca="1">IF($B41&gt;keilatut,"",IF($C41=(-1),"",IF($C41=0,"Sarja 1",IF($C41&gt;Data!$CP$2,"",OFFSET(tulossiirtymä,MATCH($D41,Data!$AN$2:$AN$313,0),Tulokset!G$2)))))</f>
        <v>131</v>
      </c>
      <c r="H41" s="78">
        <f ca="1">IF($B41&gt;keilatut,"",IF($C41=(-1),"",IF($C41=0,"Sarja 2",IF($C41&gt;Data!$CP$2,"",OFFSET(tulossiirtymä,MATCH($D41,Data!$AN$2:$AN$313,0),Tulokset!H$2)))))</f>
        <v>176</v>
      </c>
      <c r="I41" s="78">
        <f ca="1">IF($B41&gt;keilatut,"",IF($C41=(-1),"",IF($C41=0,"Yhteensä",IF($C41&gt;Data!$CP$2,"",OFFSET(tulossiirtymä,MATCH($D41,Data!$AN$2:$AN$313,0),Tulokset!I$2)))))</f>
        <v>307</v>
      </c>
      <c r="J41" s="78">
        <f ca="1">IF($B41&gt;keilatut,"",IF($C41=(-1),"",IF($C41=0,"Ero voittajaan",IF($C41&gt;Data!$CP$2,"",OFFSET(tulossiirtymä,MATCH($D41,Data!$AN$2:$AN$313,0),Tulokset!J$2)))))</f>
        <v>26</v>
      </c>
      <c r="K41" s="78">
        <f ca="1">IF($B41&gt;keilatut,"",IF($C41=(-1),"",IF($C41=0,"Pisteet",IF($C41&gt;Data!$CP$2,"",OFFSET(tulossiirtymä,MATCH($D41,Data!$AN$2:$AN$313,0),Tulokset!K$2)))))</f>
        <v>4</v>
      </c>
      <c r="L41" s="78">
        <f ca="1">IF($B41&gt;keilatut,"",IF($C41=(-1),"",IF($C41=0,"Pisteet yhteensä",IF($C41&gt;Data!$CP$2,"",OFFSET(tulossiirtymä,MATCH($D41,Data!$AN$2:$AN$313,0),Tulokset!L$2)))))</f>
        <v>4</v>
      </c>
      <c r="M41" s="78" t="str">
        <f ca="1">IF($B41&gt;keilatut,"",IF($C41=(-1),"",IF($C41=0,"Pisteseloste",IF($C41&gt;Data!$CP$2,"",OFFSET(tulossiirtymä,MATCH($D41,Data!$AN$2:$AN$313,0),Tulokset!M$2)))))</f>
        <v>+SP</v>
      </c>
    </row>
    <row r="42" spans="2:13" x14ac:dyDescent="0.25">
      <c r="B42" s="78">
        <f t="shared" si="1"/>
        <v>2</v>
      </c>
      <c r="C42" s="78">
        <f>COUNTIF($B$6:B42,B42)-2</f>
        <v>8</v>
      </c>
      <c r="D42" s="79">
        <f t="array" ref="D42">IF($B42&lt;=keilatut,IF($C42&lt;1,"",IF($C42&gt;Data!$CP$2,"",SMALL(IF(Data!$B$2:$B$313=Tulokset!$B42,Data!$AN$2:$AN$313),Tulokset!$C42))),"")</f>
        <v>8.0000269999999993</v>
      </c>
      <c r="E42" s="78">
        <f>IF($B42&gt;keilatut,"",IF($C42=(-1),"GP"&amp;$B42&amp;", "&amp;DAY(VLOOKUP($B42,kilpailukalenteri,2))&amp;"."&amp;MONTH(VLOOKUP($B42,kilpailukalenteri,2))&amp;"."&amp;YEAR(VLOOKUP($B42,kilpailukalenteri,2))&amp;", "&amp;IF(RIGHT(VLOOKUP($B42,kilpailukalenteri,4),1)="*",LEFT(VLOOKUP($B42,kilpailukalenteri,4),LEN(VLOOKUP($B42,kilpailukalenteri,4))-2)&amp;", Kultainen GP",VLOOKUP($B42,kilpailukalenteri,4)),IF($C42=0,"Sija",IF($C42&gt;Data!$CP$2,"",ROUND(Tulokset!$D42,0)))))</f>
        <v>8</v>
      </c>
      <c r="F42" s="78" t="str">
        <f ca="1">IF($B42&gt;keilatut,"",IF($C42=(-1),"",IF($C42=0,"Nimi",IF($C42&gt;Data!$CP$2,"",OFFSET(tulossiirtymä,MATCH($D42,Data!$AN$2:$AN$313,0),Tulokset!F$2)))))</f>
        <v>Iiro Riikonen</v>
      </c>
      <c r="G42" s="78">
        <f ca="1">IF($B42&gt;keilatut,"",IF($C42=(-1),"",IF($C42=0,"Sarja 1",IF($C42&gt;Data!$CP$2,"",OFFSET(tulossiirtymä,MATCH($D42,Data!$AN$2:$AN$313,0),Tulokset!G$2)))))</f>
        <v>132</v>
      </c>
      <c r="H42" s="78">
        <f ca="1">IF($B42&gt;keilatut,"",IF($C42=(-1),"",IF($C42=0,"Sarja 2",IF($C42&gt;Data!$CP$2,"",OFFSET(tulossiirtymä,MATCH($D42,Data!$AN$2:$AN$313,0),Tulokset!H$2)))))</f>
        <v>165</v>
      </c>
      <c r="I42" s="78">
        <f ca="1">IF($B42&gt;keilatut,"",IF($C42=(-1),"",IF($C42=0,"Yhteensä",IF($C42&gt;Data!$CP$2,"",OFFSET(tulossiirtymä,MATCH($D42,Data!$AN$2:$AN$313,0),Tulokset!I$2)))))</f>
        <v>297</v>
      </c>
      <c r="J42" s="78">
        <f ca="1">IF($B42&gt;keilatut,"",IF($C42=(-1),"",IF($C42=0,"Ero voittajaan",IF($C42&gt;Data!$CP$2,"",OFFSET(tulossiirtymä,MATCH($D42,Data!$AN$2:$AN$313,0),Tulokset!J$2)))))</f>
        <v>36</v>
      </c>
      <c r="K42" s="78">
        <f ca="1">IF($B42&gt;keilatut,"",IF($C42=(-1),"",IF($C42=0,"Pisteet",IF($C42&gt;Data!$CP$2,"",OFFSET(tulossiirtymä,MATCH($D42,Data!$AN$2:$AN$313,0),Tulokset!K$2)))))</f>
        <v>3</v>
      </c>
      <c r="L42" s="78">
        <f ca="1">IF($B42&gt;keilatut,"",IF($C42=(-1),"",IF($C42=0,"Pisteet yhteensä",IF($C42&gt;Data!$CP$2,"",OFFSET(tulossiirtymä,MATCH($D42,Data!$AN$2:$AN$313,0),Tulokset!L$2)))))</f>
        <v>3</v>
      </c>
      <c r="M42" s="78" t="str">
        <f ca="1">IF($B42&gt;keilatut,"",IF($C42=(-1),"",IF($C42=0,"Pisteseloste",IF($C42&gt;Data!$CP$2,"",OFFSET(tulossiirtymä,MATCH($D42,Data!$AN$2:$AN$313,0),Tulokset!M$2)))))</f>
        <v>+SP</v>
      </c>
    </row>
    <row r="43" spans="2:13" x14ac:dyDescent="0.25">
      <c r="B43" s="78">
        <f t="shared" si="1"/>
        <v>2</v>
      </c>
      <c r="C43" s="78">
        <f>COUNTIF($B$6:B43,B43)-2</f>
        <v>9</v>
      </c>
      <c r="D43" s="79">
        <f t="array" ref="D43">IF($B43&lt;=keilatut,IF($C43&lt;1,"",IF($C43&gt;Data!$CP$2,"",SMALL(IF(Data!$B$2:$B$313=Tulokset!$B43,Data!$AN$2:$AN$313),Tulokset!$C43))),"")</f>
        <v>9.0000230000000006</v>
      </c>
      <c r="E43" s="78">
        <f>IF($B43&gt;keilatut,"",IF($C43=(-1),"GP"&amp;$B43&amp;", "&amp;DAY(VLOOKUP($B43,kilpailukalenteri,2))&amp;"."&amp;MONTH(VLOOKUP($B43,kilpailukalenteri,2))&amp;"."&amp;YEAR(VLOOKUP($B43,kilpailukalenteri,2))&amp;", "&amp;IF(RIGHT(VLOOKUP($B43,kilpailukalenteri,4),1)="*",LEFT(VLOOKUP($B43,kilpailukalenteri,4),LEN(VLOOKUP($B43,kilpailukalenteri,4))-2)&amp;", Kultainen GP",VLOOKUP($B43,kilpailukalenteri,4)),IF($C43=0,"Sija",IF($C43&gt;Data!$CP$2,"",ROUND(Tulokset!$D43,0)))))</f>
        <v>9</v>
      </c>
      <c r="F43" s="78" t="str">
        <f ca="1">IF($B43&gt;keilatut,"",IF($C43=(-1),"",IF($C43=0,"Nimi",IF($C43&gt;Data!$CP$2,"",OFFSET(tulossiirtymä,MATCH($D43,Data!$AN$2:$AN$313,0),Tulokset!F$2)))))</f>
        <v>Kaleva Latvala</v>
      </c>
      <c r="G43" s="78">
        <f ca="1">IF($B43&gt;keilatut,"",IF($C43=(-1),"",IF($C43=0,"Sarja 1",IF($C43&gt;Data!$CP$2,"",OFFSET(tulossiirtymä,MATCH($D43,Data!$AN$2:$AN$313,0),Tulokset!G$2)))))</f>
        <v>136</v>
      </c>
      <c r="H43" s="78">
        <f ca="1">IF($B43&gt;keilatut,"",IF($C43=(-1),"",IF($C43=0,"Sarja 2",IF($C43&gt;Data!$CP$2,"",OFFSET(tulossiirtymä,MATCH($D43,Data!$AN$2:$AN$313,0),Tulokset!H$2)))))</f>
        <v>125</v>
      </c>
      <c r="I43" s="78">
        <f ca="1">IF($B43&gt;keilatut,"",IF($C43=(-1),"",IF($C43=0,"Yhteensä",IF($C43&gt;Data!$CP$2,"",OFFSET(tulossiirtymä,MATCH($D43,Data!$AN$2:$AN$313,0),Tulokset!I$2)))))</f>
        <v>261</v>
      </c>
      <c r="J43" s="78">
        <f ca="1">IF($B43&gt;keilatut,"",IF($C43=(-1),"",IF($C43=0,"Ero voittajaan",IF($C43&gt;Data!$CP$2,"",OFFSET(tulossiirtymä,MATCH($D43,Data!$AN$2:$AN$313,0),Tulokset!J$2)))))</f>
        <v>72</v>
      </c>
      <c r="K43" s="78">
        <f ca="1">IF($B43&gt;keilatut,"",IF($C43=(-1),"",IF($C43=0,"Pisteet",IF($C43&gt;Data!$CP$2,"",OFFSET(tulossiirtymä,MATCH($D43,Data!$AN$2:$AN$313,0),Tulokset!K$2)))))</f>
        <v>2</v>
      </c>
      <c r="L43" s="78">
        <f ca="1">IF($B43&gt;keilatut,"",IF($C43=(-1),"",IF($C43=0,"Pisteet yhteensä",IF($C43&gt;Data!$CP$2,"",OFFSET(tulossiirtymä,MATCH($D43,Data!$AN$2:$AN$313,0),Tulokset!L$2)))))</f>
        <v>15</v>
      </c>
      <c r="M43" s="78" t="str">
        <f ca="1">IF($B43&gt;keilatut,"",IF($C43=(-1),"",IF($C43=0,"Pisteseloste",IF($C43&gt;Data!$CP$2,"",OFFSET(tulossiirtymä,MATCH($D43,Data!$AN$2:$AN$313,0),Tulokset!M$2)))))</f>
        <v>+SP</v>
      </c>
    </row>
    <row r="44" spans="2:13" x14ac:dyDescent="0.25">
      <c r="B44" s="78">
        <f t="shared" si="1"/>
        <v>2</v>
      </c>
      <c r="C44" s="78">
        <f>COUNTIF($B$6:B44,B44)-2</f>
        <v>10</v>
      </c>
      <c r="D44" s="79">
        <f t="array" ref="D44">IF($B44&lt;=keilatut,IF($C44&lt;1,"",IF($C44&gt;Data!$CP$2,"",SMALL(IF(Data!$B$2:$B$313=Tulokset!$B44,Data!$AN$2:$AN$313),Tulokset!$C44))),"")</f>
        <v>10.000025000000001</v>
      </c>
      <c r="E44" s="78">
        <f>IF($B44&gt;keilatut,"",IF($C44=(-1),"GP"&amp;$B44&amp;", "&amp;DAY(VLOOKUP($B44,kilpailukalenteri,2))&amp;"."&amp;MONTH(VLOOKUP($B44,kilpailukalenteri,2))&amp;"."&amp;YEAR(VLOOKUP($B44,kilpailukalenteri,2))&amp;", "&amp;IF(RIGHT(VLOOKUP($B44,kilpailukalenteri,4),1)="*",LEFT(VLOOKUP($B44,kilpailukalenteri,4),LEN(VLOOKUP($B44,kilpailukalenteri,4))-2)&amp;", Kultainen GP",VLOOKUP($B44,kilpailukalenteri,4)),IF($C44=0,"Sija",IF($C44&gt;Data!$CP$2,"",ROUND(Tulokset!$D44,0)))))</f>
        <v>10</v>
      </c>
      <c r="F44" s="78" t="str">
        <f ca="1">IF($B44&gt;keilatut,"",IF($C44=(-1),"",IF($C44=0,"Nimi",IF($C44&gt;Data!$CP$2,"",OFFSET(tulossiirtymä,MATCH($D44,Data!$AN$2:$AN$313,0),Tulokset!F$2)))))</f>
        <v>Olli Kajava</v>
      </c>
      <c r="G44" s="78">
        <f ca="1">IF($B44&gt;keilatut,"",IF($C44=(-1),"",IF($C44=0,"Sarja 1",IF($C44&gt;Data!$CP$2,"",OFFSET(tulossiirtymä,MATCH($D44,Data!$AN$2:$AN$313,0),Tulokset!G$2)))))</f>
        <v>126</v>
      </c>
      <c r="H44" s="78">
        <f ca="1">IF($B44&gt;keilatut,"",IF($C44=(-1),"",IF($C44=0,"Sarja 2",IF($C44&gt;Data!$CP$2,"",OFFSET(tulossiirtymä,MATCH($D44,Data!$AN$2:$AN$313,0),Tulokset!H$2)))))</f>
        <v>127</v>
      </c>
      <c r="I44" s="78">
        <f ca="1">IF($B44&gt;keilatut,"",IF($C44=(-1),"",IF($C44=0,"Yhteensä",IF($C44&gt;Data!$CP$2,"",OFFSET(tulossiirtymä,MATCH($D44,Data!$AN$2:$AN$313,0),Tulokset!I$2)))))</f>
        <v>253</v>
      </c>
      <c r="J44" s="78">
        <f ca="1">IF($B44&gt;keilatut,"",IF($C44=(-1),"",IF($C44=0,"Ero voittajaan",IF($C44&gt;Data!$CP$2,"",OFFSET(tulossiirtymä,MATCH($D44,Data!$AN$2:$AN$313,0),Tulokset!J$2)))))</f>
        <v>80</v>
      </c>
      <c r="K44" s="78">
        <f ca="1">IF($B44&gt;keilatut,"",IF($C44=(-1),"",IF($C44=0,"Pisteet",IF($C44&gt;Data!$CP$2,"",OFFSET(tulossiirtymä,MATCH($D44,Data!$AN$2:$AN$313,0),Tulokset!K$2)))))</f>
        <v>1</v>
      </c>
      <c r="L44" s="78">
        <f ca="1">IF($B44&gt;keilatut,"",IF($C44=(-1),"",IF($C44=0,"Pisteet yhteensä",IF($C44&gt;Data!$CP$2,"",OFFSET(tulossiirtymä,MATCH($D44,Data!$AN$2:$AN$313,0),Tulokset!L$2)))))</f>
        <v>1</v>
      </c>
      <c r="M44" s="78" t="str">
        <f ca="1">IF($B44&gt;keilatut,"",IF($C44=(-1),"",IF($C44=0,"Pisteseloste",IF($C44&gt;Data!$CP$2,"",OFFSET(tulossiirtymä,MATCH($D44,Data!$AN$2:$AN$313,0),Tulokset!M$2)))))</f>
        <v>+SP</v>
      </c>
    </row>
    <row r="45" spans="2:13" x14ac:dyDescent="0.25">
      <c r="B45" s="78">
        <f t="shared" si="1"/>
        <v>2</v>
      </c>
      <c r="C45" s="78">
        <f>COUNTIF($B$6:B45,B45)-2</f>
        <v>11</v>
      </c>
      <c r="D45" s="79">
        <f t="array" ref="D45">IF($B45&lt;=keilatut,IF($C45&lt;1,"",IF($C45&gt;Data!$CP$2,"",SMALL(IF(Data!$B$2:$B$313=Tulokset!$B45,Data!$AN$2:$AN$313),Tulokset!$C45))),"")</f>
        <v>11.000019</v>
      </c>
      <c r="E45" s="78">
        <f>IF($B45&gt;keilatut,"",IF($C45=(-1),"GP"&amp;$B45&amp;", "&amp;DAY(VLOOKUP($B45,kilpailukalenteri,2))&amp;"."&amp;MONTH(VLOOKUP($B45,kilpailukalenteri,2))&amp;"."&amp;YEAR(VLOOKUP($B45,kilpailukalenteri,2))&amp;", "&amp;IF(RIGHT(VLOOKUP($B45,kilpailukalenteri,4),1)="*",LEFT(VLOOKUP($B45,kilpailukalenteri,4),LEN(VLOOKUP($B45,kilpailukalenteri,4))-2)&amp;", Kultainen GP",VLOOKUP($B45,kilpailukalenteri,4)),IF($C45=0,"Sija",IF($C45&gt;Data!$CP$2,"",ROUND(Tulokset!$D45,0)))))</f>
        <v>11</v>
      </c>
      <c r="F45" s="78" t="str">
        <f ca="1">IF($B45&gt;keilatut,"",IF($C45=(-1),"",IF($C45=0,"Nimi",IF($C45&gt;Data!$CP$2,"",OFFSET(tulossiirtymä,MATCH($D45,Data!$AN$2:$AN$313,0),Tulokset!F$2)))))</f>
        <v>Joonas Ollonqvist</v>
      </c>
      <c r="G45" s="78">
        <f ca="1">IF($B45&gt;keilatut,"",IF($C45=(-1),"",IF($C45=0,"Sarja 1",IF($C45&gt;Data!$CP$2,"",OFFSET(tulossiirtymä,MATCH($D45,Data!$AN$2:$AN$313,0),Tulokset!G$2)))))</f>
        <v>126</v>
      </c>
      <c r="H45" s="78">
        <f ca="1">IF($B45&gt;keilatut,"",IF($C45=(-1),"",IF($C45=0,"Sarja 2",IF($C45&gt;Data!$CP$2,"",OFFSET(tulossiirtymä,MATCH($D45,Data!$AN$2:$AN$313,0),Tulokset!H$2)))))</f>
        <v>121</v>
      </c>
      <c r="I45" s="78">
        <f ca="1">IF($B45&gt;keilatut,"",IF($C45=(-1),"",IF($C45=0,"Yhteensä",IF($C45&gt;Data!$CP$2,"",OFFSET(tulossiirtymä,MATCH($D45,Data!$AN$2:$AN$313,0),Tulokset!I$2)))))</f>
        <v>247</v>
      </c>
      <c r="J45" s="78">
        <f ca="1">IF($B45&gt;keilatut,"",IF($C45=(-1),"",IF($C45=0,"Ero voittajaan",IF($C45&gt;Data!$CP$2,"",OFFSET(tulossiirtymä,MATCH($D45,Data!$AN$2:$AN$313,0),Tulokset!J$2)))))</f>
        <v>86</v>
      </c>
      <c r="K45" s="78">
        <f ca="1">IF($B45&gt;keilatut,"",IF($C45=(-1),"",IF($C45=0,"Pisteet",IF($C45&gt;Data!$CP$2,"",OFFSET(tulossiirtymä,MATCH($D45,Data!$AN$2:$AN$313,0),Tulokset!K$2)))))</f>
        <v>0</v>
      </c>
      <c r="L45" s="78">
        <f ca="1">IF($B45&gt;keilatut,"",IF($C45=(-1),"",IF($C45=0,"Pisteet yhteensä",IF($C45&gt;Data!$CP$2,"",OFFSET(tulossiirtymä,MATCH($D45,Data!$AN$2:$AN$313,0),Tulokset!L$2)))))</f>
        <v>0</v>
      </c>
      <c r="M45" s="78" t="str">
        <f ca="1">IF($B45&gt;keilatut,"",IF($C45=(-1),"",IF($C45=0,"Pisteseloste",IF($C45&gt;Data!$CP$2,"",OFFSET(tulossiirtymä,MATCH($D45,Data!$AN$2:$AN$313,0),Tulokset!M$2)))))</f>
        <v/>
      </c>
    </row>
    <row r="46" spans="2:13" x14ac:dyDescent="0.25">
      <c r="B46" s="78">
        <f t="shared" si="1"/>
        <v>2</v>
      </c>
      <c r="C46" s="78">
        <f>COUNTIF($B$6:B46,B46)-2</f>
        <v>12</v>
      </c>
      <c r="D46" s="79">
        <f t="array" ref="D46">IF($B46&lt;=keilatut,IF($C46&lt;1,"",IF($C46&gt;Data!$CP$2,"",SMALL(IF(Data!$B$2:$B$313=Tulokset!$B46,Data!$AN$2:$AN$313),Tulokset!$C46))),"")</f>
        <v>12.000021</v>
      </c>
      <c r="E46" s="78">
        <f>IF($B46&gt;keilatut,"",IF($C46=(-1),"GP"&amp;$B46&amp;", "&amp;DAY(VLOOKUP($B46,kilpailukalenteri,2))&amp;"."&amp;MONTH(VLOOKUP($B46,kilpailukalenteri,2))&amp;"."&amp;YEAR(VLOOKUP($B46,kilpailukalenteri,2))&amp;", "&amp;IF(RIGHT(VLOOKUP($B46,kilpailukalenteri,4),1)="*",LEFT(VLOOKUP($B46,kilpailukalenteri,4),LEN(VLOOKUP($B46,kilpailukalenteri,4))-2)&amp;", Kultainen GP",VLOOKUP($B46,kilpailukalenteri,4)),IF($C46=0,"Sija",IF($C46&gt;Data!$CP$2,"",ROUND(Tulokset!$D46,0)))))</f>
        <v>12</v>
      </c>
      <c r="F46" s="78" t="str">
        <f ca="1">IF($B46&gt;keilatut,"",IF($C46=(-1),"",IF($C46=0,"Nimi",IF($C46&gt;Data!$CP$2,"",OFFSET(tulossiirtymä,MATCH($D46,Data!$AN$2:$AN$313,0),Tulokset!F$2)))))</f>
        <v>Juho Korpi</v>
      </c>
      <c r="G46" s="78">
        <f ca="1">IF($B46&gt;keilatut,"",IF($C46=(-1),"",IF($C46=0,"Sarja 1",IF($C46&gt;Data!$CP$2,"",OFFSET(tulossiirtymä,MATCH($D46,Data!$AN$2:$AN$313,0),Tulokset!G$2)))))</f>
        <v>102</v>
      </c>
      <c r="H46" s="78">
        <f ca="1">IF($B46&gt;keilatut,"",IF($C46=(-1),"",IF($C46=0,"Sarja 2",IF($C46&gt;Data!$CP$2,"",OFFSET(tulossiirtymä,MATCH($D46,Data!$AN$2:$AN$313,0),Tulokset!H$2)))))</f>
        <v>139</v>
      </c>
      <c r="I46" s="78">
        <f ca="1">IF($B46&gt;keilatut,"",IF($C46=(-1),"",IF($C46=0,"Yhteensä",IF($C46&gt;Data!$CP$2,"",OFFSET(tulossiirtymä,MATCH($D46,Data!$AN$2:$AN$313,0),Tulokset!I$2)))))</f>
        <v>241</v>
      </c>
      <c r="J46" s="78">
        <f ca="1">IF($B46&gt;keilatut,"",IF($C46=(-1),"",IF($C46=0,"Ero voittajaan",IF($C46&gt;Data!$CP$2,"",OFFSET(tulossiirtymä,MATCH($D46,Data!$AN$2:$AN$313,0),Tulokset!J$2)))))</f>
        <v>92</v>
      </c>
      <c r="K46" s="78">
        <f ca="1">IF($B46&gt;keilatut,"",IF($C46=(-1),"",IF($C46=0,"Pisteet",IF($C46&gt;Data!$CP$2,"",OFFSET(tulossiirtymä,MATCH($D46,Data!$AN$2:$AN$313,0),Tulokset!K$2)))))</f>
        <v>0</v>
      </c>
      <c r="L46" s="78">
        <f ca="1">IF($B46&gt;keilatut,"",IF($C46=(-1),"",IF($C46=0,"Pisteet yhteensä",IF($C46&gt;Data!$CP$2,"",OFFSET(tulossiirtymä,MATCH($D46,Data!$AN$2:$AN$313,0),Tulokset!L$2)))))</f>
        <v>0</v>
      </c>
      <c r="M46" s="78" t="str">
        <f ca="1">IF($B46&gt;keilatut,"",IF($C46=(-1),"",IF($C46=0,"Pisteseloste",IF($C46&gt;Data!$CP$2,"",OFFSET(tulossiirtymä,MATCH($D46,Data!$AN$2:$AN$313,0),Tulokset!M$2)))))</f>
        <v/>
      </c>
    </row>
    <row r="47" spans="2:13" x14ac:dyDescent="0.25">
      <c r="B47" s="78">
        <f t="shared" si="1"/>
        <v>2</v>
      </c>
      <c r="C47" s="78">
        <f>COUNTIF($B$6:B47,B47)-2</f>
        <v>13</v>
      </c>
      <c r="D47" s="79">
        <f t="array" ref="D47">IF($B47&lt;=keilatut,IF($C47&lt;1,"",IF($C47&gt;Data!$CP$2,"",SMALL(IF(Data!$B$2:$B$313=Tulokset!$B47,Data!$AN$2:$AN$313),Tulokset!$C47))),"")</f>
        <v>13.000033</v>
      </c>
      <c r="E47" s="78">
        <f>IF($B47&gt;keilatut,"",IF($C47=(-1),"GP"&amp;$B47&amp;", "&amp;DAY(VLOOKUP($B47,kilpailukalenteri,2))&amp;"."&amp;MONTH(VLOOKUP($B47,kilpailukalenteri,2))&amp;"."&amp;YEAR(VLOOKUP($B47,kilpailukalenteri,2))&amp;", "&amp;IF(RIGHT(VLOOKUP($B47,kilpailukalenteri,4),1)="*",LEFT(VLOOKUP($B47,kilpailukalenteri,4),LEN(VLOOKUP($B47,kilpailukalenteri,4))-2)&amp;", Kultainen GP",VLOOKUP($B47,kilpailukalenteri,4)),IF($C47=0,"Sija",IF($C47&gt;Data!$CP$2,"",ROUND(Tulokset!$D47,0)))))</f>
        <v>13</v>
      </c>
      <c r="F47" s="78" t="str">
        <f ca="1">IF($B47&gt;keilatut,"",IF($C47=(-1),"",IF($C47=0,"Nimi",IF($C47&gt;Data!$CP$2,"",OFFSET(tulossiirtymä,MATCH($D47,Data!$AN$2:$AN$313,0),Tulokset!F$2)))))</f>
        <v>Mika Sola</v>
      </c>
      <c r="G47" s="78">
        <f ca="1">IF($B47&gt;keilatut,"",IF($C47=(-1),"",IF($C47=0,"Sarja 1",IF($C47&gt;Data!$CP$2,"",OFFSET(tulossiirtymä,MATCH($D47,Data!$AN$2:$AN$313,0),Tulokset!G$2)))))</f>
        <v>91</v>
      </c>
      <c r="H47" s="78">
        <f ca="1">IF($B47&gt;keilatut,"",IF($C47=(-1),"",IF($C47=0,"Sarja 2",IF($C47&gt;Data!$CP$2,"",OFFSET(tulossiirtymä,MATCH($D47,Data!$AN$2:$AN$313,0),Tulokset!H$2)))))</f>
        <v>139</v>
      </c>
      <c r="I47" s="78">
        <f ca="1">IF($B47&gt;keilatut,"",IF($C47=(-1),"",IF($C47=0,"Yhteensä",IF($C47&gt;Data!$CP$2,"",OFFSET(tulossiirtymä,MATCH($D47,Data!$AN$2:$AN$313,0),Tulokset!I$2)))))</f>
        <v>230</v>
      </c>
      <c r="J47" s="78">
        <f ca="1">IF($B47&gt;keilatut,"",IF($C47=(-1),"",IF($C47=0,"Ero voittajaan",IF($C47&gt;Data!$CP$2,"",OFFSET(tulossiirtymä,MATCH($D47,Data!$AN$2:$AN$313,0),Tulokset!J$2)))))</f>
        <v>103</v>
      </c>
      <c r="K47" s="78">
        <f ca="1">IF($B47&gt;keilatut,"",IF($C47=(-1),"",IF($C47=0,"Pisteet",IF($C47&gt;Data!$CP$2,"",OFFSET(tulossiirtymä,MATCH($D47,Data!$AN$2:$AN$313,0),Tulokset!K$2)))))</f>
        <v>0</v>
      </c>
      <c r="L47" s="78">
        <f ca="1">IF($B47&gt;keilatut,"",IF($C47=(-1),"",IF($C47=0,"Pisteet yhteensä",IF($C47&gt;Data!$CP$2,"",OFFSET(tulossiirtymä,MATCH($D47,Data!$AN$2:$AN$313,0),Tulokset!L$2)))))</f>
        <v>10</v>
      </c>
      <c r="M47" s="78" t="str">
        <f ca="1">IF($B47&gt;keilatut,"",IF($C47=(-1),"",IF($C47=0,"Pisteseloste",IF($C47&gt;Data!$CP$2,"",OFFSET(tulossiirtymä,MATCH($D47,Data!$AN$2:$AN$313,0),Tulokset!M$2)))))</f>
        <v/>
      </c>
    </row>
    <row r="48" spans="2:13" x14ac:dyDescent="0.25">
      <c r="B48" s="78">
        <f t="shared" si="1"/>
        <v>2</v>
      </c>
      <c r="C48" s="78">
        <f>COUNTIF($B$6:B48,B48)-2</f>
        <v>14</v>
      </c>
      <c r="D48" s="79">
        <f t="array" ref="D48">IF($B48&lt;=keilatut,IF($C48&lt;1,"",IF($C48&gt;Data!$CP$2,"",SMALL(IF(Data!$B$2:$B$313=Tulokset!$B48,Data!$AN$2:$AN$313),Tulokset!$C48))),"")</f>
        <v>14.000019999999999</v>
      </c>
      <c r="E48" s="78">
        <f>IF($B48&gt;keilatut,"",IF($C48=(-1),"GP"&amp;$B48&amp;", "&amp;DAY(VLOOKUP($B48,kilpailukalenteri,2))&amp;"."&amp;MONTH(VLOOKUP($B48,kilpailukalenteri,2))&amp;"."&amp;YEAR(VLOOKUP($B48,kilpailukalenteri,2))&amp;", "&amp;IF(RIGHT(VLOOKUP($B48,kilpailukalenteri,4),1)="*",LEFT(VLOOKUP($B48,kilpailukalenteri,4),LEN(VLOOKUP($B48,kilpailukalenteri,4))-2)&amp;", Kultainen GP",VLOOKUP($B48,kilpailukalenteri,4)),IF($C48=0,"Sija",IF($C48&gt;Data!$CP$2,"",ROUND(Tulokset!$D48,0)))))</f>
        <v>14</v>
      </c>
      <c r="F48" s="78" t="str">
        <f ca="1">IF($B48&gt;keilatut,"",IF($C48=(-1),"",IF($C48=0,"Nimi",IF($C48&gt;Data!$CP$2,"",OFFSET(tulossiirtymä,MATCH($D48,Data!$AN$2:$AN$313,0),Tulokset!F$2)))))</f>
        <v>Tatu Erlin</v>
      </c>
      <c r="G48" s="78">
        <f ca="1">IF($B48&gt;keilatut,"",IF($C48=(-1),"",IF($C48=0,"Sarja 1",IF($C48&gt;Data!$CP$2,"",OFFSET(tulossiirtymä,MATCH($D48,Data!$AN$2:$AN$313,0),Tulokset!G$2)))))</f>
        <v>104</v>
      </c>
      <c r="H48" s="78">
        <f ca="1">IF($B48&gt;keilatut,"",IF($C48=(-1),"",IF($C48=0,"Sarja 2",IF($C48&gt;Data!$CP$2,"",OFFSET(tulossiirtymä,MATCH($D48,Data!$AN$2:$AN$313,0),Tulokset!H$2)))))</f>
        <v>119</v>
      </c>
      <c r="I48" s="78">
        <f ca="1">IF($B48&gt;keilatut,"",IF($C48=(-1),"",IF($C48=0,"Yhteensä",IF($C48&gt;Data!$CP$2,"",OFFSET(tulossiirtymä,MATCH($D48,Data!$AN$2:$AN$313,0),Tulokset!I$2)))))</f>
        <v>223</v>
      </c>
      <c r="J48" s="78">
        <f ca="1">IF($B48&gt;keilatut,"",IF($C48=(-1),"",IF($C48=0,"Ero voittajaan",IF($C48&gt;Data!$CP$2,"",OFFSET(tulossiirtymä,MATCH($D48,Data!$AN$2:$AN$313,0),Tulokset!J$2)))))</f>
        <v>110</v>
      </c>
      <c r="K48" s="78">
        <f ca="1">IF($B48&gt;keilatut,"",IF($C48=(-1),"",IF($C48=0,"Pisteet",IF($C48&gt;Data!$CP$2,"",OFFSET(tulossiirtymä,MATCH($D48,Data!$AN$2:$AN$313,0),Tulokset!K$2)))))</f>
        <v>0</v>
      </c>
      <c r="L48" s="78">
        <f ca="1">IF($B48&gt;keilatut,"",IF($C48=(-1),"",IF($C48=0,"Pisteet yhteensä",IF($C48&gt;Data!$CP$2,"",OFFSET(tulossiirtymä,MATCH($D48,Data!$AN$2:$AN$313,0),Tulokset!L$2)))))</f>
        <v>6</v>
      </c>
      <c r="M48" s="78" t="str">
        <f ca="1">IF($B48&gt;keilatut,"",IF($C48=(-1),"",IF($C48=0,"Pisteseloste",IF($C48&gt;Data!$CP$2,"",OFFSET(tulossiirtymä,MATCH($D48,Data!$AN$2:$AN$313,0),Tulokset!M$2)))))</f>
        <v/>
      </c>
    </row>
    <row r="49" spans="2:13" x14ac:dyDescent="0.25">
      <c r="B49" s="78">
        <f t="shared" si="1"/>
        <v>2</v>
      </c>
      <c r="C49" s="78">
        <f>COUNTIF($B$6:B49,B49)-2</f>
        <v>15</v>
      </c>
      <c r="D49" s="79">
        <f t="array" ref="D49">IF($B49&lt;=keilatut,IF($C49&lt;1,"",IF($C49&gt;Data!$CP$2,"",SMALL(IF(Data!$B$2:$B$313=Tulokset!$B49,Data!$AN$2:$AN$313),Tulokset!$C49))),"")</f>
        <v>15.000028</v>
      </c>
      <c r="E49" s="78">
        <f>IF($B49&gt;keilatut,"",IF($C49=(-1),"GP"&amp;$B49&amp;", "&amp;DAY(VLOOKUP($B49,kilpailukalenteri,2))&amp;"."&amp;MONTH(VLOOKUP($B49,kilpailukalenteri,2))&amp;"."&amp;YEAR(VLOOKUP($B49,kilpailukalenteri,2))&amp;", "&amp;IF(RIGHT(VLOOKUP($B49,kilpailukalenteri,4),1)="*",LEFT(VLOOKUP($B49,kilpailukalenteri,4),LEN(VLOOKUP($B49,kilpailukalenteri,4))-2)&amp;", Kultainen GP",VLOOKUP($B49,kilpailukalenteri,4)),IF($C49=0,"Sija",IF($C49&gt;Data!$CP$2,"",ROUND(Tulokset!$D49,0)))))</f>
        <v>15</v>
      </c>
      <c r="F49" s="78" t="str">
        <f ca="1">IF($B49&gt;keilatut,"",IF($C49=(-1),"",IF($C49=0,"Nimi",IF($C49&gt;Data!$CP$2,"",OFFSET(tulossiirtymä,MATCH($D49,Data!$AN$2:$AN$313,0),Tulokset!F$2)))))</f>
        <v>Miikka Korventausta</v>
      </c>
      <c r="G49" s="78">
        <f ca="1">IF($B49&gt;keilatut,"",IF($C49=(-1),"",IF($C49=0,"Sarja 1",IF($C49&gt;Data!$CP$2,"",OFFSET(tulossiirtymä,MATCH($D49,Data!$AN$2:$AN$313,0),Tulokset!G$2)))))</f>
        <v>110</v>
      </c>
      <c r="H49" s="78">
        <f ca="1">IF($B49&gt;keilatut,"",IF($C49=(-1),"",IF($C49=0,"Sarja 2",IF($C49&gt;Data!$CP$2,"",OFFSET(tulossiirtymä,MATCH($D49,Data!$AN$2:$AN$313,0),Tulokset!H$2)))))</f>
        <v>107</v>
      </c>
      <c r="I49" s="78">
        <f ca="1">IF($B49&gt;keilatut,"",IF($C49=(-1),"",IF($C49=0,"Yhteensä",IF($C49&gt;Data!$CP$2,"",OFFSET(tulossiirtymä,MATCH($D49,Data!$AN$2:$AN$313,0),Tulokset!I$2)))))</f>
        <v>217</v>
      </c>
      <c r="J49" s="78">
        <f ca="1">IF($B49&gt;keilatut,"",IF($C49=(-1),"",IF($C49=0,"Ero voittajaan",IF($C49&gt;Data!$CP$2,"",OFFSET(tulossiirtymä,MATCH($D49,Data!$AN$2:$AN$313,0),Tulokset!J$2)))))</f>
        <v>116</v>
      </c>
      <c r="K49" s="78">
        <f ca="1">IF($B49&gt;keilatut,"",IF($C49=(-1),"",IF($C49=0,"Pisteet",IF($C49&gt;Data!$CP$2,"",OFFSET(tulossiirtymä,MATCH($D49,Data!$AN$2:$AN$313,0),Tulokset!K$2)))))</f>
        <v>0</v>
      </c>
      <c r="L49" s="78">
        <f ca="1">IF($B49&gt;keilatut,"",IF($C49=(-1),"",IF($C49=0,"Pisteet yhteensä",IF($C49&gt;Data!$CP$2,"",OFFSET(tulossiirtymä,MATCH($D49,Data!$AN$2:$AN$313,0),Tulokset!L$2)))))</f>
        <v>0</v>
      </c>
      <c r="M49" s="78" t="str">
        <f ca="1">IF($B49&gt;keilatut,"",IF($C49=(-1),"",IF($C49=0,"Pisteseloste",IF($C49&gt;Data!$CP$2,"",OFFSET(tulossiirtymä,MATCH($D49,Data!$AN$2:$AN$313,0),Tulokset!M$2)))))</f>
        <v/>
      </c>
    </row>
    <row r="50" spans="2:13" x14ac:dyDescent="0.25">
      <c r="B50" s="78">
        <f t="shared" si="1"/>
        <v>2</v>
      </c>
      <c r="C50" s="78">
        <f>COUNTIF($B$6:B50,B50)-2</f>
        <v>16</v>
      </c>
      <c r="D50" s="79">
        <f t="array" ref="D50">IF($B50&lt;=keilatut,IF($C50&lt;1,"",IF($C50&gt;Data!$CP$2,"",SMALL(IF(Data!$B$2:$B$313=Tulokset!$B50,Data!$AN$2:$AN$313),Tulokset!$C50))),"")</f>
        <v>16.000033999999999</v>
      </c>
      <c r="E50" s="78">
        <f>IF($B50&gt;keilatut,"",IF($C50=(-1),"GP"&amp;$B50&amp;", "&amp;DAY(VLOOKUP($B50,kilpailukalenteri,2))&amp;"."&amp;MONTH(VLOOKUP($B50,kilpailukalenteri,2))&amp;"."&amp;YEAR(VLOOKUP($B50,kilpailukalenteri,2))&amp;", "&amp;IF(RIGHT(VLOOKUP($B50,kilpailukalenteri,4),1)="*",LEFT(VLOOKUP($B50,kilpailukalenteri,4),LEN(VLOOKUP($B50,kilpailukalenteri,4))-2)&amp;", Kultainen GP",VLOOKUP($B50,kilpailukalenteri,4)),IF($C50=0,"Sija",IF($C50&gt;Data!$CP$2,"",ROUND(Tulokset!$D50,0)))))</f>
        <v>16</v>
      </c>
      <c r="F50" s="78" t="str">
        <f ca="1">IF($B50&gt;keilatut,"",IF($C50=(-1),"",IF($C50=0,"Nimi",IF($C50&gt;Data!$CP$2,"",OFFSET(tulossiirtymä,MATCH($D50,Data!$AN$2:$AN$313,0),Tulokset!F$2)))))</f>
        <v>Niko Reunanen</v>
      </c>
      <c r="G50" s="78">
        <f ca="1">IF($B50&gt;keilatut,"",IF($C50=(-1),"",IF($C50=0,"Sarja 1",IF($C50&gt;Data!$CP$2,"",OFFSET(tulossiirtymä,MATCH($D50,Data!$AN$2:$AN$313,0),Tulokset!G$2)))))</f>
        <v>0</v>
      </c>
      <c r="H50" s="78">
        <f ca="1">IF($B50&gt;keilatut,"",IF($C50=(-1),"",IF($C50=0,"Sarja 2",IF($C50&gt;Data!$CP$2,"",OFFSET(tulossiirtymä,MATCH($D50,Data!$AN$2:$AN$313,0),Tulokset!H$2)))))</f>
        <v>0</v>
      </c>
      <c r="I50" s="78">
        <f ca="1">IF($B50&gt;keilatut,"",IF($C50=(-1),"",IF($C50=0,"Yhteensä",IF($C50&gt;Data!$CP$2,"",OFFSET(tulossiirtymä,MATCH($D50,Data!$AN$2:$AN$313,0),Tulokset!I$2)))))</f>
        <v>0</v>
      </c>
      <c r="J50" s="78" t="str">
        <f ca="1">IF($B50&gt;keilatut,"",IF($C50=(-1),"",IF($C50=0,"Ero voittajaan",IF($C50&gt;Data!$CP$2,"",OFFSET(tulossiirtymä,MATCH($D50,Data!$AN$2:$AN$313,0),Tulokset!J$2)))))</f>
        <v/>
      </c>
      <c r="K50" s="78">
        <f ca="1">IF($B50&gt;keilatut,"",IF($C50=(-1),"",IF($C50=0,"Pisteet",IF($C50&gt;Data!$CP$2,"",OFFSET(tulossiirtymä,MATCH($D50,Data!$AN$2:$AN$313,0),Tulokset!K$2)))))</f>
        <v>0</v>
      </c>
      <c r="L50" s="78">
        <f ca="1">IF($B50&gt;keilatut,"",IF($C50=(-1),"",IF($C50=0,"Pisteet yhteensä",IF($C50&gt;Data!$CP$2,"",OFFSET(tulossiirtymä,MATCH($D50,Data!$AN$2:$AN$313,0),Tulokset!L$2)))))</f>
        <v>3</v>
      </c>
      <c r="M50" s="78" t="str">
        <f ca="1">IF($B50&gt;keilatut,"",IF($C50=(-1),"",IF($C50=0,"Pisteseloste",IF($C50&gt;Data!$CP$2,"",OFFSET(tulossiirtymä,MATCH($D50,Data!$AN$2:$AN$313,0),Tulokset!M$2)))))</f>
        <v/>
      </c>
    </row>
    <row r="51" spans="2:13" x14ac:dyDescent="0.25">
      <c r="B51" s="78">
        <f t="shared" si="1"/>
        <v>2</v>
      </c>
      <c r="C51" s="78">
        <f>COUNTIF($B$6:B51,B51)-2</f>
        <v>17</v>
      </c>
      <c r="D51" s="79">
        <f t="array" ref="D51">IF($B51&lt;=keilatut,IF($C51&lt;1,"",IF($C51&gt;Data!$CP$2,"",SMALL(IF(Data!$B$2:$B$313=Tulokset!$B51,Data!$AN$2:$AN$313),Tulokset!$C51))),"")</f>
        <v>16.000035</v>
      </c>
      <c r="E51" s="78">
        <f>IF($B51&gt;keilatut,"",IF($C51=(-1),"GP"&amp;$B51&amp;", "&amp;DAY(VLOOKUP($B51,kilpailukalenteri,2))&amp;"."&amp;MONTH(VLOOKUP($B51,kilpailukalenteri,2))&amp;"."&amp;YEAR(VLOOKUP($B51,kilpailukalenteri,2))&amp;", "&amp;IF(RIGHT(VLOOKUP($B51,kilpailukalenteri,4),1)="*",LEFT(VLOOKUP($B51,kilpailukalenteri,4),LEN(VLOOKUP($B51,kilpailukalenteri,4))-2)&amp;", Kultainen GP",VLOOKUP($B51,kilpailukalenteri,4)),IF($C51=0,"Sija",IF($C51&gt;Data!$CP$2,"",ROUND(Tulokset!$D51,0)))))</f>
        <v>16</v>
      </c>
      <c r="F51" s="78" t="str">
        <f ca="1">IF($B51&gt;keilatut,"",IF($C51=(-1),"",IF($C51=0,"Nimi",IF($C51&gt;Data!$CP$2,"",OFFSET(tulossiirtymä,MATCH($D51,Data!$AN$2:$AN$313,0),Tulokset!F$2)))))</f>
        <v>Mikko Mansikkamäki</v>
      </c>
      <c r="G51" s="78">
        <f ca="1">IF($B51&gt;keilatut,"",IF($C51=(-1),"",IF($C51=0,"Sarja 1",IF($C51&gt;Data!$CP$2,"",OFFSET(tulossiirtymä,MATCH($D51,Data!$AN$2:$AN$313,0),Tulokset!G$2)))))</f>
        <v>0</v>
      </c>
      <c r="H51" s="78">
        <f ca="1">IF($B51&gt;keilatut,"",IF($C51=(-1),"",IF($C51=0,"Sarja 2",IF($C51&gt;Data!$CP$2,"",OFFSET(tulossiirtymä,MATCH($D51,Data!$AN$2:$AN$313,0),Tulokset!H$2)))))</f>
        <v>0</v>
      </c>
      <c r="I51" s="78">
        <f ca="1">IF($B51&gt;keilatut,"",IF($C51=(-1),"",IF($C51=0,"Yhteensä",IF($C51&gt;Data!$CP$2,"",OFFSET(tulossiirtymä,MATCH($D51,Data!$AN$2:$AN$313,0),Tulokset!I$2)))))</f>
        <v>0</v>
      </c>
      <c r="J51" s="78" t="str">
        <f ca="1">IF($B51&gt;keilatut,"",IF($C51=(-1),"",IF($C51=0,"Ero voittajaan",IF($C51&gt;Data!$CP$2,"",OFFSET(tulossiirtymä,MATCH($D51,Data!$AN$2:$AN$313,0),Tulokset!J$2)))))</f>
        <v/>
      </c>
      <c r="K51" s="78">
        <f ca="1">IF($B51&gt;keilatut,"",IF($C51=(-1),"",IF($C51=0,"Pisteet",IF($C51&gt;Data!$CP$2,"",OFFSET(tulossiirtymä,MATCH($D51,Data!$AN$2:$AN$313,0),Tulokset!K$2)))))</f>
        <v>0</v>
      </c>
      <c r="L51" s="78">
        <f ca="1">IF($B51&gt;keilatut,"",IF($C51=(-1),"",IF($C51=0,"Pisteet yhteensä",IF($C51&gt;Data!$CP$2,"",OFFSET(tulossiirtymä,MATCH($D51,Data!$AN$2:$AN$313,0),Tulokset!L$2)))))</f>
        <v>0</v>
      </c>
      <c r="M51" s="78" t="str">
        <f ca="1">IF($B51&gt;keilatut,"",IF($C51=(-1),"",IF($C51=0,"Pisteseloste",IF($C51&gt;Data!$CP$2,"",OFFSET(tulossiirtymä,MATCH($D51,Data!$AN$2:$AN$313,0),Tulokset!M$2)))))</f>
        <v/>
      </c>
    </row>
    <row r="52" spans="2:13" x14ac:dyDescent="0.25">
      <c r="B52" s="78">
        <f t="shared" si="1"/>
        <v>2</v>
      </c>
      <c r="C52" s="78">
        <f>COUNTIF($B$6:B52,B52)-2</f>
        <v>18</v>
      </c>
      <c r="D52" s="79">
        <f t="array" ref="D52">IF($B52&lt;=keilatut,IF($C52&lt;1,"",IF($C52&gt;Data!$CP$2,"",SMALL(IF(Data!$B$2:$B$313=Tulokset!$B52,Data!$AN$2:$AN$313),Tulokset!$C52))),"")</f>
        <v>16.000036000000001</v>
      </c>
      <c r="E52" s="78">
        <f>IF($B52&gt;keilatut,"",IF($C52=(-1),"GP"&amp;$B52&amp;", "&amp;DAY(VLOOKUP($B52,kilpailukalenteri,2))&amp;"."&amp;MONTH(VLOOKUP($B52,kilpailukalenteri,2))&amp;"."&amp;YEAR(VLOOKUP($B52,kilpailukalenteri,2))&amp;", "&amp;IF(RIGHT(VLOOKUP($B52,kilpailukalenteri,4),1)="*",LEFT(VLOOKUP($B52,kilpailukalenteri,4),LEN(VLOOKUP($B52,kilpailukalenteri,4))-2)&amp;", Kultainen GP",VLOOKUP($B52,kilpailukalenteri,4)),IF($C52=0,"Sija",IF($C52&gt;Data!$CP$2,"",ROUND(Tulokset!$D52,0)))))</f>
        <v>16</v>
      </c>
      <c r="F52" s="78" t="str">
        <f ca="1">IF($B52&gt;keilatut,"",IF($C52=(-1),"",IF($C52=0,"Nimi",IF($C52&gt;Data!$CP$2,"",OFFSET(tulossiirtymä,MATCH($D52,Data!$AN$2:$AN$313,0),Tulokset!F$2)))))</f>
        <v>Roope Warro</v>
      </c>
      <c r="G52" s="78">
        <f ca="1">IF($B52&gt;keilatut,"",IF($C52=(-1),"",IF($C52=0,"Sarja 1",IF($C52&gt;Data!$CP$2,"",OFFSET(tulossiirtymä,MATCH($D52,Data!$AN$2:$AN$313,0),Tulokset!G$2)))))</f>
        <v>0</v>
      </c>
      <c r="H52" s="78">
        <f ca="1">IF($B52&gt;keilatut,"",IF($C52=(-1),"",IF($C52=0,"Sarja 2",IF($C52&gt;Data!$CP$2,"",OFFSET(tulossiirtymä,MATCH($D52,Data!$AN$2:$AN$313,0),Tulokset!H$2)))))</f>
        <v>0</v>
      </c>
      <c r="I52" s="78">
        <f ca="1">IF($B52&gt;keilatut,"",IF($C52=(-1),"",IF($C52=0,"Yhteensä",IF($C52&gt;Data!$CP$2,"",OFFSET(tulossiirtymä,MATCH($D52,Data!$AN$2:$AN$313,0),Tulokset!I$2)))))</f>
        <v>0</v>
      </c>
      <c r="J52" s="78" t="str">
        <f ca="1">IF($B52&gt;keilatut,"",IF($C52=(-1),"",IF($C52=0,"Ero voittajaan",IF($C52&gt;Data!$CP$2,"",OFFSET(tulossiirtymä,MATCH($D52,Data!$AN$2:$AN$313,0),Tulokset!J$2)))))</f>
        <v/>
      </c>
      <c r="K52" s="78">
        <f ca="1">IF($B52&gt;keilatut,"",IF($C52=(-1),"",IF($C52=0,"Pisteet",IF($C52&gt;Data!$CP$2,"",OFFSET(tulossiirtymä,MATCH($D52,Data!$AN$2:$AN$313,0),Tulokset!K$2)))))</f>
        <v>0</v>
      </c>
      <c r="L52" s="78">
        <f ca="1">IF($B52&gt;keilatut,"",IF($C52=(-1),"",IF($C52=0,"Pisteet yhteensä",IF($C52&gt;Data!$CP$2,"",OFFSET(tulossiirtymä,MATCH($D52,Data!$AN$2:$AN$313,0),Tulokset!L$2)))))</f>
        <v>4</v>
      </c>
      <c r="M52" s="78" t="str">
        <f ca="1">IF($B52&gt;keilatut,"",IF($C52=(-1),"",IF($C52=0,"Pisteseloste",IF($C52&gt;Data!$CP$2,"",OFFSET(tulossiirtymä,MATCH($D52,Data!$AN$2:$AN$313,0),Tulokset!M$2)))))</f>
        <v/>
      </c>
    </row>
    <row r="53" spans="2:13" x14ac:dyDescent="0.25">
      <c r="B53" s="78">
        <f t="shared" si="1"/>
        <v>2</v>
      </c>
      <c r="C53" s="78">
        <f>COUNTIF($B$6:B53,B53)-2</f>
        <v>19</v>
      </c>
      <c r="D53" s="79" t="str">
        <f t="array" ref="D53">IF($B53&lt;=keilatut,IF($C53&lt;1,"",IF($C53&gt;Data!$CP$2,"",SMALL(IF(Data!$B$2:$B$313=Tulokset!$B53,Data!$AN$2:$AN$313),Tulokset!$C53))),"")</f>
        <v/>
      </c>
      <c r="E53" s="78" t="str">
        <f>IF($B53&gt;keilatut,"",IF($C53=(-1),"GP"&amp;$B53&amp;", "&amp;DAY(VLOOKUP($B53,kilpailukalenteri,2))&amp;"."&amp;MONTH(VLOOKUP($B53,kilpailukalenteri,2))&amp;"."&amp;YEAR(VLOOKUP($B53,kilpailukalenteri,2))&amp;", "&amp;IF(RIGHT(VLOOKUP($B53,kilpailukalenteri,4),1)="*",LEFT(VLOOKUP($B53,kilpailukalenteri,4),LEN(VLOOKUP($B53,kilpailukalenteri,4))-2)&amp;", Kultainen GP",VLOOKUP($B53,kilpailukalenteri,4)),IF($C53=0,"Sija",IF($C53&gt;Data!$CP$2,"",ROUND(Tulokset!$D53,0)))))</f>
        <v/>
      </c>
      <c r="F53" s="78" t="str">
        <f ca="1">IF($B53&gt;keilatut,"",IF($C53=(-1),"",IF($C53=0,"Nimi",IF($C53&gt;Data!$CP$2,"",OFFSET(tulossiirtymä,MATCH($D53,Data!$AN$2:$AN$313,0),Tulokset!F$2)))))</f>
        <v/>
      </c>
      <c r="G53" s="78" t="str">
        <f ca="1">IF($B53&gt;keilatut,"",IF($C53=(-1),"",IF($C53=0,"Sarja 1",IF($C53&gt;Data!$CP$2,"",OFFSET(tulossiirtymä,MATCH($D53,Data!$AN$2:$AN$313,0),Tulokset!G$2)))))</f>
        <v/>
      </c>
      <c r="H53" s="78" t="str">
        <f ca="1">IF($B53&gt;keilatut,"",IF($C53=(-1),"",IF($C53=0,"Sarja 2",IF($C53&gt;Data!$CP$2,"",OFFSET(tulossiirtymä,MATCH($D53,Data!$AN$2:$AN$313,0),Tulokset!H$2)))))</f>
        <v/>
      </c>
      <c r="I53" s="78" t="str">
        <f ca="1">IF($B53&gt;keilatut,"",IF($C53=(-1),"",IF($C53=0,"Yhteensä",IF($C53&gt;Data!$CP$2,"",OFFSET(tulossiirtymä,MATCH($D53,Data!$AN$2:$AN$313,0),Tulokset!I$2)))))</f>
        <v/>
      </c>
      <c r="J53" s="78" t="str">
        <f ca="1">IF($B53&gt;keilatut,"",IF($C53=(-1),"",IF($C53=0,"Ero voittajaan",IF($C53&gt;Data!$CP$2,"",OFFSET(tulossiirtymä,MATCH($D53,Data!$AN$2:$AN$313,0),Tulokset!J$2)))))</f>
        <v/>
      </c>
      <c r="K53" s="78" t="str">
        <f ca="1">IF($B53&gt;keilatut,"",IF($C53=(-1),"",IF($C53=0,"Pisteet",IF($C53&gt;Data!$CP$2,"",OFFSET(tulossiirtymä,MATCH($D53,Data!$AN$2:$AN$313,0),Tulokset!K$2)))))</f>
        <v/>
      </c>
      <c r="L53" s="78" t="str">
        <f ca="1">IF($B53&gt;keilatut,"",IF($C53=(-1),"",IF($C53=0,"Pisteet yhteensä",IF($C53&gt;Data!$CP$2,"",OFFSET(tulossiirtymä,MATCH($D53,Data!$AN$2:$AN$313,0),Tulokset!L$2)))))</f>
        <v/>
      </c>
      <c r="M53" s="78" t="str">
        <f ca="1">IF($B53&gt;keilatut,"",IF($C53=(-1),"",IF($C53=0,"Pisteseloste",IF($C53&gt;Data!$CP$2,"",OFFSET(tulossiirtymä,MATCH($D53,Data!$AN$2:$AN$313,0),Tulokset!M$2)))))</f>
        <v/>
      </c>
    </row>
    <row r="54" spans="2:13" x14ac:dyDescent="0.25">
      <c r="B54" s="78">
        <f t="shared" si="1"/>
        <v>2</v>
      </c>
      <c r="C54" s="78">
        <f>COUNTIF($B$6:B54,B54)-2</f>
        <v>20</v>
      </c>
      <c r="D54" s="79" t="str">
        <f t="array" ref="D54">IF($B54&lt;=keilatut,IF($C54&lt;1,"",IF($C54&gt;Data!$CP$2,"",SMALL(IF(Data!$B$2:$B$313=Tulokset!$B54,Data!$AN$2:$AN$313),Tulokset!$C54))),"")</f>
        <v/>
      </c>
      <c r="E54" s="78" t="str">
        <f>IF($B54&gt;keilatut,"",IF($C54=(-1),"GP"&amp;$B54&amp;", "&amp;DAY(VLOOKUP($B54,kilpailukalenteri,2))&amp;"."&amp;MONTH(VLOOKUP($B54,kilpailukalenteri,2))&amp;"."&amp;YEAR(VLOOKUP($B54,kilpailukalenteri,2))&amp;", "&amp;IF(RIGHT(VLOOKUP($B54,kilpailukalenteri,4),1)="*",LEFT(VLOOKUP($B54,kilpailukalenteri,4),LEN(VLOOKUP($B54,kilpailukalenteri,4))-2)&amp;", Kultainen GP",VLOOKUP($B54,kilpailukalenteri,4)),IF($C54=0,"Sija",IF($C54&gt;Data!$CP$2,"",ROUND(Tulokset!$D54,0)))))</f>
        <v/>
      </c>
      <c r="F54" s="78" t="str">
        <f ca="1">IF($B54&gt;keilatut,"",IF($C54=(-1),"",IF($C54=0,"Nimi",IF($C54&gt;Data!$CP$2,"",OFFSET(tulossiirtymä,MATCH($D54,Data!$AN$2:$AN$313,0),Tulokset!F$2)))))</f>
        <v/>
      </c>
      <c r="G54" s="78" t="str">
        <f ca="1">IF($B54&gt;keilatut,"",IF($C54=(-1),"",IF($C54=0,"Sarja 1",IF($C54&gt;Data!$CP$2,"",OFFSET(tulossiirtymä,MATCH($D54,Data!$AN$2:$AN$313,0),Tulokset!G$2)))))</f>
        <v/>
      </c>
      <c r="H54" s="78" t="str">
        <f ca="1">IF($B54&gt;keilatut,"",IF($C54=(-1),"",IF($C54=0,"Sarja 2",IF($C54&gt;Data!$CP$2,"",OFFSET(tulossiirtymä,MATCH($D54,Data!$AN$2:$AN$313,0),Tulokset!H$2)))))</f>
        <v/>
      </c>
      <c r="I54" s="78" t="str">
        <f ca="1">IF($B54&gt;keilatut,"",IF($C54=(-1),"",IF($C54=0,"Yhteensä",IF($C54&gt;Data!$CP$2,"",OFFSET(tulossiirtymä,MATCH($D54,Data!$AN$2:$AN$313,0),Tulokset!I$2)))))</f>
        <v/>
      </c>
      <c r="J54" s="78" t="str">
        <f ca="1">IF($B54&gt;keilatut,"",IF($C54=(-1),"",IF($C54=0,"Ero voittajaan",IF($C54&gt;Data!$CP$2,"",OFFSET(tulossiirtymä,MATCH($D54,Data!$AN$2:$AN$313,0),Tulokset!J$2)))))</f>
        <v/>
      </c>
      <c r="K54" s="78" t="str">
        <f ca="1">IF($B54&gt;keilatut,"",IF($C54=(-1),"",IF($C54=0,"Pisteet",IF($C54&gt;Data!$CP$2,"",OFFSET(tulossiirtymä,MATCH($D54,Data!$AN$2:$AN$313,0),Tulokset!K$2)))))</f>
        <v/>
      </c>
      <c r="L54" s="78" t="str">
        <f ca="1">IF($B54&gt;keilatut,"",IF($C54=(-1),"",IF($C54=0,"Pisteet yhteensä",IF($C54&gt;Data!$CP$2,"",OFFSET(tulossiirtymä,MATCH($D54,Data!$AN$2:$AN$313,0),Tulokset!L$2)))))</f>
        <v/>
      </c>
      <c r="M54" s="78" t="str">
        <f ca="1">IF($B54&gt;keilatut,"",IF($C54=(-1),"",IF($C54=0,"Pisteseloste",IF($C54&gt;Data!$CP$2,"",OFFSET(tulossiirtymä,MATCH($D54,Data!$AN$2:$AN$313,0),Tulokset!M$2)))))</f>
        <v/>
      </c>
    </row>
    <row r="55" spans="2:13" x14ac:dyDescent="0.25">
      <c r="B55" s="78">
        <f t="shared" si="1"/>
        <v>2</v>
      </c>
      <c r="C55" s="78">
        <f>COUNTIF($B$6:B55,B55)-2</f>
        <v>21</v>
      </c>
      <c r="D55" s="79" t="str">
        <f t="array" ref="D55">IF($B55&lt;=keilatut,IF($C55&lt;1,"",IF($C55&gt;Data!$CP$2,"",SMALL(IF(Data!$B$2:$B$313=Tulokset!$B55,Data!$AN$2:$AN$313),Tulokset!$C55))),"")</f>
        <v/>
      </c>
      <c r="E55" s="78" t="str">
        <f>IF($B55&gt;keilatut,"",IF($C55=(-1),"GP"&amp;$B55&amp;", "&amp;DAY(VLOOKUP($B55,kilpailukalenteri,2))&amp;"."&amp;MONTH(VLOOKUP($B55,kilpailukalenteri,2))&amp;"."&amp;YEAR(VLOOKUP($B55,kilpailukalenteri,2))&amp;", "&amp;IF(RIGHT(VLOOKUP($B55,kilpailukalenteri,4),1)="*",LEFT(VLOOKUP($B55,kilpailukalenteri,4),LEN(VLOOKUP($B55,kilpailukalenteri,4))-2)&amp;", Kultainen GP",VLOOKUP($B55,kilpailukalenteri,4)),IF($C55=0,"Sija",IF($C55&gt;Data!$CP$2,"",ROUND(Tulokset!$D55,0)))))</f>
        <v/>
      </c>
      <c r="F55" s="78" t="str">
        <f ca="1">IF($B55&gt;keilatut,"",IF($C55=(-1),"",IF($C55=0,"Nimi",IF($C55&gt;Data!$CP$2,"",OFFSET(tulossiirtymä,MATCH($D55,Data!$AN$2:$AN$313,0),Tulokset!F$2)))))</f>
        <v/>
      </c>
      <c r="G55" s="78" t="str">
        <f ca="1">IF($B55&gt;keilatut,"",IF($C55=(-1),"",IF($C55=0,"Sarja 1",IF($C55&gt;Data!$CP$2,"",OFFSET(tulossiirtymä,MATCH($D55,Data!$AN$2:$AN$313,0),Tulokset!G$2)))))</f>
        <v/>
      </c>
      <c r="H55" s="78" t="str">
        <f ca="1">IF($B55&gt;keilatut,"",IF($C55=(-1),"",IF($C55=0,"Sarja 2",IF($C55&gt;Data!$CP$2,"",OFFSET(tulossiirtymä,MATCH($D55,Data!$AN$2:$AN$313,0),Tulokset!H$2)))))</f>
        <v/>
      </c>
      <c r="I55" s="78" t="str">
        <f ca="1">IF($B55&gt;keilatut,"",IF($C55=(-1),"",IF($C55=0,"Yhteensä",IF($C55&gt;Data!$CP$2,"",OFFSET(tulossiirtymä,MATCH($D55,Data!$AN$2:$AN$313,0),Tulokset!I$2)))))</f>
        <v/>
      </c>
      <c r="J55" s="78" t="str">
        <f ca="1">IF($B55&gt;keilatut,"",IF($C55=(-1),"",IF($C55=0,"Ero voittajaan",IF($C55&gt;Data!$CP$2,"",OFFSET(tulossiirtymä,MATCH($D55,Data!$AN$2:$AN$313,0),Tulokset!J$2)))))</f>
        <v/>
      </c>
      <c r="K55" s="78" t="str">
        <f ca="1">IF($B55&gt;keilatut,"",IF($C55=(-1),"",IF($C55=0,"Pisteet",IF($C55&gt;Data!$CP$2,"",OFFSET(tulossiirtymä,MATCH($D55,Data!$AN$2:$AN$313,0),Tulokset!K$2)))))</f>
        <v/>
      </c>
      <c r="L55" s="78" t="str">
        <f ca="1">IF($B55&gt;keilatut,"",IF($C55=(-1),"",IF($C55=0,"Pisteet yhteensä",IF($C55&gt;Data!$CP$2,"",OFFSET(tulossiirtymä,MATCH($D55,Data!$AN$2:$AN$313,0),Tulokset!L$2)))))</f>
        <v/>
      </c>
      <c r="M55" s="78" t="str">
        <f ca="1">IF($B55&gt;keilatut,"",IF($C55=(-1),"",IF($C55=0,"Pisteseloste",IF($C55&gt;Data!$CP$2,"",OFFSET(tulossiirtymä,MATCH($D55,Data!$AN$2:$AN$313,0),Tulokset!M$2)))))</f>
        <v/>
      </c>
    </row>
    <row r="56" spans="2:13" x14ac:dyDescent="0.25">
      <c r="B56" s="78">
        <f t="shared" si="1"/>
        <v>2</v>
      </c>
      <c r="C56" s="78">
        <f>COUNTIF($B$6:B56,B56)-2</f>
        <v>22</v>
      </c>
      <c r="D56" s="79" t="str">
        <f t="array" ref="D56">IF($B56&lt;=keilatut,IF($C56&lt;1,"",IF($C56&gt;Data!$CP$2,"",SMALL(IF(Data!$B$2:$B$313=Tulokset!$B56,Data!$AN$2:$AN$313),Tulokset!$C56))),"")</f>
        <v/>
      </c>
      <c r="E56" s="78" t="str">
        <f>IF($B56&gt;keilatut,"",IF($C56=(-1),"GP"&amp;$B56&amp;", "&amp;DAY(VLOOKUP($B56,kilpailukalenteri,2))&amp;"."&amp;MONTH(VLOOKUP($B56,kilpailukalenteri,2))&amp;"."&amp;YEAR(VLOOKUP($B56,kilpailukalenteri,2))&amp;", "&amp;IF(RIGHT(VLOOKUP($B56,kilpailukalenteri,4),1)="*",LEFT(VLOOKUP($B56,kilpailukalenteri,4),LEN(VLOOKUP($B56,kilpailukalenteri,4))-2)&amp;", Kultainen GP",VLOOKUP($B56,kilpailukalenteri,4)),IF($C56=0,"Sija",IF($C56&gt;Data!$CP$2,"",ROUND(Tulokset!$D56,0)))))</f>
        <v/>
      </c>
      <c r="F56" s="78" t="str">
        <f ca="1">IF($B56&gt;keilatut,"",IF($C56=(-1),"",IF($C56=0,"Nimi",IF($C56&gt;Data!$CP$2,"",OFFSET(tulossiirtymä,MATCH($D56,Data!$AN$2:$AN$313,0),Tulokset!F$2)))))</f>
        <v/>
      </c>
      <c r="G56" s="78" t="str">
        <f ca="1">IF($B56&gt;keilatut,"",IF($C56=(-1),"",IF($C56=0,"Sarja 1",IF($C56&gt;Data!$CP$2,"",OFFSET(tulossiirtymä,MATCH($D56,Data!$AN$2:$AN$313,0),Tulokset!G$2)))))</f>
        <v/>
      </c>
      <c r="H56" s="78" t="str">
        <f ca="1">IF($B56&gt;keilatut,"",IF($C56=(-1),"",IF($C56=0,"Sarja 2",IF($C56&gt;Data!$CP$2,"",OFFSET(tulossiirtymä,MATCH($D56,Data!$AN$2:$AN$313,0),Tulokset!H$2)))))</f>
        <v/>
      </c>
      <c r="I56" s="78" t="str">
        <f ca="1">IF($B56&gt;keilatut,"",IF($C56=(-1),"",IF($C56=0,"Yhteensä",IF($C56&gt;Data!$CP$2,"",OFFSET(tulossiirtymä,MATCH($D56,Data!$AN$2:$AN$313,0),Tulokset!I$2)))))</f>
        <v/>
      </c>
      <c r="J56" s="78" t="str">
        <f ca="1">IF($B56&gt;keilatut,"",IF($C56=(-1),"",IF($C56=0,"Ero voittajaan",IF($C56&gt;Data!$CP$2,"",OFFSET(tulossiirtymä,MATCH($D56,Data!$AN$2:$AN$313,0),Tulokset!J$2)))))</f>
        <v/>
      </c>
      <c r="K56" s="78" t="str">
        <f ca="1">IF($B56&gt;keilatut,"",IF($C56=(-1),"",IF($C56=0,"Pisteet",IF($C56&gt;Data!$CP$2,"",OFFSET(tulossiirtymä,MATCH($D56,Data!$AN$2:$AN$313,0),Tulokset!K$2)))))</f>
        <v/>
      </c>
      <c r="L56" s="78" t="str">
        <f ca="1">IF($B56&gt;keilatut,"",IF($C56=(-1),"",IF($C56=0,"Pisteet yhteensä",IF($C56&gt;Data!$CP$2,"",OFFSET(tulossiirtymä,MATCH($D56,Data!$AN$2:$AN$313,0),Tulokset!L$2)))))</f>
        <v/>
      </c>
      <c r="M56" s="78" t="str">
        <f ca="1">IF($B56&gt;keilatut,"",IF($C56=(-1),"",IF($C56=0,"Pisteseloste",IF($C56&gt;Data!$CP$2,"",OFFSET(tulossiirtymä,MATCH($D56,Data!$AN$2:$AN$313,0),Tulokset!M$2)))))</f>
        <v/>
      </c>
    </row>
    <row r="57" spans="2:13" x14ac:dyDescent="0.25">
      <c r="B57" s="78">
        <f t="shared" si="1"/>
        <v>2</v>
      </c>
      <c r="C57" s="78">
        <f>COUNTIF($B$6:B57,B57)-2</f>
        <v>23</v>
      </c>
      <c r="D57" s="79" t="str">
        <f t="array" ref="D57">IF($B57&lt;=keilatut,IF($C57&lt;1,"",IF($C57&gt;Data!$CP$2,"",SMALL(IF(Data!$B$2:$B$313=Tulokset!$B57,Data!$AN$2:$AN$313),Tulokset!$C57))),"")</f>
        <v/>
      </c>
      <c r="E57" s="78" t="str">
        <f>IF($B57&gt;keilatut,"",IF($C57=(-1),"GP"&amp;$B57&amp;", "&amp;DAY(VLOOKUP($B57,kilpailukalenteri,2))&amp;"."&amp;MONTH(VLOOKUP($B57,kilpailukalenteri,2))&amp;"."&amp;YEAR(VLOOKUP($B57,kilpailukalenteri,2))&amp;", "&amp;IF(RIGHT(VLOOKUP($B57,kilpailukalenteri,4),1)="*",LEFT(VLOOKUP($B57,kilpailukalenteri,4),LEN(VLOOKUP($B57,kilpailukalenteri,4))-2)&amp;", Kultainen GP",VLOOKUP($B57,kilpailukalenteri,4)),IF($C57=0,"Sija",IF($C57&gt;Data!$CP$2,"",ROUND(Tulokset!$D57,0)))))</f>
        <v/>
      </c>
      <c r="F57" s="78" t="str">
        <f ca="1">IF($B57&gt;keilatut,"",IF($C57=(-1),"",IF($C57=0,"Nimi",IF($C57&gt;Data!$CP$2,"",OFFSET(tulossiirtymä,MATCH($D57,Data!$AN$2:$AN$313,0),Tulokset!F$2)))))</f>
        <v/>
      </c>
      <c r="G57" s="78" t="str">
        <f ca="1">IF($B57&gt;keilatut,"",IF($C57=(-1),"",IF($C57=0,"Sarja 1",IF($C57&gt;Data!$CP$2,"",OFFSET(tulossiirtymä,MATCH($D57,Data!$AN$2:$AN$313,0),Tulokset!G$2)))))</f>
        <v/>
      </c>
      <c r="H57" s="78" t="str">
        <f ca="1">IF($B57&gt;keilatut,"",IF($C57=(-1),"",IF($C57=0,"Sarja 2",IF($C57&gt;Data!$CP$2,"",OFFSET(tulossiirtymä,MATCH($D57,Data!$AN$2:$AN$313,0),Tulokset!H$2)))))</f>
        <v/>
      </c>
      <c r="I57" s="78" t="str">
        <f ca="1">IF($B57&gt;keilatut,"",IF($C57=(-1),"",IF($C57=0,"Yhteensä",IF($C57&gt;Data!$CP$2,"",OFFSET(tulossiirtymä,MATCH($D57,Data!$AN$2:$AN$313,0),Tulokset!I$2)))))</f>
        <v/>
      </c>
      <c r="J57" s="78" t="str">
        <f ca="1">IF($B57&gt;keilatut,"",IF($C57=(-1),"",IF($C57=0,"Ero voittajaan",IF($C57&gt;Data!$CP$2,"",OFFSET(tulossiirtymä,MATCH($D57,Data!$AN$2:$AN$313,0),Tulokset!J$2)))))</f>
        <v/>
      </c>
      <c r="K57" s="78" t="str">
        <f ca="1">IF($B57&gt;keilatut,"",IF($C57=(-1),"",IF($C57=0,"Pisteet",IF($C57&gt;Data!$CP$2,"",OFFSET(tulossiirtymä,MATCH($D57,Data!$AN$2:$AN$313,0),Tulokset!K$2)))))</f>
        <v/>
      </c>
      <c r="L57" s="78" t="str">
        <f ca="1">IF($B57&gt;keilatut,"",IF($C57=(-1),"",IF($C57=0,"Pisteet yhteensä",IF($C57&gt;Data!$CP$2,"",OFFSET(tulossiirtymä,MATCH($D57,Data!$AN$2:$AN$313,0),Tulokset!L$2)))))</f>
        <v/>
      </c>
      <c r="M57" s="78" t="str">
        <f ca="1">IF($B57&gt;keilatut,"",IF($C57=(-1),"",IF($C57=0,"Pisteseloste",IF($C57&gt;Data!$CP$2,"",OFFSET(tulossiirtymä,MATCH($D57,Data!$AN$2:$AN$313,0),Tulokset!M$2)))))</f>
        <v/>
      </c>
    </row>
    <row r="58" spans="2:13" x14ac:dyDescent="0.25">
      <c r="B58" s="78">
        <f t="shared" si="1"/>
        <v>2</v>
      </c>
      <c r="C58" s="78">
        <f>COUNTIF($B$6:B58,B58)-2</f>
        <v>24</v>
      </c>
      <c r="D58" s="79" t="str">
        <f t="array" ref="D58">IF($B58&lt;=keilatut,IF($C58&lt;1,"",IF($C58&gt;Data!$CP$2,"",SMALL(IF(Data!$B$2:$B$313=Tulokset!$B58,Data!$AN$2:$AN$313),Tulokset!$C58))),"")</f>
        <v/>
      </c>
      <c r="E58" s="78" t="str">
        <f>IF($B58&gt;keilatut,"",IF($C58=(-1),"GP"&amp;$B58&amp;", "&amp;DAY(VLOOKUP($B58,kilpailukalenteri,2))&amp;"."&amp;MONTH(VLOOKUP($B58,kilpailukalenteri,2))&amp;"."&amp;YEAR(VLOOKUP($B58,kilpailukalenteri,2))&amp;", "&amp;IF(RIGHT(VLOOKUP($B58,kilpailukalenteri,4),1)="*",LEFT(VLOOKUP($B58,kilpailukalenteri,4),LEN(VLOOKUP($B58,kilpailukalenteri,4))-2)&amp;", Kultainen GP",VLOOKUP($B58,kilpailukalenteri,4)),IF($C58=0,"Sija",IF($C58&gt;Data!$CP$2,"",ROUND(Tulokset!$D58,0)))))</f>
        <v/>
      </c>
      <c r="F58" s="78" t="str">
        <f ca="1">IF($B58&gt;keilatut,"",IF($C58=(-1),"",IF($C58=0,"Nimi",IF($C58&gt;Data!$CP$2,"",OFFSET(tulossiirtymä,MATCH($D58,Data!$AN$2:$AN$313,0),Tulokset!F$2)))))</f>
        <v/>
      </c>
      <c r="G58" s="78" t="str">
        <f ca="1">IF($B58&gt;keilatut,"",IF($C58=(-1),"",IF($C58=0,"Sarja 1",IF($C58&gt;Data!$CP$2,"",OFFSET(tulossiirtymä,MATCH($D58,Data!$AN$2:$AN$313,0),Tulokset!G$2)))))</f>
        <v/>
      </c>
      <c r="H58" s="78" t="str">
        <f ca="1">IF($B58&gt;keilatut,"",IF($C58=(-1),"",IF($C58=0,"Sarja 2",IF($C58&gt;Data!$CP$2,"",OFFSET(tulossiirtymä,MATCH($D58,Data!$AN$2:$AN$313,0),Tulokset!H$2)))))</f>
        <v/>
      </c>
      <c r="I58" s="78" t="str">
        <f ca="1">IF($B58&gt;keilatut,"",IF($C58=(-1),"",IF($C58=0,"Yhteensä",IF($C58&gt;Data!$CP$2,"",OFFSET(tulossiirtymä,MATCH($D58,Data!$AN$2:$AN$313,0),Tulokset!I$2)))))</f>
        <v/>
      </c>
      <c r="J58" s="78" t="str">
        <f ca="1">IF($B58&gt;keilatut,"",IF($C58=(-1),"",IF($C58=0,"Ero voittajaan",IF($C58&gt;Data!$CP$2,"",OFFSET(tulossiirtymä,MATCH($D58,Data!$AN$2:$AN$313,0),Tulokset!J$2)))))</f>
        <v/>
      </c>
      <c r="K58" s="78" t="str">
        <f ca="1">IF($B58&gt;keilatut,"",IF($C58=(-1),"",IF($C58=0,"Pisteet",IF($C58&gt;Data!$CP$2,"",OFFSET(tulossiirtymä,MATCH($D58,Data!$AN$2:$AN$313,0),Tulokset!K$2)))))</f>
        <v/>
      </c>
      <c r="L58" s="78" t="str">
        <f ca="1">IF($B58&gt;keilatut,"",IF($C58=(-1),"",IF($C58=0,"Pisteet yhteensä",IF($C58&gt;Data!$CP$2,"",OFFSET(tulossiirtymä,MATCH($D58,Data!$AN$2:$AN$313,0),Tulokset!L$2)))))</f>
        <v/>
      </c>
      <c r="M58" s="78" t="str">
        <f ca="1">IF($B58&gt;keilatut,"",IF($C58=(-1),"",IF($C58=0,"Pisteseloste",IF($C58&gt;Data!$CP$2,"",OFFSET(tulossiirtymä,MATCH($D58,Data!$AN$2:$AN$313,0),Tulokset!M$2)))))</f>
        <v/>
      </c>
    </row>
    <row r="59" spans="2:13" x14ac:dyDescent="0.25">
      <c r="B59" s="78">
        <f t="shared" si="1"/>
        <v>2</v>
      </c>
      <c r="C59" s="78">
        <f>COUNTIF($B$6:B59,B59)-2</f>
        <v>25</v>
      </c>
      <c r="D59" s="79" t="str">
        <f t="array" ref="D59">IF($B59&lt;=keilatut,IF($C59&lt;1,"",IF($C59&gt;Data!$CP$2,"",SMALL(IF(Data!$B$2:$B$313=Tulokset!$B59,Data!$AN$2:$AN$313),Tulokset!$C59))),"")</f>
        <v/>
      </c>
      <c r="E59" s="78" t="str">
        <f>IF($B59&gt;keilatut,"",IF($C59=(-1),"GP"&amp;$B59&amp;", "&amp;DAY(VLOOKUP($B59,kilpailukalenteri,2))&amp;"."&amp;MONTH(VLOOKUP($B59,kilpailukalenteri,2))&amp;"."&amp;YEAR(VLOOKUP($B59,kilpailukalenteri,2))&amp;", "&amp;IF(RIGHT(VLOOKUP($B59,kilpailukalenteri,4),1)="*",LEFT(VLOOKUP($B59,kilpailukalenteri,4),LEN(VLOOKUP($B59,kilpailukalenteri,4))-2)&amp;", Kultainen GP",VLOOKUP($B59,kilpailukalenteri,4)),IF($C59=0,"Sija",IF($C59&gt;Data!$CP$2,"",ROUND(Tulokset!$D59,0)))))</f>
        <v/>
      </c>
      <c r="F59" s="78" t="str">
        <f ca="1">IF($B59&gt;keilatut,"",IF($C59=(-1),"",IF($C59=0,"Nimi",IF($C59&gt;Data!$CP$2,"",OFFSET(tulossiirtymä,MATCH($D59,Data!$AN$2:$AN$313,0),Tulokset!F$2)))))</f>
        <v/>
      </c>
      <c r="G59" s="78" t="str">
        <f ca="1">IF($B59&gt;keilatut,"",IF($C59=(-1),"",IF($C59=0,"Sarja 1",IF($C59&gt;Data!$CP$2,"",OFFSET(tulossiirtymä,MATCH($D59,Data!$AN$2:$AN$313,0),Tulokset!G$2)))))</f>
        <v/>
      </c>
      <c r="H59" s="78" t="str">
        <f ca="1">IF($B59&gt;keilatut,"",IF($C59=(-1),"",IF($C59=0,"Sarja 2",IF($C59&gt;Data!$CP$2,"",OFFSET(tulossiirtymä,MATCH($D59,Data!$AN$2:$AN$313,0),Tulokset!H$2)))))</f>
        <v/>
      </c>
      <c r="I59" s="78" t="str">
        <f ca="1">IF($B59&gt;keilatut,"",IF($C59=(-1),"",IF($C59=0,"Yhteensä",IF($C59&gt;Data!$CP$2,"",OFFSET(tulossiirtymä,MATCH($D59,Data!$AN$2:$AN$313,0),Tulokset!I$2)))))</f>
        <v/>
      </c>
      <c r="J59" s="78" t="str">
        <f ca="1">IF($B59&gt;keilatut,"",IF($C59=(-1),"",IF($C59=0,"Ero voittajaan",IF($C59&gt;Data!$CP$2,"",OFFSET(tulossiirtymä,MATCH($D59,Data!$AN$2:$AN$313,0),Tulokset!J$2)))))</f>
        <v/>
      </c>
      <c r="K59" s="78" t="str">
        <f ca="1">IF($B59&gt;keilatut,"",IF($C59=(-1),"",IF($C59=0,"Pisteet",IF($C59&gt;Data!$CP$2,"",OFFSET(tulossiirtymä,MATCH($D59,Data!$AN$2:$AN$313,0),Tulokset!K$2)))))</f>
        <v/>
      </c>
      <c r="L59" s="78" t="str">
        <f ca="1">IF($B59&gt;keilatut,"",IF($C59=(-1),"",IF($C59=0,"Pisteet yhteensä",IF($C59&gt;Data!$CP$2,"",OFFSET(tulossiirtymä,MATCH($D59,Data!$AN$2:$AN$313,0),Tulokset!L$2)))))</f>
        <v/>
      </c>
      <c r="M59" s="78" t="str">
        <f ca="1">IF($B59&gt;keilatut,"",IF($C59=(-1),"",IF($C59=0,"Pisteseloste",IF($C59&gt;Data!$CP$2,"",OFFSET(tulossiirtymä,MATCH($D59,Data!$AN$2:$AN$313,0),Tulokset!M$2)))))</f>
        <v/>
      </c>
    </row>
    <row r="60" spans="2:13" x14ac:dyDescent="0.25">
      <c r="B60" s="78">
        <f t="shared" si="1"/>
        <v>3</v>
      </c>
      <c r="C60" s="78">
        <f>COUNTIF($B$6:B60,B60)-2</f>
        <v>-1</v>
      </c>
      <c r="D60" s="79" t="str">
        <f t="array" ref="D60">IF($B60&lt;=keilatut,IF($C60&lt;1,"",IF($C60&gt;Data!$CP$2,"",SMALL(IF(Data!$B$2:$B$313=Tulokset!$B60,Data!$AN$2:$AN$313),Tulokset!$C60))),"")</f>
        <v/>
      </c>
      <c r="E60" s="78" t="str">
        <f>IF($B60&gt;keilatut,"",IF($C60=(-1),"GP"&amp;$B60&amp;", "&amp;DAY(VLOOKUP($B60,kilpailukalenteri,2))&amp;"."&amp;MONTH(VLOOKUP($B60,kilpailukalenteri,2))&amp;"."&amp;YEAR(VLOOKUP($B60,kilpailukalenteri,2))&amp;", "&amp;IF(RIGHT(VLOOKUP($B60,kilpailukalenteri,4),1)="*",LEFT(VLOOKUP($B60,kilpailukalenteri,4),LEN(VLOOKUP($B60,kilpailukalenteri,4))-2)&amp;", Kultainen GP",VLOOKUP($B60,kilpailukalenteri,4)),IF($C60=0,"Sija",IF($C60&gt;Data!$CP$2,"",ROUND(Tulokset!$D60,0)))))</f>
        <v>GP3, 3.11.2024, Kupittaan keilahalli</v>
      </c>
    </row>
    <row r="61" spans="2:13" x14ac:dyDescent="0.25">
      <c r="B61" s="78">
        <f t="shared" si="1"/>
        <v>3</v>
      </c>
      <c r="C61" s="78">
        <f>COUNTIF($B$6:B61,B61)-2</f>
        <v>0</v>
      </c>
      <c r="D61" s="79" t="str">
        <f t="array" ref="D61">IF($B61&lt;=keilatut,IF($C61&lt;1,"",IF($C61&gt;Data!$CP$2,"",SMALL(IF(Data!$B$2:$B$313=Tulokset!$B61,Data!$AN$2:$AN$313),Tulokset!$C61))),"")</f>
        <v/>
      </c>
      <c r="E61" s="78" t="str">
        <f>IF($B61&gt;keilatut,"",IF($C61=(-1),"GP"&amp;$B61&amp;", "&amp;DAY(VLOOKUP($B61,kilpailukalenteri,2))&amp;"."&amp;MONTH(VLOOKUP($B61,kilpailukalenteri,2))&amp;"."&amp;YEAR(VLOOKUP($B61,kilpailukalenteri,2))&amp;", "&amp;IF(RIGHT(VLOOKUP($B61,kilpailukalenteri,4),1)="*",LEFT(VLOOKUP($B61,kilpailukalenteri,4),LEN(VLOOKUP($B61,kilpailukalenteri,4))-2)&amp;", Kultainen GP",VLOOKUP($B61,kilpailukalenteri,4)),IF($C61=0,"Sija",IF($C61&gt;Data!$CP$2,"",ROUND(Tulokset!$D61,0)))))</f>
        <v>Sija</v>
      </c>
      <c r="F61" s="78" t="str">
        <f ca="1">IF($B61&gt;keilatut,"",IF($C61=(-1),"",IF($C61=0,"Nimi",IF($C61&gt;Data!$CP$2,"",OFFSET(tulossiirtymä,MATCH($D61,Data!$AN$2:$AN$313,0),Tulokset!F$2)))))</f>
        <v>Nimi</v>
      </c>
      <c r="G61" s="78" t="str">
        <f ca="1">IF($B61&gt;keilatut,"",IF($C61=(-1),"",IF($C61=0,"Sarja 1",IF($C61&gt;Data!$CP$2,"",OFFSET(tulossiirtymä,MATCH($D61,Data!$AN$2:$AN$313,0),Tulokset!G$2)))))</f>
        <v>Sarja 1</v>
      </c>
      <c r="H61" s="78" t="str">
        <f ca="1">IF($B61&gt;keilatut,"",IF($C61=(-1),"",IF($C61=0,"Sarja 2",IF($C61&gt;Data!$CP$2,"",OFFSET(tulossiirtymä,MATCH($D61,Data!$AN$2:$AN$313,0),Tulokset!H$2)))))</f>
        <v>Sarja 2</v>
      </c>
      <c r="I61" s="78" t="str">
        <f ca="1">IF($B61&gt;keilatut,"",IF($C61=(-1),"",IF($C61=0,"Yhteensä",IF($C61&gt;Data!$CP$2,"",OFFSET(tulossiirtymä,MATCH($D61,Data!$AN$2:$AN$313,0),Tulokset!I$2)))))</f>
        <v>Yhteensä</v>
      </c>
      <c r="J61" s="78" t="str">
        <f ca="1">IF($B61&gt;keilatut,"",IF($C61=(-1),"",IF($C61=0,"Ero voittajaan",IF($C61&gt;Data!$CP$2,"",OFFSET(tulossiirtymä,MATCH($D61,Data!$AN$2:$AN$313,0),Tulokset!J$2)))))</f>
        <v>Ero voittajaan</v>
      </c>
      <c r="K61" s="78" t="str">
        <f ca="1">IF($B61&gt;keilatut,"",IF($C61=(-1),"",IF($C61=0,"Pisteet",IF($C61&gt;Data!$CP$2,"",OFFSET(tulossiirtymä,MATCH($D61,Data!$AN$2:$AN$313,0),Tulokset!K$2)))))</f>
        <v>Pisteet</v>
      </c>
      <c r="L61" s="78" t="str">
        <f ca="1">IF($B61&gt;keilatut,"",IF($C61=(-1),"",IF($C61=0,"Pisteet yhteensä",IF($C61&gt;Data!$CP$2,"",OFFSET(tulossiirtymä,MATCH($D61,Data!$AN$2:$AN$313,0),Tulokset!L$2)))))</f>
        <v>Pisteet yhteensä</v>
      </c>
      <c r="M61" s="78" t="str">
        <f ca="1">IF($B61&gt;keilatut,"",IF($C61=(-1),"",IF($C61=0,"Pisteseloste",IF($C61&gt;Data!$CP$2,"",OFFSET(tulossiirtymä,MATCH($D61,Data!$AN$2:$AN$313,0),Tulokset!M$2)))))</f>
        <v>Pisteseloste</v>
      </c>
    </row>
    <row r="62" spans="2:13" x14ac:dyDescent="0.25">
      <c r="B62" s="78">
        <f t="shared" si="1"/>
        <v>3</v>
      </c>
      <c r="C62" s="78">
        <f>COUNTIF($B$6:B62,B62)-2</f>
        <v>1</v>
      </c>
      <c r="D62" s="79">
        <f t="array" ref="D62">IF($B62&lt;=keilatut,IF($C62&lt;1,"",IF($C62&gt;Data!$CP$2,"",SMALL(IF(Data!$B$2:$B$313=Tulokset!$B62,Data!$AN$2:$AN$313),Tulokset!$C62))),"")</f>
        <v>1.00004</v>
      </c>
      <c r="E62" s="78">
        <f>IF($B62&gt;keilatut,"",IF($C62=(-1),"GP"&amp;$B62&amp;", "&amp;DAY(VLOOKUP($B62,kilpailukalenteri,2))&amp;"."&amp;MONTH(VLOOKUP($B62,kilpailukalenteri,2))&amp;"."&amp;YEAR(VLOOKUP($B62,kilpailukalenteri,2))&amp;", "&amp;IF(RIGHT(VLOOKUP($B62,kilpailukalenteri,4),1)="*",LEFT(VLOOKUP($B62,kilpailukalenteri,4),LEN(VLOOKUP($B62,kilpailukalenteri,4))-2)&amp;", Kultainen GP",VLOOKUP($B62,kilpailukalenteri,4)),IF($C62=0,"Sija",IF($C62&gt;Data!$CP$2,"",ROUND(Tulokset!$D62,0)))))</f>
        <v>1</v>
      </c>
      <c r="F62" s="78" t="str">
        <f ca="1">IF($B62&gt;keilatut,"",IF($C62=(-1),"",IF($C62=0,"Nimi",IF($C62&gt;Data!$CP$2,"",OFFSET(tulossiirtymä,MATCH($D62,Data!$AN$2:$AN$313,0),Tulokset!F$2)))))</f>
        <v>Ossi Oksa</v>
      </c>
      <c r="G62" s="78">
        <f ca="1">IF($B62&gt;keilatut,"",IF($C62=(-1),"",IF($C62=0,"Sarja 1",IF($C62&gt;Data!$CP$2,"",OFFSET(tulossiirtymä,MATCH($D62,Data!$AN$2:$AN$313,0),Tulokset!G$2)))))</f>
        <v>192</v>
      </c>
      <c r="H62" s="78">
        <f ca="1">IF($B62&gt;keilatut,"",IF($C62=(-1),"",IF($C62=0,"Sarja 2",IF($C62&gt;Data!$CP$2,"",OFFSET(tulossiirtymä,MATCH($D62,Data!$AN$2:$AN$313,0),Tulokset!H$2)))))</f>
        <v>209</v>
      </c>
      <c r="I62" s="78">
        <f ca="1">IF($B62&gt;keilatut,"",IF($C62=(-1),"",IF($C62=0,"Yhteensä",IF($C62&gt;Data!$CP$2,"",OFFSET(tulossiirtymä,MATCH($D62,Data!$AN$2:$AN$313,0),Tulokset!I$2)))))</f>
        <v>401</v>
      </c>
      <c r="J62" s="78" t="str">
        <f ca="1">IF($B62&gt;keilatut,"",IF($C62=(-1),"",IF($C62=0,"Ero voittajaan",IF($C62&gt;Data!$CP$2,"",OFFSET(tulossiirtymä,MATCH($D62,Data!$AN$2:$AN$313,0),Tulokset!J$2)))))</f>
        <v/>
      </c>
      <c r="K62" s="78">
        <f ca="1">IF($B62&gt;keilatut,"",IF($C62=(-1),"",IF($C62=0,"Pisteet",IF($C62&gt;Data!$CP$2,"",OFFSET(tulossiirtymä,MATCH($D62,Data!$AN$2:$AN$313,0),Tulokset!K$2)))))</f>
        <v>13</v>
      </c>
      <c r="L62" s="78">
        <f ca="1">IF($B62&gt;keilatut,"",IF($C62=(-1),"",IF($C62=0,"Pisteet yhteensä",IF($C62&gt;Data!$CP$2,"",OFFSET(tulossiirtymä,MATCH($D62,Data!$AN$2:$AN$313,0),Tulokset!L$2)))))</f>
        <v>26.5</v>
      </c>
      <c r="M62" s="78" t="str">
        <f ca="1">IF($B62&gt;keilatut,"",IF($C62=(-1),"",IF($C62=0,"Pisteseloste",IF($C62&gt;Data!$CP$2,"",OFFSET(tulossiirtymä,MATCH($D62,Data!$AN$2:$AN$313,0),Tulokset!M$2)))))</f>
        <v>+SP+KK</v>
      </c>
    </row>
    <row r="63" spans="2:13" x14ac:dyDescent="0.25">
      <c r="B63" s="78">
        <f t="shared" si="1"/>
        <v>3</v>
      </c>
      <c r="C63" s="78">
        <f>COUNTIF($B$6:B63,B63)-2</f>
        <v>2</v>
      </c>
      <c r="D63" s="79">
        <f t="array" ref="D63">IF($B63&lt;=keilatut,IF($C63&lt;1,"",IF($C63&gt;Data!$CP$2,"",SMALL(IF(Data!$B$2:$B$313=Tulokset!$B63,Data!$AN$2:$AN$313),Tulokset!$C63))),"")</f>
        <v>2.0000390000000001</v>
      </c>
      <c r="E63" s="78">
        <f>IF($B63&gt;keilatut,"",IF($C63=(-1),"GP"&amp;$B63&amp;", "&amp;DAY(VLOOKUP($B63,kilpailukalenteri,2))&amp;"."&amp;MONTH(VLOOKUP($B63,kilpailukalenteri,2))&amp;"."&amp;YEAR(VLOOKUP($B63,kilpailukalenteri,2))&amp;", "&amp;IF(RIGHT(VLOOKUP($B63,kilpailukalenteri,4),1)="*",LEFT(VLOOKUP($B63,kilpailukalenteri,4),LEN(VLOOKUP($B63,kilpailukalenteri,4))-2)&amp;", Kultainen GP",VLOOKUP($B63,kilpailukalenteri,4)),IF($C63=0,"Sija",IF($C63&gt;Data!$CP$2,"",ROUND(Tulokset!$D63,0)))))</f>
        <v>2</v>
      </c>
      <c r="F63" s="78" t="str">
        <f ca="1">IF($B63&gt;keilatut,"",IF($C63=(-1),"",IF($C63=0,"Nimi",IF($C63&gt;Data!$CP$2,"",OFFSET(tulossiirtymä,MATCH($D63,Data!$AN$2:$AN$313,0),Tulokset!F$2)))))</f>
        <v>Miika Nordblad</v>
      </c>
      <c r="G63" s="78">
        <f ca="1">IF($B63&gt;keilatut,"",IF($C63=(-1),"",IF($C63=0,"Sarja 1",IF($C63&gt;Data!$CP$2,"",OFFSET(tulossiirtymä,MATCH($D63,Data!$AN$2:$AN$313,0),Tulokset!G$2)))))</f>
        <v>168</v>
      </c>
      <c r="H63" s="78">
        <f ca="1">IF($B63&gt;keilatut,"",IF($C63=(-1),"",IF($C63=0,"Sarja 2",IF($C63&gt;Data!$CP$2,"",OFFSET(tulossiirtymä,MATCH($D63,Data!$AN$2:$AN$313,0),Tulokset!H$2)))))</f>
        <v>159</v>
      </c>
      <c r="I63" s="78">
        <f ca="1">IF($B63&gt;keilatut,"",IF($C63=(-1),"",IF($C63=0,"Yhteensä",IF($C63&gt;Data!$CP$2,"",OFFSET(tulossiirtymä,MATCH($D63,Data!$AN$2:$AN$313,0),Tulokset!I$2)))))</f>
        <v>327</v>
      </c>
      <c r="J63" s="78">
        <f ca="1">IF($B63&gt;keilatut,"",IF($C63=(-1),"",IF($C63=0,"Ero voittajaan",IF($C63&gt;Data!$CP$2,"",OFFSET(tulossiirtymä,MATCH($D63,Data!$AN$2:$AN$313,0),Tulokset!J$2)))))</f>
        <v>74</v>
      </c>
      <c r="K63" s="78">
        <f ca="1">IF($B63&gt;keilatut,"",IF($C63=(-1),"",IF($C63=0,"Pisteet",IF($C63&gt;Data!$CP$2,"",OFFSET(tulossiirtymä,MATCH($D63,Data!$AN$2:$AN$313,0),Tulokset!K$2)))))</f>
        <v>10</v>
      </c>
      <c r="L63" s="78">
        <f ca="1">IF($B63&gt;keilatut,"",IF($C63=(-1),"",IF($C63=0,"Pisteet yhteensä",IF($C63&gt;Data!$CP$2,"",OFFSET(tulossiirtymä,MATCH($D63,Data!$AN$2:$AN$313,0),Tulokset!L$2)))))</f>
        <v>21</v>
      </c>
      <c r="M63" s="78" t="str">
        <f ca="1">IF($B63&gt;keilatut,"",IF($C63=(-1),"",IF($C63=0,"Pisteseloste",IF($C63&gt;Data!$CP$2,"",OFFSET(tulossiirtymä,MATCH($D63,Data!$AN$2:$AN$313,0),Tulokset!M$2)))))</f>
        <v>+SP</v>
      </c>
    </row>
    <row r="64" spans="2:13" x14ac:dyDescent="0.25">
      <c r="B64" s="78">
        <f t="shared" si="1"/>
        <v>3</v>
      </c>
      <c r="C64" s="78">
        <f>COUNTIF($B$6:B64,B64)-2</f>
        <v>3</v>
      </c>
      <c r="D64" s="79">
        <f t="array" ref="D64">IF($B64&lt;=keilatut,IF($C64&lt;1,"",IF($C64&gt;Data!$CP$2,"",SMALL(IF(Data!$B$2:$B$313=Tulokset!$B64,Data!$AN$2:$AN$313),Tulokset!$C64))),"")</f>
        <v>3.0000420000000001</v>
      </c>
      <c r="E64" s="78">
        <f>IF($B64&gt;keilatut,"",IF($C64=(-1),"GP"&amp;$B64&amp;", "&amp;DAY(VLOOKUP($B64,kilpailukalenteri,2))&amp;"."&amp;MONTH(VLOOKUP($B64,kilpailukalenteri,2))&amp;"."&amp;YEAR(VLOOKUP($B64,kilpailukalenteri,2))&amp;", "&amp;IF(RIGHT(VLOOKUP($B64,kilpailukalenteri,4),1)="*",LEFT(VLOOKUP($B64,kilpailukalenteri,4),LEN(VLOOKUP($B64,kilpailukalenteri,4))-2)&amp;", Kultainen GP",VLOOKUP($B64,kilpailukalenteri,4)),IF($C64=0,"Sija",IF($C64&gt;Data!$CP$2,"",ROUND(Tulokset!$D64,0)))))</f>
        <v>3</v>
      </c>
      <c r="F64" s="78" t="str">
        <f ca="1">IF($B64&gt;keilatut,"",IF($C64=(-1),"",IF($C64=0,"Nimi",IF($C64&gt;Data!$CP$2,"",OFFSET(tulossiirtymä,MATCH($D64,Data!$AN$2:$AN$313,0),Tulokset!F$2)))))</f>
        <v>Mika Sola</v>
      </c>
      <c r="G64" s="78">
        <f ca="1">IF($B64&gt;keilatut,"",IF($C64=(-1),"",IF($C64=0,"Sarja 1",IF($C64&gt;Data!$CP$2,"",OFFSET(tulossiirtymä,MATCH($D64,Data!$AN$2:$AN$313,0),Tulokset!G$2)))))</f>
        <v>113</v>
      </c>
      <c r="H64" s="78">
        <f ca="1">IF($B64&gt;keilatut,"",IF($C64=(-1),"",IF($C64=0,"Sarja 2",IF($C64&gt;Data!$CP$2,"",OFFSET(tulossiirtymä,MATCH($D64,Data!$AN$2:$AN$313,0),Tulokset!H$2)))))</f>
        <v>178</v>
      </c>
      <c r="I64" s="78">
        <f ca="1">IF($B64&gt;keilatut,"",IF($C64=(-1),"",IF($C64=0,"Yhteensä",IF($C64&gt;Data!$CP$2,"",OFFSET(tulossiirtymä,MATCH($D64,Data!$AN$2:$AN$313,0),Tulokset!I$2)))))</f>
        <v>291</v>
      </c>
      <c r="J64" s="78">
        <f ca="1">IF($B64&gt;keilatut,"",IF($C64=(-1),"",IF($C64=0,"Ero voittajaan",IF($C64&gt;Data!$CP$2,"",OFFSET(tulossiirtymä,MATCH($D64,Data!$AN$2:$AN$313,0),Tulokset!J$2)))))</f>
        <v>110</v>
      </c>
      <c r="K64" s="78">
        <f ca="1">IF($B64&gt;keilatut,"",IF($C64=(-1),"",IF($C64=0,"Pisteet",IF($C64&gt;Data!$CP$2,"",OFFSET(tulossiirtymä,MATCH($D64,Data!$AN$2:$AN$313,0),Tulokset!K$2)))))</f>
        <v>8</v>
      </c>
      <c r="L64" s="78">
        <f ca="1">IF($B64&gt;keilatut,"",IF($C64=(-1),"",IF($C64=0,"Pisteet yhteensä",IF($C64&gt;Data!$CP$2,"",OFFSET(tulossiirtymä,MATCH($D64,Data!$AN$2:$AN$313,0),Tulokset!L$2)))))</f>
        <v>18</v>
      </c>
      <c r="M64" s="78" t="str">
        <f ca="1">IF($B64&gt;keilatut,"",IF($C64=(-1),"",IF($C64=0,"Pisteseloste",IF($C64&gt;Data!$CP$2,"",OFFSET(tulossiirtymä,MATCH($D64,Data!$AN$2:$AN$313,0),Tulokset!M$2)))))</f>
        <v>+SP</v>
      </c>
    </row>
    <row r="65" spans="2:13" x14ac:dyDescent="0.25">
      <c r="B65" s="78">
        <f t="shared" si="1"/>
        <v>3</v>
      </c>
      <c r="C65" s="78">
        <f>COUNTIF($B$6:B65,B65)-2</f>
        <v>4</v>
      </c>
      <c r="D65" s="79">
        <f t="array" ref="D65">IF($B65&lt;=keilatut,IF($C65&lt;1,"",IF($C65&gt;Data!$CP$2,"",SMALL(IF(Data!$B$2:$B$313=Tulokset!$B65,Data!$AN$2:$AN$313),Tulokset!$C65))),"")</f>
        <v>4.0000439999999999</v>
      </c>
      <c r="E65" s="78">
        <f>IF($B65&gt;keilatut,"",IF($C65=(-1),"GP"&amp;$B65&amp;", "&amp;DAY(VLOOKUP($B65,kilpailukalenteri,2))&amp;"."&amp;MONTH(VLOOKUP($B65,kilpailukalenteri,2))&amp;"."&amp;YEAR(VLOOKUP($B65,kilpailukalenteri,2))&amp;", "&amp;IF(RIGHT(VLOOKUP($B65,kilpailukalenteri,4),1)="*",LEFT(VLOOKUP($B65,kilpailukalenteri,4),LEN(VLOOKUP($B65,kilpailukalenteri,4))-2)&amp;", Kultainen GP",VLOOKUP($B65,kilpailukalenteri,4)),IF($C65=0,"Sija",IF($C65&gt;Data!$CP$2,"",ROUND(Tulokset!$D65,0)))))</f>
        <v>4</v>
      </c>
      <c r="F65" s="78" t="str">
        <f ca="1">IF($B65&gt;keilatut,"",IF($C65=(-1),"",IF($C65=0,"Nimi",IF($C65&gt;Data!$CP$2,"",OFFSET(tulossiirtymä,MATCH($D65,Data!$AN$2:$AN$313,0),Tulokset!F$2)))))</f>
        <v>Jami Kallio</v>
      </c>
      <c r="G65" s="78">
        <f ca="1">IF($B65&gt;keilatut,"",IF($C65=(-1),"",IF($C65=0,"Sarja 1",IF($C65&gt;Data!$CP$2,"",OFFSET(tulossiirtymä,MATCH($D65,Data!$AN$2:$AN$313,0),Tulokset!G$2)))))</f>
        <v>134</v>
      </c>
      <c r="H65" s="78">
        <f ca="1">IF($B65&gt;keilatut,"",IF($C65=(-1),"",IF($C65=0,"Sarja 2",IF($C65&gt;Data!$CP$2,"",OFFSET(tulossiirtymä,MATCH($D65,Data!$AN$2:$AN$313,0),Tulokset!H$2)))))</f>
        <v>148</v>
      </c>
      <c r="I65" s="78">
        <f ca="1">IF($B65&gt;keilatut,"",IF($C65=(-1),"",IF($C65=0,"Yhteensä",IF($C65&gt;Data!$CP$2,"",OFFSET(tulossiirtymä,MATCH($D65,Data!$AN$2:$AN$313,0),Tulokset!I$2)))))</f>
        <v>282</v>
      </c>
      <c r="J65" s="78">
        <f ca="1">IF($B65&gt;keilatut,"",IF($C65=(-1),"",IF($C65=0,"Ero voittajaan",IF($C65&gt;Data!$CP$2,"",OFFSET(tulossiirtymä,MATCH($D65,Data!$AN$2:$AN$313,0),Tulokset!J$2)))))</f>
        <v>119</v>
      </c>
      <c r="K65" s="78">
        <f ca="1">IF($B65&gt;keilatut,"",IF($C65=(-1),"",IF($C65=0,"Pisteet",IF($C65&gt;Data!$CP$2,"",OFFSET(tulossiirtymä,MATCH($D65,Data!$AN$2:$AN$313,0),Tulokset!K$2)))))</f>
        <v>7</v>
      </c>
      <c r="L65" s="78">
        <f ca="1">IF($B65&gt;keilatut,"",IF($C65=(-1),"",IF($C65=0,"Pisteet yhteensä",IF($C65&gt;Data!$CP$2,"",OFFSET(tulossiirtymä,MATCH($D65,Data!$AN$2:$AN$313,0),Tulokset!L$2)))))</f>
        <v>16</v>
      </c>
      <c r="M65" s="78" t="str">
        <f ca="1">IF($B65&gt;keilatut,"",IF($C65=(-1),"",IF($C65=0,"Pisteseloste",IF($C65&gt;Data!$CP$2,"",OFFSET(tulossiirtymä,MATCH($D65,Data!$AN$2:$AN$313,0),Tulokset!M$2)))))</f>
        <v>+SP</v>
      </c>
    </row>
    <row r="66" spans="2:13" x14ac:dyDescent="0.25">
      <c r="B66" s="78">
        <f t="shared" si="1"/>
        <v>3</v>
      </c>
      <c r="C66" s="78">
        <f>COUNTIF($B$6:B66,B66)-2</f>
        <v>5</v>
      </c>
      <c r="D66" s="79">
        <f t="array" ref="D66">IF($B66&lt;=keilatut,IF($C66&lt;1,"",IF($C66&gt;Data!$CP$2,"",SMALL(IF(Data!$B$2:$B$313=Tulokset!$B66,Data!$AN$2:$AN$313),Tulokset!$C66))),"")</f>
        <v>5.000038</v>
      </c>
      <c r="E66" s="78">
        <f>IF($B66&gt;keilatut,"",IF($C66=(-1),"GP"&amp;$B66&amp;", "&amp;DAY(VLOOKUP($B66,kilpailukalenteri,2))&amp;"."&amp;MONTH(VLOOKUP($B66,kilpailukalenteri,2))&amp;"."&amp;YEAR(VLOOKUP($B66,kilpailukalenteri,2))&amp;", "&amp;IF(RIGHT(VLOOKUP($B66,kilpailukalenteri,4),1)="*",LEFT(VLOOKUP($B66,kilpailukalenteri,4),LEN(VLOOKUP($B66,kilpailukalenteri,4))-2)&amp;", Kultainen GP",VLOOKUP($B66,kilpailukalenteri,4)),IF($C66=0,"Sija",IF($C66&gt;Data!$CP$2,"",ROUND(Tulokset!$D66,0)))))</f>
        <v>5</v>
      </c>
      <c r="F66" s="78" t="str">
        <f ca="1">IF($B66&gt;keilatut,"",IF($C66=(-1),"",IF($C66=0,"Nimi",IF($C66&gt;Data!$CP$2,"",OFFSET(tulossiirtymä,MATCH($D66,Data!$AN$2:$AN$313,0),Tulokset!F$2)))))</f>
        <v>Niko Reunanen</v>
      </c>
      <c r="G66" s="78">
        <f ca="1">IF($B66&gt;keilatut,"",IF($C66=(-1),"",IF($C66=0,"Sarja 1",IF($C66&gt;Data!$CP$2,"",OFFSET(tulossiirtymä,MATCH($D66,Data!$AN$2:$AN$313,0),Tulokset!G$2)))))</f>
        <v>148</v>
      </c>
      <c r="H66" s="78">
        <f ca="1">IF($B66&gt;keilatut,"",IF($C66=(-1),"",IF($C66=0,"Sarja 2",IF($C66&gt;Data!$CP$2,"",OFFSET(tulossiirtymä,MATCH($D66,Data!$AN$2:$AN$313,0),Tulokset!H$2)))))</f>
        <v>127</v>
      </c>
      <c r="I66" s="78">
        <f ca="1">IF($B66&gt;keilatut,"",IF($C66=(-1),"",IF($C66=0,"Yhteensä",IF($C66&gt;Data!$CP$2,"",OFFSET(tulossiirtymä,MATCH($D66,Data!$AN$2:$AN$313,0),Tulokset!I$2)))))</f>
        <v>275</v>
      </c>
      <c r="J66" s="78">
        <f ca="1">IF($B66&gt;keilatut,"",IF($C66=(-1),"",IF($C66=0,"Ero voittajaan",IF($C66&gt;Data!$CP$2,"",OFFSET(tulossiirtymä,MATCH($D66,Data!$AN$2:$AN$313,0),Tulokset!J$2)))))</f>
        <v>126</v>
      </c>
      <c r="K66" s="78">
        <f ca="1">IF($B66&gt;keilatut,"",IF($C66=(-1),"",IF($C66=0,"Pisteet",IF($C66&gt;Data!$CP$2,"",OFFSET(tulossiirtymä,MATCH($D66,Data!$AN$2:$AN$313,0),Tulokset!K$2)))))</f>
        <v>6</v>
      </c>
      <c r="L66" s="78">
        <f ca="1">IF($B66&gt;keilatut,"",IF($C66=(-1),"",IF($C66=0,"Pisteet yhteensä",IF($C66&gt;Data!$CP$2,"",OFFSET(tulossiirtymä,MATCH($D66,Data!$AN$2:$AN$313,0),Tulokset!L$2)))))</f>
        <v>9</v>
      </c>
      <c r="M66" s="78" t="str">
        <f ca="1">IF($B66&gt;keilatut,"",IF($C66=(-1),"",IF($C66=0,"Pisteseloste",IF($C66&gt;Data!$CP$2,"",OFFSET(tulossiirtymä,MATCH($D66,Data!$AN$2:$AN$313,0),Tulokset!M$2)))))</f>
        <v>+SP</v>
      </c>
    </row>
    <row r="67" spans="2:13" x14ac:dyDescent="0.25">
      <c r="B67" s="78">
        <f t="shared" si="1"/>
        <v>3</v>
      </c>
      <c r="C67" s="78">
        <f>COUNTIF($B$6:B67,B67)-2</f>
        <v>6</v>
      </c>
      <c r="D67" s="79">
        <f t="array" ref="D67">IF($B67&lt;=keilatut,IF($C67&lt;1,"",IF($C67&gt;Data!$CP$2,"",SMALL(IF(Data!$B$2:$B$313=Tulokset!$B67,Data!$AN$2:$AN$313),Tulokset!$C67))),"")</f>
        <v>6.0000470000000004</v>
      </c>
      <c r="E67" s="78">
        <f>IF($B67&gt;keilatut,"",IF($C67=(-1),"GP"&amp;$B67&amp;", "&amp;DAY(VLOOKUP($B67,kilpailukalenteri,2))&amp;"."&amp;MONTH(VLOOKUP($B67,kilpailukalenteri,2))&amp;"."&amp;YEAR(VLOOKUP($B67,kilpailukalenteri,2))&amp;", "&amp;IF(RIGHT(VLOOKUP($B67,kilpailukalenteri,4),1)="*",LEFT(VLOOKUP($B67,kilpailukalenteri,4),LEN(VLOOKUP($B67,kilpailukalenteri,4))-2)&amp;", Kultainen GP",VLOOKUP($B67,kilpailukalenteri,4)),IF($C67=0,"Sija",IF($C67&gt;Data!$CP$2,"",ROUND(Tulokset!$D67,0)))))</f>
        <v>6</v>
      </c>
      <c r="F67" s="78" t="str">
        <f ca="1">IF($B67&gt;keilatut,"",IF($C67=(-1),"",IF($C67=0,"Nimi",IF($C67&gt;Data!$CP$2,"",OFFSET(tulossiirtymä,MATCH($D67,Data!$AN$2:$AN$313,0),Tulokset!F$2)))))</f>
        <v>Miikka Korventausta</v>
      </c>
      <c r="G67" s="78">
        <f ca="1">IF($B67&gt;keilatut,"",IF($C67=(-1),"",IF($C67=0,"Sarja 1",IF($C67&gt;Data!$CP$2,"",OFFSET(tulossiirtymä,MATCH($D67,Data!$AN$2:$AN$313,0),Tulokset!G$2)))))</f>
        <v>136</v>
      </c>
      <c r="H67" s="78">
        <f ca="1">IF($B67&gt;keilatut,"",IF($C67=(-1),"",IF($C67=0,"Sarja 2",IF($C67&gt;Data!$CP$2,"",OFFSET(tulossiirtymä,MATCH($D67,Data!$AN$2:$AN$313,0),Tulokset!H$2)))))</f>
        <v>122</v>
      </c>
      <c r="I67" s="78">
        <f ca="1">IF($B67&gt;keilatut,"",IF($C67=(-1),"",IF($C67=0,"Yhteensä",IF($C67&gt;Data!$CP$2,"",OFFSET(tulossiirtymä,MATCH($D67,Data!$AN$2:$AN$313,0),Tulokset!I$2)))))</f>
        <v>258</v>
      </c>
      <c r="J67" s="78">
        <f ca="1">IF($B67&gt;keilatut,"",IF($C67=(-1),"",IF($C67=0,"Ero voittajaan",IF($C67&gt;Data!$CP$2,"",OFFSET(tulossiirtymä,MATCH($D67,Data!$AN$2:$AN$313,0),Tulokset!J$2)))))</f>
        <v>143</v>
      </c>
      <c r="K67" s="78">
        <f ca="1">IF($B67&gt;keilatut,"",IF($C67=(-1),"",IF($C67=0,"Pisteet",IF($C67&gt;Data!$CP$2,"",OFFSET(tulossiirtymä,MATCH($D67,Data!$AN$2:$AN$313,0),Tulokset!K$2)))))</f>
        <v>5</v>
      </c>
      <c r="L67" s="78">
        <f ca="1">IF($B67&gt;keilatut,"",IF($C67=(-1),"",IF($C67=0,"Pisteet yhteensä",IF($C67&gt;Data!$CP$2,"",OFFSET(tulossiirtymä,MATCH($D67,Data!$AN$2:$AN$313,0),Tulokset!L$2)))))</f>
        <v>5</v>
      </c>
      <c r="M67" s="78" t="str">
        <f ca="1">IF($B67&gt;keilatut,"",IF($C67=(-1),"",IF($C67=0,"Pisteseloste",IF($C67&gt;Data!$CP$2,"",OFFSET(tulossiirtymä,MATCH($D67,Data!$AN$2:$AN$313,0),Tulokset!M$2)))))</f>
        <v>+SP</v>
      </c>
    </row>
    <row r="68" spans="2:13" x14ac:dyDescent="0.25">
      <c r="B68" s="78">
        <f t="shared" si="1"/>
        <v>3</v>
      </c>
      <c r="C68" s="78">
        <f>COUNTIF($B$6:B68,B68)-2</f>
        <v>7</v>
      </c>
      <c r="D68" s="79">
        <f t="array" ref="D68">IF($B68&lt;=keilatut,IF($C68&lt;1,"",IF($C68&gt;Data!$CP$2,"",SMALL(IF(Data!$B$2:$B$313=Tulokset!$B68,Data!$AN$2:$AN$313),Tulokset!$C68))),"")</f>
        <v>7.0000450000000001</v>
      </c>
      <c r="E68" s="78">
        <f>IF($B68&gt;keilatut,"",IF($C68=(-1),"GP"&amp;$B68&amp;", "&amp;DAY(VLOOKUP($B68,kilpailukalenteri,2))&amp;"."&amp;MONTH(VLOOKUP($B68,kilpailukalenteri,2))&amp;"."&amp;YEAR(VLOOKUP($B68,kilpailukalenteri,2))&amp;", "&amp;IF(RIGHT(VLOOKUP($B68,kilpailukalenteri,4),1)="*",LEFT(VLOOKUP($B68,kilpailukalenteri,4),LEN(VLOOKUP($B68,kilpailukalenteri,4))-2)&amp;", Kultainen GP",VLOOKUP($B68,kilpailukalenteri,4)),IF($C68=0,"Sija",IF($C68&gt;Data!$CP$2,"",ROUND(Tulokset!$D68,0)))))</f>
        <v>7</v>
      </c>
      <c r="F68" s="78" t="str">
        <f ca="1">IF($B68&gt;keilatut,"",IF($C68=(-1),"",IF($C68=0,"Nimi",IF($C68&gt;Data!$CP$2,"",OFFSET(tulossiirtymä,MATCH($D68,Data!$AN$2:$AN$313,0),Tulokset!F$2)))))</f>
        <v>Juho Korpi</v>
      </c>
      <c r="G68" s="78">
        <f ca="1">IF($B68&gt;keilatut,"",IF($C68=(-1),"",IF($C68=0,"Sarja 1",IF($C68&gt;Data!$CP$2,"",OFFSET(tulossiirtymä,MATCH($D68,Data!$AN$2:$AN$313,0),Tulokset!G$2)))))</f>
        <v>130</v>
      </c>
      <c r="H68" s="78">
        <f ca="1">IF($B68&gt;keilatut,"",IF($C68=(-1),"",IF($C68=0,"Sarja 2",IF($C68&gt;Data!$CP$2,"",OFFSET(tulossiirtymä,MATCH($D68,Data!$AN$2:$AN$313,0),Tulokset!H$2)))))</f>
        <v>120</v>
      </c>
      <c r="I68" s="78">
        <f ca="1">IF($B68&gt;keilatut,"",IF($C68=(-1),"",IF($C68=0,"Yhteensä",IF($C68&gt;Data!$CP$2,"",OFFSET(tulossiirtymä,MATCH($D68,Data!$AN$2:$AN$313,0),Tulokset!I$2)))))</f>
        <v>250</v>
      </c>
      <c r="J68" s="78">
        <f ca="1">IF($B68&gt;keilatut,"",IF($C68=(-1),"",IF($C68=0,"Ero voittajaan",IF($C68&gt;Data!$CP$2,"",OFFSET(tulossiirtymä,MATCH($D68,Data!$AN$2:$AN$313,0),Tulokset!J$2)))))</f>
        <v>151</v>
      </c>
      <c r="K68" s="78">
        <f ca="1">IF($B68&gt;keilatut,"",IF($C68=(-1),"",IF($C68=0,"Pisteet",IF($C68&gt;Data!$CP$2,"",OFFSET(tulossiirtymä,MATCH($D68,Data!$AN$2:$AN$313,0),Tulokset!K$2)))))</f>
        <v>4</v>
      </c>
      <c r="L68" s="78">
        <f ca="1">IF($B68&gt;keilatut,"",IF($C68=(-1),"",IF($C68=0,"Pisteet yhteensä",IF($C68&gt;Data!$CP$2,"",OFFSET(tulossiirtymä,MATCH($D68,Data!$AN$2:$AN$313,0),Tulokset!L$2)))))</f>
        <v>4</v>
      </c>
      <c r="M68" s="78" t="str">
        <f ca="1">IF($B68&gt;keilatut,"",IF($C68=(-1),"",IF($C68=0,"Pisteseloste",IF($C68&gt;Data!$CP$2,"",OFFSET(tulossiirtymä,MATCH($D68,Data!$AN$2:$AN$313,0),Tulokset!M$2)))))</f>
        <v>+SP</v>
      </c>
    </row>
    <row r="69" spans="2:13" x14ac:dyDescent="0.25">
      <c r="B69" s="78">
        <f t="shared" si="1"/>
        <v>3</v>
      </c>
      <c r="C69" s="78">
        <f>COUNTIF($B$6:B69,B69)-2</f>
        <v>8</v>
      </c>
      <c r="D69" s="79">
        <f t="array" ref="D69">IF($B69&lt;=keilatut,IF($C69&lt;1,"",IF($C69&gt;Data!$CP$2,"",SMALL(IF(Data!$B$2:$B$313=Tulokset!$B69,Data!$AN$2:$AN$313),Tulokset!$C69))),"")</f>
        <v>8.0000409999999995</v>
      </c>
      <c r="E69" s="78">
        <f>IF($B69&gt;keilatut,"",IF($C69=(-1),"GP"&amp;$B69&amp;", "&amp;DAY(VLOOKUP($B69,kilpailukalenteri,2))&amp;"."&amp;MONTH(VLOOKUP($B69,kilpailukalenteri,2))&amp;"."&amp;YEAR(VLOOKUP($B69,kilpailukalenteri,2))&amp;", "&amp;IF(RIGHT(VLOOKUP($B69,kilpailukalenteri,4),1)="*",LEFT(VLOOKUP($B69,kilpailukalenteri,4),LEN(VLOOKUP($B69,kilpailukalenteri,4))-2)&amp;", Kultainen GP",VLOOKUP($B69,kilpailukalenteri,4)),IF($C69=0,"Sija",IF($C69&gt;Data!$CP$2,"",ROUND(Tulokset!$D69,0)))))</f>
        <v>8</v>
      </c>
      <c r="F69" s="78" t="str">
        <f ca="1">IF($B69&gt;keilatut,"",IF($C69=(-1),"",IF($C69=0,"Nimi",IF($C69&gt;Data!$CP$2,"",OFFSET(tulossiirtymä,MATCH($D69,Data!$AN$2:$AN$313,0),Tulokset!F$2)))))</f>
        <v>Henri Verho</v>
      </c>
      <c r="G69" s="78">
        <f ca="1">IF($B69&gt;keilatut,"",IF($C69=(-1),"",IF($C69=0,"Sarja 1",IF($C69&gt;Data!$CP$2,"",OFFSET(tulossiirtymä,MATCH($D69,Data!$AN$2:$AN$313,0),Tulokset!G$2)))))</f>
        <v>140</v>
      </c>
      <c r="H69" s="78">
        <f ca="1">IF($B69&gt;keilatut,"",IF($C69=(-1),"",IF($C69=0,"Sarja 2",IF($C69&gt;Data!$CP$2,"",OFFSET(tulossiirtymä,MATCH($D69,Data!$AN$2:$AN$313,0),Tulokset!H$2)))))</f>
        <v>104</v>
      </c>
      <c r="I69" s="78">
        <f ca="1">IF($B69&gt;keilatut,"",IF($C69=(-1),"",IF($C69=0,"Yhteensä",IF($C69&gt;Data!$CP$2,"",OFFSET(tulossiirtymä,MATCH($D69,Data!$AN$2:$AN$313,0),Tulokset!I$2)))))</f>
        <v>244</v>
      </c>
      <c r="J69" s="78">
        <f ca="1">IF($B69&gt;keilatut,"",IF($C69=(-1),"",IF($C69=0,"Ero voittajaan",IF($C69&gt;Data!$CP$2,"",OFFSET(tulossiirtymä,MATCH($D69,Data!$AN$2:$AN$313,0),Tulokset!J$2)))))</f>
        <v>157</v>
      </c>
      <c r="K69" s="78">
        <f ca="1">IF($B69&gt;keilatut,"",IF($C69=(-1),"",IF($C69=0,"Pisteet",IF($C69&gt;Data!$CP$2,"",OFFSET(tulossiirtymä,MATCH($D69,Data!$AN$2:$AN$313,0),Tulokset!K$2)))))</f>
        <v>3</v>
      </c>
      <c r="L69" s="78">
        <f ca="1">IF($B69&gt;keilatut,"",IF($C69=(-1),"",IF($C69=0,"Pisteet yhteensä",IF($C69&gt;Data!$CP$2,"",OFFSET(tulossiirtymä,MATCH($D69,Data!$AN$2:$AN$313,0),Tulokset!L$2)))))</f>
        <v>14</v>
      </c>
      <c r="M69" s="78" t="str">
        <f ca="1">IF($B69&gt;keilatut,"",IF($C69=(-1),"",IF($C69=0,"Pisteseloste",IF($C69&gt;Data!$CP$2,"",OFFSET(tulossiirtymä,MATCH($D69,Data!$AN$2:$AN$313,0),Tulokset!M$2)))))</f>
        <v>+SP</v>
      </c>
    </row>
    <row r="70" spans="2:13" x14ac:dyDescent="0.25">
      <c r="B70" s="78">
        <f t="shared" si="1"/>
        <v>3</v>
      </c>
      <c r="C70" s="78">
        <f>COUNTIF($B$6:B70,B70)-2</f>
        <v>9</v>
      </c>
      <c r="D70" s="79">
        <f t="array" ref="D70">IF($B70&lt;=keilatut,IF($C70&lt;1,"",IF($C70&gt;Data!$CP$2,"",SMALL(IF(Data!$B$2:$B$313=Tulokset!$B70,Data!$AN$2:$AN$313),Tulokset!$C70))),"")</f>
        <v>9.0000459999999993</v>
      </c>
      <c r="E70" s="78">
        <f>IF($B70&gt;keilatut,"",IF($C70=(-1),"GP"&amp;$B70&amp;", "&amp;DAY(VLOOKUP($B70,kilpailukalenteri,2))&amp;"."&amp;MONTH(VLOOKUP($B70,kilpailukalenteri,2))&amp;"."&amp;YEAR(VLOOKUP($B70,kilpailukalenteri,2))&amp;", "&amp;IF(RIGHT(VLOOKUP($B70,kilpailukalenteri,4),1)="*",LEFT(VLOOKUP($B70,kilpailukalenteri,4),LEN(VLOOKUP($B70,kilpailukalenteri,4))-2)&amp;", Kultainen GP",VLOOKUP($B70,kilpailukalenteri,4)),IF($C70=0,"Sija",IF($C70&gt;Data!$CP$2,"",ROUND(Tulokset!$D70,0)))))</f>
        <v>9</v>
      </c>
      <c r="F70" s="78" t="str">
        <f ca="1">IF($B70&gt;keilatut,"",IF($C70=(-1),"",IF($C70=0,"Nimi",IF($C70&gt;Data!$CP$2,"",OFFSET(tulossiirtymä,MATCH($D70,Data!$AN$2:$AN$313,0),Tulokset!F$2)))))</f>
        <v>Kaleva Latvala</v>
      </c>
      <c r="G70" s="78">
        <f ca="1">IF($B70&gt;keilatut,"",IF($C70=(-1),"",IF($C70=0,"Sarja 1",IF($C70&gt;Data!$CP$2,"",OFFSET(tulossiirtymä,MATCH($D70,Data!$AN$2:$AN$313,0),Tulokset!G$2)))))</f>
        <v>114</v>
      </c>
      <c r="H70" s="78">
        <f ca="1">IF($B70&gt;keilatut,"",IF($C70=(-1),"",IF($C70=0,"Sarja 2",IF($C70&gt;Data!$CP$2,"",OFFSET(tulossiirtymä,MATCH($D70,Data!$AN$2:$AN$313,0),Tulokset!H$2)))))</f>
        <v>118</v>
      </c>
      <c r="I70" s="78">
        <f ca="1">IF($B70&gt;keilatut,"",IF($C70=(-1),"",IF($C70=0,"Yhteensä",IF($C70&gt;Data!$CP$2,"",OFFSET(tulossiirtymä,MATCH($D70,Data!$AN$2:$AN$313,0),Tulokset!I$2)))))</f>
        <v>232</v>
      </c>
      <c r="J70" s="78">
        <f ca="1">IF($B70&gt;keilatut,"",IF($C70=(-1),"",IF($C70=0,"Ero voittajaan",IF($C70&gt;Data!$CP$2,"",OFFSET(tulossiirtymä,MATCH($D70,Data!$AN$2:$AN$313,0),Tulokset!J$2)))))</f>
        <v>169</v>
      </c>
      <c r="K70" s="78">
        <f ca="1">IF($B70&gt;keilatut,"",IF($C70=(-1),"",IF($C70=0,"Pisteet",IF($C70&gt;Data!$CP$2,"",OFFSET(tulossiirtymä,MATCH($D70,Data!$AN$2:$AN$313,0),Tulokset!K$2)))))</f>
        <v>2</v>
      </c>
      <c r="L70" s="78">
        <f ca="1">IF($B70&gt;keilatut,"",IF($C70=(-1),"",IF($C70=0,"Pisteet yhteensä",IF($C70&gt;Data!$CP$2,"",OFFSET(tulossiirtymä,MATCH($D70,Data!$AN$2:$AN$313,0),Tulokset!L$2)))))</f>
        <v>17</v>
      </c>
      <c r="M70" s="78" t="str">
        <f ca="1">IF($B70&gt;keilatut,"",IF($C70=(-1),"",IF($C70=0,"Pisteseloste",IF($C70&gt;Data!$CP$2,"",OFFSET(tulossiirtymä,MATCH($D70,Data!$AN$2:$AN$313,0),Tulokset!M$2)))))</f>
        <v>+SP</v>
      </c>
    </row>
    <row r="71" spans="2:13" x14ac:dyDescent="0.25">
      <c r="B71" s="78">
        <f t="shared" si="1"/>
        <v>3</v>
      </c>
      <c r="C71" s="78">
        <f>COUNTIF($B$6:B71,B71)-2</f>
        <v>10</v>
      </c>
      <c r="D71" s="79">
        <f t="array" ref="D71">IF($B71&lt;=keilatut,IF($C71&lt;1,"",IF($C71&gt;Data!$CP$2,"",SMALL(IF(Data!$B$2:$B$313=Tulokset!$B71,Data!$AN$2:$AN$313),Tulokset!$C71))),"")</f>
        <v>10.000043</v>
      </c>
      <c r="E71" s="78">
        <f>IF($B71&gt;keilatut,"",IF($C71=(-1),"GP"&amp;$B71&amp;", "&amp;DAY(VLOOKUP($B71,kilpailukalenteri,2))&amp;"."&amp;MONTH(VLOOKUP($B71,kilpailukalenteri,2))&amp;"."&amp;YEAR(VLOOKUP($B71,kilpailukalenteri,2))&amp;", "&amp;IF(RIGHT(VLOOKUP($B71,kilpailukalenteri,4),1)="*",LEFT(VLOOKUP($B71,kilpailukalenteri,4),LEN(VLOOKUP($B71,kilpailukalenteri,4))-2)&amp;", Kultainen GP",VLOOKUP($B71,kilpailukalenteri,4)),IF($C71=0,"Sija",IF($C71&gt;Data!$CP$2,"",ROUND(Tulokset!$D71,0)))))</f>
        <v>10</v>
      </c>
      <c r="F71" s="78" t="str">
        <f ca="1">IF($B71&gt;keilatut,"",IF($C71=(-1),"",IF($C71=0,"Nimi",IF($C71&gt;Data!$CP$2,"",OFFSET(tulossiirtymä,MATCH($D71,Data!$AN$2:$AN$313,0),Tulokset!F$2)))))</f>
        <v>Sakari Leinonen</v>
      </c>
      <c r="G71" s="78">
        <f ca="1">IF($B71&gt;keilatut,"",IF($C71=(-1),"",IF($C71=0,"Sarja 1",IF($C71&gt;Data!$CP$2,"",OFFSET(tulossiirtymä,MATCH($D71,Data!$AN$2:$AN$313,0),Tulokset!G$2)))))</f>
        <v>105</v>
      </c>
      <c r="H71" s="78">
        <f ca="1">IF($B71&gt;keilatut,"",IF($C71=(-1),"",IF($C71=0,"Sarja 2",IF($C71&gt;Data!$CP$2,"",OFFSET(tulossiirtymä,MATCH($D71,Data!$AN$2:$AN$313,0),Tulokset!H$2)))))</f>
        <v>121</v>
      </c>
      <c r="I71" s="78">
        <f ca="1">IF($B71&gt;keilatut,"",IF($C71=(-1),"",IF($C71=0,"Yhteensä",IF($C71&gt;Data!$CP$2,"",OFFSET(tulossiirtymä,MATCH($D71,Data!$AN$2:$AN$313,0),Tulokset!I$2)))))</f>
        <v>226</v>
      </c>
      <c r="J71" s="78">
        <f ca="1">IF($B71&gt;keilatut,"",IF($C71=(-1),"",IF($C71=0,"Ero voittajaan",IF($C71&gt;Data!$CP$2,"",OFFSET(tulossiirtymä,MATCH($D71,Data!$AN$2:$AN$313,0),Tulokset!J$2)))))</f>
        <v>175</v>
      </c>
      <c r="K71" s="78">
        <f ca="1">IF($B71&gt;keilatut,"",IF($C71=(-1),"",IF($C71=0,"Pisteet",IF($C71&gt;Data!$CP$2,"",OFFSET(tulossiirtymä,MATCH($D71,Data!$AN$2:$AN$313,0),Tulokset!K$2)))))</f>
        <v>1</v>
      </c>
      <c r="L71" s="78">
        <f ca="1">IF($B71&gt;keilatut,"",IF($C71=(-1),"",IF($C71=0,"Pisteet yhteensä",IF($C71&gt;Data!$CP$2,"",OFFSET(tulossiirtymä,MATCH($D71,Data!$AN$2:$AN$313,0),Tulokset!L$2)))))</f>
        <v>10</v>
      </c>
      <c r="M71" s="78" t="str">
        <f ca="1">IF($B71&gt;keilatut,"",IF($C71=(-1),"",IF($C71=0,"Pisteseloste",IF($C71&gt;Data!$CP$2,"",OFFSET(tulossiirtymä,MATCH($D71,Data!$AN$2:$AN$313,0),Tulokset!M$2)))))</f>
        <v>+SP</v>
      </c>
    </row>
    <row r="72" spans="2:13" x14ac:dyDescent="0.25">
      <c r="B72" s="78">
        <f t="shared" si="1"/>
        <v>3</v>
      </c>
      <c r="C72" s="78">
        <f>COUNTIF($B$6:B72,B72)-2</f>
        <v>11</v>
      </c>
      <c r="D72" s="79">
        <f t="array" ref="D72">IF($B72&lt;=keilatut,IF($C72&lt;1,"",IF($C72&gt;Data!$CP$2,"",SMALL(IF(Data!$B$2:$B$313=Tulokset!$B72,Data!$AN$2:$AN$313),Tulokset!$C72))),"")</f>
        <v>11.000037000000001</v>
      </c>
      <c r="E72" s="78">
        <f>IF($B72&gt;keilatut,"",IF($C72=(-1),"GP"&amp;$B72&amp;", "&amp;DAY(VLOOKUP($B72,kilpailukalenteri,2))&amp;"."&amp;MONTH(VLOOKUP($B72,kilpailukalenteri,2))&amp;"."&amp;YEAR(VLOOKUP($B72,kilpailukalenteri,2))&amp;", "&amp;IF(RIGHT(VLOOKUP($B72,kilpailukalenteri,4),1)="*",LEFT(VLOOKUP($B72,kilpailukalenteri,4),LEN(VLOOKUP($B72,kilpailukalenteri,4))-2)&amp;", Kultainen GP",VLOOKUP($B72,kilpailukalenteri,4)),IF($C72=0,"Sija",IF($C72&gt;Data!$CP$2,"",ROUND(Tulokset!$D72,0)))))</f>
        <v>11</v>
      </c>
      <c r="F72" s="78" t="str">
        <f ca="1">IF($B72&gt;keilatut,"",IF($C72=(-1),"",IF($C72=0,"Nimi",IF($C72&gt;Data!$CP$2,"",OFFSET(tulossiirtymä,MATCH($D72,Data!$AN$2:$AN$313,0),Tulokset!F$2)))))</f>
        <v>Mikko Mansikkamäki</v>
      </c>
      <c r="G72" s="78">
        <f ca="1">IF($B72&gt;keilatut,"",IF($C72=(-1),"",IF($C72=0,"Sarja 1",IF($C72&gt;Data!$CP$2,"",OFFSET(tulossiirtymä,MATCH($D72,Data!$AN$2:$AN$313,0),Tulokset!G$2)))))</f>
        <v>117</v>
      </c>
      <c r="H72" s="78">
        <f ca="1">IF($B72&gt;keilatut,"",IF($C72=(-1),"",IF($C72=0,"Sarja 2",IF($C72&gt;Data!$CP$2,"",OFFSET(tulossiirtymä,MATCH($D72,Data!$AN$2:$AN$313,0),Tulokset!H$2)))))</f>
        <v>92</v>
      </c>
      <c r="I72" s="78">
        <f ca="1">IF($B72&gt;keilatut,"",IF($C72=(-1),"",IF($C72=0,"Yhteensä",IF($C72&gt;Data!$CP$2,"",OFFSET(tulossiirtymä,MATCH($D72,Data!$AN$2:$AN$313,0),Tulokset!I$2)))))</f>
        <v>209</v>
      </c>
      <c r="J72" s="78">
        <f ca="1">IF($B72&gt;keilatut,"",IF($C72=(-1),"",IF($C72=0,"Ero voittajaan",IF($C72&gt;Data!$CP$2,"",OFFSET(tulossiirtymä,MATCH($D72,Data!$AN$2:$AN$313,0),Tulokset!J$2)))))</f>
        <v>192</v>
      </c>
      <c r="K72" s="78">
        <f ca="1">IF($B72&gt;keilatut,"",IF($C72=(-1),"",IF($C72=0,"Pisteet",IF($C72&gt;Data!$CP$2,"",OFFSET(tulossiirtymä,MATCH($D72,Data!$AN$2:$AN$313,0),Tulokset!K$2)))))</f>
        <v>0</v>
      </c>
      <c r="L72" s="78">
        <f ca="1">IF($B72&gt;keilatut,"",IF($C72=(-1),"",IF($C72=0,"Pisteet yhteensä",IF($C72&gt;Data!$CP$2,"",OFFSET(tulossiirtymä,MATCH($D72,Data!$AN$2:$AN$313,0),Tulokset!L$2)))))</f>
        <v>0</v>
      </c>
      <c r="M72" s="78" t="str">
        <f ca="1">IF($B72&gt;keilatut,"",IF($C72=(-1),"",IF($C72=0,"Pisteseloste",IF($C72&gt;Data!$CP$2,"",OFFSET(tulossiirtymä,MATCH($D72,Data!$AN$2:$AN$313,0),Tulokset!M$2)))))</f>
        <v/>
      </c>
    </row>
    <row r="73" spans="2:13" x14ac:dyDescent="0.25">
      <c r="B73" s="78">
        <f t="shared" si="1"/>
        <v>3</v>
      </c>
      <c r="C73" s="78">
        <f>COUNTIF($B$6:B73,B73)-2</f>
        <v>12</v>
      </c>
      <c r="D73" s="79">
        <f t="array" ref="D73">IF($B73&lt;=keilatut,IF($C73&lt;1,"",IF($C73&gt;Data!$CP$2,"",SMALL(IF(Data!$B$2:$B$313=Tulokset!$B73,Data!$AN$2:$AN$313),Tulokset!$C73))),"")</f>
        <v>12.000048</v>
      </c>
      <c r="E73" s="78">
        <f>IF($B73&gt;keilatut,"",IF($C73=(-1),"GP"&amp;$B73&amp;", "&amp;DAY(VLOOKUP($B73,kilpailukalenteri,2))&amp;"."&amp;MONTH(VLOOKUP($B73,kilpailukalenteri,2))&amp;"."&amp;YEAR(VLOOKUP($B73,kilpailukalenteri,2))&amp;", "&amp;IF(RIGHT(VLOOKUP($B73,kilpailukalenteri,4),1)="*",LEFT(VLOOKUP($B73,kilpailukalenteri,4),LEN(VLOOKUP($B73,kilpailukalenteri,4))-2)&amp;", Kultainen GP",VLOOKUP($B73,kilpailukalenteri,4)),IF($C73=0,"Sija",IF($C73&gt;Data!$CP$2,"",ROUND(Tulokset!$D73,0)))))</f>
        <v>12</v>
      </c>
      <c r="F73" s="78" t="str">
        <f ca="1">IF($B73&gt;keilatut,"",IF($C73=(-1),"",IF($C73=0,"Nimi",IF($C73&gt;Data!$CP$2,"",OFFSET(tulossiirtymä,MATCH($D73,Data!$AN$2:$AN$313,0),Tulokset!F$2)))))</f>
        <v>Joonas Ollonqvist</v>
      </c>
      <c r="G73" s="78">
        <f ca="1">IF($B73&gt;keilatut,"",IF($C73=(-1),"",IF($C73=0,"Sarja 1",IF($C73&gt;Data!$CP$2,"",OFFSET(tulossiirtymä,MATCH($D73,Data!$AN$2:$AN$313,0),Tulokset!G$2)))))</f>
        <v>0</v>
      </c>
      <c r="H73" s="78">
        <f ca="1">IF($B73&gt;keilatut,"",IF($C73=(-1),"",IF($C73=0,"Sarja 2",IF($C73&gt;Data!$CP$2,"",OFFSET(tulossiirtymä,MATCH($D73,Data!$AN$2:$AN$313,0),Tulokset!H$2)))))</f>
        <v>0</v>
      </c>
      <c r="I73" s="78">
        <f ca="1">IF($B73&gt;keilatut,"",IF($C73=(-1),"",IF($C73=0,"Yhteensä",IF($C73&gt;Data!$CP$2,"",OFFSET(tulossiirtymä,MATCH($D73,Data!$AN$2:$AN$313,0),Tulokset!I$2)))))</f>
        <v>0</v>
      </c>
      <c r="J73" s="78" t="str">
        <f ca="1">IF($B73&gt;keilatut,"",IF($C73=(-1),"",IF($C73=0,"Ero voittajaan",IF($C73&gt;Data!$CP$2,"",OFFSET(tulossiirtymä,MATCH($D73,Data!$AN$2:$AN$313,0),Tulokset!J$2)))))</f>
        <v/>
      </c>
      <c r="K73" s="78">
        <f ca="1">IF($B73&gt;keilatut,"",IF($C73=(-1),"",IF($C73=0,"Pisteet",IF($C73&gt;Data!$CP$2,"",OFFSET(tulossiirtymä,MATCH($D73,Data!$AN$2:$AN$313,0),Tulokset!K$2)))))</f>
        <v>0</v>
      </c>
      <c r="L73" s="78">
        <f ca="1">IF($B73&gt;keilatut,"",IF($C73=(-1),"",IF($C73=0,"Pisteet yhteensä",IF($C73&gt;Data!$CP$2,"",OFFSET(tulossiirtymä,MATCH($D73,Data!$AN$2:$AN$313,0),Tulokset!L$2)))))</f>
        <v>0</v>
      </c>
      <c r="M73" s="78" t="str">
        <f ca="1">IF($B73&gt;keilatut,"",IF($C73=(-1),"",IF($C73=0,"Pisteseloste",IF($C73&gt;Data!$CP$2,"",OFFSET(tulossiirtymä,MATCH($D73,Data!$AN$2:$AN$313,0),Tulokset!M$2)))))</f>
        <v/>
      </c>
    </row>
    <row r="74" spans="2:13" x14ac:dyDescent="0.25">
      <c r="B74" s="78">
        <f t="shared" si="1"/>
        <v>3</v>
      </c>
      <c r="C74" s="78">
        <f>COUNTIF($B$6:B74,B74)-2</f>
        <v>13</v>
      </c>
      <c r="D74" s="79">
        <f t="array" ref="D74">IF($B74&lt;=keilatut,IF($C74&lt;1,"",IF($C74&gt;Data!$CP$2,"",SMALL(IF(Data!$B$2:$B$313=Tulokset!$B74,Data!$AN$2:$AN$313),Tulokset!$C74))),"")</f>
        <v>12.000049000000001</v>
      </c>
      <c r="E74" s="78">
        <f>IF($B74&gt;keilatut,"",IF($C74=(-1),"GP"&amp;$B74&amp;", "&amp;DAY(VLOOKUP($B74,kilpailukalenteri,2))&amp;"."&amp;MONTH(VLOOKUP($B74,kilpailukalenteri,2))&amp;"."&amp;YEAR(VLOOKUP($B74,kilpailukalenteri,2))&amp;", "&amp;IF(RIGHT(VLOOKUP($B74,kilpailukalenteri,4),1)="*",LEFT(VLOOKUP($B74,kilpailukalenteri,4),LEN(VLOOKUP($B74,kilpailukalenteri,4))-2)&amp;", Kultainen GP",VLOOKUP($B74,kilpailukalenteri,4)),IF($C74=0,"Sija",IF($C74&gt;Data!$CP$2,"",ROUND(Tulokset!$D74,0)))))</f>
        <v>12</v>
      </c>
      <c r="F74" s="78" t="str">
        <f ca="1">IF($B74&gt;keilatut,"",IF($C74=(-1),"",IF($C74=0,"Nimi",IF($C74&gt;Data!$CP$2,"",OFFSET(tulossiirtymä,MATCH($D74,Data!$AN$2:$AN$313,0),Tulokset!F$2)))))</f>
        <v>Tatu Erlin</v>
      </c>
      <c r="G74" s="78">
        <f ca="1">IF($B74&gt;keilatut,"",IF($C74=(-1),"",IF($C74=0,"Sarja 1",IF($C74&gt;Data!$CP$2,"",OFFSET(tulossiirtymä,MATCH($D74,Data!$AN$2:$AN$313,0),Tulokset!G$2)))))</f>
        <v>0</v>
      </c>
      <c r="H74" s="78">
        <f ca="1">IF($B74&gt;keilatut,"",IF($C74=(-1),"",IF($C74=0,"Sarja 2",IF($C74&gt;Data!$CP$2,"",OFFSET(tulossiirtymä,MATCH($D74,Data!$AN$2:$AN$313,0),Tulokset!H$2)))))</f>
        <v>0</v>
      </c>
      <c r="I74" s="78">
        <f ca="1">IF($B74&gt;keilatut,"",IF($C74=(-1),"",IF($C74=0,"Yhteensä",IF($C74&gt;Data!$CP$2,"",OFFSET(tulossiirtymä,MATCH($D74,Data!$AN$2:$AN$313,0),Tulokset!I$2)))))</f>
        <v>0</v>
      </c>
      <c r="J74" s="78" t="str">
        <f ca="1">IF($B74&gt;keilatut,"",IF($C74=(-1),"",IF($C74=0,"Ero voittajaan",IF($C74&gt;Data!$CP$2,"",OFFSET(tulossiirtymä,MATCH($D74,Data!$AN$2:$AN$313,0),Tulokset!J$2)))))</f>
        <v/>
      </c>
      <c r="K74" s="78">
        <f ca="1">IF($B74&gt;keilatut,"",IF($C74=(-1),"",IF($C74=0,"Pisteet",IF($C74&gt;Data!$CP$2,"",OFFSET(tulossiirtymä,MATCH($D74,Data!$AN$2:$AN$313,0),Tulokset!K$2)))))</f>
        <v>0</v>
      </c>
      <c r="L74" s="78">
        <f ca="1">IF($B74&gt;keilatut,"",IF($C74=(-1),"",IF($C74=0,"Pisteet yhteensä",IF($C74&gt;Data!$CP$2,"",OFFSET(tulossiirtymä,MATCH($D74,Data!$AN$2:$AN$313,0),Tulokset!L$2)))))</f>
        <v>6</v>
      </c>
      <c r="M74" s="78" t="str">
        <f ca="1">IF($B74&gt;keilatut,"",IF($C74=(-1),"",IF($C74=0,"Pisteseloste",IF($C74&gt;Data!$CP$2,"",OFFSET(tulossiirtymä,MATCH($D74,Data!$AN$2:$AN$313,0),Tulokset!M$2)))))</f>
        <v/>
      </c>
    </row>
    <row r="75" spans="2:13" x14ac:dyDescent="0.25">
      <c r="B75" s="78">
        <f t="shared" si="1"/>
        <v>3</v>
      </c>
      <c r="C75" s="78">
        <f>COUNTIF($B$6:B75,B75)-2</f>
        <v>14</v>
      </c>
      <c r="D75" s="79">
        <f t="array" ref="D75">IF($B75&lt;=keilatut,IF($C75&lt;1,"",IF($C75&gt;Data!$CP$2,"",SMALL(IF(Data!$B$2:$B$313=Tulokset!$B75,Data!$AN$2:$AN$313),Tulokset!$C75))),"")</f>
        <v>12.00005</v>
      </c>
      <c r="E75" s="78">
        <f>IF($B75&gt;keilatut,"",IF($C75=(-1),"GP"&amp;$B75&amp;", "&amp;DAY(VLOOKUP($B75,kilpailukalenteri,2))&amp;"."&amp;MONTH(VLOOKUP($B75,kilpailukalenteri,2))&amp;"."&amp;YEAR(VLOOKUP($B75,kilpailukalenteri,2))&amp;", "&amp;IF(RIGHT(VLOOKUP($B75,kilpailukalenteri,4),1)="*",LEFT(VLOOKUP($B75,kilpailukalenteri,4),LEN(VLOOKUP($B75,kilpailukalenteri,4))-2)&amp;", Kultainen GP",VLOOKUP($B75,kilpailukalenteri,4)),IF($C75=0,"Sija",IF($C75&gt;Data!$CP$2,"",ROUND(Tulokset!$D75,0)))))</f>
        <v>12</v>
      </c>
      <c r="F75" s="78" t="str">
        <f ca="1">IF($B75&gt;keilatut,"",IF($C75=(-1),"",IF($C75=0,"Nimi",IF($C75&gt;Data!$CP$2,"",OFFSET(tulossiirtymä,MATCH($D75,Data!$AN$2:$AN$313,0),Tulokset!F$2)))))</f>
        <v>Olli Kajava</v>
      </c>
      <c r="G75" s="78">
        <f ca="1">IF($B75&gt;keilatut,"",IF($C75=(-1),"",IF($C75=0,"Sarja 1",IF($C75&gt;Data!$CP$2,"",OFFSET(tulossiirtymä,MATCH($D75,Data!$AN$2:$AN$313,0),Tulokset!G$2)))))</f>
        <v>0</v>
      </c>
      <c r="H75" s="78">
        <f ca="1">IF($B75&gt;keilatut,"",IF($C75=(-1),"",IF($C75=0,"Sarja 2",IF($C75&gt;Data!$CP$2,"",OFFSET(tulossiirtymä,MATCH($D75,Data!$AN$2:$AN$313,0),Tulokset!H$2)))))</f>
        <v>0</v>
      </c>
      <c r="I75" s="78">
        <f ca="1">IF($B75&gt;keilatut,"",IF($C75=(-1),"",IF($C75=0,"Yhteensä",IF($C75&gt;Data!$CP$2,"",OFFSET(tulossiirtymä,MATCH($D75,Data!$AN$2:$AN$313,0),Tulokset!I$2)))))</f>
        <v>0</v>
      </c>
      <c r="J75" s="78" t="str">
        <f ca="1">IF($B75&gt;keilatut,"",IF($C75=(-1),"",IF($C75=0,"Ero voittajaan",IF($C75&gt;Data!$CP$2,"",OFFSET(tulossiirtymä,MATCH($D75,Data!$AN$2:$AN$313,0),Tulokset!J$2)))))</f>
        <v/>
      </c>
      <c r="K75" s="78">
        <f ca="1">IF($B75&gt;keilatut,"",IF($C75=(-1),"",IF($C75=0,"Pisteet",IF($C75&gt;Data!$CP$2,"",OFFSET(tulossiirtymä,MATCH($D75,Data!$AN$2:$AN$313,0),Tulokset!K$2)))))</f>
        <v>0</v>
      </c>
      <c r="L75" s="78">
        <f ca="1">IF($B75&gt;keilatut,"",IF($C75=(-1),"",IF($C75=0,"Pisteet yhteensä",IF($C75&gt;Data!$CP$2,"",OFFSET(tulossiirtymä,MATCH($D75,Data!$AN$2:$AN$313,0),Tulokset!L$2)))))</f>
        <v>1</v>
      </c>
      <c r="M75" s="78" t="str">
        <f ca="1">IF($B75&gt;keilatut,"",IF($C75=(-1),"",IF($C75=0,"Pisteseloste",IF($C75&gt;Data!$CP$2,"",OFFSET(tulossiirtymä,MATCH($D75,Data!$AN$2:$AN$313,0),Tulokset!M$2)))))</f>
        <v/>
      </c>
    </row>
    <row r="76" spans="2:13" x14ac:dyDescent="0.25">
      <c r="B76" s="78">
        <f t="shared" si="1"/>
        <v>3</v>
      </c>
      <c r="C76" s="78">
        <f>COUNTIF($B$6:B76,B76)-2</f>
        <v>15</v>
      </c>
      <c r="D76" s="79">
        <f t="array" ref="D76">IF($B76&lt;=keilatut,IF($C76&lt;1,"",IF($C76&gt;Data!$CP$2,"",SMALL(IF(Data!$B$2:$B$313=Tulokset!$B76,Data!$AN$2:$AN$313),Tulokset!$C76))),"")</f>
        <v>12.000050999999999</v>
      </c>
      <c r="E76" s="78">
        <f>IF($B76&gt;keilatut,"",IF($C76=(-1),"GP"&amp;$B76&amp;", "&amp;DAY(VLOOKUP($B76,kilpailukalenteri,2))&amp;"."&amp;MONTH(VLOOKUP($B76,kilpailukalenteri,2))&amp;"."&amp;YEAR(VLOOKUP($B76,kilpailukalenteri,2))&amp;", "&amp;IF(RIGHT(VLOOKUP($B76,kilpailukalenteri,4),1)="*",LEFT(VLOOKUP($B76,kilpailukalenteri,4),LEN(VLOOKUP($B76,kilpailukalenteri,4))-2)&amp;", Kultainen GP",VLOOKUP($B76,kilpailukalenteri,4)),IF($C76=0,"Sija",IF($C76&gt;Data!$CP$2,"",ROUND(Tulokset!$D76,0)))))</f>
        <v>12</v>
      </c>
      <c r="F76" s="78" t="str">
        <f ca="1">IF($B76&gt;keilatut,"",IF($C76=(-1),"",IF($C76=0,"Nimi",IF($C76&gt;Data!$CP$2,"",OFFSET(tulossiirtymä,MATCH($D76,Data!$AN$2:$AN$313,0),Tulokset!F$2)))))</f>
        <v>Iiro Riikonen</v>
      </c>
      <c r="G76" s="78">
        <f ca="1">IF($B76&gt;keilatut,"",IF($C76=(-1),"",IF($C76=0,"Sarja 1",IF($C76&gt;Data!$CP$2,"",OFFSET(tulossiirtymä,MATCH($D76,Data!$AN$2:$AN$313,0),Tulokset!G$2)))))</f>
        <v>0</v>
      </c>
      <c r="H76" s="78">
        <f ca="1">IF($B76&gt;keilatut,"",IF($C76=(-1),"",IF($C76=0,"Sarja 2",IF($C76&gt;Data!$CP$2,"",OFFSET(tulossiirtymä,MATCH($D76,Data!$AN$2:$AN$313,0),Tulokset!H$2)))))</f>
        <v>0</v>
      </c>
      <c r="I76" s="78">
        <f ca="1">IF($B76&gt;keilatut,"",IF($C76=(-1),"",IF($C76=0,"Yhteensä",IF($C76&gt;Data!$CP$2,"",OFFSET(tulossiirtymä,MATCH($D76,Data!$AN$2:$AN$313,0),Tulokset!I$2)))))</f>
        <v>0</v>
      </c>
      <c r="J76" s="78" t="str">
        <f ca="1">IF($B76&gt;keilatut,"",IF($C76=(-1),"",IF($C76=0,"Ero voittajaan",IF($C76&gt;Data!$CP$2,"",OFFSET(tulossiirtymä,MATCH($D76,Data!$AN$2:$AN$313,0),Tulokset!J$2)))))</f>
        <v/>
      </c>
      <c r="K76" s="78">
        <f ca="1">IF($B76&gt;keilatut,"",IF($C76=(-1),"",IF($C76=0,"Pisteet",IF($C76&gt;Data!$CP$2,"",OFFSET(tulossiirtymä,MATCH($D76,Data!$AN$2:$AN$313,0),Tulokset!K$2)))))</f>
        <v>0</v>
      </c>
      <c r="L76" s="78">
        <f ca="1">IF($B76&gt;keilatut,"",IF($C76=(-1),"",IF($C76=0,"Pisteet yhteensä",IF($C76&gt;Data!$CP$2,"",OFFSET(tulossiirtymä,MATCH($D76,Data!$AN$2:$AN$313,0),Tulokset!L$2)))))</f>
        <v>3</v>
      </c>
      <c r="M76" s="78" t="str">
        <f ca="1">IF($B76&gt;keilatut,"",IF($C76=(-1),"",IF($C76=0,"Pisteseloste",IF($C76&gt;Data!$CP$2,"",OFFSET(tulossiirtymä,MATCH($D76,Data!$AN$2:$AN$313,0),Tulokset!M$2)))))</f>
        <v/>
      </c>
    </row>
    <row r="77" spans="2:13" x14ac:dyDescent="0.25">
      <c r="B77" s="78">
        <f t="shared" si="1"/>
        <v>3</v>
      </c>
      <c r="C77" s="78">
        <f>COUNTIF($B$6:B77,B77)-2</f>
        <v>16</v>
      </c>
      <c r="D77" s="79">
        <f t="array" ref="D77">IF($B77&lt;=keilatut,IF($C77&lt;1,"",IF($C77&gt;Data!$CP$2,"",SMALL(IF(Data!$B$2:$B$313=Tulokset!$B77,Data!$AN$2:$AN$313),Tulokset!$C77))),"")</f>
        <v>12.000052</v>
      </c>
      <c r="E77" s="78">
        <f>IF($B77&gt;keilatut,"",IF($C77=(-1),"GP"&amp;$B77&amp;", "&amp;DAY(VLOOKUP($B77,kilpailukalenteri,2))&amp;"."&amp;MONTH(VLOOKUP($B77,kilpailukalenteri,2))&amp;"."&amp;YEAR(VLOOKUP($B77,kilpailukalenteri,2))&amp;", "&amp;IF(RIGHT(VLOOKUP($B77,kilpailukalenteri,4),1)="*",LEFT(VLOOKUP($B77,kilpailukalenteri,4),LEN(VLOOKUP($B77,kilpailukalenteri,4))-2)&amp;", Kultainen GP",VLOOKUP($B77,kilpailukalenteri,4)),IF($C77=0,"Sija",IF($C77&gt;Data!$CP$2,"",ROUND(Tulokset!$D77,0)))))</f>
        <v>12</v>
      </c>
      <c r="F77" s="78" t="str">
        <f ca="1">IF($B77&gt;keilatut,"",IF($C77=(-1),"",IF($C77=0,"Nimi",IF($C77&gt;Data!$CP$2,"",OFFSET(tulossiirtymä,MATCH($D77,Data!$AN$2:$AN$313,0),Tulokset!F$2)))))</f>
        <v>Frans Hartman</v>
      </c>
      <c r="G77" s="78">
        <f ca="1">IF($B77&gt;keilatut,"",IF($C77=(-1),"",IF($C77=0,"Sarja 1",IF($C77&gt;Data!$CP$2,"",OFFSET(tulossiirtymä,MATCH($D77,Data!$AN$2:$AN$313,0),Tulokset!G$2)))))</f>
        <v>0</v>
      </c>
      <c r="H77" s="78">
        <f ca="1">IF($B77&gt;keilatut,"",IF($C77=(-1),"",IF($C77=0,"Sarja 2",IF($C77&gt;Data!$CP$2,"",OFFSET(tulossiirtymä,MATCH($D77,Data!$AN$2:$AN$313,0),Tulokset!H$2)))))</f>
        <v>0</v>
      </c>
      <c r="I77" s="78">
        <f ca="1">IF($B77&gt;keilatut,"",IF($C77=(-1),"",IF($C77=0,"Yhteensä",IF($C77&gt;Data!$CP$2,"",OFFSET(tulossiirtymä,MATCH($D77,Data!$AN$2:$AN$313,0),Tulokset!I$2)))))</f>
        <v>0</v>
      </c>
      <c r="J77" s="78" t="str">
        <f ca="1">IF($B77&gt;keilatut,"",IF($C77=(-1),"",IF($C77=0,"Ero voittajaan",IF($C77&gt;Data!$CP$2,"",OFFSET(tulossiirtymä,MATCH($D77,Data!$AN$2:$AN$313,0),Tulokset!J$2)))))</f>
        <v/>
      </c>
      <c r="K77" s="78">
        <f ca="1">IF($B77&gt;keilatut,"",IF($C77=(-1),"",IF($C77=0,"Pisteet",IF($C77&gt;Data!$CP$2,"",OFFSET(tulossiirtymä,MATCH($D77,Data!$AN$2:$AN$313,0),Tulokset!K$2)))))</f>
        <v>0</v>
      </c>
      <c r="L77" s="78">
        <f ca="1">IF($B77&gt;keilatut,"",IF($C77=(-1),"",IF($C77=0,"Pisteet yhteensä",IF($C77&gt;Data!$CP$2,"",OFFSET(tulossiirtymä,MATCH($D77,Data!$AN$2:$AN$313,0),Tulokset!L$2)))))</f>
        <v>18.5</v>
      </c>
      <c r="M77" s="78" t="str">
        <f ca="1">IF($B77&gt;keilatut,"",IF($C77=(-1),"",IF($C77=0,"Pisteseloste",IF($C77&gt;Data!$CP$2,"",OFFSET(tulossiirtymä,MATCH($D77,Data!$AN$2:$AN$313,0),Tulokset!M$2)))))</f>
        <v/>
      </c>
    </row>
    <row r="78" spans="2:13" x14ac:dyDescent="0.25">
      <c r="B78" s="78">
        <f t="shared" si="1"/>
        <v>3</v>
      </c>
      <c r="C78" s="78">
        <f>COUNTIF($B$6:B78,B78)-2</f>
        <v>17</v>
      </c>
      <c r="D78" s="79">
        <f t="array" ref="D78">IF($B78&lt;=keilatut,IF($C78&lt;1,"",IF($C78&gt;Data!$CP$2,"",SMALL(IF(Data!$B$2:$B$313=Tulokset!$B78,Data!$AN$2:$AN$313),Tulokset!$C78))),"")</f>
        <v>12.000052999999999</v>
      </c>
      <c r="E78" s="78">
        <f>IF($B78&gt;keilatut,"",IF($C78=(-1),"GP"&amp;$B78&amp;", "&amp;DAY(VLOOKUP($B78,kilpailukalenteri,2))&amp;"."&amp;MONTH(VLOOKUP($B78,kilpailukalenteri,2))&amp;"."&amp;YEAR(VLOOKUP($B78,kilpailukalenteri,2))&amp;", "&amp;IF(RIGHT(VLOOKUP($B78,kilpailukalenteri,4),1)="*",LEFT(VLOOKUP($B78,kilpailukalenteri,4),LEN(VLOOKUP($B78,kilpailukalenteri,4))-2)&amp;", Kultainen GP",VLOOKUP($B78,kilpailukalenteri,4)),IF($C78=0,"Sija",IF($C78&gt;Data!$CP$2,"",ROUND(Tulokset!$D78,0)))))</f>
        <v>12</v>
      </c>
      <c r="F78" s="78" t="str">
        <f ca="1">IF($B78&gt;keilatut,"",IF($C78=(-1),"",IF($C78=0,"Nimi",IF($C78&gt;Data!$CP$2,"",OFFSET(tulossiirtymä,MATCH($D78,Data!$AN$2:$AN$313,0),Tulokset!F$2)))))</f>
        <v>Asko Haaksi</v>
      </c>
      <c r="G78" s="78">
        <f ca="1">IF($B78&gt;keilatut,"",IF($C78=(-1),"",IF($C78=0,"Sarja 1",IF($C78&gt;Data!$CP$2,"",OFFSET(tulossiirtymä,MATCH($D78,Data!$AN$2:$AN$313,0),Tulokset!G$2)))))</f>
        <v>0</v>
      </c>
      <c r="H78" s="78">
        <f ca="1">IF($B78&gt;keilatut,"",IF($C78=(-1),"",IF($C78=0,"Sarja 2",IF($C78&gt;Data!$CP$2,"",OFFSET(tulossiirtymä,MATCH($D78,Data!$AN$2:$AN$313,0),Tulokset!H$2)))))</f>
        <v>0</v>
      </c>
      <c r="I78" s="78">
        <f ca="1">IF($B78&gt;keilatut,"",IF($C78=(-1),"",IF($C78=0,"Yhteensä",IF($C78&gt;Data!$CP$2,"",OFFSET(tulossiirtymä,MATCH($D78,Data!$AN$2:$AN$313,0),Tulokset!I$2)))))</f>
        <v>0</v>
      </c>
      <c r="J78" s="78" t="str">
        <f ca="1">IF($B78&gt;keilatut,"",IF($C78=(-1),"",IF($C78=0,"Ero voittajaan",IF($C78&gt;Data!$CP$2,"",OFFSET(tulossiirtymä,MATCH($D78,Data!$AN$2:$AN$313,0),Tulokset!J$2)))))</f>
        <v/>
      </c>
      <c r="K78" s="78">
        <f ca="1">IF($B78&gt;keilatut,"",IF($C78=(-1),"",IF($C78=0,"Pisteet",IF($C78&gt;Data!$CP$2,"",OFFSET(tulossiirtymä,MATCH($D78,Data!$AN$2:$AN$313,0),Tulokset!K$2)))))</f>
        <v>0</v>
      </c>
      <c r="L78" s="78">
        <f ca="1">IF($B78&gt;keilatut,"",IF($C78=(-1),"",IF($C78=0,"Pisteet yhteensä",IF($C78&gt;Data!$CP$2,"",OFFSET(tulossiirtymä,MATCH($D78,Data!$AN$2:$AN$313,0),Tulokset!L$2)))))</f>
        <v>4</v>
      </c>
      <c r="M78" s="78" t="str">
        <f ca="1">IF($B78&gt;keilatut,"",IF($C78=(-1),"",IF($C78=0,"Pisteseloste",IF($C78&gt;Data!$CP$2,"",OFFSET(tulossiirtymä,MATCH($D78,Data!$AN$2:$AN$313,0),Tulokset!M$2)))))</f>
        <v/>
      </c>
    </row>
    <row r="79" spans="2:13" x14ac:dyDescent="0.25">
      <c r="B79" s="78">
        <f t="shared" si="1"/>
        <v>3</v>
      </c>
      <c r="C79" s="78">
        <f>COUNTIF($B$6:B79,B79)-2</f>
        <v>18</v>
      </c>
      <c r="D79" s="79">
        <f t="array" ref="D79">IF($B79&lt;=keilatut,IF($C79&lt;1,"",IF($C79&gt;Data!$CP$2,"",SMALL(IF(Data!$B$2:$B$313=Tulokset!$B79,Data!$AN$2:$AN$313),Tulokset!$C79))),"")</f>
        <v>12.000054</v>
      </c>
      <c r="E79" s="78">
        <f>IF($B79&gt;keilatut,"",IF($C79=(-1),"GP"&amp;$B79&amp;", "&amp;DAY(VLOOKUP($B79,kilpailukalenteri,2))&amp;"."&amp;MONTH(VLOOKUP($B79,kilpailukalenteri,2))&amp;"."&amp;YEAR(VLOOKUP($B79,kilpailukalenteri,2))&amp;", "&amp;IF(RIGHT(VLOOKUP($B79,kilpailukalenteri,4),1)="*",LEFT(VLOOKUP($B79,kilpailukalenteri,4),LEN(VLOOKUP($B79,kilpailukalenteri,4))-2)&amp;", Kultainen GP",VLOOKUP($B79,kilpailukalenteri,4)),IF($C79=0,"Sija",IF($C79&gt;Data!$CP$2,"",ROUND(Tulokset!$D79,0)))))</f>
        <v>12</v>
      </c>
      <c r="F79" s="78" t="str">
        <f ca="1">IF($B79&gt;keilatut,"",IF($C79=(-1),"",IF($C79=0,"Nimi",IF($C79&gt;Data!$CP$2,"",OFFSET(tulossiirtymä,MATCH($D79,Data!$AN$2:$AN$313,0),Tulokset!F$2)))))</f>
        <v>Roope Warro</v>
      </c>
      <c r="G79" s="78">
        <f ca="1">IF($B79&gt;keilatut,"",IF($C79=(-1),"",IF($C79=0,"Sarja 1",IF($C79&gt;Data!$CP$2,"",OFFSET(tulossiirtymä,MATCH($D79,Data!$AN$2:$AN$313,0),Tulokset!G$2)))))</f>
        <v>0</v>
      </c>
      <c r="H79" s="78">
        <f ca="1">IF($B79&gt;keilatut,"",IF($C79=(-1),"",IF($C79=0,"Sarja 2",IF($C79&gt;Data!$CP$2,"",OFFSET(tulossiirtymä,MATCH($D79,Data!$AN$2:$AN$313,0),Tulokset!H$2)))))</f>
        <v>0</v>
      </c>
      <c r="I79" s="78">
        <f ca="1">IF($B79&gt;keilatut,"",IF($C79=(-1),"",IF($C79=0,"Yhteensä",IF($C79&gt;Data!$CP$2,"",OFFSET(tulossiirtymä,MATCH($D79,Data!$AN$2:$AN$313,0),Tulokset!I$2)))))</f>
        <v>0</v>
      </c>
      <c r="J79" s="78" t="str">
        <f ca="1">IF($B79&gt;keilatut,"",IF($C79=(-1),"",IF($C79=0,"Ero voittajaan",IF($C79&gt;Data!$CP$2,"",OFFSET(tulossiirtymä,MATCH($D79,Data!$AN$2:$AN$313,0),Tulokset!J$2)))))</f>
        <v/>
      </c>
      <c r="K79" s="78">
        <f ca="1">IF($B79&gt;keilatut,"",IF($C79=(-1),"",IF($C79=0,"Pisteet",IF($C79&gt;Data!$CP$2,"",OFFSET(tulossiirtymä,MATCH($D79,Data!$AN$2:$AN$313,0),Tulokset!K$2)))))</f>
        <v>0</v>
      </c>
      <c r="L79" s="78">
        <f ca="1">IF($B79&gt;keilatut,"",IF($C79=(-1),"",IF($C79=0,"Pisteet yhteensä",IF($C79&gt;Data!$CP$2,"",OFFSET(tulossiirtymä,MATCH($D79,Data!$AN$2:$AN$313,0),Tulokset!L$2)))))</f>
        <v>4</v>
      </c>
      <c r="M79" s="78" t="str">
        <f ca="1">IF($B79&gt;keilatut,"",IF($C79=(-1),"",IF($C79=0,"Pisteseloste",IF($C79&gt;Data!$CP$2,"",OFFSET(tulossiirtymä,MATCH($D79,Data!$AN$2:$AN$313,0),Tulokset!M$2)))))</f>
        <v/>
      </c>
    </row>
    <row r="80" spans="2:13" x14ac:dyDescent="0.25">
      <c r="B80" s="78">
        <f t="shared" si="1"/>
        <v>3</v>
      </c>
      <c r="C80" s="78">
        <f>COUNTIF($B$6:B80,B80)-2</f>
        <v>19</v>
      </c>
      <c r="D80" s="79" t="str">
        <f t="array" ref="D80">IF($B80&lt;=keilatut,IF($C80&lt;1,"",IF($C80&gt;Data!$CP$2,"",SMALL(IF(Data!$B$2:$B$313=Tulokset!$B80,Data!$AN$2:$AN$313),Tulokset!$C80))),"")</f>
        <v/>
      </c>
      <c r="E80" s="78" t="str">
        <f>IF($B80&gt;keilatut,"",IF($C80=(-1),"GP"&amp;$B80&amp;", "&amp;DAY(VLOOKUP($B80,kilpailukalenteri,2))&amp;"."&amp;MONTH(VLOOKUP($B80,kilpailukalenteri,2))&amp;"."&amp;YEAR(VLOOKUP($B80,kilpailukalenteri,2))&amp;", "&amp;IF(RIGHT(VLOOKUP($B80,kilpailukalenteri,4),1)="*",LEFT(VLOOKUP($B80,kilpailukalenteri,4),LEN(VLOOKUP($B80,kilpailukalenteri,4))-2)&amp;", Kultainen GP",VLOOKUP($B80,kilpailukalenteri,4)),IF($C80=0,"Sija",IF($C80&gt;Data!$CP$2,"",ROUND(Tulokset!$D80,0)))))</f>
        <v/>
      </c>
      <c r="F80" s="78" t="str">
        <f ca="1">IF($B80&gt;keilatut,"",IF($C80=(-1),"",IF($C80=0,"Nimi",IF($C80&gt;Data!$CP$2,"",OFFSET(tulossiirtymä,MATCH($D80,Data!$AN$2:$AN$313,0),Tulokset!F$2)))))</f>
        <v/>
      </c>
      <c r="G80" s="78" t="str">
        <f ca="1">IF($B80&gt;keilatut,"",IF($C80=(-1),"",IF($C80=0,"Sarja 1",IF($C80&gt;Data!$CP$2,"",OFFSET(tulossiirtymä,MATCH($D80,Data!$AN$2:$AN$313,0),Tulokset!G$2)))))</f>
        <v/>
      </c>
      <c r="H80" s="78" t="str">
        <f ca="1">IF($B80&gt;keilatut,"",IF($C80=(-1),"",IF($C80=0,"Sarja 2",IF($C80&gt;Data!$CP$2,"",OFFSET(tulossiirtymä,MATCH($D80,Data!$AN$2:$AN$313,0),Tulokset!H$2)))))</f>
        <v/>
      </c>
      <c r="I80" s="78" t="str">
        <f ca="1">IF($B80&gt;keilatut,"",IF($C80=(-1),"",IF($C80=0,"Yhteensä",IF($C80&gt;Data!$CP$2,"",OFFSET(tulossiirtymä,MATCH($D80,Data!$AN$2:$AN$313,0),Tulokset!I$2)))))</f>
        <v/>
      </c>
      <c r="J80" s="78" t="str">
        <f ca="1">IF($B80&gt;keilatut,"",IF($C80=(-1),"",IF($C80=0,"Ero voittajaan",IF($C80&gt;Data!$CP$2,"",OFFSET(tulossiirtymä,MATCH($D80,Data!$AN$2:$AN$313,0),Tulokset!J$2)))))</f>
        <v/>
      </c>
      <c r="K80" s="78" t="str">
        <f ca="1">IF($B80&gt;keilatut,"",IF($C80=(-1),"",IF($C80=0,"Pisteet",IF($C80&gt;Data!$CP$2,"",OFFSET(tulossiirtymä,MATCH($D80,Data!$AN$2:$AN$313,0),Tulokset!K$2)))))</f>
        <v/>
      </c>
      <c r="L80" s="78" t="str">
        <f ca="1">IF($B80&gt;keilatut,"",IF($C80=(-1),"",IF($C80=0,"Pisteet yhteensä",IF($C80&gt;Data!$CP$2,"",OFFSET(tulossiirtymä,MATCH($D80,Data!$AN$2:$AN$313,0),Tulokset!L$2)))))</f>
        <v/>
      </c>
      <c r="M80" s="78" t="str">
        <f ca="1">IF($B80&gt;keilatut,"",IF($C80=(-1),"",IF($C80=0,"Pisteseloste",IF($C80&gt;Data!$CP$2,"",OFFSET(tulossiirtymä,MATCH($D80,Data!$AN$2:$AN$313,0),Tulokset!M$2)))))</f>
        <v/>
      </c>
    </row>
    <row r="81" spans="2:13" x14ac:dyDescent="0.25">
      <c r="B81" s="78">
        <f t="shared" si="1"/>
        <v>3</v>
      </c>
      <c r="C81" s="78">
        <f>COUNTIF($B$6:B81,B81)-2</f>
        <v>20</v>
      </c>
      <c r="D81" s="79" t="str">
        <f t="array" ref="D81">IF($B81&lt;=keilatut,IF($C81&lt;1,"",IF($C81&gt;Data!$CP$2,"",SMALL(IF(Data!$B$2:$B$313=Tulokset!$B81,Data!$AN$2:$AN$313),Tulokset!$C81))),"")</f>
        <v/>
      </c>
      <c r="E81" s="78" t="str">
        <f>IF($B81&gt;keilatut,"",IF($C81=(-1),"GP"&amp;$B81&amp;", "&amp;DAY(VLOOKUP($B81,kilpailukalenteri,2))&amp;"."&amp;MONTH(VLOOKUP($B81,kilpailukalenteri,2))&amp;"."&amp;YEAR(VLOOKUP($B81,kilpailukalenteri,2))&amp;", "&amp;IF(RIGHT(VLOOKUP($B81,kilpailukalenteri,4),1)="*",LEFT(VLOOKUP($B81,kilpailukalenteri,4),LEN(VLOOKUP($B81,kilpailukalenteri,4))-2)&amp;", Kultainen GP",VLOOKUP($B81,kilpailukalenteri,4)),IF($C81=0,"Sija",IF($C81&gt;Data!$CP$2,"",ROUND(Tulokset!$D81,0)))))</f>
        <v/>
      </c>
      <c r="F81" s="78" t="str">
        <f ca="1">IF($B81&gt;keilatut,"",IF($C81=(-1),"",IF($C81=0,"Nimi",IF($C81&gt;Data!$CP$2,"",OFFSET(tulossiirtymä,MATCH($D81,Data!$AN$2:$AN$313,0),Tulokset!F$2)))))</f>
        <v/>
      </c>
      <c r="G81" s="78" t="str">
        <f ca="1">IF($B81&gt;keilatut,"",IF($C81=(-1),"",IF($C81=0,"Sarja 1",IF($C81&gt;Data!$CP$2,"",OFFSET(tulossiirtymä,MATCH($D81,Data!$AN$2:$AN$313,0),Tulokset!G$2)))))</f>
        <v/>
      </c>
      <c r="H81" s="78" t="str">
        <f ca="1">IF($B81&gt;keilatut,"",IF($C81=(-1),"",IF($C81=0,"Sarja 2",IF($C81&gt;Data!$CP$2,"",OFFSET(tulossiirtymä,MATCH($D81,Data!$AN$2:$AN$313,0),Tulokset!H$2)))))</f>
        <v/>
      </c>
      <c r="I81" s="78" t="str">
        <f ca="1">IF($B81&gt;keilatut,"",IF($C81=(-1),"",IF($C81=0,"Yhteensä",IF($C81&gt;Data!$CP$2,"",OFFSET(tulossiirtymä,MATCH($D81,Data!$AN$2:$AN$313,0),Tulokset!I$2)))))</f>
        <v/>
      </c>
      <c r="J81" s="78" t="str">
        <f ca="1">IF($B81&gt;keilatut,"",IF($C81=(-1),"",IF($C81=0,"Ero voittajaan",IF($C81&gt;Data!$CP$2,"",OFFSET(tulossiirtymä,MATCH($D81,Data!$AN$2:$AN$313,0),Tulokset!J$2)))))</f>
        <v/>
      </c>
      <c r="K81" s="78" t="str">
        <f ca="1">IF($B81&gt;keilatut,"",IF($C81=(-1),"",IF($C81=0,"Pisteet",IF($C81&gt;Data!$CP$2,"",OFFSET(tulossiirtymä,MATCH($D81,Data!$AN$2:$AN$313,0),Tulokset!K$2)))))</f>
        <v/>
      </c>
      <c r="L81" s="78" t="str">
        <f ca="1">IF($B81&gt;keilatut,"",IF($C81=(-1),"",IF($C81=0,"Pisteet yhteensä",IF($C81&gt;Data!$CP$2,"",OFFSET(tulossiirtymä,MATCH($D81,Data!$AN$2:$AN$313,0),Tulokset!L$2)))))</f>
        <v/>
      </c>
      <c r="M81" s="78" t="str">
        <f ca="1">IF($B81&gt;keilatut,"",IF($C81=(-1),"",IF($C81=0,"Pisteseloste",IF($C81&gt;Data!$CP$2,"",OFFSET(tulossiirtymä,MATCH($D81,Data!$AN$2:$AN$313,0),Tulokset!M$2)))))</f>
        <v/>
      </c>
    </row>
    <row r="82" spans="2:13" x14ac:dyDescent="0.25">
      <c r="B82" s="78">
        <f t="shared" si="1"/>
        <v>3</v>
      </c>
      <c r="C82" s="78">
        <f>COUNTIF($B$6:B82,B82)-2</f>
        <v>21</v>
      </c>
      <c r="D82" s="79" t="str">
        <f t="array" ref="D82">IF($B82&lt;=keilatut,IF($C82&lt;1,"",IF($C82&gt;Data!$CP$2,"",SMALL(IF(Data!$B$2:$B$313=Tulokset!$B82,Data!$AN$2:$AN$313),Tulokset!$C82))),"")</f>
        <v/>
      </c>
      <c r="E82" s="78" t="str">
        <f>IF($B82&gt;keilatut,"",IF($C82=(-1),"GP"&amp;$B82&amp;", "&amp;DAY(VLOOKUP($B82,kilpailukalenteri,2))&amp;"."&amp;MONTH(VLOOKUP($B82,kilpailukalenteri,2))&amp;"."&amp;YEAR(VLOOKUP($B82,kilpailukalenteri,2))&amp;", "&amp;IF(RIGHT(VLOOKUP($B82,kilpailukalenteri,4),1)="*",LEFT(VLOOKUP($B82,kilpailukalenteri,4),LEN(VLOOKUP($B82,kilpailukalenteri,4))-2)&amp;", Kultainen GP",VLOOKUP($B82,kilpailukalenteri,4)),IF($C82=0,"Sija",IF($C82&gt;Data!$CP$2,"",ROUND(Tulokset!$D82,0)))))</f>
        <v/>
      </c>
      <c r="F82" s="78" t="str">
        <f ca="1">IF($B82&gt;keilatut,"",IF($C82=(-1),"",IF($C82=0,"Nimi",IF($C82&gt;Data!$CP$2,"",OFFSET(tulossiirtymä,MATCH($D82,Data!$AN$2:$AN$313,0),Tulokset!F$2)))))</f>
        <v/>
      </c>
      <c r="G82" s="78" t="str">
        <f ca="1">IF($B82&gt;keilatut,"",IF($C82=(-1),"",IF($C82=0,"Sarja 1",IF($C82&gt;Data!$CP$2,"",OFFSET(tulossiirtymä,MATCH($D82,Data!$AN$2:$AN$313,0),Tulokset!G$2)))))</f>
        <v/>
      </c>
      <c r="H82" s="78" t="str">
        <f ca="1">IF($B82&gt;keilatut,"",IF($C82=(-1),"",IF($C82=0,"Sarja 2",IF($C82&gt;Data!$CP$2,"",OFFSET(tulossiirtymä,MATCH($D82,Data!$AN$2:$AN$313,0),Tulokset!H$2)))))</f>
        <v/>
      </c>
      <c r="I82" s="78" t="str">
        <f ca="1">IF($B82&gt;keilatut,"",IF($C82=(-1),"",IF($C82=0,"Yhteensä",IF($C82&gt;Data!$CP$2,"",OFFSET(tulossiirtymä,MATCH($D82,Data!$AN$2:$AN$313,0),Tulokset!I$2)))))</f>
        <v/>
      </c>
      <c r="J82" s="78" t="str">
        <f ca="1">IF($B82&gt;keilatut,"",IF($C82=(-1),"",IF($C82=0,"Ero voittajaan",IF($C82&gt;Data!$CP$2,"",OFFSET(tulossiirtymä,MATCH($D82,Data!$AN$2:$AN$313,0),Tulokset!J$2)))))</f>
        <v/>
      </c>
      <c r="K82" s="78" t="str">
        <f ca="1">IF($B82&gt;keilatut,"",IF($C82=(-1),"",IF($C82=0,"Pisteet",IF($C82&gt;Data!$CP$2,"",OFFSET(tulossiirtymä,MATCH($D82,Data!$AN$2:$AN$313,0),Tulokset!K$2)))))</f>
        <v/>
      </c>
      <c r="L82" s="78" t="str">
        <f ca="1">IF($B82&gt;keilatut,"",IF($C82=(-1),"",IF($C82=0,"Pisteet yhteensä",IF($C82&gt;Data!$CP$2,"",OFFSET(tulossiirtymä,MATCH($D82,Data!$AN$2:$AN$313,0),Tulokset!L$2)))))</f>
        <v/>
      </c>
      <c r="M82" s="78" t="str">
        <f ca="1">IF($B82&gt;keilatut,"",IF($C82=(-1),"",IF($C82=0,"Pisteseloste",IF($C82&gt;Data!$CP$2,"",OFFSET(tulossiirtymä,MATCH($D82,Data!$AN$2:$AN$313,0),Tulokset!M$2)))))</f>
        <v/>
      </c>
    </row>
    <row r="83" spans="2:13" x14ac:dyDescent="0.25">
      <c r="B83" s="78">
        <f t="shared" si="1"/>
        <v>3</v>
      </c>
      <c r="C83" s="78">
        <f>COUNTIF($B$6:B83,B83)-2</f>
        <v>22</v>
      </c>
      <c r="D83" s="79" t="str">
        <f t="array" ref="D83">IF($B83&lt;=keilatut,IF($C83&lt;1,"",IF($C83&gt;Data!$CP$2,"",SMALL(IF(Data!$B$2:$B$313=Tulokset!$B83,Data!$AN$2:$AN$313),Tulokset!$C83))),"")</f>
        <v/>
      </c>
      <c r="E83" s="78" t="str">
        <f>IF($B83&gt;keilatut,"",IF($C83=(-1),"GP"&amp;$B83&amp;", "&amp;DAY(VLOOKUP($B83,kilpailukalenteri,2))&amp;"."&amp;MONTH(VLOOKUP($B83,kilpailukalenteri,2))&amp;"."&amp;YEAR(VLOOKUP($B83,kilpailukalenteri,2))&amp;", "&amp;IF(RIGHT(VLOOKUP($B83,kilpailukalenteri,4),1)="*",LEFT(VLOOKUP($B83,kilpailukalenteri,4),LEN(VLOOKUP($B83,kilpailukalenteri,4))-2)&amp;", Kultainen GP",VLOOKUP($B83,kilpailukalenteri,4)),IF($C83=0,"Sija",IF($C83&gt;Data!$CP$2,"",ROUND(Tulokset!$D83,0)))))</f>
        <v/>
      </c>
      <c r="F83" s="78" t="str">
        <f ca="1">IF($B83&gt;keilatut,"",IF($C83=(-1),"",IF($C83=0,"Nimi",IF($C83&gt;Data!$CP$2,"",OFFSET(tulossiirtymä,MATCH($D83,Data!$AN$2:$AN$313,0),Tulokset!F$2)))))</f>
        <v/>
      </c>
      <c r="G83" s="78" t="str">
        <f ca="1">IF($B83&gt;keilatut,"",IF($C83=(-1),"",IF($C83=0,"Sarja 1",IF($C83&gt;Data!$CP$2,"",OFFSET(tulossiirtymä,MATCH($D83,Data!$AN$2:$AN$313,0),Tulokset!G$2)))))</f>
        <v/>
      </c>
      <c r="H83" s="78" t="str">
        <f ca="1">IF($B83&gt;keilatut,"",IF($C83=(-1),"",IF($C83=0,"Sarja 2",IF($C83&gt;Data!$CP$2,"",OFFSET(tulossiirtymä,MATCH($D83,Data!$AN$2:$AN$313,0),Tulokset!H$2)))))</f>
        <v/>
      </c>
      <c r="I83" s="78" t="str">
        <f ca="1">IF($B83&gt;keilatut,"",IF($C83=(-1),"",IF($C83=0,"Yhteensä",IF($C83&gt;Data!$CP$2,"",OFFSET(tulossiirtymä,MATCH($D83,Data!$AN$2:$AN$313,0),Tulokset!I$2)))))</f>
        <v/>
      </c>
      <c r="J83" s="78" t="str">
        <f ca="1">IF($B83&gt;keilatut,"",IF($C83=(-1),"",IF($C83=0,"Ero voittajaan",IF($C83&gt;Data!$CP$2,"",OFFSET(tulossiirtymä,MATCH($D83,Data!$AN$2:$AN$313,0),Tulokset!J$2)))))</f>
        <v/>
      </c>
      <c r="K83" s="78" t="str">
        <f ca="1">IF($B83&gt;keilatut,"",IF($C83=(-1),"",IF($C83=0,"Pisteet",IF($C83&gt;Data!$CP$2,"",OFFSET(tulossiirtymä,MATCH($D83,Data!$AN$2:$AN$313,0),Tulokset!K$2)))))</f>
        <v/>
      </c>
      <c r="L83" s="78" t="str">
        <f ca="1">IF($B83&gt;keilatut,"",IF($C83=(-1),"",IF($C83=0,"Pisteet yhteensä",IF($C83&gt;Data!$CP$2,"",OFFSET(tulossiirtymä,MATCH($D83,Data!$AN$2:$AN$313,0),Tulokset!L$2)))))</f>
        <v/>
      </c>
      <c r="M83" s="78" t="str">
        <f ca="1">IF($B83&gt;keilatut,"",IF($C83=(-1),"",IF($C83=0,"Pisteseloste",IF($C83&gt;Data!$CP$2,"",OFFSET(tulossiirtymä,MATCH($D83,Data!$AN$2:$AN$313,0),Tulokset!M$2)))))</f>
        <v/>
      </c>
    </row>
    <row r="84" spans="2:13" x14ac:dyDescent="0.25">
      <c r="B84" s="78">
        <f t="shared" si="1"/>
        <v>3</v>
      </c>
      <c r="C84" s="78">
        <f>COUNTIF($B$6:B84,B84)-2</f>
        <v>23</v>
      </c>
      <c r="D84" s="79" t="str">
        <f t="array" ref="D84">IF($B84&lt;=keilatut,IF($C84&lt;1,"",IF($C84&gt;Data!$CP$2,"",SMALL(IF(Data!$B$2:$B$313=Tulokset!$B84,Data!$AN$2:$AN$313),Tulokset!$C84))),"")</f>
        <v/>
      </c>
      <c r="E84" s="78" t="str">
        <f>IF($B84&gt;keilatut,"",IF($C84=(-1),"GP"&amp;$B84&amp;", "&amp;DAY(VLOOKUP($B84,kilpailukalenteri,2))&amp;"."&amp;MONTH(VLOOKUP($B84,kilpailukalenteri,2))&amp;"."&amp;YEAR(VLOOKUP($B84,kilpailukalenteri,2))&amp;", "&amp;IF(RIGHT(VLOOKUP($B84,kilpailukalenteri,4),1)="*",LEFT(VLOOKUP($B84,kilpailukalenteri,4),LEN(VLOOKUP($B84,kilpailukalenteri,4))-2)&amp;", Kultainen GP",VLOOKUP($B84,kilpailukalenteri,4)),IF($C84=0,"Sija",IF($C84&gt;Data!$CP$2,"",ROUND(Tulokset!$D84,0)))))</f>
        <v/>
      </c>
      <c r="F84" s="78" t="str">
        <f ca="1">IF($B84&gt;keilatut,"",IF($C84=(-1),"",IF($C84=0,"Nimi",IF($C84&gt;Data!$CP$2,"",OFFSET(tulossiirtymä,MATCH($D84,Data!$AN$2:$AN$313,0),Tulokset!F$2)))))</f>
        <v/>
      </c>
      <c r="G84" s="78" t="str">
        <f ca="1">IF($B84&gt;keilatut,"",IF($C84=(-1),"",IF($C84=0,"Sarja 1",IF($C84&gt;Data!$CP$2,"",OFFSET(tulossiirtymä,MATCH($D84,Data!$AN$2:$AN$313,0),Tulokset!G$2)))))</f>
        <v/>
      </c>
      <c r="H84" s="78" t="str">
        <f ca="1">IF($B84&gt;keilatut,"",IF($C84=(-1),"",IF($C84=0,"Sarja 2",IF($C84&gt;Data!$CP$2,"",OFFSET(tulossiirtymä,MATCH($D84,Data!$AN$2:$AN$313,0),Tulokset!H$2)))))</f>
        <v/>
      </c>
      <c r="I84" s="78" t="str">
        <f ca="1">IF($B84&gt;keilatut,"",IF($C84=(-1),"",IF($C84=0,"Yhteensä",IF($C84&gt;Data!$CP$2,"",OFFSET(tulossiirtymä,MATCH($D84,Data!$AN$2:$AN$313,0),Tulokset!I$2)))))</f>
        <v/>
      </c>
      <c r="J84" s="78" t="str">
        <f ca="1">IF($B84&gt;keilatut,"",IF($C84=(-1),"",IF($C84=0,"Ero voittajaan",IF($C84&gt;Data!$CP$2,"",OFFSET(tulossiirtymä,MATCH($D84,Data!$AN$2:$AN$313,0),Tulokset!J$2)))))</f>
        <v/>
      </c>
      <c r="K84" s="78" t="str">
        <f ca="1">IF($B84&gt;keilatut,"",IF($C84=(-1),"",IF($C84=0,"Pisteet",IF($C84&gt;Data!$CP$2,"",OFFSET(tulossiirtymä,MATCH($D84,Data!$AN$2:$AN$313,0),Tulokset!K$2)))))</f>
        <v/>
      </c>
      <c r="L84" s="78" t="str">
        <f ca="1">IF($B84&gt;keilatut,"",IF($C84=(-1),"",IF($C84=0,"Pisteet yhteensä",IF($C84&gt;Data!$CP$2,"",OFFSET(tulossiirtymä,MATCH($D84,Data!$AN$2:$AN$313,0),Tulokset!L$2)))))</f>
        <v/>
      </c>
      <c r="M84" s="78" t="str">
        <f ca="1">IF($B84&gt;keilatut,"",IF($C84=(-1),"",IF($C84=0,"Pisteseloste",IF($C84&gt;Data!$CP$2,"",OFFSET(tulossiirtymä,MATCH($D84,Data!$AN$2:$AN$313,0),Tulokset!M$2)))))</f>
        <v/>
      </c>
    </row>
    <row r="85" spans="2:13" x14ac:dyDescent="0.25">
      <c r="B85" s="78">
        <f t="shared" si="1"/>
        <v>3</v>
      </c>
      <c r="C85" s="78">
        <f>COUNTIF($B$6:B85,B85)-2</f>
        <v>24</v>
      </c>
      <c r="D85" s="79" t="str">
        <f t="array" ref="D85">IF($B85&lt;=keilatut,IF($C85&lt;1,"",IF($C85&gt;Data!$CP$2,"",SMALL(IF(Data!$B$2:$B$313=Tulokset!$B85,Data!$AN$2:$AN$313),Tulokset!$C85))),"")</f>
        <v/>
      </c>
      <c r="E85" s="78" t="str">
        <f>IF($B85&gt;keilatut,"",IF($C85=(-1),"GP"&amp;$B85&amp;", "&amp;DAY(VLOOKUP($B85,kilpailukalenteri,2))&amp;"."&amp;MONTH(VLOOKUP($B85,kilpailukalenteri,2))&amp;"."&amp;YEAR(VLOOKUP($B85,kilpailukalenteri,2))&amp;", "&amp;IF(RIGHT(VLOOKUP($B85,kilpailukalenteri,4),1)="*",LEFT(VLOOKUP($B85,kilpailukalenteri,4),LEN(VLOOKUP($B85,kilpailukalenteri,4))-2)&amp;", Kultainen GP",VLOOKUP($B85,kilpailukalenteri,4)),IF($C85=0,"Sija",IF($C85&gt;Data!$CP$2,"",ROUND(Tulokset!$D85,0)))))</f>
        <v/>
      </c>
      <c r="F85" s="78" t="str">
        <f ca="1">IF($B85&gt;keilatut,"",IF($C85=(-1),"",IF($C85=0,"Nimi",IF($C85&gt;Data!$CP$2,"",OFFSET(tulossiirtymä,MATCH($D85,Data!$AN$2:$AN$313,0),Tulokset!F$2)))))</f>
        <v/>
      </c>
      <c r="G85" s="78" t="str">
        <f ca="1">IF($B85&gt;keilatut,"",IF($C85=(-1),"",IF($C85=0,"Sarja 1",IF($C85&gt;Data!$CP$2,"",OFFSET(tulossiirtymä,MATCH($D85,Data!$AN$2:$AN$313,0),Tulokset!G$2)))))</f>
        <v/>
      </c>
      <c r="H85" s="78" t="str">
        <f ca="1">IF($B85&gt;keilatut,"",IF($C85=(-1),"",IF($C85=0,"Sarja 2",IF($C85&gt;Data!$CP$2,"",OFFSET(tulossiirtymä,MATCH($D85,Data!$AN$2:$AN$313,0),Tulokset!H$2)))))</f>
        <v/>
      </c>
      <c r="I85" s="78" t="str">
        <f ca="1">IF($B85&gt;keilatut,"",IF($C85=(-1),"",IF($C85=0,"Yhteensä",IF($C85&gt;Data!$CP$2,"",OFFSET(tulossiirtymä,MATCH($D85,Data!$AN$2:$AN$313,0),Tulokset!I$2)))))</f>
        <v/>
      </c>
      <c r="J85" s="78" t="str">
        <f ca="1">IF($B85&gt;keilatut,"",IF($C85=(-1),"",IF($C85=0,"Ero voittajaan",IF($C85&gt;Data!$CP$2,"",OFFSET(tulossiirtymä,MATCH($D85,Data!$AN$2:$AN$313,0),Tulokset!J$2)))))</f>
        <v/>
      </c>
      <c r="K85" s="78" t="str">
        <f ca="1">IF($B85&gt;keilatut,"",IF($C85=(-1),"",IF($C85=0,"Pisteet",IF($C85&gt;Data!$CP$2,"",OFFSET(tulossiirtymä,MATCH($D85,Data!$AN$2:$AN$313,0),Tulokset!K$2)))))</f>
        <v/>
      </c>
      <c r="L85" s="78" t="str">
        <f ca="1">IF($B85&gt;keilatut,"",IF($C85=(-1),"",IF($C85=0,"Pisteet yhteensä",IF($C85&gt;Data!$CP$2,"",OFFSET(tulossiirtymä,MATCH($D85,Data!$AN$2:$AN$313,0),Tulokset!L$2)))))</f>
        <v/>
      </c>
      <c r="M85" s="78" t="str">
        <f ca="1">IF($B85&gt;keilatut,"",IF($C85=(-1),"",IF($C85=0,"Pisteseloste",IF($C85&gt;Data!$CP$2,"",OFFSET(tulossiirtymä,MATCH($D85,Data!$AN$2:$AN$313,0),Tulokset!M$2)))))</f>
        <v/>
      </c>
    </row>
    <row r="86" spans="2:13" x14ac:dyDescent="0.25">
      <c r="B86" s="78">
        <f t="shared" si="1"/>
        <v>3</v>
      </c>
      <c r="C86" s="78">
        <f>COUNTIF($B$6:B86,B86)-2</f>
        <v>25</v>
      </c>
      <c r="D86" s="79" t="str">
        <f t="array" ref="D86">IF($B86&lt;=keilatut,IF($C86&lt;1,"",IF($C86&gt;Data!$CP$2,"",SMALL(IF(Data!$B$2:$B$313=Tulokset!$B86,Data!$AN$2:$AN$313),Tulokset!$C86))),"")</f>
        <v/>
      </c>
      <c r="E86" s="78" t="str">
        <f>IF($B86&gt;keilatut,"",IF($C86=(-1),"GP"&amp;$B86&amp;", "&amp;DAY(VLOOKUP($B86,kilpailukalenteri,2))&amp;"."&amp;MONTH(VLOOKUP($B86,kilpailukalenteri,2))&amp;"."&amp;YEAR(VLOOKUP($B86,kilpailukalenteri,2))&amp;", "&amp;IF(RIGHT(VLOOKUP($B86,kilpailukalenteri,4),1)="*",LEFT(VLOOKUP($B86,kilpailukalenteri,4),LEN(VLOOKUP($B86,kilpailukalenteri,4))-2)&amp;", Kultainen GP",VLOOKUP($B86,kilpailukalenteri,4)),IF($C86=0,"Sija",IF($C86&gt;Data!$CP$2,"",ROUND(Tulokset!$D86,0)))))</f>
        <v/>
      </c>
      <c r="F86" s="78" t="str">
        <f ca="1">IF($B86&gt;keilatut,"",IF($C86=(-1),"",IF($C86=0,"Nimi",IF($C86&gt;Data!$CP$2,"",OFFSET(tulossiirtymä,MATCH($D86,Data!$AN$2:$AN$313,0),Tulokset!F$2)))))</f>
        <v/>
      </c>
      <c r="G86" s="78" t="str">
        <f ca="1">IF($B86&gt;keilatut,"",IF($C86=(-1),"",IF($C86=0,"Sarja 1",IF($C86&gt;Data!$CP$2,"",OFFSET(tulossiirtymä,MATCH($D86,Data!$AN$2:$AN$313,0),Tulokset!G$2)))))</f>
        <v/>
      </c>
      <c r="H86" s="78" t="str">
        <f ca="1">IF($B86&gt;keilatut,"",IF($C86=(-1),"",IF($C86=0,"Sarja 2",IF($C86&gt;Data!$CP$2,"",OFFSET(tulossiirtymä,MATCH($D86,Data!$AN$2:$AN$313,0),Tulokset!H$2)))))</f>
        <v/>
      </c>
      <c r="I86" s="78" t="str">
        <f ca="1">IF($B86&gt;keilatut,"",IF($C86=(-1),"",IF($C86=0,"Yhteensä",IF($C86&gt;Data!$CP$2,"",OFFSET(tulossiirtymä,MATCH($D86,Data!$AN$2:$AN$313,0),Tulokset!I$2)))))</f>
        <v/>
      </c>
      <c r="J86" s="78" t="str">
        <f ca="1">IF($B86&gt;keilatut,"",IF($C86=(-1),"",IF($C86=0,"Ero voittajaan",IF($C86&gt;Data!$CP$2,"",OFFSET(tulossiirtymä,MATCH($D86,Data!$AN$2:$AN$313,0),Tulokset!J$2)))))</f>
        <v/>
      </c>
      <c r="K86" s="78" t="str">
        <f ca="1">IF($B86&gt;keilatut,"",IF($C86=(-1),"",IF($C86=0,"Pisteet",IF($C86&gt;Data!$CP$2,"",OFFSET(tulossiirtymä,MATCH($D86,Data!$AN$2:$AN$313,0),Tulokset!K$2)))))</f>
        <v/>
      </c>
      <c r="L86" s="78" t="str">
        <f ca="1">IF($B86&gt;keilatut,"",IF($C86=(-1),"",IF($C86=0,"Pisteet yhteensä",IF($C86&gt;Data!$CP$2,"",OFFSET(tulossiirtymä,MATCH($D86,Data!$AN$2:$AN$313,0),Tulokset!L$2)))))</f>
        <v/>
      </c>
      <c r="M86" s="78" t="str">
        <f ca="1">IF($B86&gt;keilatut,"",IF($C86=(-1),"",IF($C86=0,"Pisteseloste",IF($C86&gt;Data!$CP$2,"",OFFSET(tulossiirtymä,MATCH($D86,Data!$AN$2:$AN$313,0),Tulokset!M$2)))))</f>
        <v/>
      </c>
    </row>
    <row r="87" spans="2:13" x14ac:dyDescent="0.25">
      <c r="B87" s="78">
        <f t="shared" si="1"/>
        <v>4</v>
      </c>
      <c r="C87" s="78">
        <f>COUNTIF($B$6:B87,B87)-2</f>
        <v>-1</v>
      </c>
      <c r="D87" s="79" t="str">
        <f t="array" ref="D87">IF($B87&lt;=keilatut,IF($C87&lt;1,"",IF($C87&gt;Data!$CP$2,"",SMALL(IF(Data!$B$2:$B$313=Tulokset!$B87,Data!$AN$2:$AN$313),Tulokset!$C87))),"")</f>
        <v/>
      </c>
      <c r="E87" s="78" t="str">
        <f>IF($B87&gt;keilatut,"",IF($C87=(-1),"GP"&amp;$B87&amp;", "&amp;DAY(VLOOKUP($B87,kilpailukalenteri,2))&amp;"."&amp;MONTH(VLOOKUP($B87,kilpailukalenteri,2))&amp;"."&amp;YEAR(VLOOKUP($B87,kilpailukalenteri,2))&amp;", "&amp;IF(RIGHT(VLOOKUP($B87,kilpailukalenteri,4),1)="*",LEFT(VLOOKUP($B87,kilpailukalenteri,4),LEN(VLOOKUP($B87,kilpailukalenteri,4))-2)&amp;", Kultainen GP",VLOOKUP($B87,kilpailukalenteri,4)),IF($C87=0,"Sija",IF($C87&gt;Data!$CP$2,"",ROUND(Tulokset!$D87,0)))))</f>
        <v>GP4, 24.11.2024, Kupittaan keilahalli</v>
      </c>
    </row>
    <row r="88" spans="2:13" x14ac:dyDescent="0.25">
      <c r="B88" s="78">
        <f t="shared" si="1"/>
        <v>4</v>
      </c>
      <c r="C88" s="78">
        <f>COUNTIF($B$6:B88,B88)-2</f>
        <v>0</v>
      </c>
      <c r="D88" s="79" t="str">
        <f t="array" ref="D88">IF($B88&lt;=keilatut,IF($C88&lt;1,"",IF($C88&gt;Data!$CP$2,"",SMALL(IF(Data!$B$2:$B$313=Tulokset!$B88,Data!$AN$2:$AN$313),Tulokset!$C88))),"")</f>
        <v/>
      </c>
      <c r="E88" s="78" t="str">
        <f>IF($B88&gt;keilatut,"",IF($C88=(-1),"GP"&amp;$B88&amp;", "&amp;DAY(VLOOKUP($B88,kilpailukalenteri,2))&amp;"."&amp;MONTH(VLOOKUP($B88,kilpailukalenteri,2))&amp;"."&amp;YEAR(VLOOKUP($B88,kilpailukalenteri,2))&amp;", "&amp;IF(RIGHT(VLOOKUP($B88,kilpailukalenteri,4),1)="*",LEFT(VLOOKUP($B88,kilpailukalenteri,4),LEN(VLOOKUP($B88,kilpailukalenteri,4))-2)&amp;", Kultainen GP",VLOOKUP($B88,kilpailukalenteri,4)),IF($C88=0,"Sija",IF($C88&gt;Data!$CP$2,"",ROUND(Tulokset!$D88,0)))))</f>
        <v>Sija</v>
      </c>
      <c r="F88" s="78" t="str">
        <f ca="1">IF($B88&gt;keilatut,"",IF($C88=(-1),"",IF($C88=0,"Nimi",IF($C88&gt;Data!$CP$2,"",OFFSET(tulossiirtymä,MATCH($D88,Data!$AN$2:$AN$313,0),Tulokset!F$2)))))</f>
        <v>Nimi</v>
      </c>
      <c r="G88" s="78" t="str">
        <f ca="1">IF($B88&gt;keilatut,"",IF($C88=(-1),"",IF($C88=0,"Sarja 1",IF($C88&gt;Data!$CP$2,"",OFFSET(tulossiirtymä,MATCH($D88,Data!$AN$2:$AN$313,0),Tulokset!G$2)))))</f>
        <v>Sarja 1</v>
      </c>
      <c r="H88" s="78" t="str">
        <f ca="1">IF($B88&gt;keilatut,"",IF($C88=(-1),"",IF($C88=0,"Sarja 2",IF($C88&gt;Data!$CP$2,"",OFFSET(tulossiirtymä,MATCH($D88,Data!$AN$2:$AN$313,0),Tulokset!H$2)))))</f>
        <v>Sarja 2</v>
      </c>
      <c r="I88" s="78" t="str">
        <f ca="1">IF($B88&gt;keilatut,"",IF($C88=(-1),"",IF($C88=0,"Yhteensä",IF($C88&gt;Data!$CP$2,"",OFFSET(tulossiirtymä,MATCH($D88,Data!$AN$2:$AN$313,0),Tulokset!I$2)))))</f>
        <v>Yhteensä</v>
      </c>
      <c r="J88" s="78" t="str">
        <f ca="1">IF($B88&gt;keilatut,"",IF($C88=(-1),"",IF($C88=0,"Ero voittajaan",IF($C88&gt;Data!$CP$2,"",OFFSET(tulossiirtymä,MATCH($D88,Data!$AN$2:$AN$313,0),Tulokset!J$2)))))</f>
        <v>Ero voittajaan</v>
      </c>
      <c r="K88" s="78" t="str">
        <f ca="1">IF($B88&gt;keilatut,"",IF($C88=(-1),"",IF($C88=0,"Pisteet",IF($C88&gt;Data!$CP$2,"",OFFSET(tulossiirtymä,MATCH($D88,Data!$AN$2:$AN$313,0),Tulokset!K$2)))))</f>
        <v>Pisteet</v>
      </c>
      <c r="L88" s="78" t="str">
        <f ca="1">IF($B88&gt;keilatut,"",IF($C88=(-1),"",IF($C88=0,"Pisteet yhteensä",IF($C88&gt;Data!$CP$2,"",OFFSET(tulossiirtymä,MATCH($D88,Data!$AN$2:$AN$313,0),Tulokset!L$2)))))</f>
        <v>Pisteet yhteensä</v>
      </c>
      <c r="M88" s="78" t="str">
        <f ca="1">IF($B88&gt;keilatut,"",IF($C88=(-1),"",IF($C88=0,"Pisteseloste",IF($C88&gt;Data!$CP$2,"",OFFSET(tulossiirtymä,MATCH($D88,Data!$AN$2:$AN$313,0),Tulokset!M$2)))))</f>
        <v>Pisteseloste</v>
      </c>
    </row>
    <row r="89" spans="2:13" x14ac:dyDescent="0.25">
      <c r="B89" s="78">
        <f t="shared" si="1"/>
        <v>4</v>
      </c>
      <c r="C89" s="78">
        <f>COUNTIF($B$6:B89,B89)-2</f>
        <v>1</v>
      </c>
      <c r="D89" s="79">
        <f t="array" ref="D89">IF($B89&lt;=keilatut,IF($C89&lt;1,"",IF($C89&gt;Data!$CP$2,"",SMALL(IF(Data!$B$2:$B$313=Tulokset!$B89,Data!$AN$2:$AN$313),Tulokset!$C89))),"")</f>
        <v>1.0000640000000001</v>
      </c>
      <c r="E89" s="78">
        <f>IF($B89&gt;keilatut,"",IF($C89=(-1),"GP"&amp;$B89&amp;", "&amp;DAY(VLOOKUP($B89,kilpailukalenteri,2))&amp;"."&amp;MONTH(VLOOKUP($B89,kilpailukalenteri,2))&amp;"."&amp;YEAR(VLOOKUP($B89,kilpailukalenteri,2))&amp;", "&amp;IF(RIGHT(VLOOKUP($B89,kilpailukalenteri,4),1)="*",LEFT(VLOOKUP($B89,kilpailukalenteri,4),LEN(VLOOKUP($B89,kilpailukalenteri,4))-2)&amp;", Kultainen GP",VLOOKUP($B89,kilpailukalenteri,4)),IF($C89=0,"Sija",IF($C89&gt;Data!$CP$2,"",ROUND(Tulokset!$D89,0)))))</f>
        <v>1</v>
      </c>
      <c r="F89" s="78" t="str">
        <f ca="1">IF($B89&gt;keilatut,"",IF($C89=(-1),"",IF($C89=0,"Nimi",IF($C89&gt;Data!$CP$2,"",OFFSET(tulossiirtymä,MATCH($D89,Data!$AN$2:$AN$313,0),Tulokset!F$2)))))</f>
        <v>Jami Kallio</v>
      </c>
      <c r="G89" s="78">
        <f ca="1">IF($B89&gt;keilatut,"",IF($C89=(-1),"",IF($C89=0,"Sarja 1",IF($C89&gt;Data!$CP$2,"",OFFSET(tulossiirtymä,MATCH($D89,Data!$AN$2:$AN$313,0),Tulokset!G$2)))))</f>
        <v>196</v>
      </c>
      <c r="H89" s="78">
        <f ca="1">IF($B89&gt;keilatut,"",IF($C89=(-1),"",IF($C89=0,"Sarja 2",IF($C89&gt;Data!$CP$2,"",OFFSET(tulossiirtymä,MATCH($D89,Data!$AN$2:$AN$313,0),Tulokset!H$2)))))</f>
        <v>190</v>
      </c>
      <c r="I89" s="78">
        <f ca="1">IF($B89&gt;keilatut,"",IF($C89=(-1),"",IF($C89=0,"Yhteensä",IF($C89&gt;Data!$CP$2,"",OFFSET(tulossiirtymä,MATCH($D89,Data!$AN$2:$AN$313,0),Tulokset!I$2)))))</f>
        <v>386</v>
      </c>
      <c r="J89" s="78" t="str">
        <f ca="1">IF($B89&gt;keilatut,"",IF($C89=(-1),"",IF($C89=0,"Ero voittajaan",IF($C89&gt;Data!$CP$2,"",OFFSET(tulossiirtymä,MATCH($D89,Data!$AN$2:$AN$313,0),Tulokset!J$2)))))</f>
        <v/>
      </c>
      <c r="K89" s="78">
        <f ca="1">IF($B89&gt;keilatut,"",IF($C89=(-1),"",IF($C89=0,"Pisteet",IF($C89&gt;Data!$CP$2,"",OFFSET(tulossiirtymä,MATCH($D89,Data!$AN$2:$AN$313,0),Tulokset!K$2)))))</f>
        <v>12</v>
      </c>
      <c r="L89" s="78">
        <f ca="1">IF($B89&gt;keilatut,"",IF($C89=(-1),"",IF($C89=0,"Pisteet yhteensä",IF($C89&gt;Data!$CP$2,"",OFFSET(tulossiirtymä,MATCH($D89,Data!$AN$2:$AN$313,0),Tulokset!L$2)))))</f>
        <v>28</v>
      </c>
      <c r="M89" s="78" t="str">
        <f ca="1">IF($B89&gt;keilatut,"",IF($C89=(-1),"",IF($C89=0,"Pisteseloste",IF($C89&gt;Data!$CP$2,"",OFFSET(tulossiirtymä,MATCH($D89,Data!$AN$2:$AN$313,0),Tulokset!M$2)))))</f>
        <v>+SP</v>
      </c>
    </row>
    <row r="90" spans="2:13" x14ac:dyDescent="0.25">
      <c r="B90" s="78">
        <f t="shared" si="1"/>
        <v>4</v>
      </c>
      <c r="C90" s="78">
        <f>COUNTIF($B$6:B90,B90)-2</f>
        <v>2</v>
      </c>
      <c r="D90" s="79">
        <f t="array" ref="D90">IF($B90&lt;=keilatut,IF($C90&lt;1,"",IF($C90&gt;Data!$CP$2,"",SMALL(IF(Data!$B$2:$B$313=Tulokset!$B90,Data!$AN$2:$AN$313),Tulokset!$C90))),"")</f>
        <v>2.0000550000000001</v>
      </c>
      <c r="E90" s="78">
        <f>IF($B90&gt;keilatut,"",IF($C90=(-1),"GP"&amp;$B90&amp;", "&amp;DAY(VLOOKUP($B90,kilpailukalenteri,2))&amp;"."&amp;MONTH(VLOOKUP($B90,kilpailukalenteri,2))&amp;"."&amp;YEAR(VLOOKUP($B90,kilpailukalenteri,2))&amp;", "&amp;IF(RIGHT(VLOOKUP($B90,kilpailukalenteri,4),1)="*",LEFT(VLOOKUP($B90,kilpailukalenteri,4),LEN(VLOOKUP($B90,kilpailukalenteri,4))-2)&amp;", Kultainen GP",VLOOKUP($B90,kilpailukalenteri,4)),IF($C90=0,"Sija",IF($C90&gt;Data!$CP$2,"",ROUND(Tulokset!$D90,0)))))</f>
        <v>2</v>
      </c>
      <c r="F90" s="78" t="str">
        <f ca="1">IF($B90&gt;keilatut,"",IF($C90=(-1),"",IF($C90=0,"Nimi",IF($C90&gt;Data!$CP$2,"",OFFSET(tulossiirtymä,MATCH($D90,Data!$AN$2:$AN$313,0),Tulokset!F$2)))))</f>
        <v>Niko Reunanen</v>
      </c>
      <c r="G90" s="78">
        <f ca="1">IF($B90&gt;keilatut,"",IF($C90=(-1),"",IF($C90=0,"Sarja 1",IF($C90&gt;Data!$CP$2,"",OFFSET(tulossiirtymä,MATCH($D90,Data!$AN$2:$AN$313,0),Tulokset!G$2)))))</f>
        <v>178</v>
      </c>
      <c r="H90" s="78">
        <f ca="1">IF($B90&gt;keilatut,"",IF($C90=(-1),"",IF($C90=0,"Sarja 2",IF($C90&gt;Data!$CP$2,"",OFFSET(tulossiirtymä,MATCH($D90,Data!$AN$2:$AN$313,0),Tulokset!H$2)))))</f>
        <v>155</v>
      </c>
      <c r="I90" s="78">
        <f ca="1">IF($B90&gt;keilatut,"",IF($C90=(-1),"",IF($C90=0,"Yhteensä",IF($C90&gt;Data!$CP$2,"",OFFSET(tulossiirtymä,MATCH($D90,Data!$AN$2:$AN$313,0),Tulokset!I$2)))))</f>
        <v>333</v>
      </c>
      <c r="J90" s="78">
        <f ca="1">IF($B90&gt;keilatut,"",IF($C90=(-1),"",IF($C90=0,"Ero voittajaan",IF($C90&gt;Data!$CP$2,"",OFFSET(tulossiirtymä,MATCH($D90,Data!$AN$2:$AN$313,0),Tulokset!J$2)))))</f>
        <v>53</v>
      </c>
      <c r="K90" s="78">
        <f ca="1">IF($B90&gt;keilatut,"",IF($C90=(-1),"",IF($C90=0,"Pisteet",IF($C90&gt;Data!$CP$2,"",OFFSET(tulossiirtymä,MATCH($D90,Data!$AN$2:$AN$313,0),Tulokset!K$2)))))</f>
        <v>10</v>
      </c>
      <c r="L90" s="78">
        <f ca="1">IF($B90&gt;keilatut,"",IF($C90=(-1),"",IF($C90=0,"Pisteet yhteensä",IF($C90&gt;Data!$CP$2,"",OFFSET(tulossiirtymä,MATCH($D90,Data!$AN$2:$AN$313,0),Tulokset!L$2)))))</f>
        <v>19</v>
      </c>
      <c r="M90" s="78" t="str">
        <f ca="1">IF($B90&gt;keilatut,"",IF($C90=(-1),"",IF($C90=0,"Pisteseloste",IF($C90&gt;Data!$CP$2,"",OFFSET(tulossiirtymä,MATCH($D90,Data!$AN$2:$AN$313,0),Tulokset!M$2)))))</f>
        <v>+SP</v>
      </c>
    </row>
    <row r="91" spans="2:13" x14ac:dyDescent="0.25">
      <c r="B91" s="78">
        <f t="shared" si="1"/>
        <v>4</v>
      </c>
      <c r="C91" s="78">
        <f>COUNTIF($B$6:B91,B91)-2</f>
        <v>3</v>
      </c>
      <c r="D91" s="79">
        <f t="array" ref="D91">IF($B91&lt;=keilatut,IF($C91&lt;1,"",IF($C91&gt;Data!$CP$2,"",SMALL(IF(Data!$B$2:$B$313=Tulokset!$B91,Data!$AN$2:$AN$313),Tulokset!$C91))),"")</f>
        <v>3.0000619999999998</v>
      </c>
      <c r="E91" s="78">
        <f>IF($B91&gt;keilatut,"",IF($C91=(-1),"GP"&amp;$B91&amp;", "&amp;DAY(VLOOKUP($B91,kilpailukalenteri,2))&amp;"."&amp;MONTH(VLOOKUP($B91,kilpailukalenteri,2))&amp;"."&amp;YEAR(VLOOKUP($B91,kilpailukalenteri,2))&amp;", "&amp;IF(RIGHT(VLOOKUP($B91,kilpailukalenteri,4),1)="*",LEFT(VLOOKUP($B91,kilpailukalenteri,4),LEN(VLOOKUP($B91,kilpailukalenteri,4))-2)&amp;", Kultainen GP",VLOOKUP($B91,kilpailukalenteri,4)),IF($C91=0,"Sija",IF($C91&gt;Data!$CP$2,"",ROUND(Tulokset!$D91,0)))))</f>
        <v>3</v>
      </c>
      <c r="F91" s="78" t="str">
        <f ca="1">IF($B91&gt;keilatut,"",IF($C91=(-1),"",IF($C91=0,"Nimi",IF($C91&gt;Data!$CP$2,"",OFFSET(tulossiirtymä,MATCH($D91,Data!$AN$2:$AN$313,0),Tulokset!F$2)))))</f>
        <v>Henri Verho</v>
      </c>
      <c r="G91" s="78">
        <f ca="1">IF($B91&gt;keilatut,"",IF($C91=(-1),"",IF($C91=0,"Sarja 1",IF($C91&gt;Data!$CP$2,"",OFFSET(tulossiirtymä,MATCH($D91,Data!$AN$2:$AN$313,0),Tulokset!G$2)))))</f>
        <v>169</v>
      </c>
      <c r="H91" s="78">
        <f ca="1">IF($B91&gt;keilatut,"",IF($C91=(-1),"",IF($C91=0,"Sarja 2",IF($C91&gt;Data!$CP$2,"",OFFSET(tulossiirtymä,MATCH($D91,Data!$AN$2:$AN$313,0),Tulokset!H$2)))))</f>
        <v>151</v>
      </c>
      <c r="I91" s="78">
        <f ca="1">IF($B91&gt;keilatut,"",IF($C91=(-1),"",IF($C91=0,"Yhteensä",IF($C91&gt;Data!$CP$2,"",OFFSET(tulossiirtymä,MATCH($D91,Data!$AN$2:$AN$313,0),Tulokset!I$2)))))</f>
        <v>320</v>
      </c>
      <c r="J91" s="78">
        <f ca="1">IF($B91&gt;keilatut,"",IF($C91=(-1),"",IF($C91=0,"Ero voittajaan",IF($C91&gt;Data!$CP$2,"",OFFSET(tulossiirtymä,MATCH($D91,Data!$AN$2:$AN$313,0),Tulokset!J$2)))))</f>
        <v>66</v>
      </c>
      <c r="K91" s="78">
        <f ca="1">IF($B91&gt;keilatut,"",IF($C91=(-1),"",IF($C91=0,"Pisteet",IF($C91&gt;Data!$CP$2,"",OFFSET(tulossiirtymä,MATCH($D91,Data!$AN$2:$AN$313,0),Tulokset!K$2)))))</f>
        <v>8</v>
      </c>
      <c r="L91" s="78">
        <f ca="1">IF($B91&gt;keilatut,"",IF($C91=(-1),"",IF($C91=0,"Pisteet yhteensä",IF($C91&gt;Data!$CP$2,"",OFFSET(tulossiirtymä,MATCH($D91,Data!$AN$2:$AN$313,0),Tulokset!L$2)))))</f>
        <v>22</v>
      </c>
      <c r="M91" s="78" t="str">
        <f ca="1">IF($B91&gt;keilatut,"",IF($C91=(-1),"",IF($C91=0,"Pisteseloste",IF($C91&gt;Data!$CP$2,"",OFFSET(tulossiirtymä,MATCH($D91,Data!$AN$2:$AN$313,0),Tulokset!M$2)))))</f>
        <v>+SP</v>
      </c>
    </row>
    <row r="92" spans="2:13" x14ac:dyDescent="0.25">
      <c r="B92" s="78">
        <f t="shared" si="1"/>
        <v>4</v>
      </c>
      <c r="C92" s="78">
        <f>COUNTIF($B$6:B92,B92)-2</f>
        <v>4</v>
      </c>
      <c r="D92" s="79">
        <f t="array" ref="D92">IF($B92&lt;=keilatut,IF($C92&lt;1,"",IF($C92&gt;Data!$CP$2,"",SMALL(IF(Data!$B$2:$B$313=Tulokset!$B92,Data!$AN$2:$AN$313),Tulokset!$C92))),"")</f>
        <v>4.0000609999999996</v>
      </c>
      <c r="E92" s="78">
        <f>IF($B92&gt;keilatut,"",IF($C92=(-1),"GP"&amp;$B92&amp;", "&amp;DAY(VLOOKUP($B92,kilpailukalenteri,2))&amp;"."&amp;MONTH(VLOOKUP($B92,kilpailukalenteri,2))&amp;"."&amp;YEAR(VLOOKUP($B92,kilpailukalenteri,2))&amp;", "&amp;IF(RIGHT(VLOOKUP($B92,kilpailukalenteri,4),1)="*",LEFT(VLOOKUP($B92,kilpailukalenteri,4),LEN(VLOOKUP($B92,kilpailukalenteri,4))-2)&amp;", Kultainen GP",VLOOKUP($B92,kilpailukalenteri,4)),IF($C92=0,"Sija",IF($C92&gt;Data!$CP$2,"",ROUND(Tulokset!$D92,0)))))</f>
        <v>4</v>
      </c>
      <c r="F92" s="78" t="str">
        <f ca="1">IF($B92&gt;keilatut,"",IF($C92=(-1),"",IF($C92=0,"Nimi",IF($C92&gt;Data!$CP$2,"",OFFSET(tulossiirtymä,MATCH($D92,Data!$AN$2:$AN$313,0),Tulokset!F$2)))))</f>
        <v>Asko Haaksi</v>
      </c>
      <c r="G92" s="78">
        <f ca="1">IF($B92&gt;keilatut,"",IF($C92=(-1),"",IF($C92=0,"Sarja 1",IF($C92&gt;Data!$CP$2,"",OFFSET(tulossiirtymä,MATCH($D92,Data!$AN$2:$AN$313,0),Tulokset!G$2)))))</f>
        <v>144</v>
      </c>
      <c r="H92" s="78">
        <f ca="1">IF($B92&gt;keilatut,"",IF($C92=(-1),"",IF($C92=0,"Sarja 2",IF($C92&gt;Data!$CP$2,"",OFFSET(tulossiirtymä,MATCH($D92,Data!$AN$2:$AN$313,0),Tulokset!H$2)))))</f>
        <v>145</v>
      </c>
      <c r="I92" s="78">
        <f ca="1">IF($B92&gt;keilatut,"",IF($C92=(-1),"",IF($C92=0,"Yhteensä",IF($C92&gt;Data!$CP$2,"",OFFSET(tulossiirtymä,MATCH($D92,Data!$AN$2:$AN$313,0),Tulokset!I$2)))))</f>
        <v>289</v>
      </c>
      <c r="J92" s="78">
        <f ca="1">IF($B92&gt;keilatut,"",IF($C92=(-1),"",IF($C92=0,"Ero voittajaan",IF($C92&gt;Data!$CP$2,"",OFFSET(tulossiirtymä,MATCH($D92,Data!$AN$2:$AN$313,0),Tulokset!J$2)))))</f>
        <v>97</v>
      </c>
      <c r="K92" s="78">
        <f ca="1">IF($B92&gt;keilatut,"",IF($C92=(-1),"",IF($C92=0,"Pisteet",IF($C92&gt;Data!$CP$2,"",OFFSET(tulossiirtymä,MATCH($D92,Data!$AN$2:$AN$313,0),Tulokset!K$2)))))</f>
        <v>7</v>
      </c>
      <c r="L92" s="78">
        <f ca="1">IF($B92&gt;keilatut,"",IF($C92=(-1),"",IF($C92=0,"Pisteet yhteensä",IF($C92&gt;Data!$CP$2,"",OFFSET(tulossiirtymä,MATCH($D92,Data!$AN$2:$AN$313,0),Tulokset!L$2)))))</f>
        <v>11</v>
      </c>
      <c r="M92" s="78" t="str">
        <f ca="1">IF($B92&gt;keilatut,"",IF($C92=(-1),"",IF($C92=0,"Pisteseloste",IF($C92&gt;Data!$CP$2,"",OFFSET(tulossiirtymä,MATCH($D92,Data!$AN$2:$AN$313,0),Tulokset!M$2)))))</f>
        <v>+SP</v>
      </c>
    </row>
    <row r="93" spans="2:13" x14ac:dyDescent="0.25">
      <c r="B93" s="78">
        <f t="shared" si="1"/>
        <v>4</v>
      </c>
      <c r="C93" s="78">
        <f>COUNTIF($B$6:B93,B93)-2</f>
        <v>5</v>
      </c>
      <c r="D93" s="79">
        <f t="array" ref="D93">IF($B93&lt;=keilatut,IF($C93&lt;1,"",IF($C93&gt;Data!$CP$2,"",SMALL(IF(Data!$B$2:$B$313=Tulokset!$B93,Data!$AN$2:$AN$313),Tulokset!$C93))),"")</f>
        <v>5.0000669999999996</v>
      </c>
      <c r="E93" s="78">
        <f>IF($B93&gt;keilatut,"",IF($C93=(-1),"GP"&amp;$B93&amp;", "&amp;DAY(VLOOKUP($B93,kilpailukalenteri,2))&amp;"."&amp;MONTH(VLOOKUP($B93,kilpailukalenteri,2))&amp;"."&amp;YEAR(VLOOKUP($B93,kilpailukalenteri,2))&amp;", "&amp;IF(RIGHT(VLOOKUP($B93,kilpailukalenteri,4),1)="*",LEFT(VLOOKUP($B93,kilpailukalenteri,4),LEN(VLOOKUP($B93,kilpailukalenteri,4))-2)&amp;", Kultainen GP",VLOOKUP($B93,kilpailukalenteri,4)),IF($C93=0,"Sija",IF($C93&gt;Data!$CP$2,"",ROUND(Tulokset!$D93,0)))))</f>
        <v>5</v>
      </c>
      <c r="F93" s="78" t="str">
        <f ca="1">IF($B93&gt;keilatut,"",IF($C93=(-1),"",IF($C93=0,"Nimi",IF($C93&gt;Data!$CP$2,"",OFFSET(tulossiirtymä,MATCH($D93,Data!$AN$2:$AN$313,0),Tulokset!F$2)))))</f>
        <v>Olli Kajava</v>
      </c>
      <c r="G93" s="78">
        <f ca="1">IF($B93&gt;keilatut,"",IF($C93=(-1),"",IF($C93=0,"Sarja 1",IF($C93&gt;Data!$CP$2,"",OFFSET(tulossiirtymä,MATCH($D93,Data!$AN$2:$AN$313,0),Tulokset!G$2)))))</f>
        <v>160</v>
      </c>
      <c r="H93" s="78">
        <f ca="1">IF($B93&gt;keilatut,"",IF($C93=(-1),"",IF($C93=0,"Sarja 2",IF($C93&gt;Data!$CP$2,"",OFFSET(tulossiirtymä,MATCH($D93,Data!$AN$2:$AN$313,0),Tulokset!H$2)))))</f>
        <v>124</v>
      </c>
      <c r="I93" s="78">
        <f ca="1">IF($B93&gt;keilatut,"",IF($C93=(-1),"",IF($C93=0,"Yhteensä",IF($C93&gt;Data!$CP$2,"",OFFSET(tulossiirtymä,MATCH($D93,Data!$AN$2:$AN$313,0),Tulokset!I$2)))))</f>
        <v>284</v>
      </c>
      <c r="J93" s="78">
        <f ca="1">IF($B93&gt;keilatut,"",IF($C93=(-1),"",IF($C93=0,"Ero voittajaan",IF($C93&gt;Data!$CP$2,"",OFFSET(tulossiirtymä,MATCH($D93,Data!$AN$2:$AN$313,0),Tulokset!J$2)))))</f>
        <v>102</v>
      </c>
      <c r="K93" s="78">
        <f ca="1">IF($B93&gt;keilatut,"",IF($C93=(-1),"",IF($C93=0,"Pisteet",IF($C93&gt;Data!$CP$2,"",OFFSET(tulossiirtymä,MATCH($D93,Data!$AN$2:$AN$313,0),Tulokset!K$2)))))</f>
        <v>6</v>
      </c>
      <c r="L93" s="78">
        <f ca="1">IF($B93&gt;keilatut,"",IF($C93=(-1),"",IF($C93=0,"Pisteet yhteensä",IF($C93&gt;Data!$CP$2,"",OFFSET(tulossiirtymä,MATCH($D93,Data!$AN$2:$AN$313,0),Tulokset!L$2)))))</f>
        <v>7</v>
      </c>
      <c r="M93" s="78" t="str">
        <f ca="1">IF($B93&gt;keilatut,"",IF($C93=(-1),"",IF($C93=0,"Pisteseloste",IF($C93&gt;Data!$CP$2,"",OFFSET(tulossiirtymä,MATCH($D93,Data!$AN$2:$AN$313,0),Tulokset!M$2)))))</f>
        <v>+SP</v>
      </c>
    </row>
    <row r="94" spans="2:13" x14ac:dyDescent="0.25">
      <c r="B94" s="78">
        <f t="shared" si="1"/>
        <v>4</v>
      </c>
      <c r="C94" s="78">
        <f>COUNTIF($B$6:B94,B94)-2</f>
        <v>6</v>
      </c>
      <c r="D94" s="79">
        <f t="array" ref="D94">IF($B94&lt;=keilatut,IF($C94&lt;1,"",IF($C94&gt;Data!$CP$2,"",SMALL(IF(Data!$B$2:$B$313=Tulokset!$B94,Data!$AN$2:$AN$313),Tulokset!$C94))),"")</f>
        <v>6.0000650000000002</v>
      </c>
      <c r="E94" s="78">
        <f>IF($B94&gt;keilatut,"",IF($C94=(-1),"GP"&amp;$B94&amp;", "&amp;DAY(VLOOKUP($B94,kilpailukalenteri,2))&amp;"."&amp;MONTH(VLOOKUP($B94,kilpailukalenteri,2))&amp;"."&amp;YEAR(VLOOKUP($B94,kilpailukalenteri,2))&amp;", "&amp;IF(RIGHT(VLOOKUP($B94,kilpailukalenteri,4),1)="*",LEFT(VLOOKUP($B94,kilpailukalenteri,4),LEN(VLOOKUP($B94,kilpailukalenteri,4))-2)&amp;", Kultainen GP",VLOOKUP($B94,kilpailukalenteri,4)),IF($C94=0,"Sija",IF($C94&gt;Data!$CP$2,"",ROUND(Tulokset!$D94,0)))))</f>
        <v>6</v>
      </c>
      <c r="F94" s="78" t="str">
        <f ca="1">IF($B94&gt;keilatut,"",IF($C94=(-1),"",IF($C94=0,"Nimi",IF($C94&gt;Data!$CP$2,"",OFFSET(tulossiirtymä,MATCH($D94,Data!$AN$2:$AN$313,0),Tulokset!F$2)))))</f>
        <v>Miika Nordblad</v>
      </c>
      <c r="G94" s="78">
        <f ca="1">IF($B94&gt;keilatut,"",IF($C94=(-1),"",IF($C94=0,"Sarja 1",IF($C94&gt;Data!$CP$2,"",OFFSET(tulossiirtymä,MATCH($D94,Data!$AN$2:$AN$313,0),Tulokset!G$2)))))</f>
        <v>158</v>
      </c>
      <c r="H94" s="78">
        <f ca="1">IF($B94&gt;keilatut,"",IF($C94=(-1),"",IF($C94=0,"Sarja 2",IF($C94&gt;Data!$CP$2,"",OFFSET(tulossiirtymä,MATCH($D94,Data!$AN$2:$AN$313,0),Tulokset!H$2)))))</f>
        <v>123</v>
      </c>
      <c r="I94" s="78">
        <f ca="1">IF($B94&gt;keilatut,"",IF($C94=(-1),"",IF($C94=0,"Yhteensä",IF($C94&gt;Data!$CP$2,"",OFFSET(tulossiirtymä,MATCH($D94,Data!$AN$2:$AN$313,0),Tulokset!I$2)))))</f>
        <v>281</v>
      </c>
      <c r="J94" s="78">
        <f ca="1">IF($B94&gt;keilatut,"",IF($C94=(-1),"",IF($C94=0,"Ero voittajaan",IF($C94&gt;Data!$CP$2,"",OFFSET(tulossiirtymä,MATCH($D94,Data!$AN$2:$AN$313,0),Tulokset!J$2)))))</f>
        <v>105</v>
      </c>
      <c r="K94" s="78">
        <f ca="1">IF($B94&gt;keilatut,"",IF($C94=(-1),"",IF($C94=0,"Pisteet",IF($C94&gt;Data!$CP$2,"",OFFSET(tulossiirtymä,MATCH($D94,Data!$AN$2:$AN$313,0),Tulokset!K$2)))))</f>
        <v>6</v>
      </c>
      <c r="L94" s="78">
        <f ca="1">IF($B94&gt;keilatut,"",IF($C94=(-1),"",IF($C94=0,"Pisteet yhteensä",IF($C94&gt;Data!$CP$2,"",OFFSET(tulossiirtymä,MATCH($D94,Data!$AN$2:$AN$313,0),Tulokset!L$2)))))</f>
        <v>27</v>
      </c>
      <c r="M94" s="78" t="str">
        <f ca="1">IF($B94&gt;keilatut,"",IF($C94=(-1),"",IF($C94=0,"Pisteseloste",IF($C94&gt;Data!$CP$2,"",OFFSET(tulossiirtymä,MATCH($D94,Data!$AN$2:$AN$313,0),Tulokset!M$2)))))</f>
        <v>+SP+KK</v>
      </c>
    </row>
    <row r="95" spans="2:13" x14ac:dyDescent="0.25">
      <c r="B95" s="78">
        <f t="shared" si="1"/>
        <v>4</v>
      </c>
      <c r="C95" s="78">
        <f>COUNTIF($B$6:B95,B95)-2</f>
        <v>7</v>
      </c>
      <c r="D95" s="79">
        <f t="array" ref="D95">IF($B95&lt;=keilatut,IF($C95&lt;1,"",IF($C95&gt;Data!$CP$2,"",SMALL(IF(Data!$B$2:$B$313=Tulokset!$B95,Data!$AN$2:$AN$313),Tulokset!$C95))),"")</f>
        <v>7.0000629999999999</v>
      </c>
      <c r="E95" s="78">
        <f>IF($B95&gt;keilatut,"",IF($C95=(-1),"GP"&amp;$B95&amp;", "&amp;DAY(VLOOKUP($B95,kilpailukalenteri,2))&amp;"."&amp;MONTH(VLOOKUP($B95,kilpailukalenteri,2))&amp;"."&amp;YEAR(VLOOKUP($B95,kilpailukalenteri,2))&amp;", "&amp;IF(RIGHT(VLOOKUP($B95,kilpailukalenteri,4),1)="*",LEFT(VLOOKUP($B95,kilpailukalenteri,4),LEN(VLOOKUP($B95,kilpailukalenteri,4))-2)&amp;", Kultainen GP",VLOOKUP($B95,kilpailukalenteri,4)),IF($C95=0,"Sija",IF($C95&gt;Data!$CP$2,"",ROUND(Tulokset!$D95,0)))))</f>
        <v>7</v>
      </c>
      <c r="F95" s="78" t="str">
        <f ca="1">IF($B95&gt;keilatut,"",IF($C95=(-1),"",IF($C95=0,"Nimi",IF($C95&gt;Data!$CP$2,"",OFFSET(tulossiirtymä,MATCH($D95,Data!$AN$2:$AN$313,0),Tulokset!F$2)))))</f>
        <v>Kaleva Latvala</v>
      </c>
      <c r="G95" s="78">
        <f ca="1">IF($B95&gt;keilatut,"",IF($C95=(-1),"",IF($C95=0,"Sarja 1",IF($C95&gt;Data!$CP$2,"",OFFSET(tulossiirtymä,MATCH($D95,Data!$AN$2:$AN$313,0),Tulokset!G$2)))))</f>
        <v>164</v>
      </c>
      <c r="H95" s="78">
        <f ca="1">IF($B95&gt;keilatut,"",IF($C95=(-1),"",IF($C95=0,"Sarja 2",IF($C95&gt;Data!$CP$2,"",OFFSET(tulossiirtymä,MATCH($D95,Data!$AN$2:$AN$313,0),Tulokset!H$2)))))</f>
        <v>115</v>
      </c>
      <c r="I95" s="78">
        <f ca="1">IF($B95&gt;keilatut,"",IF($C95=(-1),"",IF($C95=0,"Yhteensä",IF($C95&gt;Data!$CP$2,"",OFFSET(tulossiirtymä,MATCH($D95,Data!$AN$2:$AN$313,0),Tulokset!I$2)))))</f>
        <v>279</v>
      </c>
      <c r="J95" s="78">
        <f ca="1">IF($B95&gt;keilatut,"",IF($C95=(-1),"",IF($C95=0,"Ero voittajaan",IF($C95&gt;Data!$CP$2,"",OFFSET(tulossiirtymä,MATCH($D95,Data!$AN$2:$AN$313,0),Tulokset!J$2)))))</f>
        <v>107</v>
      </c>
      <c r="K95" s="78">
        <f ca="1">IF($B95&gt;keilatut,"",IF($C95=(-1),"",IF($C95=0,"Pisteet",IF($C95&gt;Data!$CP$2,"",OFFSET(tulossiirtymä,MATCH($D95,Data!$AN$2:$AN$313,0),Tulokset!K$2)))))</f>
        <v>4</v>
      </c>
      <c r="L95" s="78">
        <f ca="1">IF($B95&gt;keilatut,"",IF($C95=(-1),"",IF($C95=0,"Pisteet yhteensä",IF($C95&gt;Data!$CP$2,"",OFFSET(tulossiirtymä,MATCH($D95,Data!$AN$2:$AN$313,0),Tulokset!L$2)))))</f>
        <v>21</v>
      </c>
      <c r="M95" s="78" t="str">
        <f ca="1">IF($B95&gt;keilatut,"",IF($C95=(-1),"",IF($C95=0,"Pisteseloste",IF($C95&gt;Data!$CP$2,"",OFFSET(tulossiirtymä,MATCH($D95,Data!$AN$2:$AN$313,0),Tulokset!M$2)))))</f>
        <v>+SP</v>
      </c>
    </row>
    <row r="96" spans="2:13" x14ac:dyDescent="0.25">
      <c r="B96" s="78">
        <f t="shared" si="1"/>
        <v>4</v>
      </c>
      <c r="C96" s="78">
        <f>COUNTIF($B$6:B96,B96)-2</f>
        <v>8</v>
      </c>
      <c r="D96" s="79">
        <f t="array" ref="D96">IF($B96&lt;=keilatut,IF($C96&lt;1,"",IF($C96&gt;Data!$CP$2,"",SMALL(IF(Data!$B$2:$B$313=Tulokset!$B96,Data!$AN$2:$AN$313),Tulokset!$C96))),"")</f>
        <v>8.0000590000000003</v>
      </c>
      <c r="E96" s="78">
        <f>IF($B96&gt;keilatut,"",IF($C96=(-1),"GP"&amp;$B96&amp;", "&amp;DAY(VLOOKUP($B96,kilpailukalenteri,2))&amp;"."&amp;MONTH(VLOOKUP($B96,kilpailukalenteri,2))&amp;"."&amp;YEAR(VLOOKUP($B96,kilpailukalenteri,2))&amp;", "&amp;IF(RIGHT(VLOOKUP($B96,kilpailukalenteri,4),1)="*",LEFT(VLOOKUP($B96,kilpailukalenteri,4),LEN(VLOOKUP($B96,kilpailukalenteri,4))-2)&amp;", Kultainen GP",VLOOKUP($B96,kilpailukalenteri,4)),IF($C96=0,"Sija",IF($C96&gt;Data!$CP$2,"",ROUND(Tulokset!$D96,0)))))</f>
        <v>8</v>
      </c>
      <c r="F96" s="78" t="str">
        <f ca="1">IF($B96&gt;keilatut,"",IF($C96=(-1),"",IF($C96=0,"Nimi",IF($C96&gt;Data!$CP$2,"",OFFSET(tulossiirtymä,MATCH($D96,Data!$AN$2:$AN$313,0),Tulokset!F$2)))))</f>
        <v>Iiro Riikonen</v>
      </c>
      <c r="G96" s="78">
        <f ca="1">IF($B96&gt;keilatut,"",IF($C96=(-1),"",IF($C96=0,"Sarja 1",IF($C96&gt;Data!$CP$2,"",OFFSET(tulossiirtymä,MATCH($D96,Data!$AN$2:$AN$313,0),Tulokset!G$2)))))</f>
        <v>148</v>
      </c>
      <c r="H96" s="78">
        <f ca="1">IF($B96&gt;keilatut,"",IF($C96=(-1),"",IF($C96=0,"Sarja 2",IF($C96&gt;Data!$CP$2,"",OFFSET(tulossiirtymä,MATCH($D96,Data!$AN$2:$AN$313,0),Tulokset!H$2)))))</f>
        <v>127</v>
      </c>
      <c r="I96" s="78">
        <f ca="1">IF($B96&gt;keilatut,"",IF($C96=(-1),"",IF($C96=0,"Yhteensä",IF($C96&gt;Data!$CP$2,"",OFFSET(tulossiirtymä,MATCH($D96,Data!$AN$2:$AN$313,0),Tulokset!I$2)))))</f>
        <v>275</v>
      </c>
      <c r="J96" s="78">
        <f ca="1">IF($B96&gt;keilatut,"",IF($C96=(-1),"",IF($C96=0,"Ero voittajaan",IF($C96&gt;Data!$CP$2,"",OFFSET(tulossiirtymä,MATCH($D96,Data!$AN$2:$AN$313,0),Tulokset!J$2)))))</f>
        <v>111</v>
      </c>
      <c r="K96" s="78">
        <f ca="1">IF($B96&gt;keilatut,"",IF($C96=(-1),"",IF($C96=0,"Pisteet",IF($C96&gt;Data!$CP$2,"",OFFSET(tulossiirtymä,MATCH($D96,Data!$AN$2:$AN$313,0),Tulokset!K$2)))))</f>
        <v>3</v>
      </c>
      <c r="L96" s="78">
        <f ca="1">IF($B96&gt;keilatut,"",IF($C96=(-1),"",IF($C96=0,"Pisteet yhteensä",IF($C96&gt;Data!$CP$2,"",OFFSET(tulossiirtymä,MATCH($D96,Data!$AN$2:$AN$313,0),Tulokset!L$2)))))</f>
        <v>6</v>
      </c>
      <c r="M96" s="78" t="str">
        <f ca="1">IF($B96&gt;keilatut,"",IF($C96=(-1),"",IF($C96=0,"Pisteseloste",IF($C96&gt;Data!$CP$2,"",OFFSET(tulossiirtymä,MATCH($D96,Data!$AN$2:$AN$313,0),Tulokset!M$2)))))</f>
        <v>+SP</v>
      </c>
    </row>
    <row r="97" spans="2:13" x14ac:dyDescent="0.25">
      <c r="B97" s="78">
        <f t="shared" si="1"/>
        <v>4</v>
      </c>
      <c r="C97" s="78">
        <f>COUNTIF($B$6:B97,B97)-2</f>
        <v>9</v>
      </c>
      <c r="D97" s="79">
        <f t="array" ref="D97">IF($B97&lt;=keilatut,IF($C97&lt;1,"",IF($C97&gt;Data!$CP$2,"",SMALL(IF(Data!$B$2:$B$313=Tulokset!$B97,Data!$AN$2:$AN$313),Tulokset!$C97))),"")</f>
        <v>9.000057</v>
      </c>
      <c r="E97" s="78">
        <f>IF($B97&gt;keilatut,"",IF($C97=(-1),"GP"&amp;$B97&amp;", "&amp;DAY(VLOOKUP($B97,kilpailukalenteri,2))&amp;"."&amp;MONTH(VLOOKUP($B97,kilpailukalenteri,2))&amp;"."&amp;YEAR(VLOOKUP($B97,kilpailukalenteri,2))&amp;", "&amp;IF(RIGHT(VLOOKUP($B97,kilpailukalenteri,4),1)="*",LEFT(VLOOKUP($B97,kilpailukalenteri,4),LEN(VLOOKUP($B97,kilpailukalenteri,4))-2)&amp;", Kultainen GP",VLOOKUP($B97,kilpailukalenteri,4)),IF($C97=0,"Sija",IF($C97&gt;Data!$CP$2,"",ROUND(Tulokset!$D97,0)))))</f>
        <v>9</v>
      </c>
      <c r="F97" s="78" t="str">
        <f ca="1">IF($B97&gt;keilatut,"",IF($C97=(-1),"",IF($C97=0,"Nimi",IF($C97&gt;Data!$CP$2,"",OFFSET(tulossiirtymä,MATCH($D97,Data!$AN$2:$AN$313,0),Tulokset!F$2)))))</f>
        <v>Miikka Korventausta</v>
      </c>
      <c r="G97" s="78">
        <f ca="1">IF($B97&gt;keilatut,"",IF($C97=(-1),"",IF($C97=0,"Sarja 1",IF($C97&gt;Data!$CP$2,"",OFFSET(tulossiirtymä,MATCH($D97,Data!$AN$2:$AN$313,0),Tulokset!G$2)))))</f>
        <v>144</v>
      </c>
      <c r="H97" s="78">
        <f ca="1">IF($B97&gt;keilatut,"",IF($C97=(-1),"",IF($C97=0,"Sarja 2",IF($C97&gt;Data!$CP$2,"",OFFSET(tulossiirtymä,MATCH($D97,Data!$AN$2:$AN$313,0),Tulokset!H$2)))))</f>
        <v>122</v>
      </c>
      <c r="I97" s="78">
        <f ca="1">IF($B97&gt;keilatut,"",IF($C97=(-1),"",IF($C97=0,"Yhteensä",IF($C97&gt;Data!$CP$2,"",OFFSET(tulossiirtymä,MATCH($D97,Data!$AN$2:$AN$313,0),Tulokset!I$2)))))</f>
        <v>266</v>
      </c>
      <c r="J97" s="78">
        <f ca="1">IF($B97&gt;keilatut,"",IF($C97=(-1),"",IF($C97=0,"Ero voittajaan",IF($C97&gt;Data!$CP$2,"",OFFSET(tulossiirtymä,MATCH($D97,Data!$AN$2:$AN$313,0),Tulokset!J$2)))))</f>
        <v>120</v>
      </c>
      <c r="K97" s="78">
        <f ca="1">IF($B97&gt;keilatut,"",IF($C97=(-1),"",IF($C97=0,"Pisteet",IF($C97&gt;Data!$CP$2,"",OFFSET(tulossiirtymä,MATCH($D97,Data!$AN$2:$AN$313,0),Tulokset!K$2)))))</f>
        <v>2</v>
      </c>
      <c r="L97" s="78">
        <f ca="1">IF($B97&gt;keilatut,"",IF($C97=(-1),"",IF($C97=0,"Pisteet yhteensä",IF($C97&gt;Data!$CP$2,"",OFFSET(tulossiirtymä,MATCH($D97,Data!$AN$2:$AN$313,0),Tulokset!L$2)))))</f>
        <v>7</v>
      </c>
      <c r="M97" s="78" t="str">
        <f ca="1">IF($B97&gt;keilatut,"",IF($C97=(-1),"",IF($C97=0,"Pisteseloste",IF($C97&gt;Data!$CP$2,"",OFFSET(tulossiirtymä,MATCH($D97,Data!$AN$2:$AN$313,0),Tulokset!M$2)))))</f>
        <v>+SP</v>
      </c>
    </row>
    <row r="98" spans="2:13" x14ac:dyDescent="0.25">
      <c r="B98" s="78">
        <f t="shared" si="1"/>
        <v>4</v>
      </c>
      <c r="C98" s="78">
        <f>COUNTIF($B$6:B98,B98)-2</f>
        <v>10</v>
      </c>
      <c r="D98" s="79">
        <f t="array" ref="D98">IF($B98&lt;=keilatut,IF($C98&lt;1,"",IF($C98&gt;Data!$CP$2,"",SMALL(IF(Data!$B$2:$B$313=Tulokset!$B98,Data!$AN$2:$AN$313),Tulokset!$C98))),"")</f>
        <v>10.000068000000001</v>
      </c>
      <c r="E98" s="78">
        <f>IF($B98&gt;keilatut,"",IF($C98=(-1),"GP"&amp;$B98&amp;", "&amp;DAY(VLOOKUP($B98,kilpailukalenteri,2))&amp;"."&amp;MONTH(VLOOKUP($B98,kilpailukalenteri,2))&amp;"."&amp;YEAR(VLOOKUP($B98,kilpailukalenteri,2))&amp;", "&amp;IF(RIGHT(VLOOKUP($B98,kilpailukalenteri,4),1)="*",LEFT(VLOOKUP($B98,kilpailukalenteri,4),LEN(VLOOKUP($B98,kilpailukalenteri,4))-2)&amp;", Kultainen GP",VLOOKUP($B98,kilpailukalenteri,4)),IF($C98=0,"Sija",IF($C98&gt;Data!$CP$2,"",ROUND(Tulokset!$D98,0)))))</f>
        <v>10</v>
      </c>
      <c r="F98" s="78" t="str">
        <f ca="1">IF($B98&gt;keilatut,"",IF($C98=(-1),"",IF($C98=0,"Nimi",IF($C98&gt;Data!$CP$2,"",OFFSET(tulossiirtymä,MATCH($D98,Data!$AN$2:$AN$313,0),Tulokset!F$2)))))</f>
        <v>Mika Sola</v>
      </c>
      <c r="G98" s="78">
        <f ca="1">IF($B98&gt;keilatut,"",IF($C98=(-1),"",IF($C98=0,"Sarja 1",IF($C98&gt;Data!$CP$2,"",OFFSET(tulossiirtymä,MATCH($D98,Data!$AN$2:$AN$313,0),Tulokset!G$2)))))</f>
        <v>118</v>
      </c>
      <c r="H98" s="78">
        <f ca="1">IF($B98&gt;keilatut,"",IF($C98=(-1),"",IF($C98=0,"Sarja 2",IF($C98&gt;Data!$CP$2,"",OFFSET(tulossiirtymä,MATCH($D98,Data!$AN$2:$AN$313,0),Tulokset!H$2)))))</f>
        <v>127</v>
      </c>
      <c r="I98" s="78">
        <f ca="1">IF($B98&gt;keilatut,"",IF($C98=(-1),"",IF($C98=0,"Yhteensä",IF($C98&gt;Data!$CP$2,"",OFFSET(tulossiirtymä,MATCH($D98,Data!$AN$2:$AN$313,0),Tulokset!I$2)))))</f>
        <v>245</v>
      </c>
      <c r="J98" s="78">
        <f ca="1">IF($B98&gt;keilatut,"",IF($C98=(-1),"",IF($C98=0,"Ero voittajaan",IF($C98&gt;Data!$CP$2,"",OFFSET(tulossiirtymä,MATCH($D98,Data!$AN$2:$AN$313,0),Tulokset!J$2)))))</f>
        <v>141</v>
      </c>
      <c r="K98" s="78">
        <f ca="1">IF($B98&gt;keilatut,"",IF($C98=(-1),"",IF($C98=0,"Pisteet",IF($C98&gt;Data!$CP$2,"",OFFSET(tulossiirtymä,MATCH($D98,Data!$AN$2:$AN$313,0),Tulokset!K$2)))))</f>
        <v>1</v>
      </c>
      <c r="L98" s="78">
        <f ca="1">IF($B98&gt;keilatut,"",IF($C98=(-1),"",IF($C98=0,"Pisteet yhteensä",IF($C98&gt;Data!$CP$2,"",OFFSET(tulossiirtymä,MATCH($D98,Data!$AN$2:$AN$313,0),Tulokset!L$2)))))</f>
        <v>19</v>
      </c>
      <c r="M98" s="78" t="str">
        <f ca="1">IF($B98&gt;keilatut,"",IF($C98=(-1),"",IF($C98=0,"Pisteseloste",IF($C98&gt;Data!$CP$2,"",OFFSET(tulossiirtymä,MATCH($D98,Data!$AN$2:$AN$313,0),Tulokset!M$2)))))</f>
        <v>+SP</v>
      </c>
    </row>
    <row r="99" spans="2:13" x14ac:dyDescent="0.25">
      <c r="B99" s="78">
        <f t="shared" si="1"/>
        <v>4</v>
      </c>
      <c r="C99" s="78">
        <f>COUNTIF($B$6:B99,B99)-2</f>
        <v>11</v>
      </c>
      <c r="D99" s="79">
        <f t="array" ref="D99">IF($B99&lt;=keilatut,IF($C99&lt;1,"",IF($C99&gt;Data!$CP$2,"",SMALL(IF(Data!$B$2:$B$313=Tulokset!$B99,Data!$AN$2:$AN$313),Tulokset!$C99))),"")</f>
        <v>11.00006</v>
      </c>
      <c r="E99" s="78">
        <f>IF($B99&gt;keilatut,"",IF($C99=(-1),"GP"&amp;$B99&amp;", "&amp;DAY(VLOOKUP($B99,kilpailukalenteri,2))&amp;"."&amp;MONTH(VLOOKUP($B99,kilpailukalenteri,2))&amp;"."&amp;YEAR(VLOOKUP($B99,kilpailukalenteri,2))&amp;", "&amp;IF(RIGHT(VLOOKUP($B99,kilpailukalenteri,4),1)="*",LEFT(VLOOKUP($B99,kilpailukalenteri,4),LEN(VLOOKUP($B99,kilpailukalenteri,4))-2)&amp;", Kultainen GP",VLOOKUP($B99,kilpailukalenteri,4)),IF($C99=0,"Sija",IF($C99&gt;Data!$CP$2,"",ROUND(Tulokset!$D99,0)))))</f>
        <v>11</v>
      </c>
      <c r="F99" s="78" t="str">
        <f ca="1">IF($B99&gt;keilatut,"",IF($C99=(-1),"",IF($C99=0,"Nimi",IF($C99&gt;Data!$CP$2,"",OFFSET(tulossiirtymä,MATCH($D99,Data!$AN$2:$AN$313,0),Tulokset!F$2)))))</f>
        <v>Juho Korpi</v>
      </c>
      <c r="G99" s="78">
        <f ca="1">IF($B99&gt;keilatut,"",IF($C99=(-1),"",IF($C99=0,"Sarja 1",IF($C99&gt;Data!$CP$2,"",OFFSET(tulossiirtymä,MATCH($D99,Data!$AN$2:$AN$313,0),Tulokset!G$2)))))</f>
        <v>109</v>
      </c>
      <c r="H99" s="78">
        <f ca="1">IF($B99&gt;keilatut,"",IF($C99=(-1),"",IF($C99=0,"Sarja 2",IF($C99&gt;Data!$CP$2,"",OFFSET(tulossiirtymä,MATCH($D99,Data!$AN$2:$AN$313,0),Tulokset!H$2)))))</f>
        <v>120</v>
      </c>
      <c r="I99" s="78">
        <f ca="1">IF($B99&gt;keilatut,"",IF($C99=(-1),"",IF($C99=0,"Yhteensä",IF($C99&gt;Data!$CP$2,"",OFFSET(tulossiirtymä,MATCH($D99,Data!$AN$2:$AN$313,0),Tulokset!I$2)))))</f>
        <v>229</v>
      </c>
      <c r="J99" s="78">
        <f ca="1">IF($B99&gt;keilatut,"",IF($C99=(-1),"",IF($C99=0,"Ero voittajaan",IF($C99&gt;Data!$CP$2,"",OFFSET(tulossiirtymä,MATCH($D99,Data!$AN$2:$AN$313,0),Tulokset!J$2)))))</f>
        <v>157</v>
      </c>
      <c r="K99" s="78">
        <f ca="1">IF($B99&gt;keilatut,"",IF($C99=(-1),"",IF($C99=0,"Pisteet",IF($C99&gt;Data!$CP$2,"",OFFSET(tulossiirtymä,MATCH($D99,Data!$AN$2:$AN$313,0),Tulokset!K$2)))))</f>
        <v>0</v>
      </c>
      <c r="L99" s="78">
        <f ca="1">IF($B99&gt;keilatut,"",IF($C99=(-1),"",IF($C99=0,"Pisteet yhteensä",IF($C99&gt;Data!$CP$2,"",OFFSET(tulossiirtymä,MATCH($D99,Data!$AN$2:$AN$313,0),Tulokset!L$2)))))</f>
        <v>4</v>
      </c>
      <c r="M99" s="78" t="str">
        <f ca="1">IF($B99&gt;keilatut,"",IF($C99=(-1),"",IF($C99=0,"Pisteseloste",IF($C99&gt;Data!$CP$2,"",OFFSET(tulossiirtymä,MATCH($D99,Data!$AN$2:$AN$313,0),Tulokset!M$2)))))</f>
        <v/>
      </c>
    </row>
    <row r="100" spans="2:13" x14ac:dyDescent="0.25">
      <c r="B100" s="78">
        <f t="shared" si="1"/>
        <v>4</v>
      </c>
      <c r="C100" s="78">
        <f>COUNTIF($B$6:B100,B100)-2</f>
        <v>12</v>
      </c>
      <c r="D100" s="79">
        <f t="array" ref="D100">IF($B100&lt;=keilatut,IF($C100&lt;1,"",IF($C100&gt;Data!$CP$2,"",SMALL(IF(Data!$B$2:$B$313=Tulokset!$B100,Data!$AN$2:$AN$313),Tulokset!$C100))),"")</f>
        <v>12.000056000000001</v>
      </c>
      <c r="E100" s="78">
        <f>IF($B100&gt;keilatut,"",IF($C100=(-1),"GP"&amp;$B100&amp;", "&amp;DAY(VLOOKUP($B100,kilpailukalenteri,2))&amp;"."&amp;MONTH(VLOOKUP($B100,kilpailukalenteri,2))&amp;"."&amp;YEAR(VLOOKUP($B100,kilpailukalenteri,2))&amp;", "&amp;IF(RIGHT(VLOOKUP($B100,kilpailukalenteri,4),1)="*",LEFT(VLOOKUP($B100,kilpailukalenteri,4),LEN(VLOOKUP($B100,kilpailukalenteri,4))-2)&amp;", Kultainen GP",VLOOKUP($B100,kilpailukalenteri,4)),IF($C100=0,"Sija",IF($C100&gt;Data!$CP$2,"",ROUND(Tulokset!$D100,0)))))</f>
        <v>12</v>
      </c>
      <c r="F100" s="78" t="str">
        <f ca="1">IF($B100&gt;keilatut,"",IF($C100=(-1),"",IF($C100=0,"Nimi",IF($C100&gt;Data!$CP$2,"",OFFSET(tulossiirtymä,MATCH($D100,Data!$AN$2:$AN$313,0),Tulokset!F$2)))))</f>
        <v>Roope Warro</v>
      </c>
      <c r="G100" s="78">
        <f ca="1">IF($B100&gt;keilatut,"",IF($C100=(-1),"",IF($C100=0,"Sarja 1",IF($C100&gt;Data!$CP$2,"",OFFSET(tulossiirtymä,MATCH($D100,Data!$AN$2:$AN$313,0),Tulokset!G$2)))))</f>
        <v>102</v>
      </c>
      <c r="H100" s="78">
        <f ca="1">IF($B100&gt;keilatut,"",IF($C100=(-1),"",IF($C100=0,"Sarja 2",IF($C100&gt;Data!$CP$2,"",OFFSET(tulossiirtymä,MATCH($D100,Data!$AN$2:$AN$313,0),Tulokset!H$2)))))</f>
        <v>122</v>
      </c>
      <c r="I100" s="78">
        <f ca="1">IF($B100&gt;keilatut,"",IF($C100=(-1),"",IF($C100=0,"Yhteensä",IF($C100&gt;Data!$CP$2,"",OFFSET(tulossiirtymä,MATCH($D100,Data!$AN$2:$AN$313,0),Tulokset!I$2)))))</f>
        <v>224</v>
      </c>
      <c r="J100" s="78">
        <f ca="1">IF($B100&gt;keilatut,"",IF($C100=(-1),"",IF($C100=0,"Ero voittajaan",IF($C100&gt;Data!$CP$2,"",OFFSET(tulossiirtymä,MATCH($D100,Data!$AN$2:$AN$313,0),Tulokset!J$2)))))</f>
        <v>162</v>
      </c>
      <c r="K100" s="78">
        <f ca="1">IF($B100&gt;keilatut,"",IF($C100=(-1),"",IF($C100=0,"Pisteet",IF($C100&gt;Data!$CP$2,"",OFFSET(tulossiirtymä,MATCH($D100,Data!$AN$2:$AN$313,0),Tulokset!K$2)))))</f>
        <v>0</v>
      </c>
      <c r="L100" s="78">
        <f ca="1">IF($B100&gt;keilatut,"",IF($C100=(-1),"",IF($C100=0,"Pisteet yhteensä",IF($C100&gt;Data!$CP$2,"",OFFSET(tulossiirtymä,MATCH($D100,Data!$AN$2:$AN$313,0),Tulokset!L$2)))))</f>
        <v>4</v>
      </c>
      <c r="M100" s="78" t="str">
        <f ca="1">IF($B100&gt;keilatut,"",IF($C100=(-1),"",IF($C100=0,"Pisteseloste",IF($C100&gt;Data!$CP$2,"",OFFSET(tulossiirtymä,MATCH($D100,Data!$AN$2:$AN$313,0),Tulokset!M$2)))))</f>
        <v/>
      </c>
    </row>
    <row r="101" spans="2:13" x14ac:dyDescent="0.25">
      <c r="B101" s="78">
        <f t="shared" si="1"/>
        <v>4</v>
      </c>
      <c r="C101" s="78">
        <f>COUNTIF($B$6:B101,B101)-2</f>
        <v>13</v>
      </c>
      <c r="D101" s="79">
        <f t="array" ref="D101">IF($B101&lt;=keilatut,IF($C101&lt;1,"",IF($C101&gt;Data!$CP$2,"",SMALL(IF(Data!$B$2:$B$313=Tulokset!$B101,Data!$AN$2:$AN$313),Tulokset!$C101))),"")</f>
        <v>13.000057999999999</v>
      </c>
      <c r="E101" s="78">
        <f>IF($B101&gt;keilatut,"",IF($C101=(-1),"GP"&amp;$B101&amp;", "&amp;DAY(VLOOKUP($B101,kilpailukalenteri,2))&amp;"."&amp;MONTH(VLOOKUP($B101,kilpailukalenteri,2))&amp;"."&amp;YEAR(VLOOKUP($B101,kilpailukalenteri,2))&amp;", "&amp;IF(RIGHT(VLOOKUP($B101,kilpailukalenteri,4),1)="*",LEFT(VLOOKUP($B101,kilpailukalenteri,4),LEN(VLOOKUP($B101,kilpailukalenteri,4))-2)&amp;", Kultainen GP",VLOOKUP($B101,kilpailukalenteri,4)),IF($C101=0,"Sija",IF($C101&gt;Data!$CP$2,"",ROUND(Tulokset!$D101,0)))))</f>
        <v>13</v>
      </c>
      <c r="F101" s="78" t="str">
        <f ca="1">IF($B101&gt;keilatut,"",IF($C101=(-1),"",IF($C101=0,"Nimi",IF($C101&gt;Data!$CP$2,"",OFFSET(tulossiirtymä,MATCH($D101,Data!$AN$2:$AN$313,0),Tulokset!F$2)))))</f>
        <v>Joonas Ollonqvist</v>
      </c>
      <c r="G101" s="78">
        <f ca="1">IF($B101&gt;keilatut,"",IF($C101=(-1),"",IF($C101=0,"Sarja 1",IF($C101&gt;Data!$CP$2,"",OFFSET(tulossiirtymä,MATCH($D101,Data!$AN$2:$AN$313,0),Tulokset!G$2)))))</f>
        <v>95</v>
      </c>
      <c r="H101" s="78">
        <f ca="1">IF($B101&gt;keilatut,"",IF($C101=(-1),"",IF($C101=0,"Sarja 2",IF($C101&gt;Data!$CP$2,"",OFFSET(tulossiirtymä,MATCH($D101,Data!$AN$2:$AN$313,0),Tulokset!H$2)))))</f>
        <v>108</v>
      </c>
      <c r="I101" s="78">
        <f ca="1">IF($B101&gt;keilatut,"",IF($C101=(-1),"",IF($C101=0,"Yhteensä",IF($C101&gt;Data!$CP$2,"",OFFSET(tulossiirtymä,MATCH($D101,Data!$AN$2:$AN$313,0),Tulokset!I$2)))))</f>
        <v>203</v>
      </c>
      <c r="J101" s="78">
        <f ca="1">IF($B101&gt;keilatut,"",IF($C101=(-1),"",IF($C101=0,"Ero voittajaan",IF($C101&gt;Data!$CP$2,"",OFFSET(tulossiirtymä,MATCH($D101,Data!$AN$2:$AN$313,0),Tulokset!J$2)))))</f>
        <v>183</v>
      </c>
      <c r="K101" s="78">
        <f ca="1">IF($B101&gt;keilatut,"",IF($C101=(-1),"",IF($C101=0,"Pisteet",IF($C101&gt;Data!$CP$2,"",OFFSET(tulossiirtymä,MATCH($D101,Data!$AN$2:$AN$313,0),Tulokset!K$2)))))</f>
        <v>0</v>
      </c>
      <c r="L101" s="78">
        <f ca="1">IF($B101&gt;keilatut,"",IF($C101=(-1),"",IF($C101=0,"Pisteet yhteensä",IF($C101&gt;Data!$CP$2,"",OFFSET(tulossiirtymä,MATCH($D101,Data!$AN$2:$AN$313,0),Tulokset!L$2)))))</f>
        <v>0</v>
      </c>
      <c r="M101" s="78" t="str">
        <f ca="1">IF($B101&gt;keilatut,"",IF($C101=(-1),"",IF($C101=0,"Pisteseloste",IF($C101&gt;Data!$CP$2,"",OFFSET(tulossiirtymä,MATCH($D101,Data!$AN$2:$AN$313,0),Tulokset!M$2)))))</f>
        <v/>
      </c>
    </row>
    <row r="102" spans="2:13" x14ac:dyDescent="0.25">
      <c r="B102" s="78">
        <f t="shared" ref="B102:B165" si="2">IF(C101=25,1+B101,B101)</f>
        <v>4</v>
      </c>
      <c r="C102" s="78">
        <f>COUNTIF($B$6:B102,B102)-2</f>
        <v>14</v>
      </c>
      <c r="D102" s="79">
        <f t="array" ref="D102">IF($B102&lt;=keilatut,IF($C102&lt;1,"",IF($C102&gt;Data!$CP$2,"",SMALL(IF(Data!$B$2:$B$313=Tulokset!$B102,Data!$AN$2:$AN$313),Tulokset!$C102))),"")</f>
        <v>14.000066</v>
      </c>
      <c r="E102" s="78">
        <f>IF($B102&gt;keilatut,"",IF($C102=(-1),"GP"&amp;$B102&amp;", "&amp;DAY(VLOOKUP($B102,kilpailukalenteri,2))&amp;"."&amp;MONTH(VLOOKUP($B102,kilpailukalenteri,2))&amp;"."&amp;YEAR(VLOOKUP($B102,kilpailukalenteri,2))&amp;", "&amp;IF(RIGHT(VLOOKUP($B102,kilpailukalenteri,4),1)="*",LEFT(VLOOKUP($B102,kilpailukalenteri,4),LEN(VLOOKUP($B102,kilpailukalenteri,4))-2)&amp;", Kultainen GP",VLOOKUP($B102,kilpailukalenteri,4)),IF($C102=0,"Sija",IF($C102&gt;Data!$CP$2,"",ROUND(Tulokset!$D102,0)))))</f>
        <v>14</v>
      </c>
      <c r="F102" s="78" t="str">
        <f ca="1">IF($B102&gt;keilatut,"",IF($C102=(-1),"",IF($C102=0,"Nimi",IF($C102&gt;Data!$CP$2,"",OFFSET(tulossiirtymä,MATCH($D102,Data!$AN$2:$AN$313,0),Tulokset!F$2)))))</f>
        <v>Mikko Mansikkamäki</v>
      </c>
      <c r="G102" s="78">
        <f ca="1">IF($B102&gt;keilatut,"",IF($C102=(-1),"",IF($C102=0,"Sarja 1",IF($C102&gt;Data!$CP$2,"",OFFSET(tulossiirtymä,MATCH($D102,Data!$AN$2:$AN$313,0),Tulokset!G$2)))))</f>
        <v>76</v>
      </c>
      <c r="H102" s="78">
        <f ca="1">IF($B102&gt;keilatut,"",IF($C102=(-1),"",IF($C102=0,"Sarja 2",IF($C102&gt;Data!$CP$2,"",OFFSET(tulossiirtymä,MATCH($D102,Data!$AN$2:$AN$313,0),Tulokset!H$2)))))</f>
        <v>72</v>
      </c>
      <c r="I102" s="78">
        <f ca="1">IF($B102&gt;keilatut,"",IF($C102=(-1),"",IF($C102=0,"Yhteensä",IF($C102&gt;Data!$CP$2,"",OFFSET(tulossiirtymä,MATCH($D102,Data!$AN$2:$AN$313,0),Tulokset!I$2)))))</f>
        <v>148</v>
      </c>
      <c r="J102" s="78">
        <f ca="1">IF($B102&gt;keilatut,"",IF($C102=(-1),"",IF($C102=0,"Ero voittajaan",IF($C102&gt;Data!$CP$2,"",OFFSET(tulossiirtymä,MATCH($D102,Data!$AN$2:$AN$313,0),Tulokset!J$2)))))</f>
        <v>238</v>
      </c>
      <c r="K102" s="78">
        <f ca="1">IF($B102&gt;keilatut,"",IF($C102=(-1),"",IF($C102=0,"Pisteet",IF($C102&gt;Data!$CP$2,"",OFFSET(tulossiirtymä,MATCH($D102,Data!$AN$2:$AN$313,0),Tulokset!K$2)))))</f>
        <v>0</v>
      </c>
      <c r="L102" s="78">
        <f ca="1">IF($B102&gt;keilatut,"",IF($C102=(-1),"",IF($C102=0,"Pisteet yhteensä",IF($C102&gt;Data!$CP$2,"",OFFSET(tulossiirtymä,MATCH($D102,Data!$AN$2:$AN$313,0),Tulokset!L$2)))))</f>
        <v>0</v>
      </c>
      <c r="M102" s="78" t="str">
        <f ca="1">IF($B102&gt;keilatut,"",IF($C102=(-1),"",IF($C102=0,"Pisteseloste",IF($C102&gt;Data!$CP$2,"",OFFSET(tulossiirtymä,MATCH($D102,Data!$AN$2:$AN$313,0),Tulokset!M$2)))))</f>
        <v/>
      </c>
    </row>
    <row r="103" spans="2:13" x14ac:dyDescent="0.25">
      <c r="B103" s="78">
        <f t="shared" si="2"/>
        <v>4</v>
      </c>
      <c r="C103" s="78">
        <f>COUNTIF($B$6:B103,B103)-2</f>
        <v>15</v>
      </c>
      <c r="D103" s="79">
        <f t="array" ref="D103">IF($B103&lt;=keilatut,IF($C103&lt;1,"",IF($C103&gt;Data!$CP$2,"",SMALL(IF(Data!$B$2:$B$313=Tulokset!$B103,Data!$AN$2:$AN$313),Tulokset!$C103))),"")</f>
        <v>15.000069</v>
      </c>
      <c r="E103" s="78">
        <f>IF($B103&gt;keilatut,"",IF($C103=(-1),"GP"&amp;$B103&amp;", "&amp;DAY(VLOOKUP($B103,kilpailukalenteri,2))&amp;"."&amp;MONTH(VLOOKUP($B103,kilpailukalenteri,2))&amp;"."&amp;YEAR(VLOOKUP($B103,kilpailukalenteri,2))&amp;", "&amp;IF(RIGHT(VLOOKUP($B103,kilpailukalenteri,4),1)="*",LEFT(VLOOKUP($B103,kilpailukalenteri,4),LEN(VLOOKUP($B103,kilpailukalenteri,4))-2)&amp;", Kultainen GP",VLOOKUP($B103,kilpailukalenteri,4)),IF($C103=0,"Sija",IF($C103&gt;Data!$CP$2,"",ROUND(Tulokset!$D103,0)))))</f>
        <v>15</v>
      </c>
      <c r="F103" s="78" t="str">
        <f ca="1">IF($B103&gt;keilatut,"",IF($C103=(-1),"",IF($C103=0,"Nimi",IF($C103&gt;Data!$CP$2,"",OFFSET(tulossiirtymä,MATCH($D103,Data!$AN$2:$AN$313,0),Tulokset!F$2)))))</f>
        <v>Ossi Oksa</v>
      </c>
      <c r="G103" s="78">
        <f ca="1">IF($B103&gt;keilatut,"",IF($C103=(-1),"",IF($C103=0,"Sarja 1",IF($C103&gt;Data!$CP$2,"",OFFSET(tulossiirtymä,MATCH($D103,Data!$AN$2:$AN$313,0),Tulokset!G$2)))))</f>
        <v>0</v>
      </c>
      <c r="H103" s="78">
        <f ca="1">IF($B103&gt;keilatut,"",IF($C103=(-1),"",IF($C103=0,"Sarja 2",IF($C103&gt;Data!$CP$2,"",OFFSET(tulossiirtymä,MATCH($D103,Data!$AN$2:$AN$313,0),Tulokset!H$2)))))</f>
        <v>0</v>
      </c>
      <c r="I103" s="78">
        <f ca="1">IF($B103&gt;keilatut,"",IF($C103=(-1),"",IF($C103=0,"Yhteensä",IF($C103&gt;Data!$CP$2,"",OFFSET(tulossiirtymä,MATCH($D103,Data!$AN$2:$AN$313,0),Tulokset!I$2)))))</f>
        <v>0</v>
      </c>
      <c r="J103" s="78" t="str">
        <f ca="1">IF($B103&gt;keilatut,"",IF($C103=(-1),"",IF($C103=0,"Ero voittajaan",IF($C103&gt;Data!$CP$2,"",OFFSET(tulossiirtymä,MATCH($D103,Data!$AN$2:$AN$313,0),Tulokset!J$2)))))</f>
        <v/>
      </c>
      <c r="K103" s="78">
        <f ca="1">IF($B103&gt;keilatut,"",IF($C103=(-1),"",IF($C103=0,"Pisteet",IF($C103&gt;Data!$CP$2,"",OFFSET(tulossiirtymä,MATCH($D103,Data!$AN$2:$AN$313,0),Tulokset!K$2)))))</f>
        <v>0</v>
      </c>
      <c r="L103" s="78">
        <f ca="1">IF($B103&gt;keilatut,"",IF($C103=(-1),"",IF($C103=0,"Pisteet yhteensä",IF($C103&gt;Data!$CP$2,"",OFFSET(tulossiirtymä,MATCH($D103,Data!$AN$2:$AN$313,0),Tulokset!L$2)))))</f>
        <v>26.5</v>
      </c>
      <c r="M103" s="78" t="str">
        <f ca="1">IF($B103&gt;keilatut,"",IF($C103=(-1),"",IF($C103=0,"Pisteseloste",IF($C103&gt;Data!$CP$2,"",OFFSET(tulossiirtymä,MATCH($D103,Data!$AN$2:$AN$313,0),Tulokset!M$2)))))</f>
        <v/>
      </c>
    </row>
    <row r="104" spans="2:13" x14ac:dyDescent="0.25">
      <c r="B104" s="78">
        <f t="shared" si="2"/>
        <v>4</v>
      </c>
      <c r="C104" s="78">
        <f>COUNTIF($B$6:B104,B104)-2</f>
        <v>16</v>
      </c>
      <c r="D104" s="79">
        <f t="array" ref="D104">IF($B104&lt;=keilatut,IF($C104&lt;1,"",IF($C104&gt;Data!$CP$2,"",SMALL(IF(Data!$B$2:$B$313=Tulokset!$B104,Data!$AN$2:$AN$313),Tulokset!$C104))),"")</f>
        <v>15.000069999999999</v>
      </c>
      <c r="E104" s="78">
        <f>IF($B104&gt;keilatut,"",IF($C104=(-1),"GP"&amp;$B104&amp;", "&amp;DAY(VLOOKUP($B104,kilpailukalenteri,2))&amp;"."&amp;MONTH(VLOOKUP($B104,kilpailukalenteri,2))&amp;"."&amp;YEAR(VLOOKUP($B104,kilpailukalenteri,2))&amp;", "&amp;IF(RIGHT(VLOOKUP($B104,kilpailukalenteri,4),1)="*",LEFT(VLOOKUP($B104,kilpailukalenteri,4),LEN(VLOOKUP($B104,kilpailukalenteri,4))-2)&amp;", Kultainen GP",VLOOKUP($B104,kilpailukalenteri,4)),IF($C104=0,"Sija",IF($C104&gt;Data!$CP$2,"",ROUND(Tulokset!$D104,0)))))</f>
        <v>15</v>
      </c>
      <c r="F104" s="78" t="str">
        <f ca="1">IF($B104&gt;keilatut,"",IF($C104=(-1),"",IF($C104=0,"Nimi",IF($C104&gt;Data!$CP$2,"",OFFSET(tulossiirtymä,MATCH($D104,Data!$AN$2:$AN$313,0),Tulokset!F$2)))))</f>
        <v>Sakari Leinonen</v>
      </c>
      <c r="G104" s="78">
        <f ca="1">IF($B104&gt;keilatut,"",IF($C104=(-1),"",IF($C104=0,"Sarja 1",IF($C104&gt;Data!$CP$2,"",OFFSET(tulossiirtymä,MATCH($D104,Data!$AN$2:$AN$313,0),Tulokset!G$2)))))</f>
        <v>0</v>
      </c>
      <c r="H104" s="78">
        <f ca="1">IF($B104&gt;keilatut,"",IF($C104=(-1),"",IF($C104=0,"Sarja 2",IF($C104&gt;Data!$CP$2,"",OFFSET(tulossiirtymä,MATCH($D104,Data!$AN$2:$AN$313,0),Tulokset!H$2)))))</f>
        <v>0</v>
      </c>
      <c r="I104" s="78">
        <f ca="1">IF($B104&gt;keilatut,"",IF($C104=(-1),"",IF($C104=0,"Yhteensä",IF($C104&gt;Data!$CP$2,"",OFFSET(tulossiirtymä,MATCH($D104,Data!$AN$2:$AN$313,0),Tulokset!I$2)))))</f>
        <v>0</v>
      </c>
      <c r="J104" s="78" t="str">
        <f ca="1">IF($B104&gt;keilatut,"",IF($C104=(-1),"",IF($C104=0,"Ero voittajaan",IF($C104&gt;Data!$CP$2,"",OFFSET(tulossiirtymä,MATCH($D104,Data!$AN$2:$AN$313,0),Tulokset!J$2)))))</f>
        <v/>
      </c>
      <c r="K104" s="78">
        <f ca="1">IF($B104&gt;keilatut,"",IF($C104=(-1),"",IF($C104=0,"Pisteet",IF($C104&gt;Data!$CP$2,"",OFFSET(tulossiirtymä,MATCH($D104,Data!$AN$2:$AN$313,0),Tulokset!K$2)))))</f>
        <v>0</v>
      </c>
      <c r="L104" s="78">
        <f ca="1">IF($B104&gt;keilatut,"",IF($C104=(-1),"",IF($C104=0,"Pisteet yhteensä",IF($C104&gt;Data!$CP$2,"",OFFSET(tulossiirtymä,MATCH($D104,Data!$AN$2:$AN$313,0),Tulokset!L$2)))))</f>
        <v>10</v>
      </c>
      <c r="M104" s="78" t="str">
        <f ca="1">IF($B104&gt;keilatut,"",IF($C104=(-1),"",IF($C104=0,"Pisteseloste",IF($C104&gt;Data!$CP$2,"",OFFSET(tulossiirtymä,MATCH($D104,Data!$AN$2:$AN$313,0),Tulokset!M$2)))))</f>
        <v/>
      </c>
    </row>
    <row r="105" spans="2:13" x14ac:dyDescent="0.25">
      <c r="B105" s="78">
        <f t="shared" si="2"/>
        <v>4</v>
      </c>
      <c r="C105" s="78">
        <f>COUNTIF($B$6:B105,B105)-2</f>
        <v>17</v>
      </c>
      <c r="D105" s="79">
        <f t="array" ref="D105">IF($B105&lt;=keilatut,IF($C105&lt;1,"",IF($C105&gt;Data!$CP$2,"",SMALL(IF(Data!$B$2:$B$313=Tulokset!$B105,Data!$AN$2:$AN$313),Tulokset!$C105))),"")</f>
        <v>15.000071</v>
      </c>
      <c r="E105" s="78">
        <f>IF($B105&gt;keilatut,"",IF($C105=(-1),"GP"&amp;$B105&amp;", "&amp;DAY(VLOOKUP($B105,kilpailukalenteri,2))&amp;"."&amp;MONTH(VLOOKUP($B105,kilpailukalenteri,2))&amp;"."&amp;YEAR(VLOOKUP($B105,kilpailukalenteri,2))&amp;", "&amp;IF(RIGHT(VLOOKUP($B105,kilpailukalenteri,4),1)="*",LEFT(VLOOKUP($B105,kilpailukalenteri,4),LEN(VLOOKUP($B105,kilpailukalenteri,4))-2)&amp;", Kultainen GP",VLOOKUP($B105,kilpailukalenteri,4)),IF($C105=0,"Sija",IF($C105&gt;Data!$CP$2,"",ROUND(Tulokset!$D105,0)))))</f>
        <v>15</v>
      </c>
      <c r="F105" s="78" t="str">
        <f ca="1">IF($B105&gt;keilatut,"",IF($C105=(-1),"",IF($C105=0,"Nimi",IF($C105&gt;Data!$CP$2,"",OFFSET(tulossiirtymä,MATCH($D105,Data!$AN$2:$AN$313,0),Tulokset!F$2)))))</f>
        <v>Tatu Erlin</v>
      </c>
      <c r="G105" s="78">
        <f ca="1">IF($B105&gt;keilatut,"",IF($C105=(-1),"",IF($C105=0,"Sarja 1",IF($C105&gt;Data!$CP$2,"",OFFSET(tulossiirtymä,MATCH($D105,Data!$AN$2:$AN$313,0),Tulokset!G$2)))))</f>
        <v>0</v>
      </c>
      <c r="H105" s="78">
        <f ca="1">IF($B105&gt;keilatut,"",IF($C105=(-1),"",IF($C105=0,"Sarja 2",IF($C105&gt;Data!$CP$2,"",OFFSET(tulossiirtymä,MATCH($D105,Data!$AN$2:$AN$313,0),Tulokset!H$2)))))</f>
        <v>0</v>
      </c>
      <c r="I105" s="78">
        <f ca="1">IF($B105&gt;keilatut,"",IF($C105=(-1),"",IF($C105=0,"Yhteensä",IF($C105&gt;Data!$CP$2,"",OFFSET(tulossiirtymä,MATCH($D105,Data!$AN$2:$AN$313,0),Tulokset!I$2)))))</f>
        <v>0</v>
      </c>
      <c r="J105" s="78" t="str">
        <f ca="1">IF($B105&gt;keilatut,"",IF($C105=(-1),"",IF($C105=0,"Ero voittajaan",IF($C105&gt;Data!$CP$2,"",OFFSET(tulossiirtymä,MATCH($D105,Data!$AN$2:$AN$313,0),Tulokset!J$2)))))</f>
        <v/>
      </c>
      <c r="K105" s="78">
        <f ca="1">IF($B105&gt;keilatut,"",IF($C105=(-1),"",IF($C105=0,"Pisteet",IF($C105&gt;Data!$CP$2,"",OFFSET(tulossiirtymä,MATCH($D105,Data!$AN$2:$AN$313,0),Tulokset!K$2)))))</f>
        <v>0</v>
      </c>
      <c r="L105" s="78">
        <f ca="1">IF($B105&gt;keilatut,"",IF($C105=(-1),"",IF($C105=0,"Pisteet yhteensä",IF($C105&gt;Data!$CP$2,"",OFFSET(tulossiirtymä,MATCH($D105,Data!$AN$2:$AN$313,0),Tulokset!L$2)))))</f>
        <v>6</v>
      </c>
      <c r="M105" s="78" t="str">
        <f ca="1">IF($B105&gt;keilatut,"",IF($C105=(-1),"",IF($C105=0,"Pisteseloste",IF($C105&gt;Data!$CP$2,"",OFFSET(tulossiirtymä,MATCH($D105,Data!$AN$2:$AN$313,0),Tulokset!M$2)))))</f>
        <v/>
      </c>
    </row>
    <row r="106" spans="2:13" x14ac:dyDescent="0.25">
      <c r="B106" s="78">
        <f t="shared" si="2"/>
        <v>4</v>
      </c>
      <c r="C106" s="78">
        <f>COUNTIF($B$6:B106,B106)-2</f>
        <v>18</v>
      </c>
      <c r="D106" s="79">
        <f t="array" ref="D106">IF($B106&lt;=keilatut,IF($C106&lt;1,"",IF($C106&gt;Data!$CP$2,"",SMALL(IF(Data!$B$2:$B$313=Tulokset!$B106,Data!$AN$2:$AN$313),Tulokset!$C106))),"")</f>
        <v>15.000071999999999</v>
      </c>
      <c r="E106" s="78">
        <f>IF($B106&gt;keilatut,"",IF($C106=(-1),"GP"&amp;$B106&amp;", "&amp;DAY(VLOOKUP($B106,kilpailukalenteri,2))&amp;"."&amp;MONTH(VLOOKUP($B106,kilpailukalenteri,2))&amp;"."&amp;YEAR(VLOOKUP($B106,kilpailukalenteri,2))&amp;", "&amp;IF(RIGHT(VLOOKUP($B106,kilpailukalenteri,4),1)="*",LEFT(VLOOKUP($B106,kilpailukalenteri,4),LEN(VLOOKUP($B106,kilpailukalenteri,4))-2)&amp;", Kultainen GP",VLOOKUP($B106,kilpailukalenteri,4)),IF($C106=0,"Sija",IF($C106&gt;Data!$CP$2,"",ROUND(Tulokset!$D106,0)))))</f>
        <v>15</v>
      </c>
      <c r="F106" s="78" t="str">
        <f ca="1">IF($B106&gt;keilatut,"",IF($C106=(-1),"",IF($C106=0,"Nimi",IF($C106&gt;Data!$CP$2,"",OFFSET(tulossiirtymä,MATCH($D106,Data!$AN$2:$AN$313,0),Tulokset!F$2)))))</f>
        <v>Frans Hartman</v>
      </c>
      <c r="G106" s="78">
        <f ca="1">IF($B106&gt;keilatut,"",IF($C106=(-1),"",IF($C106=0,"Sarja 1",IF($C106&gt;Data!$CP$2,"",OFFSET(tulossiirtymä,MATCH($D106,Data!$AN$2:$AN$313,0),Tulokset!G$2)))))</f>
        <v>0</v>
      </c>
      <c r="H106" s="78">
        <f ca="1">IF($B106&gt;keilatut,"",IF($C106=(-1),"",IF($C106=0,"Sarja 2",IF($C106&gt;Data!$CP$2,"",OFFSET(tulossiirtymä,MATCH($D106,Data!$AN$2:$AN$313,0),Tulokset!H$2)))))</f>
        <v>0</v>
      </c>
      <c r="I106" s="78">
        <f ca="1">IF($B106&gt;keilatut,"",IF($C106=(-1),"",IF($C106=0,"Yhteensä",IF($C106&gt;Data!$CP$2,"",OFFSET(tulossiirtymä,MATCH($D106,Data!$AN$2:$AN$313,0),Tulokset!I$2)))))</f>
        <v>0</v>
      </c>
      <c r="J106" s="78" t="str">
        <f ca="1">IF($B106&gt;keilatut,"",IF($C106=(-1),"",IF($C106=0,"Ero voittajaan",IF($C106&gt;Data!$CP$2,"",OFFSET(tulossiirtymä,MATCH($D106,Data!$AN$2:$AN$313,0),Tulokset!J$2)))))</f>
        <v/>
      </c>
      <c r="K106" s="78">
        <f ca="1">IF($B106&gt;keilatut,"",IF($C106=(-1),"",IF($C106=0,"Pisteet",IF($C106&gt;Data!$CP$2,"",OFFSET(tulossiirtymä,MATCH($D106,Data!$AN$2:$AN$313,0),Tulokset!K$2)))))</f>
        <v>0</v>
      </c>
      <c r="L106" s="78">
        <f ca="1">IF($B106&gt;keilatut,"",IF($C106=(-1),"",IF($C106=0,"Pisteet yhteensä",IF($C106&gt;Data!$CP$2,"",OFFSET(tulossiirtymä,MATCH($D106,Data!$AN$2:$AN$313,0),Tulokset!L$2)))))</f>
        <v>18.5</v>
      </c>
      <c r="M106" s="78" t="str">
        <f ca="1">IF($B106&gt;keilatut,"",IF($C106=(-1),"",IF($C106=0,"Pisteseloste",IF($C106&gt;Data!$CP$2,"",OFFSET(tulossiirtymä,MATCH($D106,Data!$AN$2:$AN$313,0),Tulokset!M$2)))))</f>
        <v/>
      </c>
    </row>
    <row r="107" spans="2:13" x14ac:dyDescent="0.25">
      <c r="B107" s="78">
        <f t="shared" si="2"/>
        <v>4</v>
      </c>
      <c r="C107" s="78">
        <f>COUNTIF($B$6:B107,B107)-2</f>
        <v>19</v>
      </c>
      <c r="D107" s="79" t="str">
        <f t="array" ref="D107">IF($B107&lt;=keilatut,IF($C107&lt;1,"",IF($C107&gt;Data!$CP$2,"",SMALL(IF(Data!$B$2:$B$313=Tulokset!$B107,Data!$AN$2:$AN$313),Tulokset!$C107))),"")</f>
        <v/>
      </c>
      <c r="E107" s="78" t="str">
        <f>IF($B107&gt;keilatut,"",IF($C107=(-1),"GP"&amp;$B107&amp;", "&amp;DAY(VLOOKUP($B107,kilpailukalenteri,2))&amp;"."&amp;MONTH(VLOOKUP($B107,kilpailukalenteri,2))&amp;"."&amp;YEAR(VLOOKUP($B107,kilpailukalenteri,2))&amp;", "&amp;IF(RIGHT(VLOOKUP($B107,kilpailukalenteri,4),1)="*",LEFT(VLOOKUP($B107,kilpailukalenteri,4),LEN(VLOOKUP($B107,kilpailukalenteri,4))-2)&amp;", Kultainen GP",VLOOKUP($B107,kilpailukalenteri,4)),IF($C107=0,"Sija",IF($C107&gt;Data!$CP$2,"",ROUND(Tulokset!$D107,0)))))</f>
        <v/>
      </c>
      <c r="F107" s="78" t="str">
        <f ca="1">IF($B107&gt;keilatut,"",IF($C107=(-1),"",IF($C107=0,"Nimi",IF($C107&gt;Data!$CP$2,"",OFFSET(tulossiirtymä,MATCH($D107,Data!$AN$2:$AN$313,0),Tulokset!F$2)))))</f>
        <v/>
      </c>
      <c r="G107" s="78" t="str">
        <f ca="1">IF($B107&gt;keilatut,"",IF($C107=(-1),"",IF($C107=0,"Sarja 1",IF($C107&gt;Data!$CP$2,"",OFFSET(tulossiirtymä,MATCH($D107,Data!$AN$2:$AN$313,0),Tulokset!G$2)))))</f>
        <v/>
      </c>
      <c r="H107" s="78" t="str">
        <f ca="1">IF($B107&gt;keilatut,"",IF($C107=(-1),"",IF($C107=0,"Sarja 2",IF($C107&gt;Data!$CP$2,"",OFFSET(tulossiirtymä,MATCH($D107,Data!$AN$2:$AN$313,0),Tulokset!H$2)))))</f>
        <v/>
      </c>
      <c r="I107" s="78" t="str">
        <f ca="1">IF($B107&gt;keilatut,"",IF($C107=(-1),"",IF($C107=0,"Yhteensä",IF($C107&gt;Data!$CP$2,"",OFFSET(tulossiirtymä,MATCH($D107,Data!$AN$2:$AN$313,0),Tulokset!I$2)))))</f>
        <v/>
      </c>
      <c r="J107" s="78" t="str">
        <f ca="1">IF($B107&gt;keilatut,"",IF($C107=(-1),"",IF($C107=0,"Ero voittajaan",IF($C107&gt;Data!$CP$2,"",OFFSET(tulossiirtymä,MATCH($D107,Data!$AN$2:$AN$313,0),Tulokset!J$2)))))</f>
        <v/>
      </c>
      <c r="K107" s="78" t="str">
        <f ca="1">IF($B107&gt;keilatut,"",IF($C107=(-1),"",IF($C107=0,"Pisteet",IF($C107&gt;Data!$CP$2,"",OFFSET(tulossiirtymä,MATCH($D107,Data!$AN$2:$AN$313,0),Tulokset!K$2)))))</f>
        <v/>
      </c>
      <c r="L107" s="78" t="str">
        <f ca="1">IF($B107&gt;keilatut,"",IF($C107=(-1),"",IF($C107=0,"Pisteet yhteensä",IF($C107&gt;Data!$CP$2,"",OFFSET(tulossiirtymä,MATCH($D107,Data!$AN$2:$AN$313,0),Tulokset!L$2)))))</f>
        <v/>
      </c>
      <c r="M107" s="78" t="str">
        <f ca="1">IF($B107&gt;keilatut,"",IF($C107=(-1),"",IF($C107=0,"Pisteseloste",IF($C107&gt;Data!$CP$2,"",OFFSET(tulossiirtymä,MATCH($D107,Data!$AN$2:$AN$313,0),Tulokset!M$2)))))</f>
        <v/>
      </c>
    </row>
    <row r="108" spans="2:13" x14ac:dyDescent="0.25">
      <c r="B108" s="78">
        <f t="shared" si="2"/>
        <v>4</v>
      </c>
      <c r="C108" s="78">
        <f>COUNTIF($B$6:B108,B108)-2</f>
        <v>20</v>
      </c>
      <c r="D108" s="79" t="str">
        <f t="array" ref="D108">IF($B108&lt;=keilatut,IF($C108&lt;1,"",IF($C108&gt;Data!$CP$2,"",SMALL(IF(Data!$B$2:$B$313=Tulokset!$B108,Data!$AN$2:$AN$313),Tulokset!$C108))),"")</f>
        <v/>
      </c>
      <c r="E108" s="78" t="str">
        <f>IF($B108&gt;keilatut,"",IF($C108=(-1),"GP"&amp;$B108&amp;", "&amp;DAY(VLOOKUP($B108,kilpailukalenteri,2))&amp;"."&amp;MONTH(VLOOKUP($B108,kilpailukalenteri,2))&amp;"."&amp;YEAR(VLOOKUP($B108,kilpailukalenteri,2))&amp;", "&amp;IF(RIGHT(VLOOKUP($B108,kilpailukalenteri,4),1)="*",LEFT(VLOOKUP($B108,kilpailukalenteri,4),LEN(VLOOKUP($B108,kilpailukalenteri,4))-2)&amp;", Kultainen GP",VLOOKUP($B108,kilpailukalenteri,4)),IF($C108=0,"Sija",IF($C108&gt;Data!$CP$2,"",ROUND(Tulokset!$D108,0)))))</f>
        <v/>
      </c>
      <c r="F108" s="78" t="str">
        <f ca="1">IF($B108&gt;keilatut,"",IF($C108=(-1),"",IF($C108=0,"Nimi",IF($C108&gt;Data!$CP$2,"",OFFSET(tulossiirtymä,MATCH($D108,Data!$AN$2:$AN$313,0),Tulokset!F$2)))))</f>
        <v/>
      </c>
      <c r="G108" s="78" t="str">
        <f ca="1">IF($B108&gt;keilatut,"",IF($C108=(-1),"",IF($C108=0,"Sarja 1",IF($C108&gt;Data!$CP$2,"",OFFSET(tulossiirtymä,MATCH($D108,Data!$AN$2:$AN$313,0),Tulokset!G$2)))))</f>
        <v/>
      </c>
      <c r="H108" s="78" t="str">
        <f ca="1">IF($B108&gt;keilatut,"",IF($C108=(-1),"",IF($C108=0,"Sarja 2",IF($C108&gt;Data!$CP$2,"",OFFSET(tulossiirtymä,MATCH($D108,Data!$AN$2:$AN$313,0),Tulokset!H$2)))))</f>
        <v/>
      </c>
      <c r="I108" s="78" t="str">
        <f ca="1">IF($B108&gt;keilatut,"",IF($C108=(-1),"",IF($C108=0,"Yhteensä",IF($C108&gt;Data!$CP$2,"",OFFSET(tulossiirtymä,MATCH($D108,Data!$AN$2:$AN$313,0),Tulokset!I$2)))))</f>
        <v/>
      </c>
      <c r="J108" s="78" t="str">
        <f ca="1">IF($B108&gt;keilatut,"",IF($C108=(-1),"",IF($C108=0,"Ero voittajaan",IF($C108&gt;Data!$CP$2,"",OFFSET(tulossiirtymä,MATCH($D108,Data!$AN$2:$AN$313,0),Tulokset!J$2)))))</f>
        <v/>
      </c>
      <c r="K108" s="78" t="str">
        <f ca="1">IF($B108&gt;keilatut,"",IF($C108=(-1),"",IF($C108=0,"Pisteet",IF($C108&gt;Data!$CP$2,"",OFFSET(tulossiirtymä,MATCH($D108,Data!$AN$2:$AN$313,0),Tulokset!K$2)))))</f>
        <v/>
      </c>
      <c r="L108" s="78" t="str">
        <f ca="1">IF($B108&gt;keilatut,"",IF($C108=(-1),"",IF($C108=0,"Pisteet yhteensä",IF($C108&gt;Data!$CP$2,"",OFFSET(tulossiirtymä,MATCH($D108,Data!$AN$2:$AN$313,0),Tulokset!L$2)))))</f>
        <v/>
      </c>
      <c r="M108" s="78" t="str">
        <f ca="1">IF($B108&gt;keilatut,"",IF($C108=(-1),"",IF($C108=0,"Pisteseloste",IF($C108&gt;Data!$CP$2,"",OFFSET(tulossiirtymä,MATCH($D108,Data!$AN$2:$AN$313,0),Tulokset!M$2)))))</f>
        <v/>
      </c>
    </row>
    <row r="109" spans="2:13" x14ac:dyDescent="0.25">
      <c r="B109" s="78">
        <f t="shared" si="2"/>
        <v>4</v>
      </c>
      <c r="C109" s="78">
        <f>COUNTIF($B$6:B109,B109)-2</f>
        <v>21</v>
      </c>
      <c r="D109" s="79" t="str">
        <f t="array" ref="D109">IF($B109&lt;=keilatut,IF($C109&lt;1,"",IF($C109&gt;Data!$CP$2,"",SMALL(IF(Data!$B$2:$B$313=Tulokset!$B109,Data!$AN$2:$AN$313),Tulokset!$C109))),"")</f>
        <v/>
      </c>
      <c r="E109" s="78" t="str">
        <f>IF($B109&gt;keilatut,"",IF($C109=(-1),"GP"&amp;$B109&amp;", "&amp;DAY(VLOOKUP($B109,kilpailukalenteri,2))&amp;"."&amp;MONTH(VLOOKUP($B109,kilpailukalenteri,2))&amp;"."&amp;YEAR(VLOOKUP($B109,kilpailukalenteri,2))&amp;", "&amp;IF(RIGHT(VLOOKUP($B109,kilpailukalenteri,4),1)="*",LEFT(VLOOKUP($B109,kilpailukalenteri,4),LEN(VLOOKUP($B109,kilpailukalenteri,4))-2)&amp;", Kultainen GP",VLOOKUP($B109,kilpailukalenteri,4)),IF($C109=0,"Sija",IF($C109&gt;Data!$CP$2,"",ROUND(Tulokset!$D109,0)))))</f>
        <v/>
      </c>
      <c r="F109" s="78" t="str">
        <f ca="1">IF($B109&gt;keilatut,"",IF($C109=(-1),"",IF($C109=0,"Nimi",IF($C109&gt;Data!$CP$2,"",OFFSET(tulossiirtymä,MATCH($D109,Data!$AN$2:$AN$313,0),Tulokset!F$2)))))</f>
        <v/>
      </c>
      <c r="G109" s="78" t="str">
        <f ca="1">IF($B109&gt;keilatut,"",IF($C109=(-1),"",IF($C109=0,"Sarja 1",IF($C109&gt;Data!$CP$2,"",OFFSET(tulossiirtymä,MATCH($D109,Data!$AN$2:$AN$313,0),Tulokset!G$2)))))</f>
        <v/>
      </c>
      <c r="H109" s="78" t="str">
        <f ca="1">IF($B109&gt;keilatut,"",IF($C109=(-1),"",IF($C109=0,"Sarja 2",IF($C109&gt;Data!$CP$2,"",OFFSET(tulossiirtymä,MATCH($D109,Data!$AN$2:$AN$313,0),Tulokset!H$2)))))</f>
        <v/>
      </c>
      <c r="I109" s="78" t="str">
        <f ca="1">IF($B109&gt;keilatut,"",IF($C109=(-1),"",IF($C109=0,"Yhteensä",IF($C109&gt;Data!$CP$2,"",OFFSET(tulossiirtymä,MATCH($D109,Data!$AN$2:$AN$313,0),Tulokset!I$2)))))</f>
        <v/>
      </c>
      <c r="J109" s="78" t="str">
        <f ca="1">IF($B109&gt;keilatut,"",IF($C109=(-1),"",IF($C109=0,"Ero voittajaan",IF($C109&gt;Data!$CP$2,"",OFFSET(tulossiirtymä,MATCH($D109,Data!$AN$2:$AN$313,0),Tulokset!J$2)))))</f>
        <v/>
      </c>
      <c r="K109" s="78" t="str">
        <f ca="1">IF($B109&gt;keilatut,"",IF($C109=(-1),"",IF($C109=0,"Pisteet",IF($C109&gt;Data!$CP$2,"",OFFSET(tulossiirtymä,MATCH($D109,Data!$AN$2:$AN$313,0),Tulokset!K$2)))))</f>
        <v/>
      </c>
      <c r="L109" s="78" t="str">
        <f ca="1">IF($B109&gt;keilatut,"",IF($C109=(-1),"",IF($C109=0,"Pisteet yhteensä",IF($C109&gt;Data!$CP$2,"",OFFSET(tulossiirtymä,MATCH($D109,Data!$AN$2:$AN$313,0),Tulokset!L$2)))))</f>
        <v/>
      </c>
      <c r="M109" s="78" t="str">
        <f ca="1">IF($B109&gt;keilatut,"",IF($C109=(-1),"",IF($C109=0,"Pisteseloste",IF($C109&gt;Data!$CP$2,"",OFFSET(tulossiirtymä,MATCH($D109,Data!$AN$2:$AN$313,0),Tulokset!M$2)))))</f>
        <v/>
      </c>
    </row>
    <row r="110" spans="2:13" x14ac:dyDescent="0.25">
      <c r="B110" s="78">
        <f t="shared" si="2"/>
        <v>4</v>
      </c>
      <c r="C110" s="78">
        <f>COUNTIF($B$6:B110,B110)-2</f>
        <v>22</v>
      </c>
      <c r="D110" s="79" t="str">
        <f t="array" ref="D110">IF($B110&lt;=keilatut,IF($C110&lt;1,"",IF($C110&gt;Data!$CP$2,"",SMALL(IF(Data!$B$2:$B$313=Tulokset!$B110,Data!$AN$2:$AN$313),Tulokset!$C110))),"")</f>
        <v/>
      </c>
      <c r="E110" s="78" t="str">
        <f>IF($B110&gt;keilatut,"",IF($C110=(-1),"GP"&amp;$B110&amp;", "&amp;DAY(VLOOKUP($B110,kilpailukalenteri,2))&amp;"."&amp;MONTH(VLOOKUP($B110,kilpailukalenteri,2))&amp;"."&amp;YEAR(VLOOKUP($B110,kilpailukalenteri,2))&amp;", "&amp;IF(RIGHT(VLOOKUP($B110,kilpailukalenteri,4),1)="*",LEFT(VLOOKUP($B110,kilpailukalenteri,4),LEN(VLOOKUP($B110,kilpailukalenteri,4))-2)&amp;", Kultainen GP",VLOOKUP($B110,kilpailukalenteri,4)),IF($C110=0,"Sija",IF($C110&gt;Data!$CP$2,"",ROUND(Tulokset!$D110,0)))))</f>
        <v/>
      </c>
      <c r="F110" s="78" t="str">
        <f ca="1">IF($B110&gt;keilatut,"",IF($C110=(-1),"",IF($C110=0,"Nimi",IF($C110&gt;Data!$CP$2,"",OFFSET(tulossiirtymä,MATCH($D110,Data!$AN$2:$AN$313,0),Tulokset!F$2)))))</f>
        <v/>
      </c>
      <c r="G110" s="78" t="str">
        <f ca="1">IF($B110&gt;keilatut,"",IF($C110=(-1),"",IF($C110=0,"Sarja 1",IF($C110&gt;Data!$CP$2,"",OFFSET(tulossiirtymä,MATCH($D110,Data!$AN$2:$AN$313,0),Tulokset!G$2)))))</f>
        <v/>
      </c>
      <c r="H110" s="78" t="str">
        <f ca="1">IF($B110&gt;keilatut,"",IF($C110=(-1),"",IF($C110=0,"Sarja 2",IF($C110&gt;Data!$CP$2,"",OFFSET(tulossiirtymä,MATCH($D110,Data!$AN$2:$AN$313,0),Tulokset!H$2)))))</f>
        <v/>
      </c>
      <c r="I110" s="78" t="str">
        <f ca="1">IF($B110&gt;keilatut,"",IF($C110=(-1),"",IF($C110=0,"Yhteensä",IF($C110&gt;Data!$CP$2,"",OFFSET(tulossiirtymä,MATCH($D110,Data!$AN$2:$AN$313,0),Tulokset!I$2)))))</f>
        <v/>
      </c>
      <c r="J110" s="78" t="str">
        <f ca="1">IF($B110&gt;keilatut,"",IF($C110=(-1),"",IF($C110=0,"Ero voittajaan",IF($C110&gt;Data!$CP$2,"",OFFSET(tulossiirtymä,MATCH($D110,Data!$AN$2:$AN$313,0),Tulokset!J$2)))))</f>
        <v/>
      </c>
      <c r="K110" s="78" t="str">
        <f ca="1">IF($B110&gt;keilatut,"",IF($C110=(-1),"",IF($C110=0,"Pisteet",IF($C110&gt;Data!$CP$2,"",OFFSET(tulossiirtymä,MATCH($D110,Data!$AN$2:$AN$313,0),Tulokset!K$2)))))</f>
        <v/>
      </c>
      <c r="L110" s="78" t="str">
        <f ca="1">IF($B110&gt;keilatut,"",IF($C110=(-1),"",IF($C110=0,"Pisteet yhteensä",IF($C110&gt;Data!$CP$2,"",OFFSET(tulossiirtymä,MATCH($D110,Data!$AN$2:$AN$313,0),Tulokset!L$2)))))</f>
        <v/>
      </c>
      <c r="M110" s="78" t="str">
        <f ca="1">IF($B110&gt;keilatut,"",IF($C110=(-1),"",IF($C110=0,"Pisteseloste",IF($C110&gt;Data!$CP$2,"",OFFSET(tulossiirtymä,MATCH($D110,Data!$AN$2:$AN$313,0),Tulokset!M$2)))))</f>
        <v/>
      </c>
    </row>
    <row r="111" spans="2:13" x14ac:dyDescent="0.25">
      <c r="B111" s="78">
        <f t="shared" si="2"/>
        <v>4</v>
      </c>
      <c r="C111" s="78">
        <f>COUNTIF($B$6:B111,B111)-2</f>
        <v>23</v>
      </c>
      <c r="D111" s="79" t="str">
        <f t="array" ref="D111">IF($B111&lt;=keilatut,IF($C111&lt;1,"",IF($C111&gt;Data!$CP$2,"",SMALL(IF(Data!$B$2:$B$313=Tulokset!$B111,Data!$AN$2:$AN$313),Tulokset!$C111))),"")</f>
        <v/>
      </c>
      <c r="E111" s="78" t="str">
        <f>IF($B111&gt;keilatut,"",IF($C111=(-1),"GP"&amp;$B111&amp;", "&amp;DAY(VLOOKUP($B111,kilpailukalenteri,2))&amp;"."&amp;MONTH(VLOOKUP($B111,kilpailukalenteri,2))&amp;"."&amp;YEAR(VLOOKUP($B111,kilpailukalenteri,2))&amp;", "&amp;IF(RIGHT(VLOOKUP($B111,kilpailukalenteri,4),1)="*",LEFT(VLOOKUP($B111,kilpailukalenteri,4),LEN(VLOOKUP($B111,kilpailukalenteri,4))-2)&amp;", Kultainen GP",VLOOKUP($B111,kilpailukalenteri,4)),IF($C111=0,"Sija",IF($C111&gt;Data!$CP$2,"",ROUND(Tulokset!$D111,0)))))</f>
        <v/>
      </c>
      <c r="F111" s="78" t="str">
        <f ca="1">IF($B111&gt;keilatut,"",IF($C111=(-1),"",IF($C111=0,"Nimi",IF($C111&gt;Data!$CP$2,"",OFFSET(tulossiirtymä,MATCH($D111,Data!$AN$2:$AN$313,0),Tulokset!F$2)))))</f>
        <v/>
      </c>
      <c r="G111" s="78" t="str">
        <f ca="1">IF($B111&gt;keilatut,"",IF($C111=(-1),"",IF($C111=0,"Sarja 1",IF($C111&gt;Data!$CP$2,"",OFFSET(tulossiirtymä,MATCH($D111,Data!$AN$2:$AN$313,0),Tulokset!G$2)))))</f>
        <v/>
      </c>
      <c r="H111" s="78" t="str">
        <f ca="1">IF($B111&gt;keilatut,"",IF($C111=(-1),"",IF($C111=0,"Sarja 2",IF($C111&gt;Data!$CP$2,"",OFFSET(tulossiirtymä,MATCH($D111,Data!$AN$2:$AN$313,0),Tulokset!H$2)))))</f>
        <v/>
      </c>
      <c r="I111" s="78" t="str">
        <f ca="1">IF($B111&gt;keilatut,"",IF($C111=(-1),"",IF($C111=0,"Yhteensä",IF($C111&gt;Data!$CP$2,"",OFFSET(tulossiirtymä,MATCH($D111,Data!$AN$2:$AN$313,0),Tulokset!I$2)))))</f>
        <v/>
      </c>
      <c r="J111" s="78" t="str">
        <f ca="1">IF($B111&gt;keilatut,"",IF($C111=(-1),"",IF($C111=0,"Ero voittajaan",IF($C111&gt;Data!$CP$2,"",OFFSET(tulossiirtymä,MATCH($D111,Data!$AN$2:$AN$313,0),Tulokset!J$2)))))</f>
        <v/>
      </c>
      <c r="K111" s="78" t="str">
        <f ca="1">IF($B111&gt;keilatut,"",IF($C111=(-1),"",IF($C111=0,"Pisteet",IF($C111&gt;Data!$CP$2,"",OFFSET(tulossiirtymä,MATCH($D111,Data!$AN$2:$AN$313,0),Tulokset!K$2)))))</f>
        <v/>
      </c>
      <c r="L111" s="78" t="str">
        <f ca="1">IF($B111&gt;keilatut,"",IF($C111=(-1),"",IF($C111=0,"Pisteet yhteensä",IF($C111&gt;Data!$CP$2,"",OFFSET(tulossiirtymä,MATCH($D111,Data!$AN$2:$AN$313,0),Tulokset!L$2)))))</f>
        <v/>
      </c>
      <c r="M111" s="78" t="str">
        <f ca="1">IF($B111&gt;keilatut,"",IF($C111=(-1),"",IF($C111=0,"Pisteseloste",IF($C111&gt;Data!$CP$2,"",OFFSET(tulossiirtymä,MATCH($D111,Data!$AN$2:$AN$313,0),Tulokset!M$2)))))</f>
        <v/>
      </c>
    </row>
    <row r="112" spans="2:13" x14ac:dyDescent="0.25">
      <c r="B112" s="78">
        <f t="shared" si="2"/>
        <v>4</v>
      </c>
      <c r="C112" s="78">
        <f>COUNTIF($B$6:B112,B112)-2</f>
        <v>24</v>
      </c>
      <c r="D112" s="79" t="str">
        <f t="array" ref="D112">IF($B112&lt;=keilatut,IF($C112&lt;1,"",IF($C112&gt;Data!$CP$2,"",SMALL(IF(Data!$B$2:$B$313=Tulokset!$B112,Data!$AN$2:$AN$313),Tulokset!$C112))),"")</f>
        <v/>
      </c>
      <c r="E112" s="78" t="str">
        <f>IF($B112&gt;keilatut,"",IF($C112=(-1),"GP"&amp;$B112&amp;", "&amp;DAY(VLOOKUP($B112,kilpailukalenteri,2))&amp;"."&amp;MONTH(VLOOKUP($B112,kilpailukalenteri,2))&amp;"."&amp;YEAR(VLOOKUP($B112,kilpailukalenteri,2))&amp;", "&amp;IF(RIGHT(VLOOKUP($B112,kilpailukalenteri,4),1)="*",LEFT(VLOOKUP($B112,kilpailukalenteri,4),LEN(VLOOKUP($B112,kilpailukalenteri,4))-2)&amp;", Kultainen GP",VLOOKUP($B112,kilpailukalenteri,4)),IF($C112=0,"Sija",IF($C112&gt;Data!$CP$2,"",ROUND(Tulokset!$D112,0)))))</f>
        <v/>
      </c>
      <c r="F112" s="78" t="str">
        <f ca="1">IF($B112&gt;keilatut,"",IF($C112=(-1),"",IF($C112=0,"Nimi",IF($C112&gt;Data!$CP$2,"",OFFSET(tulossiirtymä,MATCH($D112,Data!$AN$2:$AN$313,0),Tulokset!F$2)))))</f>
        <v/>
      </c>
      <c r="G112" s="78" t="str">
        <f ca="1">IF($B112&gt;keilatut,"",IF($C112=(-1),"",IF($C112=0,"Sarja 1",IF($C112&gt;Data!$CP$2,"",OFFSET(tulossiirtymä,MATCH($D112,Data!$AN$2:$AN$313,0),Tulokset!G$2)))))</f>
        <v/>
      </c>
      <c r="H112" s="78" t="str">
        <f ca="1">IF($B112&gt;keilatut,"",IF($C112=(-1),"",IF($C112=0,"Sarja 2",IF($C112&gt;Data!$CP$2,"",OFFSET(tulossiirtymä,MATCH($D112,Data!$AN$2:$AN$313,0),Tulokset!H$2)))))</f>
        <v/>
      </c>
      <c r="I112" s="78" t="str">
        <f ca="1">IF($B112&gt;keilatut,"",IF($C112=(-1),"",IF($C112=0,"Yhteensä",IF($C112&gt;Data!$CP$2,"",OFFSET(tulossiirtymä,MATCH($D112,Data!$AN$2:$AN$313,0),Tulokset!I$2)))))</f>
        <v/>
      </c>
      <c r="J112" s="78" t="str">
        <f ca="1">IF($B112&gt;keilatut,"",IF($C112=(-1),"",IF($C112=0,"Ero voittajaan",IF($C112&gt;Data!$CP$2,"",OFFSET(tulossiirtymä,MATCH($D112,Data!$AN$2:$AN$313,0),Tulokset!J$2)))))</f>
        <v/>
      </c>
      <c r="K112" s="78" t="str">
        <f ca="1">IF($B112&gt;keilatut,"",IF($C112=(-1),"",IF($C112=0,"Pisteet",IF($C112&gt;Data!$CP$2,"",OFFSET(tulossiirtymä,MATCH($D112,Data!$AN$2:$AN$313,0),Tulokset!K$2)))))</f>
        <v/>
      </c>
      <c r="L112" s="78" t="str">
        <f ca="1">IF($B112&gt;keilatut,"",IF($C112=(-1),"",IF($C112=0,"Pisteet yhteensä",IF($C112&gt;Data!$CP$2,"",OFFSET(tulossiirtymä,MATCH($D112,Data!$AN$2:$AN$313,0),Tulokset!L$2)))))</f>
        <v/>
      </c>
      <c r="M112" s="78" t="str">
        <f ca="1">IF($B112&gt;keilatut,"",IF($C112=(-1),"",IF($C112=0,"Pisteseloste",IF($C112&gt;Data!$CP$2,"",OFFSET(tulossiirtymä,MATCH($D112,Data!$AN$2:$AN$313,0),Tulokset!M$2)))))</f>
        <v/>
      </c>
    </row>
    <row r="113" spans="2:13" x14ac:dyDescent="0.25">
      <c r="B113" s="78">
        <f t="shared" si="2"/>
        <v>4</v>
      </c>
      <c r="C113" s="78">
        <f>COUNTIF($B$6:B113,B113)-2</f>
        <v>25</v>
      </c>
      <c r="D113" s="79" t="str">
        <f t="array" ref="D113">IF($B113&lt;=keilatut,IF($C113&lt;1,"",IF($C113&gt;Data!$CP$2,"",SMALL(IF(Data!$B$2:$B$313=Tulokset!$B113,Data!$AN$2:$AN$313),Tulokset!$C113))),"")</f>
        <v/>
      </c>
      <c r="E113" s="78" t="str">
        <f>IF($B113&gt;keilatut,"",IF($C113=(-1),"GP"&amp;$B113&amp;", "&amp;DAY(VLOOKUP($B113,kilpailukalenteri,2))&amp;"."&amp;MONTH(VLOOKUP($B113,kilpailukalenteri,2))&amp;"."&amp;YEAR(VLOOKUP($B113,kilpailukalenteri,2))&amp;", "&amp;IF(RIGHT(VLOOKUP($B113,kilpailukalenteri,4),1)="*",LEFT(VLOOKUP($B113,kilpailukalenteri,4),LEN(VLOOKUP($B113,kilpailukalenteri,4))-2)&amp;", Kultainen GP",VLOOKUP($B113,kilpailukalenteri,4)),IF($C113=0,"Sija",IF($C113&gt;Data!$CP$2,"",ROUND(Tulokset!$D113,0)))))</f>
        <v/>
      </c>
      <c r="F113" s="78" t="str">
        <f ca="1">IF($B113&gt;keilatut,"",IF($C113=(-1),"",IF($C113=0,"Nimi",IF($C113&gt;Data!$CP$2,"",OFFSET(tulossiirtymä,MATCH($D113,Data!$AN$2:$AN$313,0),Tulokset!F$2)))))</f>
        <v/>
      </c>
      <c r="G113" s="78" t="str">
        <f ca="1">IF($B113&gt;keilatut,"",IF($C113=(-1),"",IF($C113=0,"Sarja 1",IF($C113&gt;Data!$CP$2,"",OFFSET(tulossiirtymä,MATCH($D113,Data!$AN$2:$AN$313,0),Tulokset!G$2)))))</f>
        <v/>
      </c>
      <c r="H113" s="78" t="str">
        <f ca="1">IF($B113&gt;keilatut,"",IF($C113=(-1),"",IF($C113=0,"Sarja 2",IF($C113&gt;Data!$CP$2,"",OFFSET(tulossiirtymä,MATCH($D113,Data!$AN$2:$AN$313,0),Tulokset!H$2)))))</f>
        <v/>
      </c>
      <c r="I113" s="78" t="str">
        <f ca="1">IF($B113&gt;keilatut,"",IF($C113=(-1),"",IF($C113=0,"Yhteensä",IF($C113&gt;Data!$CP$2,"",OFFSET(tulossiirtymä,MATCH($D113,Data!$AN$2:$AN$313,0),Tulokset!I$2)))))</f>
        <v/>
      </c>
      <c r="J113" s="78" t="str">
        <f ca="1">IF($B113&gt;keilatut,"",IF($C113=(-1),"",IF($C113=0,"Ero voittajaan",IF($C113&gt;Data!$CP$2,"",OFFSET(tulossiirtymä,MATCH($D113,Data!$AN$2:$AN$313,0),Tulokset!J$2)))))</f>
        <v/>
      </c>
      <c r="K113" s="78" t="str">
        <f ca="1">IF($B113&gt;keilatut,"",IF($C113=(-1),"",IF($C113=0,"Pisteet",IF($C113&gt;Data!$CP$2,"",OFFSET(tulossiirtymä,MATCH($D113,Data!$AN$2:$AN$313,0),Tulokset!K$2)))))</f>
        <v/>
      </c>
      <c r="L113" s="78" t="str">
        <f ca="1">IF($B113&gt;keilatut,"",IF($C113=(-1),"",IF($C113=0,"Pisteet yhteensä",IF($C113&gt;Data!$CP$2,"",OFFSET(tulossiirtymä,MATCH($D113,Data!$AN$2:$AN$313,0),Tulokset!L$2)))))</f>
        <v/>
      </c>
      <c r="M113" s="78" t="str">
        <f ca="1">IF($B113&gt;keilatut,"",IF($C113=(-1),"",IF($C113=0,"Pisteseloste",IF($C113&gt;Data!$CP$2,"",OFFSET(tulossiirtymä,MATCH($D113,Data!$AN$2:$AN$313,0),Tulokset!M$2)))))</f>
        <v/>
      </c>
    </row>
    <row r="114" spans="2:13" x14ac:dyDescent="0.25">
      <c r="B114" s="78">
        <f t="shared" si="2"/>
        <v>5</v>
      </c>
      <c r="C114" s="78">
        <f>COUNTIF($B$6:B114,B114)-2</f>
        <v>-1</v>
      </c>
      <c r="D114" s="79" t="str">
        <f t="array" ref="D114">IF($B114&lt;=keilatut,IF($C114&lt;1,"",IF($C114&gt;Data!$CP$2,"",SMALL(IF(Data!$B$2:$B$313=Tulokset!$B114,Data!$AN$2:$AN$313),Tulokset!$C114))),"")</f>
        <v/>
      </c>
      <c r="E114" s="78" t="str">
        <f>IF($B114&gt;keilatut,"",IF($C114=(-1),"GP"&amp;$B114&amp;", "&amp;DAY(VLOOKUP($B114,kilpailukalenteri,2))&amp;"."&amp;MONTH(VLOOKUP($B114,kilpailukalenteri,2))&amp;"."&amp;YEAR(VLOOKUP($B114,kilpailukalenteri,2))&amp;", "&amp;IF(RIGHT(VLOOKUP($B114,kilpailukalenteri,4),1)="*",LEFT(VLOOKUP($B114,kilpailukalenteri,4),LEN(VLOOKUP($B114,kilpailukalenteri,4))-2)&amp;", Kultainen GP",VLOOKUP($B114,kilpailukalenteri,4)),IF($C114=0,"Sija",IF($C114&gt;Data!$CP$2,"",ROUND(Tulokset!$D114,0)))))</f>
        <v>GP5, 1.12.2024, Kupittaan keilahalli</v>
      </c>
    </row>
    <row r="115" spans="2:13" x14ac:dyDescent="0.25">
      <c r="B115" s="78">
        <f t="shared" si="2"/>
        <v>5</v>
      </c>
      <c r="C115" s="78">
        <f>COUNTIF($B$6:B115,B115)-2</f>
        <v>0</v>
      </c>
      <c r="D115" s="79" t="str">
        <f t="array" ref="D115">IF($B115&lt;=keilatut,IF($C115&lt;1,"",IF($C115&gt;Data!$CP$2,"",SMALL(IF(Data!$B$2:$B$313=Tulokset!$B115,Data!$AN$2:$AN$313),Tulokset!$C115))),"")</f>
        <v/>
      </c>
      <c r="E115" s="78" t="str">
        <f>IF($B115&gt;keilatut,"",IF($C115=(-1),"GP"&amp;$B115&amp;", "&amp;DAY(VLOOKUP($B115,kilpailukalenteri,2))&amp;"."&amp;MONTH(VLOOKUP($B115,kilpailukalenteri,2))&amp;"."&amp;YEAR(VLOOKUP($B115,kilpailukalenteri,2))&amp;", "&amp;IF(RIGHT(VLOOKUP($B115,kilpailukalenteri,4),1)="*",LEFT(VLOOKUP($B115,kilpailukalenteri,4),LEN(VLOOKUP($B115,kilpailukalenteri,4))-2)&amp;", Kultainen GP",VLOOKUP($B115,kilpailukalenteri,4)),IF($C115=0,"Sija",IF($C115&gt;Data!$CP$2,"",ROUND(Tulokset!$D115,0)))))</f>
        <v>Sija</v>
      </c>
      <c r="F115" s="78" t="str">
        <f ca="1">IF($B115&gt;keilatut,"",IF($C115=(-1),"",IF($C115=0,"Nimi",IF($C115&gt;Data!$CP$2,"",OFFSET(tulossiirtymä,MATCH($D115,Data!$AN$2:$AN$313,0),Tulokset!F$2)))))</f>
        <v>Nimi</v>
      </c>
      <c r="G115" s="78" t="str">
        <f ca="1">IF($B115&gt;keilatut,"",IF($C115=(-1),"",IF($C115=0,"Sarja 1",IF($C115&gt;Data!$CP$2,"",OFFSET(tulossiirtymä,MATCH($D115,Data!$AN$2:$AN$313,0),Tulokset!G$2)))))</f>
        <v>Sarja 1</v>
      </c>
      <c r="H115" s="78" t="str">
        <f ca="1">IF($B115&gt;keilatut,"",IF($C115=(-1),"",IF($C115=0,"Sarja 2",IF($C115&gt;Data!$CP$2,"",OFFSET(tulossiirtymä,MATCH($D115,Data!$AN$2:$AN$313,0),Tulokset!H$2)))))</f>
        <v>Sarja 2</v>
      </c>
      <c r="I115" s="78" t="str">
        <f ca="1">IF($B115&gt;keilatut,"",IF($C115=(-1),"",IF($C115=0,"Yhteensä",IF($C115&gt;Data!$CP$2,"",OFFSET(tulossiirtymä,MATCH($D115,Data!$AN$2:$AN$313,0),Tulokset!I$2)))))</f>
        <v>Yhteensä</v>
      </c>
      <c r="J115" s="78" t="str">
        <f ca="1">IF($B115&gt;keilatut,"",IF($C115=(-1),"",IF($C115=0,"Ero voittajaan",IF($C115&gt;Data!$CP$2,"",OFFSET(tulossiirtymä,MATCH($D115,Data!$AN$2:$AN$313,0),Tulokset!J$2)))))</f>
        <v>Ero voittajaan</v>
      </c>
      <c r="K115" s="78" t="str">
        <f ca="1">IF($B115&gt;keilatut,"",IF($C115=(-1),"",IF($C115=0,"Pisteet",IF($C115&gt;Data!$CP$2,"",OFFSET(tulossiirtymä,MATCH($D115,Data!$AN$2:$AN$313,0),Tulokset!K$2)))))</f>
        <v>Pisteet</v>
      </c>
      <c r="L115" s="78" t="str">
        <f ca="1">IF($B115&gt;keilatut,"",IF($C115=(-1),"",IF($C115=0,"Pisteet yhteensä",IF($C115&gt;Data!$CP$2,"",OFFSET(tulossiirtymä,MATCH($D115,Data!$AN$2:$AN$313,0),Tulokset!L$2)))))</f>
        <v>Pisteet yhteensä</v>
      </c>
      <c r="M115" s="78" t="str">
        <f ca="1">IF($B115&gt;keilatut,"",IF($C115=(-1),"",IF($C115=0,"Pisteseloste",IF($C115&gt;Data!$CP$2,"",OFFSET(tulossiirtymä,MATCH($D115,Data!$AN$2:$AN$313,0),Tulokset!M$2)))))</f>
        <v>Pisteseloste</v>
      </c>
    </row>
    <row r="116" spans="2:13" x14ac:dyDescent="0.25">
      <c r="B116" s="78">
        <f t="shared" si="2"/>
        <v>5</v>
      </c>
      <c r="C116" s="78">
        <f>COUNTIF($B$6:B116,B116)-2</f>
        <v>1</v>
      </c>
      <c r="D116" s="79">
        <f t="array" ref="D116">IF($B116&lt;=keilatut,IF($C116&lt;1,"",IF($C116&gt;Data!$CP$2,"",SMALL(IF(Data!$B$2:$B$313=Tulokset!$B116,Data!$AN$2:$AN$313),Tulokset!$C116))),"")</f>
        <v>1.0000770000000001</v>
      </c>
      <c r="E116" s="78">
        <f>IF($B116&gt;keilatut,"",IF($C116=(-1),"GP"&amp;$B116&amp;", "&amp;DAY(VLOOKUP($B116,kilpailukalenteri,2))&amp;"."&amp;MONTH(VLOOKUP($B116,kilpailukalenteri,2))&amp;"."&amp;YEAR(VLOOKUP($B116,kilpailukalenteri,2))&amp;", "&amp;IF(RIGHT(VLOOKUP($B116,kilpailukalenteri,4),1)="*",LEFT(VLOOKUP($B116,kilpailukalenteri,4),LEN(VLOOKUP($B116,kilpailukalenteri,4))-2)&amp;", Kultainen GP",VLOOKUP($B116,kilpailukalenteri,4)),IF($C116=0,"Sija",IF($C116&gt;Data!$CP$2,"",ROUND(Tulokset!$D116,0)))))</f>
        <v>1</v>
      </c>
      <c r="F116" s="78" t="str">
        <f ca="1">IF($B116&gt;keilatut,"",IF($C116=(-1),"",IF($C116=0,"Nimi",IF($C116&gt;Data!$CP$2,"",OFFSET(tulossiirtymä,MATCH($D116,Data!$AN$2:$AN$313,0),Tulokset!F$2)))))</f>
        <v>Miika Nordblad</v>
      </c>
      <c r="G116" s="78">
        <f ca="1">IF($B116&gt;keilatut,"",IF($C116=(-1),"",IF($C116=0,"Sarja 1",IF($C116&gt;Data!$CP$2,"",OFFSET(tulossiirtymä,MATCH($D116,Data!$AN$2:$AN$313,0),Tulokset!G$2)))))</f>
        <v>184</v>
      </c>
      <c r="H116" s="78">
        <f ca="1">IF($B116&gt;keilatut,"",IF($C116=(-1),"",IF($C116=0,"Sarja 2",IF($C116&gt;Data!$CP$2,"",OFFSET(tulossiirtymä,MATCH($D116,Data!$AN$2:$AN$313,0),Tulokset!H$2)))))</f>
        <v>149</v>
      </c>
      <c r="I116" s="78">
        <f ca="1">IF($B116&gt;keilatut,"",IF($C116=(-1),"",IF($C116=0,"Yhteensä",IF($C116&gt;Data!$CP$2,"",OFFSET(tulossiirtymä,MATCH($D116,Data!$AN$2:$AN$313,0),Tulokset!I$2)))))</f>
        <v>333</v>
      </c>
      <c r="J116" s="78" t="str">
        <f ca="1">IF($B116&gt;keilatut,"",IF($C116=(-1),"",IF($C116=0,"Ero voittajaan",IF($C116&gt;Data!$CP$2,"",OFFSET(tulossiirtymä,MATCH($D116,Data!$AN$2:$AN$313,0),Tulokset!J$2)))))</f>
        <v/>
      </c>
      <c r="K116" s="78">
        <f ca="1">IF($B116&gt;keilatut,"",IF($C116=(-1),"",IF($C116=0,"Pisteet",IF($C116&gt;Data!$CP$2,"",OFFSET(tulossiirtymä,MATCH($D116,Data!$AN$2:$AN$313,0),Tulokset!K$2)))))</f>
        <v>13</v>
      </c>
      <c r="L116" s="78">
        <f ca="1">IF($B116&gt;keilatut,"",IF($C116=(-1),"",IF($C116=0,"Pisteet yhteensä",IF($C116&gt;Data!$CP$2,"",OFFSET(tulossiirtymä,MATCH($D116,Data!$AN$2:$AN$313,0),Tulokset!L$2)))))</f>
        <v>40</v>
      </c>
      <c r="M116" s="78" t="str">
        <f ca="1">IF($B116&gt;keilatut,"",IF($C116=(-1),"",IF($C116=0,"Pisteseloste",IF($C116&gt;Data!$CP$2,"",OFFSET(tulossiirtymä,MATCH($D116,Data!$AN$2:$AN$313,0),Tulokset!M$2)))))</f>
        <v>+SP+KK</v>
      </c>
    </row>
    <row r="117" spans="2:13" x14ac:dyDescent="0.25">
      <c r="B117" s="78">
        <f t="shared" si="2"/>
        <v>5</v>
      </c>
      <c r="C117" s="78">
        <f>COUNTIF($B$6:B117,B117)-2</f>
        <v>2</v>
      </c>
      <c r="D117" s="79">
        <f t="array" ref="D117">IF($B117&lt;=keilatut,IF($C117&lt;1,"",IF($C117&gt;Data!$CP$2,"",SMALL(IF(Data!$B$2:$B$313=Tulokset!$B117,Data!$AN$2:$AN$313),Tulokset!$C117))),"")</f>
        <v>2.0000840000000002</v>
      </c>
      <c r="E117" s="78">
        <f>IF($B117&gt;keilatut,"",IF($C117=(-1),"GP"&amp;$B117&amp;", "&amp;DAY(VLOOKUP($B117,kilpailukalenteri,2))&amp;"."&amp;MONTH(VLOOKUP($B117,kilpailukalenteri,2))&amp;"."&amp;YEAR(VLOOKUP($B117,kilpailukalenteri,2))&amp;", "&amp;IF(RIGHT(VLOOKUP($B117,kilpailukalenteri,4),1)="*",LEFT(VLOOKUP($B117,kilpailukalenteri,4),LEN(VLOOKUP($B117,kilpailukalenteri,4))-2)&amp;", Kultainen GP",VLOOKUP($B117,kilpailukalenteri,4)),IF($C117=0,"Sija",IF($C117&gt;Data!$CP$2,"",ROUND(Tulokset!$D117,0)))))</f>
        <v>2</v>
      </c>
      <c r="F117" s="78" t="str">
        <f ca="1">IF($B117&gt;keilatut,"",IF($C117=(-1),"",IF($C117=0,"Nimi",IF($C117&gt;Data!$CP$2,"",OFFSET(tulossiirtymä,MATCH($D117,Data!$AN$2:$AN$313,0),Tulokset!F$2)))))</f>
        <v>Miikka Korventausta</v>
      </c>
      <c r="G117" s="78">
        <f ca="1">IF($B117&gt;keilatut,"",IF($C117=(-1),"",IF($C117=0,"Sarja 1",IF($C117&gt;Data!$CP$2,"",OFFSET(tulossiirtymä,MATCH($D117,Data!$AN$2:$AN$313,0),Tulokset!G$2)))))</f>
        <v>144</v>
      </c>
      <c r="H117" s="78">
        <f ca="1">IF($B117&gt;keilatut,"",IF($C117=(-1),"",IF($C117=0,"Sarja 2",IF($C117&gt;Data!$CP$2,"",OFFSET(tulossiirtymä,MATCH($D117,Data!$AN$2:$AN$313,0),Tulokset!H$2)))))</f>
        <v>183</v>
      </c>
      <c r="I117" s="78">
        <f ca="1">IF($B117&gt;keilatut,"",IF($C117=(-1),"",IF($C117=0,"Yhteensä",IF($C117&gt;Data!$CP$2,"",OFFSET(tulossiirtymä,MATCH($D117,Data!$AN$2:$AN$313,0),Tulokset!I$2)))))</f>
        <v>327</v>
      </c>
      <c r="J117" s="78">
        <f ca="1">IF($B117&gt;keilatut,"",IF($C117=(-1),"",IF($C117=0,"Ero voittajaan",IF($C117&gt;Data!$CP$2,"",OFFSET(tulossiirtymä,MATCH($D117,Data!$AN$2:$AN$313,0),Tulokset!J$2)))))</f>
        <v>6</v>
      </c>
      <c r="K117" s="78">
        <f ca="1">IF($B117&gt;keilatut,"",IF($C117=(-1),"",IF($C117=0,"Pisteet",IF($C117&gt;Data!$CP$2,"",OFFSET(tulossiirtymä,MATCH($D117,Data!$AN$2:$AN$313,0),Tulokset!K$2)))))</f>
        <v>10</v>
      </c>
      <c r="L117" s="78">
        <f ca="1">IF($B117&gt;keilatut,"",IF($C117=(-1),"",IF($C117=0,"Pisteet yhteensä",IF($C117&gt;Data!$CP$2,"",OFFSET(tulossiirtymä,MATCH($D117,Data!$AN$2:$AN$313,0),Tulokset!L$2)))))</f>
        <v>17</v>
      </c>
      <c r="M117" s="78" t="str">
        <f ca="1">IF($B117&gt;keilatut,"",IF($C117=(-1),"",IF($C117=0,"Pisteseloste",IF($C117&gt;Data!$CP$2,"",OFFSET(tulossiirtymä,MATCH($D117,Data!$AN$2:$AN$313,0),Tulokset!M$2)))))</f>
        <v>+SP</v>
      </c>
    </row>
    <row r="118" spans="2:13" x14ac:dyDescent="0.25">
      <c r="B118" s="78">
        <f t="shared" si="2"/>
        <v>5</v>
      </c>
      <c r="C118" s="78">
        <f>COUNTIF($B$6:B118,B118)-2</f>
        <v>3</v>
      </c>
      <c r="D118" s="79">
        <f t="array" ref="D118">IF($B118&lt;=keilatut,IF($C118&lt;1,"",IF($C118&gt;Data!$CP$2,"",SMALL(IF(Data!$B$2:$B$313=Tulokset!$B118,Data!$AN$2:$AN$313),Tulokset!$C118))),"")</f>
        <v>3.0000749999999998</v>
      </c>
      <c r="E118" s="78">
        <f>IF($B118&gt;keilatut,"",IF($C118=(-1),"GP"&amp;$B118&amp;", "&amp;DAY(VLOOKUP($B118,kilpailukalenteri,2))&amp;"."&amp;MONTH(VLOOKUP($B118,kilpailukalenteri,2))&amp;"."&amp;YEAR(VLOOKUP($B118,kilpailukalenteri,2))&amp;", "&amp;IF(RIGHT(VLOOKUP($B118,kilpailukalenteri,4),1)="*",LEFT(VLOOKUP($B118,kilpailukalenteri,4),LEN(VLOOKUP($B118,kilpailukalenteri,4))-2)&amp;", Kultainen GP",VLOOKUP($B118,kilpailukalenteri,4)),IF($C118=0,"Sija",IF($C118&gt;Data!$CP$2,"",ROUND(Tulokset!$D118,0)))))</f>
        <v>3</v>
      </c>
      <c r="F118" s="78" t="str">
        <f ca="1">IF($B118&gt;keilatut,"",IF($C118=(-1),"",IF($C118=0,"Nimi",IF($C118&gt;Data!$CP$2,"",OFFSET(tulossiirtymä,MATCH($D118,Data!$AN$2:$AN$313,0),Tulokset!F$2)))))</f>
        <v>Ossi Oksa</v>
      </c>
      <c r="G118" s="78">
        <f ca="1">IF($B118&gt;keilatut,"",IF($C118=(-1),"",IF($C118=0,"Sarja 1",IF($C118&gt;Data!$CP$2,"",OFFSET(tulossiirtymä,MATCH($D118,Data!$AN$2:$AN$313,0),Tulokset!G$2)))))</f>
        <v>156</v>
      </c>
      <c r="H118" s="78">
        <f ca="1">IF($B118&gt;keilatut,"",IF($C118=(-1),"",IF($C118=0,"Sarja 2",IF($C118&gt;Data!$CP$2,"",OFFSET(tulossiirtymä,MATCH($D118,Data!$AN$2:$AN$313,0),Tulokset!H$2)))))</f>
        <v>164</v>
      </c>
      <c r="I118" s="78">
        <f ca="1">IF($B118&gt;keilatut,"",IF($C118=(-1),"",IF($C118=0,"Yhteensä",IF($C118&gt;Data!$CP$2,"",OFFSET(tulossiirtymä,MATCH($D118,Data!$AN$2:$AN$313,0),Tulokset!I$2)))))</f>
        <v>320</v>
      </c>
      <c r="J118" s="78">
        <f ca="1">IF($B118&gt;keilatut,"",IF($C118=(-1),"",IF($C118=0,"Ero voittajaan",IF($C118&gt;Data!$CP$2,"",OFFSET(tulossiirtymä,MATCH($D118,Data!$AN$2:$AN$313,0),Tulokset!J$2)))))</f>
        <v>13</v>
      </c>
      <c r="K118" s="78">
        <f ca="1">IF($B118&gt;keilatut,"",IF($C118=(-1),"",IF($C118=0,"Pisteet",IF($C118&gt;Data!$CP$2,"",OFFSET(tulossiirtymä,MATCH($D118,Data!$AN$2:$AN$313,0),Tulokset!K$2)))))</f>
        <v>8</v>
      </c>
      <c r="L118" s="78">
        <f ca="1">IF($B118&gt;keilatut,"",IF($C118=(-1),"",IF($C118=0,"Pisteet yhteensä",IF($C118&gt;Data!$CP$2,"",OFFSET(tulossiirtymä,MATCH($D118,Data!$AN$2:$AN$313,0),Tulokset!L$2)))))</f>
        <v>34.5</v>
      </c>
      <c r="M118" s="78" t="str">
        <f ca="1">IF($B118&gt;keilatut,"",IF($C118=(-1),"",IF($C118=0,"Pisteseloste",IF($C118&gt;Data!$CP$2,"",OFFSET(tulossiirtymä,MATCH($D118,Data!$AN$2:$AN$313,0),Tulokset!M$2)))))</f>
        <v>+SP</v>
      </c>
    </row>
    <row r="119" spans="2:13" x14ac:dyDescent="0.25">
      <c r="B119" s="78">
        <f t="shared" si="2"/>
        <v>5</v>
      </c>
      <c r="C119" s="78">
        <f>COUNTIF($B$6:B119,B119)-2</f>
        <v>4</v>
      </c>
      <c r="D119" s="79">
        <f t="array" ref="D119">IF($B119&lt;=keilatut,IF($C119&lt;1,"",IF($C119&gt;Data!$CP$2,"",SMALL(IF(Data!$B$2:$B$313=Tulokset!$B119,Data!$AN$2:$AN$313),Tulokset!$C119))),"")</f>
        <v>4.000076</v>
      </c>
      <c r="E119" s="78">
        <f>IF($B119&gt;keilatut,"",IF($C119=(-1),"GP"&amp;$B119&amp;", "&amp;DAY(VLOOKUP($B119,kilpailukalenteri,2))&amp;"."&amp;MONTH(VLOOKUP($B119,kilpailukalenteri,2))&amp;"."&amp;YEAR(VLOOKUP($B119,kilpailukalenteri,2))&amp;", "&amp;IF(RIGHT(VLOOKUP($B119,kilpailukalenteri,4),1)="*",LEFT(VLOOKUP($B119,kilpailukalenteri,4),LEN(VLOOKUP($B119,kilpailukalenteri,4))-2)&amp;", Kultainen GP",VLOOKUP($B119,kilpailukalenteri,4)),IF($C119=0,"Sija",IF($C119&gt;Data!$CP$2,"",ROUND(Tulokset!$D119,0)))))</f>
        <v>4</v>
      </c>
      <c r="F119" s="78" t="str">
        <f ca="1">IF($B119&gt;keilatut,"",IF($C119=(-1),"",IF($C119=0,"Nimi",IF($C119&gt;Data!$CP$2,"",OFFSET(tulossiirtymä,MATCH($D119,Data!$AN$2:$AN$313,0),Tulokset!F$2)))))</f>
        <v>Jami Kallio</v>
      </c>
      <c r="G119" s="78">
        <f ca="1">IF($B119&gt;keilatut,"",IF($C119=(-1),"",IF($C119=0,"Sarja 1",IF($C119&gt;Data!$CP$2,"",OFFSET(tulossiirtymä,MATCH($D119,Data!$AN$2:$AN$313,0),Tulokset!G$2)))))</f>
        <v>131</v>
      </c>
      <c r="H119" s="78">
        <f ca="1">IF($B119&gt;keilatut,"",IF($C119=(-1),"",IF($C119=0,"Sarja 2",IF($C119&gt;Data!$CP$2,"",OFFSET(tulossiirtymä,MATCH($D119,Data!$AN$2:$AN$313,0),Tulokset!H$2)))))</f>
        <v>174</v>
      </c>
      <c r="I119" s="78">
        <f ca="1">IF($B119&gt;keilatut,"",IF($C119=(-1),"",IF($C119=0,"Yhteensä",IF($C119&gt;Data!$CP$2,"",OFFSET(tulossiirtymä,MATCH($D119,Data!$AN$2:$AN$313,0),Tulokset!I$2)))))</f>
        <v>305</v>
      </c>
      <c r="J119" s="78">
        <f ca="1">IF($B119&gt;keilatut,"",IF($C119=(-1),"",IF($C119=0,"Ero voittajaan",IF($C119&gt;Data!$CP$2,"",OFFSET(tulossiirtymä,MATCH($D119,Data!$AN$2:$AN$313,0),Tulokset!J$2)))))</f>
        <v>28</v>
      </c>
      <c r="K119" s="78">
        <f ca="1">IF($B119&gt;keilatut,"",IF($C119=(-1),"",IF($C119=0,"Pisteet",IF($C119&gt;Data!$CP$2,"",OFFSET(tulossiirtymä,MATCH($D119,Data!$AN$2:$AN$313,0),Tulokset!K$2)))))</f>
        <v>7</v>
      </c>
      <c r="L119" s="78">
        <f ca="1">IF($B119&gt;keilatut,"",IF($C119=(-1),"",IF($C119=0,"Pisteet yhteensä",IF($C119&gt;Data!$CP$2,"",OFFSET(tulossiirtymä,MATCH($D119,Data!$AN$2:$AN$313,0),Tulokset!L$2)))))</f>
        <v>35</v>
      </c>
      <c r="M119" s="78" t="str">
        <f ca="1">IF($B119&gt;keilatut,"",IF($C119=(-1),"",IF($C119=0,"Pisteseloste",IF($C119&gt;Data!$CP$2,"",OFFSET(tulossiirtymä,MATCH($D119,Data!$AN$2:$AN$313,0),Tulokset!M$2)))))</f>
        <v>+SP</v>
      </c>
    </row>
    <row r="120" spans="2:13" x14ac:dyDescent="0.25">
      <c r="B120" s="78">
        <f t="shared" si="2"/>
        <v>5</v>
      </c>
      <c r="C120" s="78">
        <f>COUNTIF($B$6:B120,B120)-2</f>
        <v>5</v>
      </c>
      <c r="D120" s="79">
        <f t="array" ref="D120">IF($B120&lt;=keilatut,IF($C120&lt;1,"",IF($C120&gt;Data!$CP$2,"",SMALL(IF(Data!$B$2:$B$313=Tulokset!$B120,Data!$AN$2:$AN$313),Tulokset!$C120))),"")</f>
        <v>5.0000780000000002</v>
      </c>
      <c r="E120" s="78">
        <f>IF($B120&gt;keilatut,"",IF($C120=(-1),"GP"&amp;$B120&amp;", "&amp;DAY(VLOOKUP($B120,kilpailukalenteri,2))&amp;"."&amp;MONTH(VLOOKUP($B120,kilpailukalenteri,2))&amp;"."&amp;YEAR(VLOOKUP($B120,kilpailukalenteri,2))&amp;", "&amp;IF(RIGHT(VLOOKUP($B120,kilpailukalenteri,4),1)="*",LEFT(VLOOKUP($B120,kilpailukalenteri,4),LEN(VLOOKUP($B120,kilpailukalenteri,4))-2)&amp;", Kultainen GP",VLOOKUP($B120,kilpailukalenteri,4)),IF($C120=0,"Sija",IF($C120&gt;Data!$CP$2,"",ROUND(Tulokset!$D120,0)))))</f>
        <v>5</v>
      </c>
      <c r="F120" s="78" t="str">
        <f ca="1">IF($B120&gt;keilatut,"",IF($C120=(-1),"",IF($C120=0,"Nimi",IF($C120&gt;Data!$CP$2,"",OFFSET(tulossiirtymä,MATCH($D120,Data!$AN$2:$AN$313,0),Tulokset!F$2)))))</f>
        <v>Henri Verho</v>
      </c>
      <c r="G120" s="78">
        <f ca="1">IF($B120&gt;keilatut,"",IF($C120=(-1),"",IF($C120=0,"Sarja 1",IF($C120&gt;Data!$CP$2,"",OFFSET(tulossiirtymä,MATCH($D120,Data!$AN$2:$AN$313,0),Tulokset!G$2)))))</f>
        <v>130</v>
      </c>
      <c r="H120" s="78">
        <f ca="1">IF($B120&gt;keilatut,"",IF($C120=(-1),"",IF($C120=0,"Sarja 2",IF($C120&gt;Data!$CP$2,"",OFFSET(tulossiirtymä,MATCH($D120,Data!$AN$2:$AN$313,0),Tulokset!H$2)))))</f>
        <v>163</v>
      </c>
      <c r="I120" s="78">
        <f ca="1">IF($B120&gt;keilatut,"",IF($C120=(-1),"",IF($C120=0,"Yhteensä",IF($C120&gt;Data!$CP$2,"",OFFSET(tulossiirtymä,MATCH($D120,Data!$AN$2:$AN$313,0),Tulokset!I$2)))))</f>
        <v>293</v>
      </c>
      <c r="J120" s="78">
        <f ca="1">IF($B120&gt;keilatut,"",IF($C120=(-1),"",IF($C120=0,"Ero voittajaan",IF($C120&gt;Data!$CP$2,"",OFFSET(tulossiirtymä,MATCH($D120,Data!$AN$2:$AN$313,0),Tulokset!J$2)))))</f>
        <v>40</v>
      </c>
      <c r="K120" s="78">
        <f ca="1">IF($B120&gt;keilatut,"",IF($C120=(-1),"",IF($C120=0,"Pisteet",IF($C120&gt;Data!$CP$2,"",OFFSET(tulossiirtymä,MATCH($D120,Data!$AN$2:$AN$313,0),Tulokset!K$2)))))</f>
        <v>6</v>
      </c>
      <c r="L120" s="78">
        <f ca="1">IF($B120&gt;keilatut,"",IF($C120=(-1),"",IF($C120=0,"Pisteet yhteensä",IF($C120&gt;Data!$CP$2,"",OFFSET(tulossiirtymä,MATCH($D120,Data!$AN$2:$AN$313,0),Tulokset!L$2)))))</f>
        <v>28</v>
      </c>
      <c r="M120" s="78" t="str">
        <f ca="1">IF($B120&gt;keilatut,"",IF($C120=(-1),"",IF($C120=0,"Pisteseloste",IF($C120&gt;Data!$CP$2,"",OFFSET(tulossiirtymä,MATCH($D120,Data!$AN$2:$AN$313,0),Tulokset!M$2)))))</f>
        <v>+SP</v>
      </c>
    </row>
    <row r="121" spans="2:13" x14ac:dyDescent="0.25">
      <c r="B121" s="78">
        <f t="shared" si="2"/>
        <v>5</v>
      </c>
      <c r="C121" s="78">
        <f>COUNTIF($B$6:B121,B121)-2</f>
        <v>6</v>
      </c>
      <c r="D121" s="79">
        <f t="array" ref="D121">IF($B121&lt;=keilatut,IF($C121&lt;1,"",IF($C121&gt;Data!$CP$2,"",SMALL(IF(Data!$B$2:$B$313=Tulokset!$B121,Data!$AN$2:$AN$313),Tulokset!$C121))),"")</f>
        <v>6.0000830000000001</v>
      </c>
      <c r="E121" s="78">
        <f>IF($B121&gt;keilatut,"",IF($C121=(-1),"GP"&amp;$B121&amp;", "&amp;DAY(VLOOKUP($B121,kilpailukalenteri,2))&amp;"."&amp;MONTH(VLOOKUP($B121,kilpailukalenteri,2))&amp;"."&amp;YEAR(VLOOKUP($B121,kilpailukalenteri,2))&amp;", "&amp;IF(RIGHT(VLOOKUP($B121,kilpailukalenteri,4),1)="*",LEFT(VLOOKUP($B121,kilpailukalenteri,4),LEN(VLOOKUP($B121,kilpailukalenteri,4))-2)&amp;", Kultainen GP",VLOOKUP($B121,kilpailukalenteri,4)),IF($C121=0,"Sija",IF($C121&gt;Data!$CP$2,"",ROUND(Tulokset!$D121,0)))))</f>
        <v>6</v>
      </c>
      <c r="F121" s="78" t="str">
        <f ca="1">IF($B121&gt;keilatut,"",IF($C121=(-1),"",IF($C121=0,"Nimi",IF($C121&gt;Data!$CP$2,"",OFFSET(tulossiirtymä,MATCH($D121,Data!$AN$2:$AN$313,0),Tulokset!F$2)))))</f>
        <v>Sakari Leinonen</v>
      </c>
      <c r="G121" s="78">
        <f ca="1">IF($B121&gt;keilatut,"",IF($C121=(-1),"",IF($C121=0,"Sarja 1",IF($C121&gt;Data!$CP$2,"",OFFSET(tulossiirtymä,MATCH($D121,Data!$AN$2:$AN$313,0),Tulokset!G$2)))))</f>
        <v>153</v>
      </c>
      <c r="H121" s="78">
        <f ca="1">IF($B121&gt;keilatut,"",IF($C121=(-1),"",IF($C121=0,"Sarja 2",IF($C121&gt;Data!$CP$2,"",OFFSET(tulossiirtymä,MATCH($D121,Data!$AN$2:$AN$313,0),Tulokset!H$2)))))</f>
        <v>139</v>
      </c>
      <c r="I121" s="78">
        <f ca="1">IF($B121&gt;keilatut,"",IF($C121=(-1),"",IF($C121=0,"Yhteensä",IF($C121&gt;Data!$CP$2,"",OFFSET(tulossiirtymä,MATCH($D121,Data!$AN$2:$AN$313,0),Tulokset!I$2)))))</f>
        <v>292</v>
      </c>
      <c r="J121" s="78">
        <f ca="1">IF($B121&gt;keilatut,"",IF($C121=(-1),"",IF($C121=0,"Ero voittajaan",IF($C121&gt;Data!$CP$2,"",OFFSET(tulossiirtymä,MATCH($D121,Data!$AN$2:$AN$313,0),Tulokset!J$2)))))</f>
        <v>41</v>
      </c>
      <c r="K121" s="78">
        <f ca="1">IF($B121&gt;keilatut,"",IF($C121=(-1),"",IF($C121=0,"Pisteet",IF($C121&gt;Data!$CP$2,"",OFFSET(tulossiirtymä,MATCH($D121,Data!$AN$2:$AN$313,0),Tulokset!K$2)))))</f>
        <v>5</v>
      </c>
      <c r="L121" s="78">
        <f ca="1">IF($B121&gt;keilatut,"",IF($C121=(-1),"",IF($C121=0,"Pisteet yhteensä",IF($C121&gt;Data!$CP$2,"",OFFSET(tulossiirtymä,MATCH($D121,Data!$AN$2:$AN$313,0),Tulokset!L$2)))))</f>
        <v>15</v>
      </c>
      <c r="M121" s="78" t="str">
        <f ca="1">IF($B121&gt;keilatut,"",IF($C121=(-1),"",IF($C121=0,"Pisteseloste",IF($C121&gt;Data!$CP$2,"",OFFSET(tulossiirtymä,MATCH($D121,Data!$AN$2:$AN$313,0),Tulokset!M$2)))))</f>
        <v>+SP</v>
      </c>
    </row>
    <row r="122" spans="2:13" x14ac:dyDescent="0.25">
      <c r="B122" s="78">
        <f t="shared" si="2"/>
        <v>5</v>
      </c>
      <c r="C122" s="78">
        <f>COUNTIF($B$6:B122,B122)-2</f>
        <v>7</v>
      </c>
      <c r="D122" s="79">
        <f t="array" ref="D122">IF($B122&lt;=keilatut,IF($C122&lt;1,"",IF($C122&gt;Data!$CP$2,"",SMALL(IF(Data!$B$2:$B$313=Tulokset!$B122,Data!$AN$2:$AN$313),Tulokset!$C122))),"")</f>
        <v>7.0000739999999997</v>
      </c>
      <c r="E122" s="78">
        <f>IF($B122&gt;keilatut,"",IF($C122=(-1),"GP"&amp;$B122&amp;", "&amp;DAY(VLOOKUP($B122,kilpailukalenteri,2))&amp;"."&amp;MONTH(VLOOKUP($B122,kilpailukalenteri,2))&amp;"."&amp;YEAR(VLOOKUP($B122,kilpailukalenteri,2))&amp;", "&amp;IF(RIGHT(VLOOKUP($B122,kilpailukalenteri,4),1)="*",LEFT(VLOOKUP($B122,kilpailukalenteri,4),LEN(VLOOKUP($B122,kilpailukalenteri,4))-2)&amp;", Kultainen GP",VLOOKUP($B122,kilpailukalenteri,4)),IF($C122=0,"Sija",IF($C122&gt;Data!$CP$2,"",ROUND(Tulokset!$D122,0)))))</f>
        <v>7</v>
      </c>
      <c r="F122" s="78" t="str">
        <f ca="1">IF($B122&gt;keilatut,"",IF($C122=(-1),"",IF($C122=0,"Nimi",IF($C122&gt;Data!$CP$2,"",OFFSET(tulossiirtymä,MATCH($D122,Data!$AN$2:$AN$313,0),Tulokset!F$2)))))</f>
        <v>Juho Korpi</v>
      </c>
      <c r="G122" s="78">
        <f ca="1">IF($B122&gt;keilatut,"",IF($C122=(-1),"",IF($C122=0,"Sarja 1",IF($C122&gt;Data!$CP$2,"",OFFSET(tulossiirtymä,MATCH($D122,Data!$AN$2:$AN$313,0),Tulokset!G$2)))))</f>
        <v>161</v>
      </c>
      <c r="H122" s="78">
        <f ca="1">IF($B122&gt;keilatut,"",IF($C122=(-1),"",IF($C122=0,"Sarja 2",IF($C122&gt;Data!$CP$2,"",OFFSET(tulossiirtymä,MATCH($D122,Data!$AN$2:$AN$313,0),Tulokset!H$2)))))</f>
        <v>128</v>
      </c>
      <c r="I122" s="78">
        <f ca="1">IF($B122&gt;keilatut,"",IF($C122=(-1),"",IF($C122=0,"Yhteensä",IF($C122&gt;Data!$CP$2,"",OFFSET(tulossiirtymä,MATCH($D122,Data!$AN$2:$AN$313,0),Tulokset!I$2)))))</f>
        <v>289</v>
      </c>
      <c r="J122" s="78">
        <f ca="1">IF($B122&gt;keilatut,"",IF($C122=(-1),"",IF($C122=0,"Ero voittajaan",IF($C122&gt;Data!$CP$2,"",OFFSET(tulossiirtymä,MATCH($D122,Data!$AN$2:$AN$313,0),Tulokset!J$2)))))</f>
        <v>44</v>
      </c>
      <c r="K122" s="78">
        <f ca="1">IF($B122&gt;keilatut,"",IF($C122=(-1),"",IF($C122=0,"Pisteet",IF($C122&gt;Data!$CP$2,"",OFFSET(tulossiirtymä,MATCH($D122,Data!$AN$2:$AN$313,0),Tulokset!K$2)))))</f>
        <v>4</v>
      </c>
      <c r="L122" s="78">
        <f ca="1">IF($B122&gt;keilatut,"",IF($C122=(-1),"",IF($C122=0,"Pisteet yhteensä",IF($C122&gt;Data!$CP$2,"",OFFSET(tulossiirtymä,MATCH($D122,Data!$AN$2:$AN$313,0),Tulokset!L$2)))))</f>
        <v>8</v>
      </c>
      <c r="M122" s="78" t="str">
        <f ca="1">IF($B122&gt;keilatut,"",IF($C122=(-1),"",IF($C122=0,"Pisteseloste",IF($C122&gt;Data!$CP$2,"",OFFSET(tulossiirtymä,MATCH($D122,Data!$AN$2:$AN$313,0),Tulokset!M$2)))))</f>
        <v>+SP</v>
      </c>
    </row>
    <row r="123" spans="2:13" x14ac:dyDescent="0.25">
      <c r="B123" s="78">
        <f t="shared" si="2"/>
        <v>5</v>
      </c>
      <c r="C123" s="78">
        <f>COUNTIF($B$6:B123,B123)-2</f>
        <v>8</v>
      </c>
      <c r="D123" s="79">
        <f t="array" ref="D123">IF($B123&lt;=keilatut,IF($C123&lt;1,"",IF($C123&gt;Data!$CP$2,"",SMALL(IF(Data!$B$2:$B$313=Tulokset!$B123,Data!$AN$2:$AN$313),Tulokset!$C123))),"")</f>
        <v>8.0000730000000004</v>
      </c>
      <c r="E123" s="78">
        <f>IF($B123&gt;keilatut,"",IF($C123=(-1),"GP"&amp;$B123&amp;", "&amp;DAY(VLOOKUP($B123,kilpailukalenteri,2))&amp;"."&amp;MONTH(VLOOKUP($B123,kilpailukalenteri,2))&amp;"."&amp;YEAR(VLOOKUP($B123,kilpailukalenteri,2))&amp;", "&amp;IF(RIGHT(VLOOKUP($B123,kilpailukalenteri,4),1)="*",LEFT(VLOOKUP($B123,kilpailukalenteri,4),LEN(VLOOKUP($B123,kilpailukalenteri,4))-2)&amp;", Kultainen GP",VLOOKUP($B123,kilpailukalenteri,4)),IF($C123=0,"Sija",IF($C123&gt;Data!$CP$2,"",ROUND(Tulokset!$D123,0)))))</f>
        <v>8</v>
      </c>
      <c r="F123" s="78" t="str">
        <f ca="1">IF($B123&gt;keilatut,"",IF($C123=(-1),"",IF($C123=0,"Nimi",IF($C123&gt;Data!$CP$2,"",OFFSET(tulossiirtymä,MATCH($D123,Data!$AN$2:$AN$313,0),Tulokset!F$2)))))</f>
        <v>Asko Haaksi</v>
      </c>
      <c r="G123" s="78">
        <f ca="1">IF($B123&gt;keilatut,"",IF($C123=(-1),"",IF($C123=0,"Sarja 1",IF($C123&gt;Data!$CP$2,"",OFFSET(tulossiirtymä,MATCH($D123,Data!$AN$2:$AN$313,0),Tulokset!G$2)))))</f>
        <v>120</v>
      </c>
      <c r="H123" s="78">
        <f ca="1">IF($B123&gt;keilatut,"",IF($C123=(-1),"",IF($C123=0,"Sarja 2",IF($C123&gt;Data!$CP$2,"",OFFSET(tulossiirtymä,MATCH($D123,Data!$AN$2:$AN$313,0),Tulokset!H$2)))))</f>
        <v>168</v>
      </c>
      <c r="I123" s="78">
        <f ca="1">IF($B123&gt;keilatut,"",IF($C123=(-1),"",IF($C123=0,"Yhteensä",IF($C123&gt;Data!$CP$2,"",OFFSET(tulossiirtymä,MATCH($D123,Data!$AN$2:$AN$313,0),Tulokset!I$2)))))</f>
        <v>288</v>
      </c>
      <c r="J123" s="78">
        <f ca="1">IF($B123&gt;keilatut,"",IF($C123=(-1),"",IF($C123=0,"Ero voittajaan",IF($C123&gt;Data!$CP$2,"",OFFSET(tulossiirtymä,MATCH($D123,Data!$AN$2:$AN$313,0),Tulokset!J$2)))))</f>
        <v>45</v>
      </c>
      <c r="K123" s="78">
        <f ca="1">IF($B123&gt;keilatut,"",IF($C123=(-1),"",IF($C123=0,"Pisteet",IF($C123&gt;Data!$CP$2,"",OFFSET(tulossiirtymä,MATCH($D123,Data!$AN$2:$AN$313,0),Tulokset!K$2)))))</f>
        <v>3</v>
      </c>
      <c r="L123" s="78">
        <f ca="1">IF($B123&gt;keilatut,"",IF($C123=(-1),"",IF($C123=0,"Pisteet yhteensä",IF($C123&gt;Data!$CP$2,"",OFFSET(tulossiirtymä,MATCH($D123,Data!$AN$2:$AN$313,0),Tulokset!L$2)))))</f>
        <v>14</v>
      </c>
      <c r="M123" s="78" t="str">
        <f ca="1">IF($B123&gt;keilatut,"",IF($C123=(-1),"",IF($C123=0,"Pisteseloste",IF($C123&gt;Data!$CP$2,"",OFFSET(tulossiirtymä,MATCH($D123,Data!$AN$2:$AN$313,0),Tulokset!M$2)))))</f>
        <v>+SP</v>
      </c>
    </row>
    <row r="124" spans="2:13" x14ac:dyDescent="0.25">
      <c r="B124" s="78">
        <f t="shared" si="2"/>
        <v>5</v>
      </c>
      <c r="C124" s="78">
        <f>COUNTIF($B$6:B124,B124)-2</f>
        <v>9</v>
      </c>
      <c r="D124" s="79">
        <f t="array" ref="D124">IF($B124&lt;=keilatut,IF($C124&lt;1,"",IF($C124&gt;Data!$CP$2,"",SMALL(IF(Data!$B$2:$B$313=Tulokset!$B124,Data!$AN$2:$AN$313),Tulokset!$C124))),"")</f>
        <v>9.0000809999999998</v>
      </c>
      <c r="E124" s="78">
        <f>IF($B124&gt;keilatut,"",IF($C124=(-1),"GP"&amp;$B124&amp;", "&amp;DAY(VLOOKUP($B124,kilpailukalenteri,2))&amp;"."&amp;MONTH(VLOOKUP($B124,kilpailukalenteri,2))&amp;"."&amp;YEAR(VLOOKUP($B124,kilpailukalenteri,2))&amp;", "&amp;IF(RIGHT(VLOOKUP($B124,kilpailukalenteri,4),1)="*",LEFT(VLOOKUP($B124,kilpailukalenteri,4),LEN(VLOOKUP($B124,kilpailukalenteri,4))-2)&amp;", Kultainen GP",VLOOKUP($B124,kilpailukalenteri,4)),IF($C124=0,"Sija",IF($C124&gt;Data!$CP$2,"",ROUND(Tulokset!$D124,0)))))</f>
        <v>9</v>
      </c>
      <c r="F124" s="78" t="str">
        <f ca="1">IF($B124&gt;keilatut,"",IF($C124=(-1),"",IF($C124=0,"Nimi",IF($C124&gt;Data!$CP$2,"",OFFSET(tulossiirtymä,MATCH($D124,Data!$AN$2:$AN$313,0),Tulokset!F$2)))))</f>
        <v>Olli Kajava</v>
      </c>
      <c r="G124" s="78">
        <f ca="1">IF($B124&gt;keilatut,"",IF($C124=(-1),"",IF($C124=0,"Sarja 1",IF($C124&gt;Data!$CP$2,"",OFFSET(tulossiirtymä,MATCH($D124,Data!$AN$2:$AN$313,0),Tulokset!G$2)))))</f>
        <v>127</v>
      </c>
      <c r="H124" s="78">
        <f ca="1">IF($B124&gt;keilatut,"",IF($C124=(-1),"",IF($C124=0,"Sarja 2",IF($C124&gt;Data!$CP$2,"",OFFSET(tulossiirtymä,MATCH($D124,Data!$AN$2:$AN$313,0),Tulokset!H$2)))))</f>
        <v>157</v>
      </c>
      <c r="I124" s="78">
        <f ca="1">IF($B124&gt;keilatut,"",IF($C124=(-1),"",IF($C124=0,"Yhteensä",IF($C124&gt;Data!$CP$2,"",OFFSET(tulossiirtymä,MATCH($D124,Data!$AN$2:$AN$313,0),Tulokset!I$2)))))</f>
        <v>284</v>
      </c>
      <c r="J124" s="78">
        <f ca="1">IF($B124&gt;keilatut,"",IF($C124=(-1),"",IF($C124=0,"Ero voittajaan",IF($C124&gt;Data!$CP$2,"",OFFSET(tulossiirtymä,MATCH($D124,Data!$AN$2:$AN$313,0),Tulokset!J$2)))))</f>
        <v>49</v>
      </c>
      <c r="K124" s="78">
        <f ca="1">IF($B124&gt;keilatut,"",IF($C124=(-1),"",IF($C124=0,"Pisteet",IF($C124&gt;Data!$CP$2,"",OFFSET(tulossiirtymä,MATCH($D124,Data!$AN$2:$AN$313,0),Tulokset!K$2)))))</f>
        <v>2</v>
      </c>
      <c r="L124" s="78">
        <f ca="1">IF($B124&gt;keilatut,"",IF($C124=(-1),"",IF($C124=0,"Pisteet yhteensä",IF($C124&gt;Data!$CP$2,"",OFFSET(tulossiirtymä,MATCH($D124,Data!$AN$2:$AN$313,0),Tulokset!L$2)))))</f>
        <v>9</v>
      </c>
      <c r="M124" s="78" t="str">
        <f ca="1">IF($B124&gt;keilatut,"",IF($C124=(-1),"",IF($C124=0,"Pisteseloste",IF($C124&gt;Data!$CP$2,"",OFFSET(tulossiirtymä,MATCH($D124,Data!$AN$2:$AN$313,0),Tulokset!M$2)))))</f>
        <v>+SP</v>
      </c>
    </row>
    <row r="125" spans="2:13" x14ac:dyDescent="0.25">
      <c r="B125" s="78">
        <f t="shared" si="2"/>
        <v>5</v>
      </c>
      <c r="C125" s="78">
        <f>COUNTIF($B$6:B125,B125)-2</f>
        <v>10</v>
      </c>
      <c r="D125" s="79">
        <f t="array" ref="D125">IF($B125&lt;=keilatut,IF($C125&lt;1,"",IF($C125&gt;Data!$CP$2,"",SMALL(IF(Data!$B$2:$B$313=Tulokset!$B125,Data!$AN$2:$AN$313),Tulokset!$C125))),"")</f>
        <v>10.000082000000001</v>
      </c>
      <c r="E125" s="78">
        <f>IF($B125&gt;keilatut,"",IF($C125=(-1),"GP"&amp;$B125&amp;", "&amp;DAY(VLOOKUP($B125,kilpailukalenteri,2))&amp;"."&amp;MONTH(VLOOKUP($B125,kilpailukalenteri,2))&amp;"."&amp;YEAR(VLOOKUP($B125,kilpailukalenteri,2))&amp;", "&amp;IF(RIGHT(VLOOKUP($B125,kilpailukalenteri,4),1)="*",LEFT(VLOOKUP($B125,kilpailukalenteri,4),LEN(VLOOKUP($B125,kilpailukalenteri,4))-2)&amp;", Kultainen GP",VLOOKUP($B125,kilpailukalenteri,4)),IF($C125=0,"Sija",IF($C125&gt;Data!$CP$2,"",ROUND(Tulokset!$D125,0)))))</f>
        <v>10</v>
      </c>
      <c r="F125" s="78" t="str">
        <f ca="1">IF($B125&gt;keilatut,"",IF($C125=(-1),"",IF($C125=0,"Nimi",IF($C125&gt;Data!$CP$2,"",OFFSET(tulossiirtymä,MATCH($D125,Data!$AN$2:$AN$313,0),Tulokset!F$2)))))</f>
        <v>Mika Sola</v>
      </c>
      <c r="G125" s="78">
        <f ca="1">IF($B125&gt;keilatut,"",IF($C125=(-1),"",IF($C125=0,"Sarja 1",IF($C125&gt;Data!$CP$2,"",OFFSET(tulossiirtymä,MATCH($D125,Data!$AN$2:$AN$313,0),Tulokset!G$2)))))</f>
        <v>141</v>
      </c>
      <c r="H125" s="78">
        <f ca="1">IF($B125&gt;keilatut,"",IF($C125=(-1),"",IF($C125=0,"Sarja 2",IF($C125&gt;Data!$CP$2,"",OFFSET(tulossiirtymä,MATCH($D125,Data!$AN$2:$AN$313,0),Tulokset!H$2)))))</f>
        <v>137</v>
      </c>
      <c r="I125" s="78">
        <f ca="1">IF($B125&gt;keilatut,"",IF($C125=(-1),"",IF($C125=0,"Yhteensä",IF($C125&gt;Data!$CP$2,"",OFFSET(tulossiirtymä,MATCH($D125,Data!$AN$2:$AN$313,0),Tulokset!I$2)))))</f>
        <v>278</v>
      </c>
      <c r="J125" s="78">
        <f ca="1">IF($B125&gt;keilatut,"",IF($C125=(-1),"",IF($C125=0,"Ero voittajaan",IF($C125&gt;Data!$CP$2,"",OFFSET(tulossiirtymä,MATCH($D125,Data!$AN$2:$AN$313,0),Tulokset!J$2)))))</f>
        <v>55</v>
      </c>
      <c r="K125" s="78">
        <f ca="1">IF($B125&gt;keilatut,"",IF($C125=(-1),"",IF($C125=0,"Pisteet",IF($C125&gt;Data!$CP$2,"",OFFSET(tulossiirtymä,MATCH($D125,Data!$AN$2:$AN$313,0),Tulokset!K$2)))))</f>
        <v>1</v>
      </c>
      <c r="L125" s="78">
        <f ca="1">IF($B125&gt;keilatut,"",IF($C125=(-1),"",IF($C125=0,"Pisteet yhteensä",IF($C125&gt;Data!$CP$2,"",OFFSET(tulossiirtymä,MATCH($D125,Data!$AN$2:$AN$313,0),Tulokset!L$2)))))</f>
        <v>20</v>
      </c>
      <c r="M125" s="78" t="str">
        <f ca="1">IF($B125&gt;keilatut,"",IF($C125=(-1),"",IF($C125=0,"Pisteseloste",IF($C125&gt;Data!$CP$2,"",OFFSET(tulossiirtymä,MATCH($D125,Data!$AN$2:$AN$313,0),Tulokset!M$2)))))</f>
        <v>+SP</v>
      </c>
    </row>
    <row r="126" spans="2:13" x14ac:dyDescent="0.25">
      <c r="B126" s="78">
        <f t="shared" si="2"/>
        <v>5</v>
      </c>
      <c r="C126" s="78">
        <f>COUNTIF($B$6:B126,B126)-2</f>
        <v>11</v>
      </c>
      <c r="D126" s="79">
        <f t="array" ref="D126">IF($B126&lt;=keilatut,IF($C126&lt;1,"",IF($C126&gt;Data!$CP$2,"",SMALL(IF(Data!$B$2:$B$313=Tulokset!$B126,Data!$AN$2:$AN$313),Tulokset!$C126))),"")</f>
        <v>11.000078999999999</v>
      </c>
      <c r="E126" s="78">
        <f>IF($B126&gt;keilatut,"",IF($C126=(-1),"GP"&amp;$B126&amp;", "&amp;DAY(VLOOKUP($B126,kilpailukalenteri,2))&amp;"."&amp;MONTH(VLOOKUP($B126,kilpailukalenteri,2))&amp;"."&amp;YEAR(VLOOKUP($B126,kilpailukalenteri,2))&amp;", "&amp;IF(RIGHT(VLOOKUP($B126,kilpailukalenteri,4),1)="*",LEFT(VLOOKUP($B126,kilpailukalenteri,4),LEN(VLOOKUP($B126,kilpailukalenteri,4))-2)&amp;", Kultainen GP",VLOOKUP($B126,kilpailukalenteri,4)),IF($C126=0,"Sija",IF($C126&gt;Data!$CP$2,"",ROUND(Tulokset!$D126,0)))))</f>
        <v>11</v>
      </c>
      <c r="F126" s="78" t="str">
        <f ca="1">IF($B126&gt;keilatut,"",IF($C126=(-1),"",IF($C126=0,"Nimi",IF($C126&gt;Data!$CP$2,"",OFFSET(tulossiirtymä,MATCH($D126,Data!$AN$2:$AN$313,0),Tulokset!F$2)))))</f>
        <v>Joonas Ollonqvist</v>
      </c>
      <c r="G126" s="78">
        <f ca="1">IF($B126&gt;keilatut,"",IF($C126=(-1),"",IF($C126=0,"Sarja 1",IF($C126&gt;Data!$CP$2,"",OFFSET(tulossiirtymä,MATCH($D126,Data!$AN$2:$AN$313,0),Tulokset!G$2)))))</f>
        <v>142</v>
      </c>
      <c r="H126" s="78">
        <f ca="1">IF($B126&gt;keilatut,"",IF($C126=(-1),"",IF($C126=0,"Sarja 2",IF($C126&gt;Data!$CP$2,"",OFFSET(tulossiirtymä,MATCH($D126,Data!$AN$2:$AN$313,0),Tulokset!H$2)))))</f>
        <v>125</v>
      </c>
      <c r="I126" s="78">
        <f ca="1">IF($B126&gt;keilatut,"",IF($C126=(-1),"",IF($C126=0,"Yhteensä",IF($C126&gt;Data!$CP$2,"",OFFSET(tulossiirtymä,MATCH($D126,Data!$AN$2:$AN$313,0),Tulokset!I$2)))))</f>
        <v>267</v>
      </c>
      <c r="J126" s="78">
        <f ca="1">IF($B126&gt;keilatut,"",IF($C126=(-1),"",IF($C126=0,"Ero voittajaan",IF($C126&gt;Data!$CP$2,"",OFFSET(tulossiirtymä,MATCH($D126,Data!$AN$2:$AN$313,0),Tulokset!J$2)))))</f>
        <v>66</v>
      </c>
      <c r="K126" s="78">
        <f ca="1">IF($B126&gt;keilatut,"",IF($C126=(-1),"",IF($C126=0,"Pisteet",IF($C126&gt;Data!$CP$2,"",OFFSET(tulossiirtymä,MATCH($D126,Data!$AN$2:$AN$313,0),Tulokset!K$2)))))</f>
        <v>0</v>
      </c>
      <c r="L126" s="78">
        <f ca="1">IF($B126&gt;keilatut,"",IF($C126=(-1),"",IF($C126=0,"Pisteet yhteensä",IF($C126&gt;Data!$CP$2,"",OFFSET(tulossiirtymä,MATCH($D126,Data!$AN$2:$AN$313,0),Tulokset!L$2)))))</f>
        <v>0</v>
      </c>
      <c r="M126" s="78" t="str">
        <f ca="1">IF($B126&gt;keilatut,"",IF($C126=(-1),"",IF($C126=0,"Pisteseloste",IF($C126&gt;Data!$CP$2,"",OFFSET(tulossiirtymä,MATCH($D126,Data!$AN$2:$AN$313,0),Tulokset!M$2)))))</f>
        <v/>
      </c>
    </row>
    <row r="127" spans="2:13" x14ac:dyDescent="0.25">
      <c r="B127" s="78">
        <f t="shared" si="2"/>
        <v>5</v>
      </c>
      <c r="C127" s="78">
        <f>COUNTIF($B$6:B127,B127)-2</f>
        <v>12</v>
      </c>
      <c r="D127" s="79">
        <f t="array" ref="D127">IF($B127&lt;=keilatut,IF($C127&lt;1,"",IF($C127&gt;Data!$CP$2,"",SMALL(IF(Data!$B$2:$B$313=Tulokset!$B127,Data!$AN$2:$AN$313),Tulokset!$C127))),"")</f>
        <v>12.000080000000001</v>
      </c>
      <c r="E127" s="78">
        <f>IF($B127&gt;keilatut,"",IF($C127=(-1),"GP"&amp;$B127&amp;", "&amp;DAY(VLOOKUP($B127,kilpailukalenteri,2))&amp;"."&amp;MONTH(VLOOKUP($B127,kilpailukalenteri,2))&amp;"."&amp;YEAR(VLOOKUP($B127,kilpailukalenteri,2))&amp;", "&amp;IF(RIGHT(VLOOKUP($B127,kilpailukalenteri,4),1)="*",LEFT(VLOOKUP($B127,kilpailukalenteri,4),LEN(VLOOKUP($B127,kilpailukalenteri,4))-2)&amp;", Kultainen GP",VLOOKUP($B127,kilpailukalenteri,4)),IF($C127=0,"Sija",IF($C127&gt;Data!$CP$2,"",ROUND(Tulokset!$D127,0)))))</f>
        <v>12</v>
      </c>
      <c r="F127" s="78" t="str">
        <f ca="1">IF($B127&gt;keilatut,"",IF($C127=(-1),"",IF($C127=0,"Nimi",IF($C127&gt;Data!$CP$2,"",OFFSET(tulossiirtymä,MATCH($D127,Data!$AN$2:$AN$313,0),Tulokset!F$2)))))</f>
        <v>Niko Reunanen</v>
      </c>
      <c r="G127" s="78">
        <f ca="1">IF($B127&gt;keilatut,"",IF($C127=(-1),"",IF($C127=0,"Sarja 1",IF($C127&gt;Data!$CP$2,"",OFFSET(tulossiirtymä,MATCH($D127,Data!$AN$2:$AN$313,0),Tulokset!G$2)))))</f>
        <v>123</v>
      </c>
      <c r="H127" s="78">
        <f ca="1">IF($B127&gt;keilatut,"",IF($C127=(-1),"",IF($C127=0,"Sarja 2",IF($C127&gt;Data!$CP$2,"",OFFSET(tulossiirtymä,MATCH($D127,Data!$AN$2:$AN$313,0),Tulokset!H$2)))))</f>
        <v>120</v>
      </c>
      <c r="I127" s="78">
        <f ca="1">IF($B127&gt;keilatut,"",IF($C127=(-1),"",IF($C127=0,"Yhteensä",IF($C127&gt;Data!$CP$2,"",OFFSET(tulossiirtymä,MATCH($D127,Data!$AN$2:$AN$313,0),Tulokset!I$2)))))</f>
        <v>243</v>
      </c>
      <c r="J127" s="78">
        <f ca="1">IF($B127&gt;keilatut,"",IF($C127=(-1),"",IF($C127=0,"Ero voittajaan",IF($C127&gt;Data!$CP$2,"",OFFSET(tulossiirtymä,MATCH($D127,Data!$AN$2:$AN$313,0),Tulokset!J$2)))))</f>
        <v>90</v>
      </c>
      <c r="K127" s="78">
        <f ca="1">IF($B127&gt;keilatut,"",IF($C127=(-1),"",IF($C127=0,"Pisteet",IF($C127&gt;Data!$CP$2,"",OFFSET(tulossiirtymä,MATCH($D127,Data!$AN$2:$AN$313,0),Tulokset!K$2)))))</f>
        <v>0</v>
      </c>
      <c r="L127" s="78">
        <f ca="1">IF($B127&gt;keilatut,"",IF($C127=(-1),"",IF($C127=0,"Pisteet yhteensä",IF($C127&gt;Data!$CP$2,"",OFFSET(tulossiirtymä,MATCH($D127,Data!$AN$2:$AN$313,0),Tulokset!L$2)))))</f>
        <v>19</v>
      </c>
      <c r="M127" s="78" t="str">
        <f ca="1">IF($B127&gt;keilatut,"",IF($C127=(-1),"",IF($C127=0,"Pisteseloste",IF($C127&gt;Data!$CP$2,"",OFFSET(tulossiirtymä,MATCH($D127,Data!$AN$2:$AN$313,0),Tulokset!M$2)))))</f>
        <v/>
      </c>
    </row>
    <row r="128" spans="2:13" x14ac:dyDescent="0.25">
      <c r="B128" s="78">
        <f t="shared" si="2"/>
        <v>5</v>
      </c>
      <c r="C128" s="78">
        <f>COUNTIF($B$6:B128,B128)-2</f>
        <v>13</v>
      </c>
      <c r="D128" s="79">
        <f t="array" ref="D128">IF($B128&lt;=keilatut,IF($C128&lt;1,"",IF($C128&gt;Data!$CP$2,"",SMALL(IF(Data!$B$2:$B$313=Tulokset!$B128,Data!$AN$2:$AN$313),Tulokset!$C128))),"")</f>
        <v>13.000085</v>
      </c>
      <c r="E128" s="78">
        <f>IF($B128&gt;keilatut,"",IF($C128=(-1),"GP"&amp;$B128&amp;", "&amp;DAY(VLOOKUP($B128,kilpailukalenteri,2))&amp;"."&amp;MONTH(VLOOKUP($B128,kilpailukalenteri,2))&amp;"."&amp;YEAR(VLOOKUP($B128,kilpailukalenteri,2))&amp;", "&amp;IF(RIGHT(VLOOKUP($B128,kilpailukalenteri,4),1)="*",LEFT(VLOOKUP($B128,kilpailukalenteri,4),LEN(VLOOKUP($B128,kilpailukalenteri,4))-2)&amp;", Kultainen GP",VLOOKUP($B128,kilpailukalenteri,4)),IF($C128=0,"Sija",IF($C128&gt;Data!$CP$2,"",ROUND(Tulokset!$D128,0)))))</f>
        <v>13</v>
      </c>
      <c r="F128" s="78" t="str">
        <f ca="1">IF($B128&gt;keilatut,"",IF($C128=(-1),"",IF($C128=0,"Nimi",IF($C128&gt;Data!$CP$2,"",OFFSET(tulossiirtymä,MATCH($D128,Data!$AN$2:$AN$313,0),Tulokset!F$2)))))</f>
        <v>Roope Warro</v>
      </c>
      <c r="G128" s="78">
        <f ca="1">IF($B128&gt;keilatut,"",IF($C128=(-1),"",IF($C128=0,"Sarja 1",IF($C128&gt;Data!$CP$2,"",OFFSET(tulossiirtymä,MATCH($D128,Data!$AN$2:$AN$313,0),Tulokset!G$2)))))</f>
        <v>0</v>
      </c>
      <c r="H128" s="78">
        <f ca="1">IF($B128&gt;keilatut,"",IF($C128=(-1),"",IF($C128=0,"Sarja 2",IF($C128&gt;Data!$CP$2,"",OFFSET(tulossiirtymä,MATCH($D128,Data!$AN$2:$AN$313,0),Tulokset!H$2)))))</f>
        <v>0</v>
      </c>
      <c r="I128" s="78">
        <f ca="1">IF($B128&gt;keilatut,"",IF($C128=(-1),"",IF($C128=0,"Yhteensä",IF($C128&gt;Data!$CP$2,"",OFFSET(tulossiirtymä,MATCH($D128,Data!$AN$2:$AN$313,0),Tulokset!I$2)))))</f>
        <v>0</v>
      </c>
      <c r="J128" s="78" t="str">
        <f ca="1">IF($B128&gt;keilatut,"",IF($C128=(-1),"",IF($C128=0,"Ero voittajaan",IF($C128&gt;Data!$CP$2,"",OFFSET(tulossiirtymä,MATCH($D128,Data!$AN$2:$AN$313,0),Tulokset!J$2)))))</f>
        <v/>
      </c>
      <c r="K128" s="78">
        <f ca="1">IF($B128&gt;keilatut,"",IF($C128=(-1),"",IF($C128=0,"Pisteet",IF($C128&gt;Data!$CP$2,"",OFFSET(tulossiirtymä,MATCH($D128,Data!$AN$2:$AN$313,0),Tulokset!K$2)))))</f>
        <v>0</v>
      </c>
      <c r="L128" s="78">
        <f ca="1">IF($B128&gt;keilatut,"",IF($C128=(-1),"",IF($C128=0,"Pisteet yhteensä",IF($C128&gt;Data!$CP$2,"",OFFSET(tulossiirtymä,MATCH($D128,Data!$AN$2:$AN$313,0),Tulokset!L$2)))))</f>
        <v>4</v>
      </c>
      <c r="M128" s="78" t="str">
        <f ca="1">IF($B128&gt;keilatut,"",IF($C128=(-1),"",IF($C128=0,"Pisteseloste",IF($C128&gt;Data!$CP$2,"",OFFSET(tulossiirtymä,MATCH($D128,Data!$AN$2:$AN$313,0),Tulokset!M$2)))))</f>
        <v/>
      </c>
    </row>
    <row r="129" spans="2:13" x14ac:dyDescent="0.25">
      <c r="B129" s="78">
        <f t="shared" si="2"/>
        <v>5</v>
      </c>
      <c r="C129" s="78">
        <f>COUNTIF($B$6:B129,B129)-2</f>
        <v>14</v>
      </c>
      <c r="D129" s="79">
        <f t="array" ref="D129">IF($B129&lt;=keilatut,IF($C129&lt;1,"",IF($C129&gt;Data!$CP$2,"",SMALL(IF(Data!$B$2:$B$313=Tulokset!$B129,Data!$AN$2:$AN$313),Tulokset!$C129))),"")</f>
        <v>13.000086</v>
      </c>
      <c r="E129" s="78">
        <f>IF($B129&gt;keilatut,"",IF($C129=(-1),"GP"&amp;$B129&amp;", "&amp;DAY(VLOOKUP($B129,kilpailukalenteri,2))&amp;"."&amp;MONTH(VLOOKUP($B129,kilpailukalenteri,2))&amp;"."&amp;YEAR(VLOOKUP($B129,kilpailukalenteri,2))&amp;", "&amp;IF(RIGHT(VLOOKUP($B129,kilpailukalenteri,4),1)="*",LEFT(VLOOKUP($B129,kilpailukalenteri,4),LEN(VLOOKUP($B129,kilpailukalenteri,4))-2)&amp;", Kultainen GP",VLOOKUP($B129,kilpailukalenteri,4)),IF($C129=0,"Sija",IF($C129&gt;Data!$CP$2,"",ROUND(Tulokset!$D129,0)))))</f>
        <v>13</v>
      </c>
      <c r="F129" s="78" t="str">
        <f ca="1">IF($B129&gt;keilatut,"",IF($C129=(-1),"",IF($C129=0,"Nimi",IF($C129&gt;Data!$CP$2,"",OFFSET(tulossiirtymä,MATCH($D129,Data!$AN$2:$AN$313,0),Tulokset!F$2)))))</f>
        <v>Iiro Riikonen</v>
      </c>
      <c r="G129" s="78">
        <f ca="1">IF($B129&gt;keilatut,"",IF($C129=(-1),"",IF($C129=0,"Sarja 1",IF($C129&gt;Data!$CP$2,"",OFFSET(tulossiirtymä,MATCH($D129,Data!$AN$2:$AN$313,0),Tulokset!G$2)))))</f>
        <v>0</v>
      </c>
      <c r="H129" s="78">
        <f ca="1">IF($B129&gt;keilatut,"",IF($C129=(-1),"",IF($C129=0,"Sarja 2",IF($C129&gt;Data!$CP$2,"",OFFSET(tulossiirtymä,MATCH($D129,Data!$AN$2:$AN$313,0),Tulokset!H$2)))))</f>
        <v>0</v>
      </c>
      <c r="I129" s="78">
        <f ca="1">IF($B129&gt;keilatut,"",IF($C129=(-1),"",IF($C129=0,"Yhteensä",IF($C129&gt;Data!$CP$2,"",OFFSET(tulossiirtymä,MATCH($D129,Data!$AN$2:$AN$313,0),Tulokset!I$2)))))</f>
        <v>0</v>
      </c>
      <c r="J129" s="78" t="str">
        <f ca="1">IF($B129&gt;keilatut,"",IF($C129=(-1),"",IF($C129=0,"Ero voittajaan",IF($C129&gt;Data!$CP$2,"",OFFSET(tulossiirtymä,MATCH($D129,Data!$AN$2:$AN$313,0),Tulokset!J$2)))))</f>
        <v/>
      </c>
      <c r="K129" s="78">
        <f ca="1">IF($B129&gt;keilatut,"",IF($C129=(-1),"",IF($C129=0,"Pisteet",IF($C129&gt;Data!$CP$2,"",OFFSET(tulossiirtymä,MATCH($D129,Data!$AN$2:$AN$313,0),Tulokset!K$2)))))</f>
        <v>0</v>
      </c>
      <c r="L129" s="78">
        <f ca="1">IF($B129&gt;keilatut,"",IF($C129=(-1),"",IF($C129=0,"Pisteet yhteensä",IF($C129&gt;Data!$CP$2,"",OFFSET(tulossiirtymä,MATCH($D129,Data!$AN$2:$AN$313,0),Tulokset!L$2)))))</f>
        <v>6</v>
      </c>
      <c r="M129" s="78" t="str">
        <f ca="1">IF($B129&gt;keilatut,"",IF($C129=(-1),"",IF($C129=0,"Pisteseloste",IF($C129&gt;Data!$CP$2,"",OFFSET(tulossiirtymä,MATCH($D129,Data!$AN$2:$AN$313,0),Tulokset!M$2)))))</f>
        <v/>
      </c>
    </row>
    <row r="130" spans="2:13" x14ac:dyDescent="0.25">
      <c r="B130" s="78">
        <f t="shared" si="2"/>
        <v>5</v>
      </c>
      <c r="C130" s="78">
        <f>COUNTIF($B$6:B130,B130)-2</f>
        <v>15</v>
      </c>
      <c r="D130" s="79">
        <f t="array" ref="D130">IF($B130&lt;=keilatut,IF($C130&lt;1,"",IF($C130&gt;Data!$CP$2,"",SMALL(IF(Data!$B$2:$B$313=Tulokset!$B130,Data!$AN$2:$AN$313),Tulokset!$C130))),"")</f>
        <v>13.000087000000001</v>
      </c>
      <c r="E130" s="78">
        <f>IF($B130&gt;keilatut,"",IF($C130=(-1),"GP"&amp;$B130&amp;", "&amp;DAY(VLOOKUP($B130,kilpailukalenteri,2))&amp;"."&amp;MONTH(VLOOKUP($B130,kilpailukalenteri,2))&amp;"."&amp;YEAR(VLOOKUP($B130,kilpailukalenteri,2))&amp;", "&amp;IF(RIGHT(VLOOKUP($B130,kilpailukalenteri,4),1)="*",LEFT(VLOOKUP($B130,kilpailukalenteri,4),LEN(VLOOKUP($B130,kilpailukalenteri,4))-2)&amp;", Kultainen GP",VLOOKUP($B130,kilpailukalenteri,4)),IF($C130=0,"Sija",IF($C130&gt;Data!$CP$2,"",ROUND(Tulokset!$D130,0)))))</f>
        <v>13</v>
      </c>
      <c r="F130" s="78" t="str">
        <f ca="1">IF($B130&gt;keilatut,"",IF($C130=(-1),"",IF($C130=0,"Nimi",IF($C130&gt;Data!$CP$2,"",OFFSET(tulossiirtymä,MATCH($D130,Data!$AN$2:$AN$313,0),Tulokset!F$2)))))</f>
        <v>Kaleva Latvala</v>
      </c>
      <c r="G130" s="78">
        <f ca="1">IF($B130&gt;keilatut,"",IF($C130=(-1),"",IF($C130=0,"Sarja 1",IF($C130&gt;Data!$CP$2,"",OFFSET(tulossiirtymä,MATCH($D130,Data!$AN$2:$AN$313,0),Tulokset!G$2)))))</f>
        <v>0</v>
      </c>
      <c r="H130" s="78">
        <f ca="1">IF($B130&gt;keilatut,"",IF($C130=(-1),"",IF($C130=0,"Sarja 2",IF($C130&gt;Data!$CP$2,"",OFFSET(tulossiirtymä,MATCH($D130,Data!$AN$2:$AN$313,0),Tulokset!H$2)))))</f>
        <v>0</v>
      </c>
      <c r="I130" s="78">
        <f ca="1">IF($B130&gt;keilatut,"",IF($C130=(-1),"",IF($C130=0,"Yhteensä",IF($C130&gt;Data!$CP$2,"",OFFSET(tulossiirtymä,MATCH($D130,Data!$AN$2:$AN$313,0),Tulokset!I$2)))))</f>
        <v>0</v>
      </c>
      <c r="J130" s="78" t="str">
        <f ca="1">IF($B130&gt;keilatut,"",IF($C130=(-1),"",IF($C130=0,"Ero voittajaan",IF($C130&gt;Data!$CP$2,"",OFFSET(tulossiirtymä,MATCH($D130,Data!$AN$2:$AN$313,0),Tulokset!J$2)))))</f>
        <v/>
      </c>
      <c r="K130" s="78">
        <f ca="1">IF($B130&gt;keilatut,"",IF($C130=(-1),"",IF($C130=0,"Pisteet",IF($C130&gt;Data!$CP$2,"",OFFSET(tulossiirtymä,MATCH($D130,Data!$AN$2:$AN$313,0),Tulokset!K$2)))))</f>
        <v>0</v>
      </c>
      <c r="L130" s="78">
        <f ca="1">IF($B130&gt;keilatut,"",IF($C130=(-1),"",IF($C130=0,"Pisteet yhteensä",IF($C130&gt;Data!$CP$2,"",OFFSET(tulossiirtymä,MATCH($D130,Data!$AN$2:$AN$313,0),Tulokset!L$2)))))</f>
        <v>21</v>
      </c>
      <c r="M130" s="78" t="str">
        <f ca="1">IF($B130&gt;keilatut,"",IF($C130=(-1),"",IF($C130=0,"Pisteseloste",IF($C130&gt;Data!$CP$2,"",OFFSET(tulossiirtymä,MATCH($D130,Data!$AN$2:$AN$313,0),Tulokset!M$2)))))</f>
        <v/>
      </c>
    </row>
    <row r="131" spans="2:13" x14ac:dyDescent="0.25">
      <c r="B131" s="78">
        <f t="shared" si="2"/>
        <v>5</v>
      </c>
      <c r="C131" s="78">
        <f>COUNTIF($B$6:B131,B131)-2</f>
        <v>16</v>
      </c>
      <c r="D131" s="79">
        <f t="array" ref="D131">IF($B131&lt;=keilatut,IF($C131&lt;1,"",IF($C131&gt;Data!$CP$2,"",SMALL(IF(Data!$B$2:$B$313=Tulokset!$B131,Data!$AN$2:$AN$313),Tulokset!$C131))),"")</f>
        <v>13.000088</v>
      </c>
      <c r="E131" s="78">
        <f>IF($B131&gt;keilatut,"",IF($C131=(-1),"GP"&amp;$B131&amp;", "&amp;DAY(VLOOKUP($B131,kilpailukalenteri,2))&amp;"."&amp;MONTH(VLOOKUP($B131,kilpailukalenteri,2))&amp;"."&amp;YEAR(VLOOKUP($B131,kilpailukalenteri,2))&amp;", "&amp;IF(RIGHT(VLOOKUP($B131,kilpailukalenteri,4),1)="*",LEFT(VLOOKUP($B131,kilpailukalenteri,4),LEN(VLOOKUP($B131,kilpailukalenteri,4))-2)&amp;", Kultainen GP",VLOOKUP($B131,kilpailukalenteri,4)),IF($C131=0,"Sija",IF($C131&gt;Data!$CP$2,"",ROUND(Tulokset!$D131,0)))))</f>
        <v>13</v>
      </c>
      <c r="F131" s="78" t="str">
        <f ca="1">IF($B131&gt;keilatut,"",IF($C131=(-1),"",IF($C131=0,"Nimi",IF($C131&gt;Data!$CP$2,"",OFFSET(tulossiirtymä,MATCH($D131,Data!$AN$2:$AN$313,0),Tulokset!F$2)))))</f>
        <v>Mikko Mansikkamäki</v>
      </c>
      <c r="G131" s="78">
        <f ca="1">IF($B131&gt;keilatut,"",IF($C131=(-1),"",IF($C131=0,"Sarja 1",IF($C131&gt;Data!$CP$2,"",OFFSET(tulossiirtymä,MATCH($D131,Data!$AN$2:$AN$313,0),Tulokset!G$2)))))</f>
        <v>0</v>
      </c>
      <c r="H131" s="78">
        <f ca="1">IF($B131&gt;keilatut,"",IF($C131=(-1),"",IF($C131=0,"Sarja 2",IF($C131&gt;Data!$CP$2,"",OFFSET(tulossiirtymä,MATCH($D131,Data!$AN$2:$AN$313,0),Tulokset!H$2)))))</f>
        <v>0</v>
      </c>
      <c r="I131" s="78">
        <f ca="1">IF($B131&gt;keilatut,"",IF($C131=(-1),"",IF($C131=0,"Yhteensä",IF($C131&gt;Data!$CP$2,"",OFFSET(tulossiirtymä,MATCH($D131,Data!$AN$2:$AN$313,0),Tulokset!I$2)))))</f>
        <v>0</v>
      </c>
      <c r="J131" s="78" t="str">
        <f ca="1">IF($B131&gt;keilatut,"",IF($C131=(-1),"",IF($C131=0,"Ero voittajaan",IF($C131&gt;Data!$CP$2,"",OFFSET(tulossiirtymä,MATCH($D131,Data!$AN$2:$AN$313,0),Tulokset!J$2)))))</f>
        <v/>
      </c>
      <c r="K131" s="78">
        <f ca="1">IF($B131&gt;keilatut,"",IF($C131=(-1),"",IF($C131=0,"Pisteet",IF($C131&gt;Data!$CP$2,"",OFFSET(tulossiirtymä,MATCH($D131,Data!$AN$2:$AN$313,0),Tulokset!K$2)))))</f>
        <v>0</v>
      </c>
      <c r="L131" s="78">
        <f ca="1">IF($B131&gt;keilatut,"",IF($C131=(-1),"",IF($C131=0,"Pisteet yhteensä",IF($C131&gt;Data!$CP$2,"",OFFSET(tulossiirtymä,MATCH($D131,Data!$AN$2:$AN$313,0),Tulokset!L$2)))))</f>
        <v>0</v>
      </c>
      <c r="M131" s="78" t="str">
        <f ca="1">IF($B131&gt;keilatut,"",IF($C131=(-1),"",IF($C131=0,"Pisteseloste",IF($C131&gt;Data!$CP$2,"",OFFSET(tulossiirtymä,MATCH($D131,Data!$AN$2:$AN$313,0),Tulokset!M$2)))))</f>
        <v/>
      </c>
    </row>
    <row r="132" spans="2:13" x14ac:dyDescent="0.25">
      <c r="B132" s="78">
        <f t="shared" si="2"/>
        <v>5</v>
      </c>
      <c r="C132" s="78">
        <f>COUNTIF($B$6:B132,B132)-2</f>
        <v>17</v>
      </c>
      <c r="D132" s="79">
        <f t="array" ref="D132">IF($B132&lt;=keilatut,IF($C132&lt;1,"",IF($C132&gt;Data!$CP$2,"",SMALL(IF(Data!$B$2:$B$313=Tulokset!$B132,Data!$AN$2:$AN$313),Tulokset!$C132))),"")</f>
        <v>13.000088999999999</v>
      </c>
      <c r="E132" s="78">
        <f>IF($B132&gt;keilatut,"",IF($C132=(-1),"GP"&amp;$B132&amp;", "&amp;DAY(VLOOKUP($B132,kilpailukalenteri,2))&amp;"."&amp;MONTH(VLOOKUP($B132,kilpailukalenteri,2))&amp;"."&amp;YEAR(VLOOKUP($B132,kilpailukalenteri,2))&amp;", "&amp;IF(RIGHT(VLOOKUP($B132,kilpailukalenteri,4),1)="*",LEFT(VLOOKUP($B132,kilpailukalenteri,4),LEN(VLOOKUP($B132,kilpailukalenteri,4))-2)&amp;", Kultainen GP",VLOOKUP($B132,kilpailukalenteri,4)),IF($C132=0,"Sija",IF($C132&gt;Data!$CP$2,"",ROUND(Tulokset!$D132,0)))))</f>
        <v>13</v>
      </c>
      <c r="F132" s="78" t="str">
        <f ca="1">IF($B132&gt;keilatut,"",IF($C132=(-1),"",IF($C132=0,"Nimi",IF($C132&gt;Data!$CP$2,"",OFFSET(tulossiirtymä,MATCH($D132,Data!$AN$2:$AN$313,0),Tulokset!F$2)))))</f>
        <v>Tatu Erlin</v>
      </c>
      <c r="G132" s="78">
        <f ca="1">IF($B132&gt;keilatut,"",IF($C132=(-1),"",IF($C132=0,"Sarja 1",IF($C132&gt;Data!$CP$2,"",OFFSET(tulossiirtymä,MATCH($D132,Data!$AN$2:$AN$313,0),Tulokset!G$2)))))</f>
        <v>0</v>
      </c>
      <c r="H132" s="78">
        <f ca="1">IF($B132&gt;keilatut,"",IF($C132=(-1),"",IF($C132=0,"Sarja 2",IF($C132&gt;Data!$CP$2,"",OFFSET(tulossiirtymä,MATCH($D132,Data!$AN$2:$AN$313,0),Tulokset!H$2)))))</f>
        <v>0</v>
      </c>
      <c r="I132" s="78">
        <f ca="1">IF($B132&gt;keilatut,"",IF($C132=(-1),"",IF($C132=0,"Yhteensä",IF($C132&gt;Data!$CP$2,"",OFFSET(tulossiirtymä,MATCH($D132,Data!$AN$2:$AN$313,0),Tulokset!I$2)))))</f>
        <v>0</v>
      </c>
      <c r="J132" s="78" t="str">
        <f ca="1">IF($B132&gt;keilatut,"",IF($C132=(-1),"",IF($C132=0,"Ero voittajaan",IF($C132&gt;Data!$CP$2,"",OFFSET(tulossiirtymä,MATCH($D132,Data!$AN$2:$AN$313,0),Tulokset!J$2)))))</f>
        <v/>
      </c>
      <c r="K132" s="78">
        <f ca="1">IF($B132&gt;keilatut,"",IF($C132=(-1),"",IF($C132=0,"Pisteet",IF($C132&gt;Data!$CP$2,"",OFFSET(tulossiirtymä,MATCH($D132,Data!$AN$2:$AN$313,0),Tulokset!K$2)))))</f>
        <v>0</v>
      </c>
      <c r="L132" s="78">
        <f ca="1">IF($B132&gt;keilatut,"",IF($C132=(-1),"",IF($C132=0,"Pisteet yhteensä",IF($C132&gt;Data!$CP$2,"",OFFSET(tulossiirtymä,MATCH($D132,Data!$AN$2:$AN$313,0),Tulokset!L$2)))))</f>
        <v>6</v>
      </c>
      <c r="M132" s="78" t="str">
        <f ca="1">IF($B132&gt;keilatut,"",IF($C132=(-1),"",IF($C132=0,"Pisteseloste",IF($C132&gt;Data!$CP$2,"",OFFSET(tulossiirtymä,MATCH($D132,Data!$AN$2:$AN$313,0),Tulokset!M$2)))))</f>
        <v/>
      </c>
    </row>
    <row r="133" spans="2:13" x14ac:dyDescent="0.25">
      <c r="B133" s="78">
        <f t="shared" si="2"/>
        <v>5</v>
      </c>
      <c r="C133" s="78">
        <f>COUNTIF($B$6:B133,B133)-2</f>
        <v>18</v>
      </c>
      <c r="D133" s="79">
        <f t="array" ref="D133">IF($B133&lt;=keilatut,IF($C133&lt;1,"",IF($C133&gt;Data!$CP$2,"",SMALL(IF(Data!$B$2:$B$313=Tulokset!$B133,Data!$AN$2:$AN$313),Tulokset!$C133))),"")</f>
        <v>13.00009</v>
      </c>
      <c r="E133" s="78">
        <f>IF($B133&gt;keilatut,"",IF($C133=(-1),"GP"&amp;$B133&amp;", "&amp;DAY(VLOOKUP($B133,kilpailukalenteri,2))&amp;"."&amp;MONTH(VLOOKUP($B133,kilpailukalenteri,2))&amp;"."&amp;YEAR(VLOOKUP($B133,kilpailukalenteri,2))&amp;", "&amp;IF(RIGHT(VLOOKUP($B133,kilpailukalenteri,4),1)="*",LEFT(VLOOKUP($B133,kilpailukalenteri,4),LEN(VLOOKUP($B133,kilpailukalenteri,4))-2)&amp;", Kultainen GP",VLOOKUP($B133,kilpailukalenteri,4)),IF($C133=0,"Sija",IF($C133&gt;Data!$CP$2,"",ROUND(Tulokset!$D133,0)))))</f>
        <v>13</v>
      </c>
      <c r="F133" s="78" t="str">
        <f ca="1">IF($B133&gt;keilatut,"",IF($C133=(-1),"",IF($C133=0,"Nimi",IF($C133&gt;Data!$CP$2,"",OFFSET(tulossiirtymä,MATCH($D133,Data!$AN$2:$AN$313,0),Tulokset!F$2)))))</f>
        <v>Frans Hartman</v>
      </c>
      <c r="G133" s="78">
        <f ca="1">IF($B133&gt;keilatut,"",IF($C133=(-1),"",IF($C133=0,"Sarja 1",IF($C133&gt;Data!$CP$2,"",OFFSET(tulossiirtymä,MATCH($D133,Data!$AN$2:$AN$313,0),Tulokset!G$2)))))</f>
        <v>0</v>
      </c>
      <c r="H133" s="78">
        <f ca="1">IF($B133&gt;keilatut,"",IF($C133=(-1),"",IF($C133=0,"Sarja 2",IF($C133&gt;Data!$CP$2,"",OFFSET(tulossiirtymä,MATCH($D133,Data!$AN$2:$AN$313,0),Tulokset!H$2)))))</f>
        <v>0</v>
      </c>
      <c r="I133" s="78">
        <f ca="1">IF($B133&gt;keilatut,"",IF($C133=(-1),"",IF($C133=0,"Yhteensä",IF($C133&gt;Data!$CP$2,"",OFFSET(tulossiirtymä,MATCH($D133,Data!$AN$2:$AN$313,0),Tulokset!I$2)))))</f>
        <v>0</v>
      </c>
      <c r="J133" s="78" t="str">
        <f ca="1">IF($B133&gt;keilatut,"",IF($C133=(-1),"",IF($C133=0,"Ero voittajaan",IF($C133&gt;Data!$CP$2,"",OFFSET(tulossiirtymä,MATCH($D133,Data!$AN$2:$AN$313,0),Tulokset!J$2)))))</f>
        <v/>
      </c>
      <c r="K133" s="78">
        <f ca="1">IF($B133&gt;keilatut,"",IF($C133=(-1),"",IF($C133=0,"Pisteet",IF($C133&gt;Data!$CP$2,"",OFFSET(tulossiirtymä,MATCH($D133,Data!$AN$2:$AN$313,0),Tulokset!K$2)))))</f>
        <v>0</v>
      </c>
      <c r="L133" s="78">
        <f ca="1">IF($B133&gt;keilatut,"",IF($C133=(-1),"",IF($C133=0,"Pisteet yhteensä",IF($C133&gt;Data!$CP$2,"",OFFSET(tulossiirtymä,MATCH($D133,Data!$AN$2:$AN$313,0),Tulokset!L$2)))))</f>
        <v>18.5</v>
      </c>
      <c r="M133" s="78" t="str">
        <f ca="1">IF($B133&gt;keilatut,"",IF($C133=(-1),"",IF($C133=0,"Pisteseloste",IF($C133&gt;Data!$CP$2,"",OFFSET(tulossiirtymä,MATCH($D133,Data!$AN$2:$AN$313,0),Tulokset!M$2)))))</f>
        <v/>
      </c>
    </row>
    <row r="134" spans="2:13" x14ac:dyDescent="0.25">
      <c r="B134" s="78">
        <f t="shared" si="2"/>
        <v>5</v>
      </c>
      <c r="C134" s="78">
        <f>COUNTIF($B$6:B134,B134)-2</f>
        <v>19</v>
      </c>
      <c r="D134" s="79" t="str">
        <f t="array" ref="D134">IF($B134&lt;=keilatut,IF($C134&lt;1,"",IF($C134&gt;Data!$CP$2,"",SMALL(IF(Data!$B$2:$B$313=Tulokset!$B134,Data!$AN$2:$AN$313),Tulokset!$C134))),"")</f>
        <v/>
      </c>
      <c r="E134" s="78" t="str">
        <f>IF($B134&gt;keilatut,"",IF($C134=(-1),"GP"&amp;$B134&amp;", "&amp;DAY(VLOOKUP($B134,kilpailukalenteri,2))&amp;"."&amp;MONTH(VLOOKUP($B134,kilpailukalenteri,2))&amp;"."&amp;YEAR(VLOOKUP($B134,kilpailukalenteri,2))&amp;", "&amp;IF(RIGHT(VLOOKUP($B134,kilpailukalenteri,4),1)="*",LEFT(VLOOKUP($B134,kilpailukalenteri,4),LEN(VLOOKUP($B134,kilpailukalenteri,4))-2)&amp;", Kultainen GP",VLOOKUP($B134,kilpailukalenteri,4)),IF($C134=0,"Sija",IF($C134&gt;Data!$CP$2,"",ROUND(Tulokset!$D134,0)))))</f>
        <v/>
      </c>
      <c r="F134" s="78" t="str">
        <f ca="1">IF($B134&gt;keilatut,"",IF($C134=(-1),"",IF($C134=0,"Nimi",IF($C134&gt;Data!$CP$2,"",OFFSET(tulossiirtymä,MATCH($D134,Data!$AN$2:$AN$313,0),Tulokset!F$2)))))</f>
        <v/>
      </c>
      <c r="G134" s="78" t="str">
        <f ca="1">IF($B134&gt;keilatut,"",IF($C134=(-1),"",IF($C134=0,"Sarja 1",IF($C134&gt;Data!$CP$2,"",OFFSET(tulossiirtymä,MATCH($D134,Data!$AN$2:$AN$313,0),Tulokset!G$2)))))</f>
        <v/>
      </c>
      <c r="H134" s="78" t="str">
        <f ca="1">IF($B134&gt;keilatut,"",IF($C134=(-1),"",IF($C134=0,"Sarja 2",IF($C134&gt;Data!$CP$2,"",OFFSET(tulossiirtymä,MATCH($D134,Data!$AN$2:$AN$313,0),Tulokset!H$2)))))</f>
        <v/>
      </c>
      <c r="I134" s="78" t="str">
        <f ca="1">IF($B134&gt;keilatut,"",IF($C134=(-1),"",IF($C134=0,"Yhteensä",IF($C134&gt;Data!$CP$2,"",OFFSET(tulossiirtymä,MATCH($D134,Data!$AN$2:$AN$313,0),Tulokset!I$2)))))</f>
        <v/>
      </c>
      <c r="J134" s="78" t="str">
        <f ca="1">IF($B134&gt;keilatut,"",IF($C134=(-1),"",IF($C134=0,"Ero voittajaan",IF($C134&gt;Data!$CP$2,"",OFFSET(tulossiirtymä,MATCH($D134,Data!$AN$2:$AN$313,0),Tulokset!J$2)))))</f>
        <v/>
      </c>
      <c r="K134" s="78" t="str">
        <f ca="1">IF($B134&gt;keilatut,"",IF($C134=(-1),"",IF($C134=0,"Pisteet",IF($C134&gt;Data!$CP$2,"",OFFSET(tulossiirtymä,MATCH($D134,Data!$AN$2:$AN$313,0),Tulokset!K$2)))))</f>
        <v/>
      </c>
      <c r="L134" s="78" t="str">
        <f ca="1">IF($B134&gt;keilatut,"",IF($C134=(-1),"",IF($C134=0,"Pisteet yhteensä",IF($C134&gt;Data!$CP$2,"",OFFSET(tulossiirtymä,MATCH($D134,Data!$AN$2:$AN$313,0),Tulokset!L$2)))))</f>
        <v/>
      </c>
      <c r="M134" s="78" t="str">
        <f ca="1">IF($B134&gt;keilatut,"",IF($C134=(-1),"",IF($C134=0,"Pisteseloste",IF($C134&gt;Data!$CP$2,"",OFFSET(tulossiirtymä,MATCH($D134,Data!$AN$2:$AN$313,0),Tulokset!M$2)))))</f>
        <v/>
      </c>
    </row>
    <row r="135" spans="2:13" x14ac:dyDescent="0.25">
      <c r="B135" s="78">
        <f t="shared" si="2"/>
        <v>5</v>
      </c>
      <c r="C135" s="78">
        <f>COUNTIF($B$6:B135,B135)-2</f>
        <v>20</v>
      </c>
      <c r="D135" s="79" t="str">
        <f t="array" ref="D135">IF($B135&lt;=keilatut,IF($C135&lt;1,"",IF($C135&gt;Data!$CP$2,"",SMALL(IF(Data!$B$2:$B$313=Tulokset!$B135,Data!$AN$2:$AN$313),Tulokset!$C135))),"")</f>
        <v/>
      </c>
      <c r="E135" s="78" t="str">
        <f>IF($B135&gt;keilatut,"",IF($C135=(-1),"GP"&amp;$B135&amp;", "&amp;DAY(VLOOKUP($B135,kilpailukalenteri,2))&amp;"."&amp;MONTH(VLOOKUP($B135,kilpailukalenteri,2))&amp;"."&amp;YEAR(VLOOKUP($B135,kilpailukalenteri,2))&amp;", "&amp;IF(RIGHT(VLOOKUP($B135,kilpailukalenteri,4),1)="*",LEFT(VLOOKUP($B135,kilpailukalenteri,4),LEN(VLOOKUP($B135,kilpailukalenteri,4))-2)&amp;", Kultainen GP",VLOOKUP($B135,kilpailukalenteri,4)),IF($C135=0,"Sija",IF($C135&gt;Data!$CP$2,"",ROUND(Tulokset!$D135,0)))))</f>
        <v/>
      </c>
      <c r="F135" s="78" t="str">
        <f ca="1">IF($B135&gt;keilatut,"",IF($C135=(-1),"",IF($C135=0,"Nimi",IF($C135&gt;Data!$CP$2,"",OFFSET(tulossiirtymä,MATCH($D135,Data!$AN$2:$AN$313,0),Tulokset!F$2)))))</f>
        <v/>
      </c>
      <c r="G135" s="78" t="str">
        <f ca="1">IF($B135&gt;keilatut,"",IF($C135=(-1),"",IF($C135=0,"Sarja 1",IF($C135&gt;Data!$CP$2,"",OFFSET(tulossiirtymä,MATCH($D135,Data!$AN$2:$AN$313,0),Tulokset!G$2)))))</f>
        <v/>
      </c>
      <c r="H135" s="78" t="str">
        <f ca="1">IF($B135&gt;keilatut,"",IF($C135=(-1),"",IF($C135=0,"Sarja 2",IF($C135&gt;Data!$CP$2,"",OFFSET(tulossiirtymä,MATCH($D135,Data!$AN$2:$AN$313,0),Tulokset!H$2)))))</f>
        <v/>
      </c>
      <c r="I135" s="78" t="str">
        <f ca="1">IF($B135&gt;keilatut,"",IF($C135=(-1),"",IF($C135=0,"Yhteensä",IF($C135&gt;Data!$CP$2,"",OFFSET(tulossiirtymä,MATCH($D135,Data!$AN$2:$AN$313,0),Tulokset!I$2)))))</f>
        <v/>
      </c>
      <c r="J135" s="78" t="str">
        <f ca="1">IF($B135&gt;keilatut,"",IF($C135=(-1),"",IF($C135=0,"Ero voittajaan",IF($C135&gt;Data!$CP$2,"",OFFSET(tulossiirtymä,MATCH($D135,Data!$AN$2:$AN$313,0),Tulokset!J$2)))))</f>
        <v/>
      </c>
      <c r="K135" s="78" t="str">
        <f ca="1">IF($B135&gt;keilatut,"",IF($C135=(-1),"",IF($C135=0,"Pisteet",IF($C135&gt;Data!$CP$2,"",OFFSET(tulossiirtymä,MATCH($D135,Data!$AN$2:$AN$313,0),Tulokset!K$2)))))</f>
        <v/>
      </c>
      <c r="L135" s="78" t="str">
        <f ca="1">IF($B135&gt;keilatut,"",IF($C135=(-1),"",IF($C135=0,"Pisteet yhteensä",IF($C135&gt;Data!$CP$2,"",OFFSET(tulossiirtymä,MATCH($D135,Data!$AN$2:$AN$313,0),Tulokset!L$2)))))</f>
        <v/>
      </c>
      <c r="M135" s="78" t="str">
        <f ca="1">IF($B135&gt;keilatut,"",IF($C135=(-1),"",IF($C135=0,"Pisteseloste",IF($C135&gt;Data!$CP$2,"",OFFSET(tulossiirtymä,MATCH($D135,Data!$AN$2:$AN$313,0),Tulokset!M$2)))))</f>
        <v/>
      </c>
    </row>
    <row r="136" spans="2:13" x14ac:dyDescent="0.25">
      <c r="B136" s="78">
        <f t="shared" si="2"/>
        <v>5</v>
      </c>
      <c r="C136" s="78">
        <f>COUNTIF($B$6:B136,B136)-2</f>
        <v>21</v>
      </c>
      <c r="D136" s="79" t="str">
        <f t="array" ref="D136">IF($B136&lt;=keilatut,IF($C136&lt;1,"",IF($C136&gt;Data!$CP$2,"",SMALL(IF(Data!$B$2:$B$313=Tulokset!$B136,Data!$AN$2:$AN$313),Tulokset!$C136))),"")</f>
        <v/>
      </c>
      <c r="E136" s="78" t="str">
        <f>IF($B136&gt;keilatut,"",IF($C136=(-1),"GP"&amp;$B136&amp;", "&amp;DAY(VLOOKUP($B136,kilpailukalenteri,2))&amp;"."&amp;MONTH(VLOOKUP($B136,kilpailukalenteri,2))&amp;"."&amp;YEAR(VLOOKUP($B136,kilpailukalenteri,2))&amp;", "&amp;IF(RIGHT(VLOOKUP($B136,kilpailukalenteri,4),1)="*",LEFT(VLOOKUP($B136,kilpailukalenteri,4),LEN(VLOOKUP($B136,kilpailukalenteri,4))-2)&amp;", Kultainen GP",VLOOKUP($B136,kilpailukalenteri,4)),IF($C136=0,"Sija",IF($C136&gt;Data!$CP$2,"",ROUND(Tulokset!$D136,0)))))</f>
        <v/>
      </c>
      <c r="F136" s="78" t="str">
        <f ca="1">IF($B136&gt;keilatut,"",IF($C136=(-1),"",IF($C136=0,"Nimi",IF($C136&gt;Data!$CP$2,"",OFFSET(tulossiirtymä,MATCH($D136,Data!$AN$2:$AN$313,0),Tulokset!F$2)))))</f>
        <v/>
      </c>
      <c r="G136" s="78" t="str">
        <f ca="1">IF($B136&gt;keilatut,"",IF($C136=(-1),"",IF($C136=0,"Sarja 1",IF($C136&gt;Data!$CP$2,"",OFFSET(tulossiirtymä,MATCH($D136,Data!$AN$2:$AN$313,0),Tulokset!G$2)))))</f>
        <v/>
      </c>
      <c r="H136" s="78" t="str">
        <f ca="1">IF($B136&gt;keilatut,"",IF($C136=(-1),"",IF($C136=0,"Sarja 2",IF($C136&gt;Data!$CP$2,"",OFFSET(tulossiirtymä,MATCH($D136,Data!$AN$2:$AN$313,0),Tulokset!H$2)))))</f>
        <v/>
      </c>
      <c r="I136" s="78" t="str">
        <f ca="1">IF($B136&gt;keilatut,"",IF($C136=(-1),"",IF($C136=0,"Yhteensä",IF($C136&gt;Data!$CP$2,"",OFFSET(tulossiirtymä,MATCH($D136,Data!$AN$2:$AN$313,0),Tulokset!I$2)))))</f>
        <v/>
      </c>
      <c r="J136" s="78" t="str">
        <f ca="1">IF($B136&gt;keilatut,"",IF($C136=(-1),"",IF($C136=0,"Ero voittajaan",IF($C136&gt;Data!$CP$2,"",OFFSET(tulossiirtymä,MATCH($D136,Data!$AN$2:$AN$313,0),Tulokset!J$2)))))</f>
        <v/>
      </c>
      <c r="K136" s="78" t="str">
        <f ca="1">IF($B136&gt;keilatut,"",IF($C136=(-1),"",IF($C136=0,"Pisteet",IF($C136&gt;Data!$CP$2,"",OFFSET(tulossiirtymä,MATCH($D136,Data!$AN$2:$AN$313,0),Tulokset!K$2)))))</f>
        <v/>
      </c>
      <c r="L136" s="78" t="str">
        <f ca="1">IF($B136&gt;keilatut,"",IF($C136=(-1),"",IF($C136=0,"Pisteet yhteensä",IF($C136&gt;Data!$CP$2,"",OFFSET(tulossiirtymä,MATCH($D136,Data!$AN$2:$AN$313,0),Tulokset!L$2)))))</f>
        <v/>
      </c>
      <c r="M136" s="78" t="str">
        <f ca="1">IF($B136&gt;keilatut,"",IF($C136=(-1),"",IF($C136=0,"Pisteseloste",IF($C136&gt;Data!$CP$2,"",OFFSET(tulossiirtymä,MATCH($D136,Data!$AN$2:$AN$313,0),Tulokset!M$2)))))</f>
        <v/>
      </c>
    </row>
    <row r="137" spans="2:13" x14ac:dyDescent="0.25">
      <c r="B137" s="78">
        <f t="shared" si="2"/>
        <v>5</v>
      </c>
      <c r="C137" s="78">
        <f>COUNTIF($B$6:B137,B137)-2</f>
        <v>22</v>
      </c>
      <c r="D137" s="79" t="str">
        <f t="array" ref="D137">IF($B137&lt;=keilatut,IF($C137&lt;1,"",IF($C137&gt;Data!$CP$2,"",SMALL(IF(Data!$B$2:$B$313=Tulokset!$B137,Data!$AN$2:$AN$313),Tulokset!$C137))),"")</f>
        <v/>
      </c>
      <c r="E137" s="78" t="str">
        <f>IF($B137&gt;keilatut,"",IF($C137=(-1),"GP"&amp;$B137&amp;", "&amp;DAY(VLOOKUP($B137,kilpailukalenteri,2))&amp;"."&amp;MONTH(VLOOKUP($B137,kilpailukalenteri,2))&amp;"."&amp;YEAR(VLOOKUP($B137,kilpailukalenteri,2))&amp;", "&amp;IF(RIGHT(VLOOKUP($B137,kilpailukalenteri,4),1)="*",LEFT(VLOOKUP($B137,kilpailukalenteri,4),LEN(VLOOKUP($B137,kilpailukalenteri,4))-2)&amp;", Kultainen GP",VLOOKUP($B137,kilpailukalenteri,4)),IF($C137=0,"Sija",IF($C137&gt;Data!$CP$2,"",ROUND(Tulokset!$D137,0)))))</f>
        <v/>
      </c>
      <c r="F137" s="78" t="str">
        <f ca="1">IF($B137&gt;keilatut,"",IF($C137=(-1),"",IF($C137=0,"Nimi",IF($C137&gt;Data!$CP$2,"",OFFSET(tulossiirtymä,MATCH($D137,Data!$AN$2:$AN$313,0),Tulokset!F$2)))))</f>
        <v/>
      </c>
      <c r="G137" s="78" t="str">
        <f ca="1">IF($B137&gt;keilatut,"",IF($C137=(-1),"",IF($C137=0,"Sarja 1",IF($C137&gt;Data!$CP$2,"",OFFSET(tulossiirtymä,MATCH($D137,Data!$AN$2:$AN$313,0),Tulokset!G$2)))))</f>
        <v/>
      </c>
      <c r="H137" s="78" t="str">
        <f ca="1">IF($B137&gt;keilatut,"",IF($C137=(-1),"",IF($C137=0,"Sarja 2",IF($C137&gt;Data!$CP$2,"",OFFSET(tulossiirtymä,MATCH($D137,Data!$AN$2:$AN$313,0),Tulokset!H$2)))))</f>
        <v/>
      </c>
      <c r="I137" s="78" t="str">
        <f ca="1">IF($B137&gt;keilatut,"",IF($C137=(-1),"",IF($C137=0,"Yhteensä",IF($C137&gt;Data!$CP$2,"",OFFSET(tulossiirtymä,MATCH($D137,Data!$AN$2:$AN$313,0),Tulokset!I$2)))))</f>
        <v/>
      </c>
      <c r="J137" s="78" t="str">
        <f ca="1">IF($B137&gt;keilatut,"",IF($C137=(-1),"",IF($C137=0,"Ero voittajaan",IF($C137&gt;Data!$CP$2,"",OFFSET(tulossiirtymä,MATCH($D137,Data!$AN$2:$AN$313,0),Tulokset!J$2)))))</f>
        <v/>
      </c>
      <c r="K137" s="78" t="str">
        <f ca="1">IF($B137&gt;keilatut,"",IF($C137=(-1),"",IF($C137=0,"Pisteet",IF($C137&gt;Data!$CP$2,"",OFFSET(tulossiirtymä,MATCH($D137,Data!$AN$2:$AN$313,0),Tulokset!K$2)))))</f>
        <v/>
      </c>
      <c r="L137" s="78" t="str">
        <f ca="1">IF($B137&gt;keilatut,"",IF($C137=(-1),"",IF($C137=0,"Pisteet yhteensä",IF($C137&gt;Data!$CP$2,"",OFFSET(tulossiirtymä,MATCH($D137,Data!$AN$2:$AN$313,0),Tulokset!L$2)))))</f>
        <v/>
      </c>
      <c r="M137" s="78" t="str">
        <f ca="1">IF($B137&gt;keilatut,"",IF($C137=(-1),"",IF($C137=0,"Pisteseloste",IF($C137&gt;Data!$CP$2,"",OFFSET(tulossiirtymä,MATCH($D137,Data!$AN$2:$AN$313,0),Tulokset!M$2)))))</f>
        <v/>
      </c>
    </row>
    <row r="138" spans="2:13" x14ac:dyDescent="0.25">
      <c r="B138" s="78">
        <f t="shared" si="2"/>
        <v>5</v>
      </c>
      <c r="C138" s="78">
        <f>COUNTIF($B$6:B138,B138)-2</f>
        <v>23</v>
      </c>
      <c r="D138" s="79" t="str">
        <f t="array" ref="D138">IF($B138&lt;=keilatut,IF($C138&lt;1,"",IF($C138&gt;Data!$CP$2,"",SMALL(IF(Data!$B$2:$B$313=Tulokset!$B138,Data!$AN$2:$AN$313),Tulokset!$C138))),"")</f>
        <v/>
      </c>
      <c r="E138" s="78" t="str">
        <f>IF($B138&gt;keilatut,"",IF($C138=(-1),"GP"&amp;$B138&amp;", "&amp;DAY(VLOOKUP($B138,kilpailukalenteri,2))&amp;"."&amp;MONTH(VLOOKUP($B138,kilpailukalenteri,2))&amp;"."&amp;YEAR(VLOOKUP($B138,kilpailukalenteri,2))&amp;", "&amp;IF(RIGHT(VLOOKUP($B138,kilpailukalenteri,4),1)="*",LEFT(VLOOKUP($B138,kilpailukalenteri,4),LEN(VLOOKUP($B138,kilpailukalenteri,4))-2)&amp;", Kultainen GP",VLOOKUP($B138,kilpailukalenteri,4)),IF($C138=0,"Sija",IF($C138&gt;Data!$CP$2,"",ROUND(Tulokset!$D138,0)))))</f>
        <v/>
      </c>
      <c r="F138" s="78" t="str">
        <f ca="1">IF($B138&gt;keilatut,"",IF($C138=(-1),"",IF($C138=0,"Nimi",IF($C138&gt;Data!$CP$2,"",OFFSET(tulossiirtymä,MATCH($D138,Data!$AN$2:$AN$313,0),Tulokset!F$2)))))</f>
        <v/>
      </c>
      <c r="G138" s="78" t="str">
        <f ca="1">IF($B138&gt;keilatut,"",IF($C138=(-1),"",IF($C138=0,"Sarja 1",IF($C138&gt;Data!$CP$2,"",OFFSET(tulossiirtymä,MATCH($D138,Data!$AN$2:$AN$313,0),Tulokset!G$2)))))</f>
        <v/>
      </c>
      <c r="H138" s="78" t="str">
        <f ca="1">IF($B138&gt;keilatut,"",IF($C138=(-1),"",IF($C138=0,"Sarja 2",IF($C138&gt;Data!$CP$2,"",OFFSET(tulossiirtymä,MATCH($D138,Data!$AN$2:$AN$313,0),Tulokset!H$2)))))</f>
        <v/>
      </c>
      <c r="I138" s="78" t="str">
        <f ca="1">IF($B138&gt;keilatut,"",IF($C138=(-1),"",IF($C138=0,"Yhteensä",IF($C138&gt;Data!$CP$2,"",OFFSET(tulossiirtymä,MATCH($D138,Data!$AN$2:$AN$313,0),Tulokset!I$2)))))</f>
        <v/>
      </c>
      <c r="J138" s="78" t="str">
        <f ca="1">IF($B138&gt;keilatut,"",IF($C138=(-1),"",IF($C138=0,"Ero voittajaan",IF($C138&gt;Data!$CP$2,"",OFFSET(tulossiirtymä,MATCH($D138,Data!$AN$2:$AN$313,0),Tulokset!J$2)))))</f>
        <v/>
      </c>
      <c r="K138" s="78" t="str">
        <f ca="1">IF($B138&gt;keilatut,"",IF($C138=(-1),"",IF($C138=0,"Pisteet",IF($C138&gt;Data!$CP$2,"",OFFSET(tulossiirtymä,MATCH($D138,Data!$AN$2:$AN$313,0),Tulokset!K$2)))))</f>
        <v/>
      </c>
      <c r="L138" s="78" t="str">
        <f ca="1">IF($B138&gt;keilatut,"",IF($C138=(-1),"",IF($C138=0,"Pisteet yhteensä",IF($C138&gt;Data!$CP$2,"",OFFSET(tulossiirtymä,MATCH($D138,Data!$AN$2:$AN$313,0),Tulokset!L$2)))))</f>
        <v/>
      </c>
      <c r="M138" s="78" t="str">
        <f ca="1">IF($B138&gt;keilatut,"",IF($C138=(-1),"",IF($C138=0,"Pisteseloste",IF($C138&gt;Data!$CP$2,"",OFFSET(tulossiirtymä,MATCH($D138,Data!$AN$2:$AN$313,0),Tulokset!M$2)))))</f>
        <v/>
      </c>
    </row>
    <row r="139" spans="2:13" x14ac:dyDescent="0.25">
      <c r="B139" s="78">
        <f t="shared" si="2"/>
        <v>5</v>
      </c>
      <c r="C139" s="78">
        <f>COUNTIF($B$6:B139,B139)-2</f>
        <v>24</v>
      </c>
      <c r="D139" s="79" t="str">
        <f t="array" ref="D139">IF($B139&lt;=keilatut,IF($C139&lt;1,"",IF($C139&gt;Data!$CP$2,"",SMALL(IF(Data!$B$2:$B$313=Tulokset!$B139,Data!$AN$2:$AN$313),Tulokset!$C139))),"")</f>
        <v/>
      </c>
      <c r="E139" s="78" t="str">
        <f>IF($B139&gt;keilatut,"",IF($C139=(-1),"GP"&amp;$B139&amp;", "&amp;DAY(VLOOKUP($B139,kilpailukalenteri,2))&amp;"."&amp;MONTH(VLOOKUP($B139,kilpailukalenteri,2))&amp;"."&amp;YEAR(VLOOKUP($B139,kilpailukalenteri,2))&amp;", "&amp;IF(RIGHT(VLOOKUP($B139,kilpailukalenteri,4),1)="*",LEFT(VLOOKUP($B139,kilpailukalenteri,4),LEN(VLOOKUP($B139,kilpailukalenteri,4))-2)&amp;", Kultainen GP",VLOOKUP($B139,kilpailukalenteri,4)),IF($C139=0,"Sija",IF($C139&gt;Data!$CP$2,"",ROUND(Tulokset!$D139,0)))))</f>
        <v/>
      </c>
      <c r="F139" s="78" t="str">
        <f ca="1">IF($B139&gt;keilatut,"",IF($C139=(-1),"",IF($C139=0,"Nimi",IF($C139&gt;Data!$CP$2,"",OFFSET(tulossiirtymä,MATCH($D139,Data!$AN$2:$AN$313,0),Tulokset!F$2)))))</f>
        <v/>
      </c>
      <c r="G139" s="78" t="str">
        <f ca="1">IF($B139&gt;keilatut,"",IF($C139=(-1),"",IF($C139=0,"Sarja 1",IF($C139&gt;Data!$CP$2,"",OFFSET(tulossiirtymä,MATCH($D139,Data!$AN$2:$AN$313,0),Tulokset!G$2)))))</f>
        <v/>
      </c>
      <c r="H139" s="78" t="str">
        <f ca="1">IF($B139&gt;keilatut,"",IF($C139=(-1),"",IF($C139=0,"Sarja 2",IF($C139&gt;Data!$CP$2,"",OFFSET(tulossiirtymä,MATCH($D139,Data!$AN$2:$AN$313,0),Tulokset!H$2)))))</f>
        <v/>
      </c>
      <c r="I139" s="78" t="str">
        <f ca="1">IF($B139&gt;keilatut,"",IF($C139=(-1),"",IF($C139=0,"Yhteensä",IF($C139&gt;Data!$CP$2,"",OFFSET(tulossiirtymä,MATCH($D139,Data!$AN$2:$AN$313,0),Tulokset!I$2)))))</f>
        <v/>
      </c>
      <c r="J139" s="78" t="str">
        <f ca="1">IF($B139&gt;keilatut,"",IF($C139=(-1),"",IF($C139=0,"Ero voittajaan",IF($C139&gt;Data!$CP$2,"",OFFSET(tulossiirtymä,MATCH($D139,Data!$AN$2:$AN$313,0),Tulokset!J$2)))))</f>
        <v/>
      </c>
      <c r="K139" s="78" t="str">
        <f ca="1">IF($B139&gt;keilatut,"",IF($C139=(-1),"",IF($C139=0,"Pisteet",IF($C139&gt;Data!$CP$2,"",OFFSET(tulossiirtymä,MATCH($D139,Data!$AN$2:$AN$313,0),Tulokset!K$2)))))</f>
        <v/>
      </c>
      <c r="L139" s="78" t="str">
        <f ca="1">IF($B139&gt;keilatut,"",IF($C139=(-1),"",IF($C139=0,"Pisteet yhteensä",IF($C139&gt;Data!$CP$2,"",OFFSET(tulossiirtymä,MATCH($D139,Data!$AN$2:$AN$313,0),Tulokset!L$2)))))</f>
        <v/>
      </c>
      <c r="M139" s="78" t="str">
        <f ca="1">IF($B139&gt;keilatut,"",IF($C139=(-1),"",IF($C139=0,"Pisteseloste",IF($C139&gt;Data!$CP$2,"",OFFSET(tulossiirtymä,MATCH($D139,Data!$AN$2:$AN$313,0),Tulokset!M$2)))))</f>
        <v/>
      </c>
    </row>
    <row r="140" spans="2:13" x14ac:dyDescent="0.25">
      <c r="B140" s="78">
        <f t="shared" si="2"/>
        <v>5</v>
      </c>
      <c r="C140" s="78">
        <f>COUNTIF($B$6:B140,B140)-2</f>
        <v>25</v>
      </c>
      <c r="D140" s="79" t="str">
        <f t="array" ref="D140">IF($B140&lt;=keilatut,IF($C140&lt;1,"",IF($C140&gt;Data!$CP$2,"",SMALL(IF(Data!$B$2:$B$313=Tulokset!$B140,Data!$AN$2:$AN$313),Tulokset!$C140))),"")</f>
        <v/>
      </c>
      <c r="E140" s="78" t="str">
        <f>IF($B140&gt;keilatut,"",IF($C140=(-1),"GP"&amp;$B140&amp;", "&amp;DAY(VLOOKUP($B140,kilpailukalenteri,2))&amp;"."&amp;MONTH(VLOOKUP($B140,kilpailukalenteri,2))&amp;"."&amp;YEAR(VLOOKUP($B140,kilpailukalenteri,2))&amp;", "&amp;IF(RIGHT(VLOOKUP($B140,kilpailukalenteri,4),1)="*",LEFT(VLOOKUP($B140,kilpailukalenteri,4),LEN(VLOOKUP($B140,kilpailukalenteri,4))-2)&amp;", Kultainen GP",VLOOKUP($B140,kilpailukalenteri,4)),IF($C140=0,"Sija",IF($C140&gt;Data!$CP$2,"",ROUND(Tulokset!$D140,0)))))</f>
        <v/>
      </c>
      <c r="F140" s="78" t="str">
        <f ca="1">IF($B140&gt;keilatut,"",IF($C140=(-1),"",IF($C140=0,"Nimi",IF($C140&gt;Data!$CP$2,"",OFFSET(tulossiirtymä,MATCH($D140,Data!$AN$2:$AN$313,0),Tulokset!F$2)))))</f>
        <v/>
      </c>
      <c r="G140" s="78" t="str">
        <f ca="1">IF($B140&gt;keilatut,"",IF($C140=(-1),"",IF($C140=0,"Sarja 1",IF($C140&gt;Data!$CP$2,"",OFFSET(tulossiirtymä,MATCH($D140,Data!$AN$2:$AN$313,0),Tulokset!G$2)))))</f>
        <v/>
      </c>
      <c r="H140" s="78" t="str">
        <f ca="1">IF($B140&gt;keilatut,"",IF($C140=(-1),"",IF($C140=0,"Sarja 2",IF($C140&gt;Data!$CP$2,"",OFFSET(tulossiirtymä,MATCH($D140,Data!$AN$2:$AN$313,0),Tulokset!H$2)))))</f>
        <v/>
      </c>
      <c r="I140" s="78" t="str">
        <f ca="1">IF($B140&gt;keilatut,"",IF($C140=(-1),"",IF($C140=0,"Yhteensä",IF($C140&gt;Data!$CP$2,"",OFFSET(tulossiirtymä,MATCH($D140,Data!$AN$2:$AN$313,0),Tulokset!I$2)))))</f>
        <v/>
      </c>
      <c r="J140" s="78" t="str">
        <f ca="1">IF($B140&gt;keilatut,"",IF($C140=(-1),"",IF($C140=0,"Ero voittajaan",IF($C140&gt;Data!$CP$2,"",OFFSET(tulossiirtymä,MATCH($D140,Data!$AN$2:$AN$313,0),Tulokset!J$2)))))</f>
        <v/>
      </c>
      <c r="K140" s="78" t="str">
        <f ca="1">IF($B140&gt;keilatut,"",IF($C140=(-1),"",IF($C140=0,"Pisteet",IF($C140&gt;Data!$CP$2,"",OFFSET(tulossiirtymä,MATCH($D140,Data!$AN$2:$AN$313,0),Tulokset!K$2)))))</f>
        <v/>
      </c>
      <c r="L140" s="78" t="str">
        <f ca="1">IF($B140&gt;keilatut,"",IF($C140=(-1),"",IF($C140=0,"Pisteet yhteensä",IF($C140&gt;Data!$CP$2,"",OFFSET(tulossiirtymä,MATCH($D140,Data!$AN$2:$AN$313,0),Tulokset!L$2)))))</f>
        <v/>
      </c>
      <c r="M140" s="78" t="str">
        <f ca="1">IF($B140&gt;keilatut,"",IF($C140=(-1),"",IF($C140=0,"Pisteseloste",IF($C140&gt;Data!$CP$2,"",OFFSET(tulossiirtymä,MATCH($D140,Data!$AN$2:$AN$313,0),Tulokset!M$2)))))</f>
        <v/>
      </c>
    </row>
    <row r="141" spans="2:13" x14ac:dyDescent="0.25">
      <c r="B141" s="78">
        <f t="shared" si="2"/>
        <v>6</v>
      </c>
      <c r="C141" s="78">
        <f>COUNTIF($B$6:B141,B141)-2</f>
        <v>-1</v>
      </c>
      <c r="D141" s="79" t="str">
        <f t="array" ref="D141">IF($B141&lt;=keilatut,IF($C141&lt;1,"",IF($C141&gt;Data!$CP$2,"",SMALL(IF(Data!$B$2:$B$313=Tulokset!$B141,Data!$AN$2:$AN$313),Tulokset!$C141))),"")</f>
        <v/>
      </c>
      <c r="E141" s="78" t="str">
        <f>IF($B141&gt;keilatut,"",IF($C141=(-1),"GP"&amp;$B141&amp;", "&amp;DAY(VLOOKUP($B141,kilpailukalenteri,2))&amp;"."&amp;MONTH(VLOOKUP($B141,kilpailukalenteri,2))&amp;"."&amp;YEAR(VLOOKUP($B141,kilpailukalenteri,2))&amp;", "&amp;IF(RIGHT(VLOOKUP($B141,kilpailukalenteri,4),1)="*",LEFT(VLOOKUP($B141,kilpailukalenteri,4),LEN(VLOOKUP($B141,kilpailukalenteri,4))-2)&amp;", Kultainen GP",VLOOKUP($B141,kilpailukalenteri,4)),IF($C141=0,"Sija",IF($C141&gt;Data!$CP$2,"",ROUND(Tulokset!$D141,0)))))</f>
        <v>GP6, 14.12.2024, Aninkaisten keilahalli, Kultainen GP</v>
      </c>
    </row>
    <row r="142" spans="2:13" x14ac:dyDescent="0.25">
      <c r="B142" s="78">
        <f t="shared" si="2"/>
        <v>6</v>
      </c>
      <c r="C142" s="78">
        <f>COUNTIF($B$6:B142,B142)-2</f>
        <v>0</v>
      </c>
      <c r="D142" s="79" t="str">
        <f t="array" ref="D142">IF($B142&lt;=keilatut,IF($C142&lt;1,"",IF($C142&gt;Data!$CP$2,"",SMALL(IF(Data!$B$2:$B$313=Tulokset!$B142,Data!$AN$2:$AN$313),Tulokset!$C142))),"")</f>
        <v/>
      </c>
      <c r="E142" s="78" t="str">
        <f>IF($B142&gt;keilatut,"",IF($C142=(-1),"GP"&amp;$B142&amp;", "&amp;DAY(VLOOKUP($B142,kilpailukalenteri,2))&amp;"."&amp;MONTH(VLOOKUP($B142,kilpailukalenteri,2))&amp;"."&amp;YEAR(VLOOKUP($B142,kilpailukalenteri,2))&amp;", "&amp;IF(RIGHT(VLOOKUP($B142,kilpailukalenteri,4),1)="*",LEFT(VLOOKUP($B142,kilpailukalenteri,4),LEN(VLOOKUP($B142,kilpailukalenteri,4))-2)&amp;", Kultainen GP",VLOOKUP($B142,kilpailukalenteri,4)),IF($C142=0,"Sija",IF($C142&gt;Data!$CP$2,"",ROUND(Tulokset!$D142,0)))))</f>
        <v>Sija</v>
      </c>
      <c r="F142" s="78" t="str">
        <f ca="1">IF($B142&gt;keilatut,"",IF($C142=(-1),"",IF($C142=0,"Nimi",IF($C142&gt;Data!$CP$2,"",OFFSET(tulossiirtymä,MATCH($D142,Data!$AN$2:$AN$313,0),Tulokset!F$2)))))</f>
        <v>Nimi</v>
      </c>
      <c r="G142" s="78" t="str">
        <f ca="1">IF($B142&gt;keilatut,"",IF($C142=(-1),"",IF($C142=0,"Sarja 1",IF($C142&gt;Data!$CP$2,"",OFFSET(tulossiirtymä,MATCH($D142,Data!$AN$2:$AN$313,0),Tulokset!G$2)))))</f>
        <v>Sarja 1</v>
      </c>
      <c r="H142" s="78" t="str">
        <f ca="1">IF($B142&gt;keilatut,"",IF($C142=(-1),"",IF($C142=0,"Sarja 2",IF($C142&gt;Data!$CP$2,"",OFFSET(tulossiirtymä,MATCH($D142,Data!$AN$2:$AN$313,0),Tulokset!H$2)))))</f>
        <v>Sarja 2</v>
      </c>
      <c r="I142" s="78" t="str">
        <f ca="1">IF($B142&gt;keilatut,"",IF($C142=(-1),"",IF($C142=0,"Yhteensä",IF($C142&gt;Data!$CP$2,"",OFFSET(tulossiirtymä,MATCH($D142,Data!$AN$2:$AN$313,0),Tulokset!I$2)))))</f>
        <v>Yhteensä</v>
      </c>
      <c r="J142" s="78" t="str">
        <f ca="1">IF($B142&gt;keilatut,"",IF($C142=(-1),"",IF($C142=0,"Ero voittajaan",IF($C142&gt;Data!$CP$2,"",OFFSET(tulossiirtymä,MATCH($D142,Data!$AN$2:$AN$313,0),Tulokset!J$2)))))</f>
        <v>Ero voittajaan</v>
      </c>
      <c r="K142" s="78" t="str">
        <f ca="1">IF($B142&gt;keilatut,"",IF($C142=(-1),"",IF($C142=0,"Pisteet",IF($C142&gt;Data!$CP$2,"",OFFSET(tulossiirtymä,MATCH($D142,Data!$AN$2:$AN$313,0),Tulokset!K$2)))))</f>
        <v>Pisteet</v>
      </c>
      <c r="L142" s="78" t="str">
        <f ca="1">IF($B142&gt;keilatut,"",IF($C142=(-1),"",IF($C142=0,"Pisteet yhteensä",IF($C142&gt;Data!$CP$2,"",OFFSET(tulossiirtymä,MATCH($D142,Data!$AN$2:$AN$313,0),Tulokset!L$2)))))</f>
        <v>Pisteet yhteensä</v>
      </c>
      <c r="M142" s="78" t="str">
        <f ca="1">IF($B142&gt;keilatut,"",IF($C142=(-1),"",IF($C142=0,"Pisteseloste",IF($C142&gt;Data!$CP$2,"",OFFSET(tulossiirtymä,MATCH($D142,Data!$AN$2:$AN$313,0),Tulokset!M$2)))))</f>
        <v>Pisteseloste</v>
      </c>
    </row>
    <row r="143" spans="2:13" x14ac:dyDescent="0.25">
      <c r="B143" s="78">
        <f t="shared" si="2"/>
        <v>6</v>
      </c>
      <c r="C143" s="78">
        <f>COUNTIF($B$6:B143,B143)-2</f>
        <v>1</v>
      </c>
      <c r="D143" s="79">
        <f t="array" ref="D143">IF($B143&lt;=keilatut,IF($C143&lt;1,"",IF($C143&gt;Data!$CP$2,"",SMALL(IF(Data!$B$2:$B$313=Tulokset!$B143,Data!$AN$2:$AN$313),Tulokset!$C143))),"")</f>
        <v>1.0001</v>
      </c>
      <c r="E143" s="78">
        <f>IF($B143&gt;keilatut,"",IF($C143=(-1),"GP"&amp;$B143&amp;", "&amp;DAY(VLOOKUP($B143,kilpailukalenteri,2))&amp;"."&amp;MONTH(VLOOKUP($B143,kilpailukalenteri,2))&amp;"."&amp;YEAR(VLOOKUP($B143,kilpailukalenteri,2))&amp;", "&amp;IF(RIGHT(VLOOKUP($B143,kilpailukalenteri,4),1)="*",LEFT(VLOOKUP($B143,kilpailukalenteri,4),LEN(VLOOKUP($B143,kilpailukalenteri,4))-2)&amp;", Kultainen GP",VLOOKUP($B143,kilpailukalenteri,4)),IF($C143=0,"Sija",IF($C143&gt;Data!$CP$2,"",ROUND(Tulokset!$D143,0)))))</f>
        <v>1</v>
      </c>
      <c r="F143" s="78" t="str">
        <f ca="1">IF($B143&gt;keilatut,"",IF($C143=(-1),"",IF($C143=0,"Nimi",IF($C143&gt;Data!$CP$2,"",OFFSET(tulossiirtymä,MATCH($D143,Data!$AN$2:$AN$313,0),Tulokset!F$2)))))</f>
        <v>Frans Hartman</v>
      </c>
      <c r="G143" s="78">
        <f ca="1">IF($B143&gt;keilatut,"",IF($C143=(-1),"",IF($C143=0,"Sarja 1",IF($C143&gt;Data!$CP$2,"",OFFSET(tulossiirtymä,MATCH($D143,Data!$AN$2:$AN$313,0),Tulokset!G$2)))))</f>
        <v>146</v>
      </c>
      <c r="H143" s="78">
        <f ca="1">IF($B143&gt;keilatut,"",IF($C143=(-1),"",IF($C143=0,"Sarja 2",IF($C143&gt;Data!$CP$2,"",OFFSET(tulossiirtymä,MATCH($D143,Data!$AN$2:$AN$313,0),Tulokset!H$2)))))</f>
        <v>204</v>
      </c>
      <c r="I143" s="78">
        <f ca="1">IF($B143&gt;keilatut,"",IF($C143=(-1),"",IF($C143=0,"Yhteensä",IF($C143&gt;Data!$CP$2,"",OFFSET(tulossiirtymä,MATCH($D143,Data!$AN$2:$AN$313,0),Tulokset!I$2)))))</f>
        <v>350</v>
      </c>
      <c r="J143" s="78" t="str">
        <f ca="1">IF($B143&gt;keilatut,"",IF($C143=(-1),"",IF($C143=0,"Ero voittajaan",IF($C143&gt;Data!$CP$2,"",OFFSET(tulossiirtymä,MATCH($D143,Data!$AN$2:$AN$313,0),Tulokset!J$2)))))</f>
        <v/>
      </c>
      <c r="K143" s="78">
        <f ca="1">IF($B143&gt;keilatut,"",IF($C143=(-1),"",IF($C143=0,"Pisteet",IF($C143&gt;Data!$CP$2,"",OFFSET(tulossiirtymä,MATCH($D143,Data!$AN$2:$AN$313,0),Tulokset!K$2)))))</f>
        <v>14</v>
      </c>
      <c r="L143" s="78">
        <f ca="1">IF($B143&gt;keilatut,"",IF($C143=(-1),"",IF($C143=0,"Pisteet yhteensä",IF($C143&gt;Data!$CP$2,"",OFFSET(tulossiirtymä,MATCH($D143,Data!$AN$2:$AN$313,0),Tulokset!L$2)))))</f>
        <v>32.5</v>
      </c>
      <c r="M143" s="78" t="str">
        <f ca="1">IF($B143&gt;keilatut,"",IF($C143=(-1),"",IF($C143=0,"Pisteseloste",IF($C143&gt;Data!$CP$2,"",OFFSET(tulossiirtymä,MATCH($D143,Data!$AN$2:$AN$313,0),Tulokset!M$2)))))</f>
        <v>+SP+KGP1+KGP2</v>
      </c>
    </row>
    <row r="144" spans="2:13" x14ac:dyDescent="0.25">
      <c r="B144" s="78">
        <f t="shared" si="2"/>
        <v>6</v>
      </c>
      <c r="C144" s="78">
        <f>COUNTIF($B$6:B144,B144)-2</f>
        <v>2</v>
      </c>
      <c r="D144" s="79">
        <f t="array" ref="D144">IF($B144&lt;=keilatut,IF($C144&lt;1,"",IF($C144&gt;Data!$CP$2,"",SMALL(IF(Data!$B$2:$B$313=Tulokset!$B144,Data!$AN$2:$AN$313),Tulokset!$C144))),"")</f>
        <v>2.000095</v>
      </c>
      <c r="E144" s="78">
        <f>IF($B144&gt;keilatut,"",IF($C144=(-1),"GP"&amp;$B144&amp;", "&amp;DAY(VLOOKUP($B144,kilpailukalenteri,2))&amp;"."&amp;MONTH(VLOOKUP($B144,kilpailukalenteri,2))&amp;"."&amp;YEAR(VLOOKUP($B144,kilpailukalenteri,2))&amp;", "&amp;IF(RIGHT(VLOOKUP($B144,kilpailukalenteri,4),1)="*",LEFT(VLOOKUP($B144,kilpailukalenteri,4),LEN(VLOOKUP($B144,kilpailukalenteri,4))-2)&amp;", Kultainen GP",VLOOKUP($B144,kilpailukalenteri,4)),IF($C144=0,"Sija",IF($C144&gt;Data!$CP$2,"",ROUND(Tulokset!$D144,0)))))</f>
        <v>2</v>
      </c>
      <c r="F144" s="78" t="str">
        <f ca="1">IF($B144&gt;keilatut,"",IF($C144=(-1),"",IF($C144=0,"Nimi",IF($C144&gt;Data!$CP$2,"",OFFSET(tulossiirtymä,MATCH($D144,Data!$AN$2:$AN$313,0),Tulokset!F$2)))))</f>
        <v>Jami Kallio</v>
      </c>
      <c r="G144" s="78">
        <f ca="1">IF($B144&gt;keilatut,"",IF($C144=(-1),"",IF($C144=0,"Sarja 1",IF($C144&gt;Data!$CP$2,"",OFFSET(tulossiirtymä,MATCH($D144,Data!$AN$2:$AN$313,0),Tulokset!G$2)))))</f>
        <v>164</v>
      </c>
      <c r="H144" s="78">
        <f ca="1">IF($B144&gt;keilatut,"",IF($C144=(-1),"",IF($C144=0,"Sarja 2",IF($C144&gt;Data!$CP$2,"",OFFSET(tulossiirtymä,MATCH($D144,Data!$AN$2:$AN$313,0),Tulokset!H$2)))))</f>
        <v>149</v>
      </c>
      <c r="I144" s="78">
        <f ca="1">IF($B144&gt;keilatut,"",IF($C144=(-1),"",IF($C144=0,"Yhteensä",IF($C144&gt;Data!$CP$2,"",OFFSET(tulossiirtymä,MATCH($D144,Data!$AN$2:$AN$313,0),Tulokset!I$2)))))</f>
        <v>313</v>
      </c>
      <c r="J144" s="78">
        <f ca="1">IF($B144&gt;keilatut,"",IF($C144=(-1),"",IF($C144=0,"Ero voittajaan",IF($C144&gt;Data!$CP$2,"",OFFSET(tulossiirtymä,MATCH($D144,Data!$AN$2:$AN$313,0),Tulokset!J$2)))))</f>
        <v>37</v>
      </c>
      <c r="K144" s="78">
        <f ca="1">IF($B144&gt;keilatut,"",IF($C144=(-1),"",IF($C144=0,"Pisteet",IF($C144&gt;Data!$CP$2,"",OFFSET(tulossiirtymä,MATCH($D144,Data!$AN$2:$AN$313,0),Tulokset!K$2)))))</f>
        <v>11</v>
      </c>
      <c r="L144" s="78">
        <f ca="1">IF($B144&gt;keilatut,"",IF($C144=(-1),"",IF($C144=0,"Pisteet yhteensä",IF($C144&gt;Data!$CP$2,"",OFFSET(tulossiirtymä,MATCH($D144,Data!$AN$2:$AN$313,0),Tulokset!L$2)))))</f>
        <v>46</v>
      </c>
      <c r="M144" s="78" t="str">
        <f ca="1">IF($B144&gt;keilatut,"",IF($C144=(-1),"",IF($C144=0,"Pisteseloste",IF($C144&gt;Data!$CP$2,"",OFFSET(tulossiirtymä,MATCH($D144,Data!$AN$2:$AN$313,0),Tulokset!M$2)))))</f>
        <v>+SP+KK</v>
      </c>
    </row>
    <row r="145" spans="2:13" x14ac:dyDescent="0.25">
      <c r="B145" s="78">
        <f t="shared" si="2"/>
        <v>6</v>
      </c>
      <c r="C145" s="78">
        <f>COUNTIF($B$6:B145,B145)-2</f>
        <v>3</v>
      </c>
      <c r="D145" s="79">
        <f t="array" ref="D145">IF($B145&lt;=keilatut,IF($C145&lt;1,"",IF($C145&gt;Data!$CP$2,"",SMALL(IF(Data!$B$2:$B$313=Tulokset!$B145,Data!$AN$2:$AN$313),Tulokset!$C145))),"")</f>
        <v>3.0000990000000001</v>
      </c>
      <c r="E145" s="78">
        <f>IF($B145&gt;keilatut,"",IF($C145=(-1),"GP"&amp;$B145&amp;", "&amp;DAY(VLOOKUP($B145,kilpailukalenteri,2))&amp;"."&amp;MONTH(VLOOKUP($B145,kilpailukalenteri,2))&amp;"."&amp;YEAR(VLOOKUP($B145,kilpailukalenteri,2))&amp;", "&amp;IF(RIGHT(VLOOKUP($B145,kilpailukalenteri,4),1)="*",LEFT(VLOOKUP($B145,kilpailukalenteri,4),LEN(VLOOKUP($B145,kilpailukalenteri,4))-2)&amp;", Kultainen GP",VLOOKUP($B145,kilpailukalenteri,4)),IF($C145=0,"Sija",IF($C145&gt;Data!$CP$2,"",ROUND(Tulokset!$D145,0)))))</f>
        <v>3</v>
      </c>
      <c r="F145" s="78" t="str">
        <f ca="1">IF($B145&gt;keilatut,"",IF($C145=(-1),"",IF($C145=0,"Nimi",IF($C145&gt;Data!$CP$2,"",OFFSET(tulossiirtymä,MATCH($D145,Data!$AN$2:$AN$313,0),Tulokset!F$2)))))</f>
        <v>Iiro Riikonen</v>
      </c>
      <c r="G145" s="78">
        <f ca="1">IF($B145&gt;keilatut,"",IF($C145=(-1),"",IF($C145=0,"Sarja 1",IF($C145&gt;Data!$CP$2,"",OFFSET(tulossiirtymä,MATCH($D145,Data!$AN$2:$AN$313,0),Tulokset!G$2)))))</f>
        <v>145</v>
      </c>
      <c r="H145" s="78">
        <f ca="1">IF($B145&gt;keilatut,"",IF($C145=(-1),"",IF($C145=0,"Sarja 2",IF($C145&gt;Data!$CP$2,"",OFFSET(tulossiirtymä,MATCH($D145,Data!$AN$2:$AN$313,0),Tulokset!H$2)))))</f>
        <v>159</v>
      </c>
      <c r="I145" s="78">
        <f ca="1">IF($B145&gt;keilatut,"",IF($C145=(-1),"",IF($C145=0,"Yhteensä",IF($C145&gt;Data!$CP$2,"",OFFSET(tulossiirtymä,MATCH($D145,Data!$AN$2:$AN$313,0),Tulokset!I$2)))))</f>
        <v>304</v>
      </c>
      <c r="J145" s="78">
        <f ca="1">IF($B145&gt;keilatut,"",IF($C145=(-1),"",IF($C145=0,"Ero voittajaan",IF($C145&gt;Data!$CP$2,"",OFFSET(tulossiirtymä,MATCH($D145,Data!$AN$2:$AN$313,0),Tulokset!J$2)))))</f>
        <v>46</v>
      </c>
      <c r="K145" s="78">
        <f ca="1">IF($B145&gt;keilatut,"",IF($C145=(-1),"",IF($C145=0,"Pisteet",IF($C145&gt;Data!$CP$2,"",OFFSET(tulossiirtymä,MATCH($D145,Data!$AN$2:$AN$313,0),Tulokset!K$2)))))</f>
        <v>8</v>
      </c>
      <c r="L145" s="78">
        <f ca="1">IF($B145&gt;keilatut,"",IF($C145=(-1),"",IF($C145=0,"Pisteet yhteensä",IF($C145&gt;Data!$CP$2,"",OFFSET(tulossiirtymä,MATCH($D145,Data!$AN$2:$AN$313,0),Tulokset!L$2)))))</f>
        <v>14</v>
      </c>
      <c r="M145" s="78" t="str">
        <f ca="1">IF($B145&gt;keilatut,"",IF($C145=(-1),"",IF($C145=0,"Pisteseloste",IF($C145&gt;Data!$CP$2,"",OFFSET(tulossiirtymä,MATCH($D145,Data!$AN$2:$AN$313,0),Tulokset!M$2)))))</f>
        <v>+SP</v>
      </c>
    </row>
    <row r="146" spans="2:13" x14ac:dyDescent="0.25">
      <c r="B146" s="78">
        <f t="shared" si="2"/>
        <v>6</v>
      </c>
      <c r="C146" s="78">
        <f>COUNTIF($B$6:B146,B146)-2</f>
        <v>4</v>
      </c>
      <c r="D146" s="79">
        <f t="array" ref="D146">IF($B146&lt;=keilatut,IF($C146&lt;1,"",IF($C146&gt;Data!$CP$2,"",SMALL(IF(Data!$B$2:$B$313=Tulokset!$B146,Data!$AN$2:$AN$313),Tulokset!$C146))),"")</f>
        <v>4.0000929999999997</v>
      </c>
      <c r="E146" s="78">
        <f>IF($B146&gt;keilatut,"",IF($C146=(-1),"GP"&amp;$B146&amp;", "&amp;DAY(VLOOKUP($B146,kilpailukalenteri,2))&amp;"."&amp;MONTH(VLOOKUP($B146,kilpailukalenteri,2))&amp;"."&amp;YEAR(VLOOKUP($B146,kilpailukalenteri,2))&amp;", "&amp;IF(RIGHT(VLOOKUP($B146,kilpailukalenteri,4),1)="*",LEFT(VLOOKUP($B146,kilpailukalenteri,4),LEN(VLOOKUP($B146,kilpailukalenteri,4))-2)&amp;", Kultainen GP",VLOOKUP($B146,kilpailukalenteri,4)),IF($C146=0,"Sija",IF($C146&gt;Data!$CP$2,"",ROUND(Tulokset!$D146,0)))))</f>
        <v>4</v>
      </c>
      <c r="F146" s="78" t="str">
        <f ca="1">IF($B146&gt;keilatut,"",IF($C146=(-1),"",IF($C146=0,"Nimi",IF($C146&gt;Data!$CP$2,"",OFFSET(tulossiirtymä,MATCH($D146,Data!$AN$2:$AN$313,0),Tulokset!F$2)))))</f>
        <v>Henri Verho</v>
      </c>
      <c r="G146" s="78">
        <f ca="1">IF($B146&gt;keilatut,"",IF($C146=(-1),"",IF($C146=0,"Sarja 1",IF($C146&gt;Data!$CP$2,"",OFFSET(tulossiirtymä,MATCH($D146,Data!$AN$2:$AN$313,0),Tulokset!G$2)))))</f>
        <v>151</v>
      </c>
      <c r="H146" s="78">
        <f ca="1">IF($B146&gt;keilatut,"",IF($C146=(-1),"",IF($C146=0,"Sarja 2",IF($C146&gt;Data!$CP$2,"",OFFSET(tulossiirtymä,MATCH($D146,Data!$AN$2:$AN$313,0),Tulokset!H$2)))))</f>
        <v>147</v>
      </c>
      <c r="I146" s="78">
        <f ca="1">IF($B146&gt;keilatut,"",IF($C146=(-1),"",IF($C146=0,"Yhteensä",IF($C146&gt;Data!$CP$2,"",OFFSET(tulossiirtymä,MATCH($D146,Data!$AN$2:$AN$313,0),Tulokset!I$2)))))</f>
        <v>298</v>
      </c>
      <c r="J146" s="78">
        <f ca="1">IF($B146&gt;keilatut,"",IF($C146=(-1),"",IF($C146=0,"Ero voittajaan",IF($C146&gt;Data!$CP$2,"",OFFSET(tulossiirtymä,MATCH($D146,Data!$AN$2:$AN$313,0),Tulokset!J$2)))))</f>
        <v>52</v>
      </c>
      <c r="K146" s="78">
        <f ca="1">IF($B146&gt;keilatut,"",IF($C146=(-1),"",IF($C146=0,"Pisteet",IF($C146&gt;Data!$CP$2,"",OFFSET(tulossiirtymä,MATCH($D146,Data!$AN$2:$AN$313,0),Tulokset!K$2)))))</f>
        <v>7</v>
      </c>
      <c r="L146" s="78">
        <f ca="1">IF($B146&gt;keilatut,"",IF($C146=(-1),"",IF($C146=0,"Pisteet yhteensä",IF($C146&gt;Data!$CP$2,"",OFFSET(tulossiirtymä,MATCH($D146,Data!$AN$2:$AN$313,0),Tulokset!L$2)))))</f>
        <v>35</v>
      </c>
      <c r="M146" s="78" t="str">
        <f ca="1">IF($B146&gt;keilatut,"",IF($C146=(-1),"",IF($C146=0,"Pisteseloste",IF($C146&gt;Data!$CP$2,"",OFFSET(tulossiirtymä,MATCH($D146,Data!$AN$2:$AN$313,0),Tulokset!M$2)))))</f>
        <v>+SP</v>
      </c>
    </row>
    <row r="147" spans="2:13" x14ac:dyDescent="0.25">
      <c r="B147" s="78">
        <f t="shared" si="2"/>
        <v>6</v>
      </c>
      <c r="C147" s="78">
        <f>COUNTIF($B$6:B147,B147)-2</f>
        <v>5</v>
      </c>
      <c r="D147" s="79">
        <f t="array" ref="D147">IF($B147&lt;=keilatut,IF($C147&lt;1,"",IF($C147&gt;Data!$CP$2,"",SMALL(IF(Data!$B$2:$B$313=Tulokset!$B147,Data!$AN$2:$AN$313),Tulokset!$C147))),"")</f>
        <v>5.0000939999999998</v>
      </c>
      <c r="E147" s="78">
        <f>IF($B147&gt;keilatut,"",IF($C147=(-1),"GP"&amp;$B147&amp;", "&amp;DAY(VLOOKUP($B147,kilpailukalenteri,2))&amp;"."&amp;MONTH(VLOOKUP($B147,kilpailukalenteri,2))&amp;"."&amp;YEAR(VLOOKUP($B147,kilpailukalenteri,2))&amp;", "&amp;IF(RIGHT(VLOOKUP($B147,kilpailukalenteri,4),1)="*",LEFT(VLOOKUP($B147,kilpailukalenteri,4),LEN(VLOOKUP($B147,kilpailukalenteri,4))-2)&amp;", Kultainen GP",VLOOKUP($B147,kilpailukalenteri,4)),IF($C147=0,"Sija",IF($C147&gt;Data!$CP$2,"",ROUND(Tulokset!$D147,0)))))</f>
        <v>5</v>
      </c>
      <c r="F147" s="78" t="str">
        <f ca="1">IF($B147&gt;keilatut,"",IF($C147=(-1),"",IF($C147=0,"Nimi",IF($C147&gt;Data!$CP$2,"",OFFSET(tulossiirtymä,MATCH($D147,Data!$AN$2:$AN$313,0),Tulokset!F$2)))))</f>
        <v>Juho Korpi</v>
      </c>
      <c r="G147" s="78">
        <f ca="1">IF($B147&gt;keilatut,"",IF($C147=(-1),"",IF($C147=0,"Sarja 1",IF($C147&gt;Data!$CP$2,"",OFFSET(tulossiirtymä,MATCH($D147,Data!$AN$2:$AN$313,0),Tulokset!G$2)))))</f>
        <v>106</v>
      </c>
      <c r="H147" s="78">
        <f ca="1">IF($B147&gt;keilatut,"",IF($C147=(-1),"",IF($C147=0,"Sarja 2",IF($C147&gt;Data!$CP$2,"",OFFSET(tulossiirtymä,MATCH($D147,Data!$AN$2:$AN$313,0),Tulokset!H$2)))))</f>
        <v>184</v>
      </c>
      <c r="I147" s="78">
        <f ca="1">IF($B147&gt;keilatut,"",IF($C147=(-1),"",IF($C147=0,"Yhteensä",IF($C147&gt;Data!$CP$2,"",OFFSET(tulossiirtymä,MATCH($D147,Data!$AN$2:$AN$313,0),Tulokset!I$2)))))</f>
        <v>290</v>
      </c>
      <c r="J147" s="78">
        <f ca="1">IF($B147&gt;keilatut,"",IF($C147=(-1),"",IF($C147=0,"Ero voittajaan",IF($C147&gt;Data!$CP$2,"",OFFSET(tulossiirtymä,MATCH($D147,Data!$AN$2:$AN$313,0),Tulokset!J$2)))))</f>
        <v>60</v>
      </c>
      <c r="K147" s="78">
        <f ca="1">IF($B147&gt;keilatut,"",IF($C147=(-1),"",IF($C147=0,"Pisteet",IF($C147&gt;Data!$CP$2,"",OFFSET(tulossiirtymä,MATCH($D147,Data!$AN$2:$AN$313,0),Tulokset!K$2)))))</f>
        <v>7</v>
      </c>
      <c r="L147" s="78">
        <f ca="1">IF($B147&gt;keilatut,"",IF($C147=(-1),"",IF($C147=0,"Pisteet yhteensä",IF($C147&gt;Data!$CP$2,"",OFFSET(tulossiirtymä,MATCH($D147,Data!$AN$2:$AN$313,0),Tulokset!L$2)))))</f>
        <v>15</v>
      </c>
      <c r="M147" s="78" t="str">
        <f ca="1">IF($B147&gt;keilatut,"",IF($C147=(-1),"",IF($C147=0,"Pisteseloste",IF($C147&gt;Data!$CP$2,"",OFFSET(tulossiirtymä,MATCH($D147,Data!$AN$2:$AN$313,0),Tulokset!M$2)))))</f>
        <v>+SP+KGP2</v>
      </c>
    </row>
    <row r="148" spans="2:13" x14ac:dyDescent="0.25">
      <c r="B148" s="78">
        <f t="shared" si="2"/>
        <v>6</v>
      </c>
      <c r="C148" s="78">
        <f>COUNTIF($B$6:B148,B148)-2</f>
        <v>6</v>
      </c>
      <c r="D148" s="79">
        <f t="array" ref="D148">IF($B148&lt;=keilatut,IF($C148&lt;1,"",IF($C148&gt;Data!$CP$2,"",SMALL(IF(Data!$B$2:$B$313=Tulokset!$B148,Data!$AN$2:$AN$313),Tulokset!$C148))),"")</f>
        <v>6.0000920000000004</v>
      </c>
      <c r="E148" s="78">
        <f>IF($B148&gt;keilatut,"",IF($C148=(-1),"GP"&amp;$B148&amp;", "&amp;DAY(VLOOKUP($B148,kilpailukalenteri,2))&amp;"."&amp;MONTH(VLOOKUP($B148,kilpailukalenteri,2))&amp;"."&amp;YEAR(VLOOKUP($B148,kilpailukalenteri,2))&amp;", "&amp;IF(RIGHT(VLOOKUP($B148,kilpailukalenteri,4),1)="*",LEFT(VLOOKUP($B148,kilpailukalenteri,4),LEN(VLOOKUP($B148,kilpailukalenteri,4))-2)&amp;", Kultainen GP",VLOOKUP($B148,kilpailukalenteri,4)),IF($C148=0,"Sija",IF($C148&gt;Data!$CP$2,"",ROUND(Tulokset!$D148,0)))))</f>
        <v>6</v>
      </c>
      <c r="F148" s="78" t="str">
        <f ca="1">IF($B148&gt;keilatut,"",IF($C148=(-1),"",IF($C148=0,"Nimi",IF($C148&gt;Data!$CP$2,"",OFFSET(tulossiirtymä,MATCH($D148,Data!$AN$2:$AN$313,0),Tulokset!F$2)))))</f>
        <v>Niko Reunanen</v>
      </c>
      <c r="G148" s="78">
        <f ca="1">IF($B148&gt;keilatut,"",IF($C148=(-1),"",IF($C148=0,"Sarja 1",IF($C148&gt;Data!$CP$2,"",OFFSET(tulossiirtymä,MATCH($D148,Data!$AN$2:$AN$313,0),Tulokset!G$2)))))</f>
        <v>165</v>
      </c>
      <c r="H148" s="78">
        <f ca="1">IF($B148&gt;keilatut,"",IF($C148=(-1),"",IF($C148=0,"Sarja 2",IF($C148&gt;Data!$CP$2,"",OFFSET(tulossiirtymä,MATCH($D148,Data!$AN$2:$AN$313,0),Tulokset!H$2)))))</f>
        <v>124</v>
      </c>
      <c r="I148" s="78">
        <f ca="1">IF($B148&gt;keilatut,"",IF($C148=(-1),"",IF($C148=0,"Yhteensä",IF($C148&gt;Data!$CP$2,"",OFFSET(tulossiirtymä,MATCH($D148,Data!$AN$2:$AN$313,0),Tulokset!I$2)))))</f>
        <v>289</v>
      </c>
      <c r="J148" s="78">
        <f ca="1">IF($B148&gt;keilatut,"",IF($C148=(-1),"",IF($C148=0,"Ero voittajaan",IF($C148&gt;Data!$CP$2,"",OFFSET(tulossiirtymä,MATCH($D148,Data!$AN$2:$AN$313,0),Tulokset!J$2)))))</f>
        <v>61</v>
      </c>
      <c r="K148" s="78">
        <f ca="1">IF($B148&gt;keilatut,"",IF($C148=(-1),"",IF($C148=0,"Pisteet",IF($C148&gt;Data!$CP$2,"",OFFSET(tulossiirtymä,MATCH($D148,Data!$AN$2:$AN$313,0),Tulokset!K$2)))))</f>
        <v>5</v>
      </c>
      <c r="L148" s="78">
        <f ca="1">IF($B148&gt;keilatut,"",IF($C148=(-1),"",IF($C148=0,"Pisteet yhteensä",IF($C148&gt;Data!$CP$2,"",OFFSET(tulossiirtymä,MATCH($D148,Data!$AN$2:$AN$313,0),Tulokset!L$2)))))</f>
        <v>24</v>
      </c>
      <c r="M148" s="78" t="str">
        <f ca="1">IF($B148&gt;keilatut,"",IF($C148=(-1),"",IF($C148=0,"Pisteseloste",IF($C148&gt;Data!$CP$2,"",OFFSET(tulossiirtymä,MATCH($D148,Data!$AN$2:$AN$313,0),Tulokset!M$2)))))</f>
        <v>+SP</v>
      </c>
    </row>
    <row r="149" spans="2:13" x14ac:dyDescent="0.25">
      <c r="B149" s="78">
        <f t="shared" si="2"/>
        <v>6</v>
      </c>
      <c r="C149" s="78">
        <f>COUNTIF($B$6:B149,B149)-2</f>
        <v>7</v>
      </c>
      <c r="D149" s="79">
        <f t="array" ref="D149">IF($B149&lt;=keilatut,IF($C149&lt;1,"",IF($C149&gt;Data!$CP$2,"",SMALL(IF(Data!$B$2:$B$313=Tulokset!$B149,Data!$AN$2:$AN$313),Tulokset!$C149))),"")</f>
        <v>7.0000980000000004</v>
      </c>
      <c r="E149" s="78">
        <f>IF($B149&gt;keilatut,"",IF($C149=(-1),"GP"&amp;$B149&amp;", "&amp;DAY(VLOOKUP($B149,kilpailukalenteri,2))&amp;"."&amp;MONTH(VLOOKUP($B149,kilpailukalenteri,2))&amp;"."&amp;YEAR(VLOOKUP($B149,kilpailukalenteri,2))&amp;", "&amp;IF(RIGHT(VLOOKUP($B149,kilpailukalenteri,4),1)="*",LEFT(VLOOKUP($B149,kilpailukalenteri,4),LEN(VLOOKUP($B149,kilpailukalenteri,4))-2)&amp;", Kultainen GP",VLOOKUP($B149,kilpailukalenteri,4)),IF($C149=0,"Sija",IF($C149&gt;Data!$CP$2,"",ROUND(Tulokset!$D149,0)))))</f>
        <v>7</v>
      </c>
      <c r="F149" s="78" t="str">
        <f ca="1">IF($B149&gt;keilatut,"",IF($C149=(-1),"",IF($C149=0,"Nimi",IF($C149&gt;Data!$CP$2,"",OFFSET(tulossiirtymä,MATCH($D149,Data!$AN$2:$AN$313,0),Tulokset!F$2)))))</f>
        <v>Olli Kajava</v>
      </c>
      <c r="G149" s="78">
        <f ca="1">IF($B149&gt;keilatut,"",IF($C149=(-1),"",IF($C149=0,"Sarja 1",IF($C149&gt;Data!$CP$2,"",OFFSET(tulossiirtymä,MATCH($D149,Data!$AN$2:$AN$313,0),Tulokset!G$2)))))</f>
        <v>111</v>
      </c>
      <c r="H149" s="78">
        <f ca="1">IF($B149&gt;keilatut,"",IF($C149=(-1),"",IF($C149=0,"Sarja 2",IF($C149&gt;Data!$CP$2,"",OFFSET(tulossiirtymä,MATCH($D149,Data!$AN$2:$AN$313,0),Tulokset!H$2)))))</f>
        <v>175</v>
      </c>
      <c r="I149" s="78">
        <f ca="1">IF($B149&gt;keilatut,"",IF($C149=(-1),"",IF($C149=0,"Yhteensä",IF($C149&gt;Data!$CP$2,"",OFFSET(tulossiirtymä,MATCH($D149,Data!$AN$2:$AN$313,0),Tulokset!I$2)))))</f>
        <v>286</v>
      </c>
      <c r="J149" s="78">
        <f ca="1">IF($B149&gt;keilatut,"",IF($C149=(-1),"",IF($C149=0,"Ero voittajaan",IF($C149&gt;Data!$CP$2,"",OFFSET(tulossiirtymä,MATCH($D149,Data!$AN$2:$AN$313,0),Tulokset!J$2)))))</f>
        <v>64</v>
      </c>
      <c r="K149" s="78">
        <f ca="1">IF($B149&gt;keilatut,"",IF($C149=(-1),"",IF($C149=0,"Pisteet",IF($C149&gt;Data!$CP$2,"",OFFSET(tulossiirtymä,MATCH($D149,Data!$AN$2:$AN$313,0),Tulokset!K$2)))))</f>
        <v>4</v>
      </c>
      <c r="L149" s="78">
        <f ca="1">IF($B149&gt;keilatut,"",IF($C149=(-1),"",IF($C149=0,"Pisteet yhteensä",IF($C149&gt;Data!$CP$2,"",OFFSET(tulossiirtymä,MATCH($D149,Data!$AN$2:$AN$313,0),Tulokset!L$2)))))</f>
        <v>13</v>
      </c>
      <c r="M149" s="78" t="str">
        <f ca="1">IF($B149&gt;keilatut,"",IF($C149=(-1),"",IF($C149=0,"Pisteseloste",IF($C149&gt;Data!$CP$2,"",OFFSET(tulossiirtymä,MATCH($D149,Data!$AN$2:$AN$313,0),Tulokset!M$2)))))</f>
        <v>+SP+KGP2-KGP2</v>
      </c>
    </row>
    <row r="150" spans="2:13" x14ac:dyDescent="0.25">
      <c r="B150" s="78">
        <f t="shared" si="2"/>
        <v>6</v>
      </c>
      <c r="C150" s="78">
        <f>COUNTIF($B$6:B150,B150)-2</f>
        <v>8</v>
      </c>
      <c r="D150" s="79">
        <f t="array" ref="D150">IF($B150&lt;=keilatut,IF($C150&lt;1,"",IF($C150&gt;Data!$CP$2,"",SMALL(IF(Data!$B$2:$B$313=Tulokset!$B150,Data!$AN$2:$AN$313),Tulokset!$C150))),"")</f>
        <v>8.0001040000000003</v>
      </c>
      <c r="E150" s="78">
        <f>IF($B150&gt;keilatut,"",IF($C150=(-1),"GP"&amp;$B150&amp;", "&amp;DAY(VLOOKUP($B150,kilpailukalenteri,2))&amp;"."&amp;MONTH(VLOOKUP($B150,kilpailukalenteri,2))&amp;"."&amp;YEAR(VLOOKUP($B150,kilpailukalenteri,2))&amp;", "&amp;IF(RIGHT(VLOOKUP($B150,kilpailukalenteri,4),1)="*",LEFT(VLOOKUP($B150,kilpailukalenteri,4),LEN(VLOOKUP($B150,kilpailukalenteri,4))-2)&amp;", Kultainen GP",VLOOKUP($B150,kilpailukalenteri,4)),IF($C150=0,"Sija",IF($C150&gt;Data!$CP$2,"",ROUND(Tulokset!$D150,0)))))</f>
        <v>8</v>
      </c>
      <c r="F150" s="78" t="str">
        <f ca="1">IF($B150&gt;keilatut,"",IF($C150=(-1),"",IF($C150=0,"Nimi",IF($C150&gt;Data!$CP$2,"",OFFSET(tulossiirtymä,MATCH($D150,Data!$AN$2:$AN$313,0),Tulokset!F$2)))))</f>
        <v>Miika Nordblad</v>
      </c>
      <c r="G150" s="78">
        <f ca="1">IF($B150&gt;keilatut,"",IF($C150=(-1),"",IF($C150=0,"Sarja 1",IF($C150&gt;Data!$CP$2,"",OFFSET(tulossiirtymä,MATCH($D150,Data!$AN$2:$AN$313,0),Tulokset!G$2)))))</f>
        <v>133</v>
      </c>
      <c r="H150" s="78">
        <f ca="1">IF($B150&gt;keilatut,"",IF($C150=(-1),"",IF($C150=0,"Sarja 2",IF($C150&gt;Data!$CP$2,"",OFFSET(tulossiirtymä,MATCH($D150,Data!$AN$2:$AN$313,0),Tulokset!H$2)))))</f>
        <v>123</v>
      </c>
      <c r="I150" s="78">
        <f ca="1">IF($B150&gt;keilatut,"",IF($C150=(-1),"",IF($C150=0,"Yhteensä",IF($C150&gt;Data!$CP$2,"",OFFSET(tulossiirtymä,MATCH($D150,Data!$AN$2:$AN$313,0),Tulokset!I$2)))))</f>
        <v>256</v>
      </c>
      <c r="J150" s="78">
        <f ca="1">IF($B150&gt;keilatut,"",IF($C150=(-1),"",IF($C150=0,"Ero voittajaan",IF($C150&gt;Data!$CP$2,"",OFFSET(tulossiirtymä,MATCH($D150,Data!$AN$2:$AN$313,0),Tulokset!J$2)))))</f>
        <v>94</v>
      </c>
      <c r="K150" s="78">
        <f ca="1">IF($B150&gt;keilatut,"",IF($C150=(-1),"",IF($C150=0,"Pisteet",IF($C150&gt;Data!$CP$2,"",OFFSET(tulossiirtymä,MATCH($D150,Data!$AN$2:$AN$313,0),Tulokset!K$2)))))</f>
        <v>2</v>
      </c>
      <c r="L150" s="78">
        <f ca="1">IF($B150&gt;keilatut,"",IF($C150=(-1),"",IF($C150=0,"Pisteet yhteensä",IF($C150&gt;Data!$CP$2,"",OFFSET(tulossiirtymä,MATCH($D150,Data!$AN$2:$AN$313,0),Tulokset!L$2)))))</f>
        <v>42</v>
      </c>
      <c r="M150" s="78" t="str">
        <f ca="1">IF($B150&gt;keilatut,"",IF($C150=(-1),"",IF($C150=0,"Pisteseloste",IF($C150&gt;Data!$CP$2,"",OFFSET(tulossiirtymä,MATCH($D150,Data!$AN$2:$AN$313,0),Tulokset!M$2)))))</f>
        <v>+SP-KGP2</v>
      </c>
    </row>
    <row r="151" spans="2:13" x14ac:dyDescent="0.25">
      <c r="B151" s="78">
        <f t="shared" si="2"/>
        <v>6</v>
      </c>
      <c r="C151" s="78">
        <f>COUNTIF($B$6:B151,B151)-2</f>
        <v>9</v>
      </c>
      <c r="D151" s="79">
        <f t="array" ref="D151">IF($B151&lt;=keilatut,IF($C151&lt;1,"",IF($C151&gt;Data!$CP$2,"",SMALL(IF(Data!$B$2:$B$313=Tulokset!$B151,Data!$AN$2:$AN$313),Tulokset!$C151))),"")</f>
        <v>9.0000970000000002</v>
      </c>
      <c r="E151" s="78">
        <f>IF($B151&gt;keilatut,"",IF($C151=(-1),"GP"&amp;$B151&amp;", "&amp;DAY(VLOOKUP($B151,kilpailukalenteri,2))&amp;"."&amp;MONTH(VLOOKUP($B151,kilpailukalenteri,2))&amp;"."&amp;YEAR(VLOOKUP($B151,kilpailukalenteri,2))&amp;", "&amp;IF(RIGHT(VLOOKUP($B151,kilpailukalenteri,4),1)="*",LEFT(VLOOKUP($B151,kilpailukalenteri,4),LEN(VLOOKUP($B151,kilpailukalenteri,4))-2)&amp;", Kultainen GP",VLOOKUP($B151,kilpailukalenteri,4)),IF($C151=0,"Sija",IF($C151&gt;Data!$CP$2,"",ROUND(Tulokset!$D151,0)))))</f>
        <v>9</v>
      </c>
      <c r="F151" s="78" t="str">
        <f ca="1">IF($B151&gt;keilatut,"",IF($C151=(-1),"",IF($C151=0,"Nimi",IF($C151&gt;Data!$CP$2,"",OFFSET(tulossiirtymä,MATCH($D151,Data!$AN$2:$AN$313,0),Tulokset!F$2)))))</f>
        <v>Mika Sola</v>
      </c>
      <c r="G151" s="78">
        <f ca="1">IF($B151&gt;keilatut,"",IF($C151=(-1),"",IF($C151=0,"Sarja 1",IF($C151&gt;Data!$CP$2,"",OFFSET(tulossiirtymä,MATCH($D151,Data!$AN$2:$AN$313,0),Tulokset!G$2)))))</f>
        <v>117</v>
      </c>
      <c r="H151" s="78">
        <f ca="1">IF($B151&gt;keilatut,"",IF($C151=(-1),"",IF($C151=0,"Sarja 2",IF($C151&gt;Data!$CP$2,"",OFFSET(tulossiirtymä,MATCH($D151,Data!$AN$2:$AN$313,0),Tulokset!H$2)))))</f>
        <v>137</v>
      </c>
      <c r="I151" s="78">
        <f ca="1">IF($B151&gt;keilatut,"",IF($C151=(-1),"",IF($C151=0,"Yhteensä",IF($C151&gt;Data!$CP$2,"",OFFSET(tulossiirtymä,MATCH($D151,Data!$AN$2:$AN$313,0),Tulokset!I$2)))))</f>
        <v>254</v>
      </c>
      <c r="J151" s="78">
        <f ca="1">IF($B151&gt;keilatut,"",IF($C151=(-1),"",IF($C151=0,"Ero voittajaan",IF($C151&gt;Data!$CP$2,"",OFFSET(tulossiirtymä,MATCH($D151,Data!$AN$2:$AN$313,0),Tulokset!J$2)))))</f>
        <v>96</v>
      </c>
      <c r="K151" s="78">
        <f ca="1">IF($B151&gt;keilatut,"",IF($C151=(-1),"",IF($C151=0,"Pisteet",IF($C151&gt;Data!$CP$2,"",OFFSET(tulossiirtymä,MATCH($D151,Data!$AN$2:$AN$313,0),Tulokset!K$2)))))</f>
        <v>2</v>
      </c>
      <c r="L151" s="78">
        <f ca="1">IF($B151&gt;keilatut,"",IF($C151=(-1),"",IF($C151=0,"Pisteet yhteensä",IF($C151&gt;Data!$CP$2,"",OFFSET(tulossiirtymä,MATCH($D151,Data!$AN$2:$AN$313,0),Tulokset!L$2)))))</f>
        <v>22</v>
      </c>
      <c r="M151" s="78" t="str">
        <f ca="1">IF($B151&gt;keilatut,"",IF($C151=(-1),"",IF($C151=0,"Pisteseloste",IF($C151&gt;Data!$CP$2,"",OFFSET(tulossiirtymä,MATCH($D151,Data!$AN$2:$AN$313,0),Tulokset!M$2)))))</f>
        <v>+SP</v>
      </c>
    </row>
    <row r="152" spans="2:13" x14ac:dyDescent="0.25">
      <c r="B152" s="78">
        <f t="shared" si="2"/>
        <v>6</v>
      </c>
      <c r="C152" s="78">
        <f>COUNTIF($B$6:B152,B152)-2</f>
        <v>10</v>
      </c>
      <c r="D152" s="79">
        <f t="array" ref="D152">IF($B152&lt;=keilatut,IF($C152&lt;1,"",IF($C152&gt;Data!$CP$2,"",SMALL(IF(Data!$B$2:$B$313=Tulokset!$B152,Data!$AN$2:$AN$313),Tulokset!$C152))),"")</f>
        <v>10.000090999999999</v>
      </c>
      <c r="E152" s="78">
        <f>IF($B152&gt;keilatut,"",IF($C152=(-1),"GP"&amp;$B152&amp;", "&amp;DAY(VLOOKUP($B152,kilpailukalenteri,2))&amp;"."&amp;MONTH(VLOOKUP($B152,kilpailukalenteri,2))&amp;"."&amp;YEAR(VLOOKUP($B152,kilpailukalenteri,2))&amp;", "&amp;IF(RIGHT(VLOOKUP($B152,kilpailukalenteri,4),1)="*",LEFT(VLOOKUP($B152,kilpailukalenteri,4),LEN(VLOOKUP($B152,kilpailukalenteri,4))-2)&amp;", Kultainen GP",VLOOKUP($B152,kilpailukalenteri,4)),IF($C152=0,"Sija",IF($C152&gt;Data!$CP$2,"",ROUND(Tulokset!$D152,0)))))</f>
        <v>10</v>
      </c>
      <c r="F152" s="78" t="str">
        <f ca="1">IF($B152&gt;keilatut,"",IF($C152=(-1),"",IF($C152=0,"Nimi",IF($C152&gt;Data!$CP$2,"",OFFSET(tulossiirtymä,MATCH($D152,Data!$AN$2:$AN$313,0),Tulokset!F$2)))))</f>
        <v>Joonas Ollonqvist</v>
      </c>
      <c r="G152" s="78">
        <f ca="1">IF($B152&gt;keilatut,"",IF($C152=(-1),"",IF($C152=0,"Sarja 1",IF($C152&gt;Data!$CP$2,"",OFFSET(tulossiirtymä,MATCH($D152,Data!$AN$2:$AN$313,0),Tulokset!G$2)))))</f>
        <v>117</v>
      </c>
      <c r="H152" s="78">
        <f ca="1">IF($B152&gt;keilatut,"",IF($C152=(-1),"",IF($C152=0,"Sarja 2",IF($C152&gt;Data!$CP$2,"",OFFSET(tulossiirtymä,MATCH($D152,Data!$AN$2:$AN$313,0),Tulokset!H$2)))))</f>
        <v>124</v>
      </c>
      <c r="I152" s="78">
        <f ca="1">IF($B152&gt;keilatut,"",IF($C152=(-1),"",IF($C152=0,"Yhteensä",IF($C152&gt;Data!$CP$2,"",OFFSET(tulossiirtymä,MATCH($D152,Data!$AN$2:$AN$313,0),Tulokset!I$2)))))</f>
        <v>241</v>
      </c>
      <c r="J152" s="78">
        <f ca="1">IF($B152&gt;keilatut,"",IF($C152=(-1),"",IF($C152=0,"Ero voittajaan",IF($C152&gt;Data!$CP$2,"",OFFSET(tulossiirtymä,MATCH($D152,Data!$AN$2:$AN$313,0),Tulokset!J$2)))))</f>
        <v>109</v>
      </c>
      <c r="K152" s="78">
        <f ca="1">IF($B152&gt;keilatut,"",IF($C152=(-1),"",IF($C152=0,"Pisteet",IF($C152&gt;Data!$CP$2,"",OFFSET(tulossiirtymä,MATCH($D152,Data!$AN$2:$AN$313,0),Tulokset!K$2)))))</f>
        <v>1</v>
      </c>
      <c r="L152" s="78">
        <f ca="1">IF($B152&gt;keilatut,"",IF($C152=(-1),"",IF($C152=0,"Pisteet yhteensä",IF($C152&gt;Data!$CP$2,"",OFFSET(tulossiirtymä,MATCH($D152,Data!$AN$2:$AN$313,0),Tulokset!L$2)))))</f>
        <v>1</v>
      </c>
      <c r="M152" s="78" t="str">
        <f ca="1">IF($B152&gt;keilatut,"",IF($C152=(-1),"",IF($C152=0,"Pisteseloste",IF($C152&gt;Data!$CP$2,"",OFFSET(tulossiirtymä,MATCH($D152,Data!$AN$2:$AN$313,0),Tulokset!M$2)))))</f>
        <v>+SP</v>
      </c>
    </row>
    <row r="153" spans="2:13" x14ac:dyDescent="0.25">
      <c r="B153" s="78">
        <f t="shared" si="2"/>
        <v>6</v>
      </c>
      <c r="C153" s="78">
        <f>COUNTIF($B$6:B153,B153)-2</f>
        <v>11</v>
      </c>
      <c r="D153" s="79">
        <f t="array" ref="D153">IF($B153&lt;=keilatut,IF($C153&lt;1,"",IF($C153&gt;Data!$CP$2,"",SMALL(IF(Data!$B$2:$B$313=Tulokset!$B153,Data!$AN$2:$AN$313),Tulokset!$C153))),"")</f>
        <v>11.000105</v>
      </c>
      <c r="E153" s="78">
        <f>IF($B153&gt;keilatut,"",IF($C153=(-1),"GP"&amp;$B153&amp;", "&amp;DAY(VLOOKUP($B153,kilpailukalenteri,2))&amp;"."&amp;MONTH(VLOOKUP($B153,kilpailukalenteri,2))&amp;"."&amp;YEAR(VLOOKUP($B153,kilpailukalenteri,2))&amp;", "&amp;IF(RIGHT(VLOOKUP($B153,kilpailukalenteri,4),1)="*",LEFT(VLOOKUP($B153,kilpailukalenteri,4),LEN(VLOOKUP($B153,kilpailukalenteri,4))-2)&amp;", Kultainen GP",VLOOKUP($B153,kilpailukalenteri,4)),IF($C153=0,"Sija",IF($C153&gt;Data!$CP$2,"",ROUND(Tulokset!$D153,0)))))</f>
        <v>11</v>
      </c>
      <c r="F153" s="78" t="str">
        <f ca="1">IF($B153&gt;keilatut,"",IF($C153=(-1),"",IF($C153=0,"Nimi",IF($C153&gt;Data!$CP$2,"",OFFSET(tulossiirtymä,MATCH($D153,Data!$AN$2:$AN$313,0),Tulokset!F$2)))))</f>
        <v>Sakari Leinonen</v>
      </c>
      <c r="G153" s="78">
        <f ca="1">IF($B153&gt;keilatut,"",IF($C153=(-1),"",IF($C153=0,"Sarja 1",IF($C153&gt;Data!$CP$2,"",OFFSET(tulossiirtymä,MATCH($D153,Data!$AN$2:$AN$313,0),Tulokset!G$2)))))</f>
        <v>103</v>
      </c>
      <c r="H153" s="78">
        <f ca="1">IF($B153&gt;keilatut,"",IF($C153=(-1),"",IF($C153=0,"Sarja 2",IF($C153&gt;Data!$CP$2,"",OFFSET(tulossiirtymä,MATCH($D153,Data!$AN$2:$AN$313,0),Tulokset!H$2)))))</f>
        <v>134</v>
      </c>
      <c r="I153" s="78">
        <f ca="1">IF($B153&gt;keilatut,"",IF($C153=(-1),"",IF($C153=0,"Yhteensä",IF($C153&gt;Data!$CP$2,"",OFFSET(tulossiirtymä,MATCH($D153,Data!$AN$2:$AN$313,0),Tulokset!I$2)))))</f>
        <v>237</v>
      </c>
      <c r="J153" s="78">
        <f ca="1">IF($B153&gt;keilatut,"",IF($C153=(-1),"",IF($C153=0,"Ero voittajaan",IF($C153&gt;Data!$CP$2,"",OFFSET(tulossiirtymä,MATCH($D153,Data!$AN$2:$AN$313,0),Tulokset!J$2)))))</f>
        <v>113</v>
      </c>
      <c r="K153" s="78">
        <f ca="1">IF($B153&gt;keilatut,"",IF($C153=(-1),"",IF($C153=0,"Pisteet",IF($C153&gt;Data!$CP$2,"",OFFSET(tulossiirtymä,MATCH($D153,Data!$AN$2:$AN$313,0),Tulokset!K$2)))))</f>
        <v>0</v>
      </c>
      <c r="L153" s="78">
        <f ca="1">IF($B153&gt;keilatut,"",IF($C153=(-1),"",IF($C153=0,"Pisteet yhteensä",IF($C153&gt;Data!$CP$2,"",OFFSET(tulossiirtymä,MATCH($D153,Data!$AN$2:$AN$313,0),Tulokset!L$2)))))</f>
        <v>15</v>
      </c>
      <c r="M153" s="78" t="str">
        <f ca="1">IF($B153&gt;keilatut,"",IF($C153=(-1),"",IF($C153=0,"Pisteseloste",IF($C153&gt;Data!$CP$2,"",OFFSET(tulossiirtymä,MATCH($D153,Data!$AN$2:$AN$313,0),Tulokset!M$2)))))</f>
        <v/>
      </c>
    </row>
    <row r="154" spans="2:13" x14ac:dyDescent="0.25">
      <c r="B154" s="78">
        <f t="shared" si="2"/>
        <v>6</v>
      </c>
      <c r="C154" s="78">
        <f>COUNTIF($B$6:B154,B154)-2</f>
        <v>12</v>
      </c>
      <c r="D154" s="79">
        <f t="array" ref="D154">IF($B154&lt;=keilatut,IF($C154&lt;1,"",IF($C154&gt;Data!$CP$2,"",SMALL(IF(Data!$B$2:$B$313=Tulokset!$B154,Data!$AN$2:$AN$313),Tulokset!$C154))),"")</f>
        <v>12.000102999999999</v>
      </c>
      <c r="E154" s="78">
        <f>IF($B154&gt;keilatut,"",IF($C154=(-1),"GP"&amp;$B154&amp;", "&amp;DAY(VLOOKUP($B154,kilpailukalenteri,2))&amp;"."&amp;MONTH(VLOOKUP($B154,kilpailukalenteri,2))&amp;"."&amp;YEAR(VLOOKUP($B154,kilpailukalenteri,2))&amp;", "&amp;IF(RIGHT(VLOOKUP($B154,kilpailukalenteri,4),1)="*",LEFT(VLOOKUP($B154,kilpailukalenteri,4),LEN(VLOOKUP($B154,kilpailukalenteri,4))-2)&amp;", Kultainen GP",VLOOKUP($B154,kilpailukalenteri,4)),IF($C154=0,"Sija",IF($C154&gt;Data!$CP$2,"",ROUND(Tulokset!$D154,0)))))</f>
        <v>12</v>
      </c>
      <c r="F154" s="78" t="str">
        <f ca="1">IF($B154&gt;keilatut,"",IF($C154=(-1),"",IF($C154=0,"Nimi",IF($C154&gt;Data!$CP$2,"",OFFSET(tulossiirtymä,MATCH($D154,Data!$AN$2:$AN$313,0),Tulokset!F$2)))))</f>
        <v>Asko Haaksi</v>
      </c>
      <c r="G154" s="78">
        <f ca="1">IF($B154&gt;keilatut,"",IF($C154=(-1),"",IF($C154=0,"Sarja 1",IF($C154&gt;Data!$CP$2,"",OFFSET(tulossiirtymä,MATCH($D154,Data!$AN$2:$AN$313,0),Tulokset!G$2)))))</f>
        <v>97</v>
      </c>
      <c r="H154" s="78">
        <f ca="1">IF($B154&gt;keilatut,"",IF($C154=(-1),"",IF($C154=0,"Sarja 2",IF($C154&gt;Data!$CP$2,"",OFFSET(tulossiirtymä,MATCH($D154,Data!$AN$2:$AN$313,0),Tulokset!H$2)))))</f>
        <v>127</v>
      </c>
      <c r="I154" s="78">
        <f ca="1">IF($B154&gt;keilatut,"",IF($C154=(-1),"",IF($C154=0,"Yhteensä",IF($C154&gt;Data!$CP$2,"",OFFSET(tulossiirtymä,MATCH($D154,Data!$AN$2:$AN$313,0),Tulokset!I$2)))))</f>
        <v>224</v>
      </c>
      <c r="J154" s="78">
        <f ca="1">IF($B154&gt;keilatut,"",IF($C154=(-1),"",IF($C154=0,"Ero voittajaan",IF($C154&gt;Data!$CP$2,"",OFFSET(tulossiirtymä,MATCH($D154,Data!$AN$2:$AN$313,0),Tulokset!J$2)))))</f>
        <v>126</v>
      </c>
      <c r="K154" s="78">
        <f ca="1">IF($B154&gt;keilatut,"",IF($C154=(-1),"",IF($C154=0,"Pisteet",IF($C154&gt;Data!$CP$2,"",OFFSET(tulossiirtymä,MATCH($D154,Data!$AN$2:$AN$313,0),Tulokset!K$2)))))</f>
        <v>-1</v>
      </c>
      <c r="L154" s="78">
        <f ca="1">IF($B154&gt;keilatut,"",IF($C154=(-1),"",IF($C154=0,"Pisteet yhteensä",IF($C154&gt;Data!$CP$2,"",OFFSET(tulossiirtymä,MATCH($D154,Data!$AN$2:$AN$313,0),Tulokset!L$2)))))</f>
        <v>13</v>
      </c>
      <c r="M154" s="78" t="str">
        <f ca="1">IF($B154&gt;keilatut,"",IF($C154=(-1),"",IF($C154=0,"Pisteseloste",IF($C154&gt;Data!$CP$2,"",OFFSET(tulossiirtymä,MATCH($D154,Data!$AN$2:$AN$313,0),Tulokset!M$2)))))</f>
        <v>-KGP2</v>
      </c>
    </row>
    <row r="155" spans="2:13" x14ac:dyDescent="0.25">
      <c r="B155" s="78">
        <f t="shared" si="2"/>
        <v>6</v>
      </c>
      <c r="C155" s="78">
        <f>COUNTIF($B$6:B155,B155)-2</f>
        <v>13</v>
      </c>
      <c r="D155" s="79">
        <f t="array" ref="D155">IF($B155&lt;=keilatut,IF($C155&lt;1,"",IF($C155&gt;Data!$CP$2,"",SMALL(IF(Data!$B$2:$B$313=Tulokset!$B155,Data!$AN$2:$AN$313),Tulokset!$C155))),"")</f>
        <v>13.000101000000001</v>
      </c>
      <c r="E155" s="78">
        <f>IF($B155&gt;keilatut,"",IF($C155=(-1),"GP"&amp;$B155&amp;", "&amp;DAY(VLOOKUP($B155,kilpailukalenteri,2))&amp;"."&amp;MONTH(VLOOKUP($B155,kilpailukalenteri,2))&amp;"."&amp;YEAR(VLOOKUP($B155,kilpailukalenteri,2))&amp;", "&amp;IF(RIGHT(VLOOKUP($B155,kilpailukalenteri,4),1)="*",LEFT(VLOOKUP($B155,kilpailukalenteri,4),LEN(VLOOKUP($B155,kilpailukalenteri,4))-2)&amp;", Kultainen GP",VLOOKUP($B155,kilpailukalenteri,4)),IF($C155=0,"Sija",IF($C155&gt;Data!$CP$2,"",ROUND(Tulokset!$D155,0)))))</f>
        <v>13</v>
      </c>
      <c r="F155" s="78" t="str">
        <f ca="1">IF($B155&gt;keilatut,"",IF($C155=(-1),"",IF($C155=0,"Nimi",IF($C155&gt;Data!$CP$2,"",OFFSET(tulossiirtymä,MATCH($D155,Data!$AN$2:$AN$313,0),Tulokset!F$2)))))</f>
        <v>Kaleva Latvala</v>
      </c>
      <c r="G155" s="78">
        <f ca="1">IF($B155&gt;keilatut,"",IF($C155=(-1),"",IF($C155=0,"Sarja 1",IF($C155&gt;Data!$CP$2,"",OFFSET(tulossiirtymä,MATCH($D155,Data!$AN$2:$AN$313,0),Tulokset!G$2)))))</f>
        <v>92</v>
      </c>
      <c r="H155" s="78">
        <f ca="1">IF($B155&gt;keilatut,"",IF($C155=(-1),"",IF($C155=0,"Sarja 2",IF($C155&gt;Data!$CP$2,"",OFFSET(tulossiirtymä,MATCH($D155,Data!$AN$2:$AN$313,0),Tulokset!H$2)))))</f>
        <v>126</v>
      </c>
      <c r="I155" s="78">
        <f ca="1">IF($B155&gt;keilatut,"",IF($C155=(-1),"",IF($C155=0,"Yhteensä",IF($C155&gt;Data!$CP$2,"",OFFSET(tulossiirtymä,MATCH($D155,Data!$AN$2:$AN$313,0),Tulokset!I$2)))))</f>
        <v>218</v>
      </c>
      <c r="J155" s="78">
        <f ca="1">IF($B155&gt;keilatut,"",IF($C155=(-1),"",IF($C155=0,"Ero voittajaan",IF($C155&gt;Data!$CP$2,"",OFFSET(tulossiirtymä,MATCH($D155,Data!$AN$2:$AN$313,0),Tulokset!J$2)))))</f>
        <v>132</v>
      </c>
      <c r="K155" s="78">
        <f ca="1">IF($B155&gt;keilatut,"",IF($C155=(-1),"",IF($C155=0,"Pisteet",IF($C155&gt;Data!$CP$2,"",OFFSET(tulossiirtymä,MATCH($D155,Data!$AN$2:$AN$313,0),Tulokset!K$2)))))</f>
        <v>-1</v>
      </c>
      <c r="L155" s="78">
        <f ca="1">IF($B155&gt;keilatut,"",IF($C155=(-1),"",IF($C155=0,"Pisteet yhteensä",IF($C155&gt;Data!$CP$2,"",OFFSET(tulossiirtymä,MATCH($D155,Data!$AN$2:$AN$313,0),Tulokset!L$2)))))</f>
        <v>20</v>
      </c>
      <c r="M155" s="78" t="str">
        <f ca="1">IF($B155&gt;keilatut,"",IF($C155=(-1),"",IF($C155=0,"Pisteseloste",IF($C155&gt;Data!$CP$2,"",OFFSET(tulossiirtymä,MATCH($D155,Data!$AN$2:$AN$313,0),Tulokset!M$2)))))</f>
        <v>-KGP2</v>
      </c>
    </row>
    <row r="156" spans="2:13" x14ac:dyDescent="0.25">
      <c r="B156" s="78">
        <f t="shared" si="2"/>
        <v>6</v>
      </c>
      <c r="C156" s="78">
        <f>COUNTIF($B$6:B156,B156)-2</f>
        <v>14</v>
      </c>
      <c r="D156" s="79">
        <f t="array" ref="D156">IF($B156&lt;=keilatut,IF($C156&lt;1,"",IF($C156&gt;Data!$CP$2,"",SMALL(IF(Data!$B$2:$B$313=Tulokset!$B156,Data!$AN$2:$AN$313),Tulokset!$C156))),"")</f>
        <v>14.000102</v>
      </c>
      <c r="E156" s="78">
        <f>IF($B156&gt;keilatut,"",IF($C156=(-1),"GP"&amp;$B156&amp;", "&amp;DAY(VLOOKUP($B156,kilpailukalenteri,2))&amp;"."&amp;MONTH(VLOOKUP($B156,kilpailukalenteri,2))&amp;"."&amp;YEAR(VLOOKUP($B156,kilpailukalenteri,2))&amp;", "&amp;IF(RIGHT(VLOOKUP($B156,kilpailukalenteri,4),1)="*",LEFT(VLOOKUP($B156,kilpailukalenteri,4),LEN(VLOOKUP($B156,kilpailukalenteri,4))-2)&amp;", Kultainen GP",VLOOKUP($B156,kilpailukalenteri,4)),IF($C156=0,"Sija",IF($C156&gt;Data!$CP$2,"",ROUND(Tulokset!$D156,0)))))</f>
        <v>14</v>
      </c>
      <c r="F156" s="78" t="str">
        <f ca="1">IF($B156&gt;keilatut,"",IF($C156=(-1),"",IF($C156=0,"Nimi",IF($C156&gt;Data!$CP$2,"",OFFSET(tulossiirtymä,MATCH($D156,Data!$AN$2:$AN$313,0),Tulokset!F$2)))))</f>
        <v>Mikko Mansikkamäki</v>
      </c>
      <c r="G156" s="78">
        <f ca="1">IF($B156&gt;keilatut,"",IF($C156=(-1),"",IF($C156=0,"Sarja 1",IF($C156&gt;Data!$CP$2,"",OFFSET(tulossiirtymä,MATCH($D156,Data!$AN$2:$AN$313,0),Tulokset!G$2)))))</f>
        <v>59</v>
      </c>
      <c r="H156" s="78">
        <f ca="1">IF($B156&gt;keilatut,"",IF($C156=(-1),"",IF($C156=0,"Sarja 2",IF($C156&gt;Data!$CP$2,"",OFFSET(tulossiirtymä,MATCH($D156,Data!$AN$2:$AN$313,0),Tulokset!H$2)))))</f>
        <v>119</v>
      </c>
      <c r="I156" s="78">
        <f ca="1">IF($B156&gt;keilatut,"",IF($C156=(-1),"",IF($C156=0,"Yhteensä",IF($C156&gt;Data!$CP$2,"",OFFSET(tulossiirtymä,MATCH($D156,Data!$AN$2:$AN$313,0),Tulokset!I$2)))))</f>
        <v>178</v>
      </c>
      <c r="J156" s="78">
        <f ca="1">IF($B156&gt;keilatut,"",IF($C156=(-1),"",IF($C156=0,"Ero voittajaan",IF($C156&gt;Data!$CP$2,"",OFFSET(tulossiirtymä,MATCH($D156,Data!$AN$2:$AN$313,0),Tulokset!J$2)))))</f>
        <v>172</v>
      </c>
      <c r="K156" s="78">
        <f ca="1">IF($B156&gt;keilatut,"",IF($C156=(-1),"",IF($C156=0,"Pisteet",IF($C156&gt;Data!$CP$2,"",OFFSET(tulossiirtymä,MATCH($D156,Data!$AN$2:$AN$313,0),Tulokset!K$2)))))</f>
        <v>-1</v>
      </c>
      <c r="L156" s="78">
        <f ca="1">IF($B156&gt;keilatut,"",IF($C156=(-1),"",IF($C156=0,"Pisteet yhteensä",IF($C156&gt;Data!$CP$2,"",OFFSET(tulossiirtymä,MATCH($D156,Data!$AN$2:$AN$313,0),Tulokset!L$2)))))</f>
        <v>-1</v>
      </c>
      <c r="M156" s="78" t="str">
        <f ca="1">IF($B156&gt;keilatut,"",IF($C156=(-1),"",IF($C156=0,"Pisteseloste",IF($C156&gt;Data!$CP$2,"",OFFSET(tulossiirtymä,MATCH($D156,Data!$AN$2:$AN$313,0),Tulokset!M$2)))))</f>
        <v>+KGP2-KGP1-KGP2</v>
      </c>
    </row>
    <row r="157" spans="2:13" x14ac:dyDescent="0.25">
      <c r="B157" s="78">
        <f t="shared" si="2"/>
        <v>6</v>
      </c>
      <c r="C157" s="78">
        <f>COUNTIF($B$6:B157,B157)-2</f>
        <v>15</v>
      </c>
      <c r="D157" s="79">
        <f t="array" ref="D157">IF($B157&lt;=keilatut,IF($C157&lt;1,"",IF($C157&gt;Data!$CP$2,"",SMALL(IF(Data!$B$2:$B$313=Tulokset!$B157,Data!$AN$2:$AN$313),Tulokset!$C157))),"")</f>
        <v>15.000095999999999</v>
      </c>
      <c r="E157" s="78">
        <f>IF($B157&gt;keilatut,"",IF($C157=(-1),"GP"&amp;$B157&amp;", "&amp;DAY(VLOOKUP($B157,kilpailukalenteri,2))&amp;"."&amp;MONTH(VLOOKUP($B157,kilpailukalenteri,2))&amp;"."&amp;YEAR(VLOOKUP($B157,kilpailukalenteri,2))&amp;", "&amp;IF(RIGHT(VLOOKUP($B157,kilpailukalenteri,4),1)="*",LEFT(VLOOKUP($B157,kilpailukalenteri,4),LEN(VLOOKUP($B157,kilpailukalenteri,4))-2)&amp;", Kultainen GP",VLOOKUP($B157,kilpailukalenteri,4)),IF($C157=0,"Sija",IF($C157&gt;Data!$CP$2,"",ROUND(Tulokset!$D157,0)))))</f>
        <v>15</v>
      </c>
      <c r="F157" s="78" t="str">
        <f ca="1">IF($B157&gt;keilatut,"",IF($C157=(-1),"",IF($C157=0,"Nimi",IF($C157&gt;Data!$CP$2,"",OFFSET(tulossiirtymä,MATCH($D157,Data!$AN$2:$AN$313,0),Tulokset!F$2)))))</f>
        <v>Tatu Erlin</v>
      </c>
      <c r="G157" s="78">
        <f ca="1">IF($B157&gt;keilatut,"",IF($C157=(-1),"",IF($C157=0,"Sarja 1",IF($C157&gt;Data!$CP$2,"",OFFSET(tulossiirtymä,MATCH($D157,Data!$AN$2:$AN$313,0),Tulokset!G$2)))))</f>
        <v>84</v>
      </c>
      <c r="H157" s="78">
        <f ca="1">IF($B157&gt;keilatut,"",IF($C157=(-1),"",IF($C157=0,"Sarja 2",IF($C157&gt;Data!$CP$2,"",OFFSET(tulossiirtymä,MATCH($D157,Data!$AN$2:$AN$313,0),Tulokset!H$2)))))</f>
        <v>89</v>
      </c>
      <c r="I157" s="78">
        <f ca="1">IF($B157&gt;keilatut,"",IF($C157=(-1),"",IF($C157=0,"Yhteensä",IF($C157&gt;Data!$CP$2,"",OFFSET(tulossiirtymä,MATCH($D157,Data!$AN$2:$AN$313,0),Tulokset!I$2)))))</f>
        <v>173</v>
      </c>
      <c r="J157" s="78">
        <f ca="1">IF($B157&gt;keilatut,"",IF($C157=(-1),"",IF($C157=0,"Ero voittajaan",IF($C157&gt;Data!$CP$2,"",OFFSET(tulossiirtymä,MATCH($D157,Data!$AN$2:$AN$313,0),Tulokset!J$2)))))</f>
        <v>177</v>
      </c>
      <c r="K157" s="78">
        <f ca="1">IF($B157&gt;keilatut,"",IF($C157=(-1),"",IF($C157=0,"Pisteet",IF($C157&gt;Data!$CP$2,"",OFFSET(tulossiirtymä,MATCH($D157,Data!$AN$2:$AN$313,0),Tulokset!K$2)))))</f>
        <v>-1</v>
      </c>
      <c r="L157" s="78">
        <f ca="1">IF($B157&gt;keilatut,"",IF($C157=(-1),"",IF($C157=0,"Pisteet yhteensä",IF($C157&gt;Data!$CP$2,"",OFFSET(tulossiirtymä,MATCH($D157,Data!$AN$2:$AN$313,0),Tulokset!L$2)))))</f>
        <v>5</v>
      </c>
      <c r="M157" s="78" t="str">
        <f ca="1">IF($B157&gt;keilatut,"",IF($C157=(-1),"",IF($C157=0,"Pisteseloste",IF($C157&gt;Data!$CP$2,"",OFFSET(tulossiirtymä,MATCH($D157,Data!$AN$2:$AN$313,0),Tulokset!M$2)))))</f>
        <v>-KGP2</v>
      </c>
    </row>
    <row r="158" spans="2:13" x14ac:dyDescent="0.25">
      <c r="B158" s="78">
        <f t="shared" si="2"/>
        <v>6</v>
      </c>
      <c r="C158" s="78">
        <f>COUNTIF($B$6:B158,B158)-2</f>
        <v>16</v>
      </c>
      <c r="D158" s="79">
        <f t="array" ref="D158">IF($B158&lt;=keilatut,IF($C158&lt;1,"",IF($C158&gt;Data!$CP$2,"",SMALL(IF(Data!$B$2:$B$313=Tulokset!$B158,Data!$AN$2:$AN$313),Tulokset!$C158))),"")</f>
        <v>16.000105999999999</v>
      </c>
      <c r="E158" s="78">
        <f>IF($B158&gt;keilatut,"",IF($C158=(-1),"GP"&amp;$B158&amp;", "&amp;DAY(VLOOKUP($B158,kilpailukalenteri,2))&amp;"."&amp;MONTH(VLOOKUP($B158,kilpailukalenteri,2))&amp;"."&amp;YEAR(VLOOKUP($B158,kilpailukalenteri,2))&amp;", "&amp;IF(RIGHT(VLOOKUP($B158,kilpailukalenteri,4),1)="*",LEFT(VLOOKUP($B158,kilpailukalenteri,4),LEN(VLOOKUP($B158,kilpailukalenteri,4))-2)&amp;", Kultainen GP",VLOOKUP($B158,kilpailukalenteri,4)),IF($C158=0,"Sija",IF($C158&gt;Data!$CP$2,"",ROUND(Tulokset!$D158,0)))))</f>
        <v>16</v>
      </c>
      <c r="F158" s="78" t="str">
        <f ca="1">IF($B158&gt;keilatut,"",IF($C158=(-1),"",IF($C158=0,"Nimi",IF($C158&gt;Data!$CP$2,"",OFFSET(tulossiirtymä,MATCH($D158,Data!$AN$2:$AN$313,0),Tulokset!F$2)))))</f>
        <v>Ossi Oksa</v>
      </c>
      <c r="G158" s="78">
        <f ca="1">IF($B158&gt;keilatut,"",IF($C158=(-1),"",IF($C158=0,"Sarja 1",IF($C158&gt;Data!$CP$2,"",OFFSET(tulossiirtymä,MATCH($D158,Data!$AN$2:$AN$313,0),Tulokset!G$2)))))</f>
        <v>0</v>
      </c>
      <c r="H158" s="78">
        <f ca="1">IF($B158&gt;keilatut,"",IF($C158=(-1),"",IF($C158=0,"Sarja 2",IF($C158&gt;Data!$CP$2,"",OFFSET(tulossiirtymä,MATCH($D158,Data!$AN$2:$AN$313,0),Tulokset!H$2)))))</f>
        <v>0</v>
      </c>
      <c r="I158" s="78">
        <f ca="1">IF($B158&gt;keilatut,"",IF($C158=(-1),"",IF($C158=0,"Yhteensä",IF($C158&gt;Data!$CP$2,"",OFFSET(tulossiirtymä,MATCH($D158,Data!$AN$2:$AN$313,0),Tulokset!I$2)))))</f>
        <v>0</v>
      </c>
      <c r="J158" s="78" t="str">
        <f ca="1">IF($B158&gt;keilatut,"",IF($C158=(-1),"",IF($C158=0,"Ero voittajaan",IF($C158&gt;Data!$CP$2,"",OFFSET(tulossiirtymä,MATCH($D158,Data!$AN$2:$AN$313,0),Tulokset!J$2)))))</f>
        <v/>
      </c>
      <c r="K158" s="78">
        <f ca="1">IF($B158&gt;keilatut,"",IF($C158=(-1),"",IF($C158=0,"Pisteet",IF($C158&gt;Data!$CP$2,"",OFFSET(tulossiirtymä,MATCH($D158,Data!$AN$2:$AN$313,0),Tulokset!K$2)))))</f>
        <v>0</v>
      </c>
      <c r="L158" s="78">
        <f ca="1">IF($B158&gt;keilatut,"",IF($C158=(-1),"",IF($C158=0,"Pisteet yhteensä",IF($C158&gt;Data!$CP$2,"",OFFSET(tulossiirtymä,MATCH($D158,Data!$AN$2:$AN$313,0),Tulokset!L$2)))))</f>
        <v>34.5</v>
      </c>
      <c r="M158" s="78" t="str">
        <f ca="1">IF($B158&gt;keilatut,"",IF($C158=(-1),"",IF($C158=0,"Pisteseloste",IF($C158&gt;Data!$CP$2,"",OFFSET(tulossiirtymä,MATCH($D158,Data!$AN$2:$AN$313,0),Tulokset!M$2)))))</f>
        <v/>
      </c>
    </row>
    <row r="159" spans="2:13" x14ac:dyDescent="0.25">
      <c r="B159" s="78">
        <f t="shared" si="2"/>
        <v>6</v>
      </c>
      <c r="C159" s="78">
        <f>COUNTIF($B$6:B159,B159)-2</f>
        <v>17</v>
      </c>
      <c r="D159" s="79">
        <f t="array" ref="D159">IF($B159&lt;=keilatut,IF($C159&lt;1,"",IF($C159&gt;Data!$CP$2,"",SMALL(IF(Data!$B$2:$B$313=Tulokset!$B159,Data!$AN$2:$AN$313),Tulokset!$C159))),"")</f>
        <v>16.000107</v>
      </c>
      <c r="E159" s="78">
        <f>IF($B159&gt;keilatut,"",IF($C159=(-1),"GP"&amp;$B159&amp;", "&amp;DAY(VLOOKUP($B159,kilpailukalenteri,2))&amp;"."&amp;MONTH(VLOOKUP($B159,kilpailukalenteri,2))&amp;"."&amp;YEAR(VLOOKUP($B159,kilpailukalenteri,2))&amp;", "&amp;IF(RIGHT(VLOOKUP($B159,kilpailukalenteri,4),1)="*",LEFT(VLOOKUP($B159,kilpailukalenteri,4),LEN(VLOOKUP($B159,kilpailukalenteri,4))-2)&amp;", Kultainen GP",VLOOKUP($B159,kilpailukalenteri,4)),IF($C159=0,"Sija",IF($C159&gt;Data!$CP$2,"",ROUND(Tulokset!$D159,0)))))</f>
        <v>16</v>
      </c>
      <c r="F159" s="78" t="str">
        <f ca="1">IF($B159&gt;keilatut,"",IF($C159=(-1),"",IF($C159=0,"Nimi",IF($C159&gt;Data!$CP$2,"",OFFSET(tulossiirtymä,MATCH($D159,Data!$AN$2:$AN$313,0),Tulokset!F$2)))))</f>
        <v>Roope Warro</v>
      </c>
      <c r="G159" s="78">
        <f ca="1">IF($B159&gt;keilatut,"",IF($C159=(-1),"",IF($C159=0,"Sarja 1",IF($C159&gt;Data!$CP$2,"",OFFSET(tulossiirtymä,MATCH($D159,Data!$AN$2:$AN$313,0),Tulokset!G$2)))))</f>
        <v>0</v>
      </c>
      <c r="H159" s="78">
        <f ca="1">IF($B159&gt;keilatut,"",IF($C159=(-1),"",IF($C159=0,"Sarja 2",IF($C159&gt;Data!$CP$2,"",OFFSET(tulossiirtymä,MATCH($D159,Data!$AN$2:$AN$313,0),Tulokset!H$2)))))</f>
        <v>0</v>
      </c>
      <c r="I159" s="78">
        <f ca="1">IF($B159&gt;keilatut,"",IF($C159=(-1),"",IF($C159=0,"Yhteensä",IF($C159&gt;Data!$CP$2,"",OFFSET(tulossiirtymä,MATCH($D159,Data!$AN$2:$AN$313,0),Tulokset!I$2)))))</f>
        <v>0</v>
      </c>
      <c r="J159" s="78" t="str">
        <f ca="1">IF($B159&gt;keilatut,"",IF($C159=(-1),"",IF($C159=0,"Ero voittajaan",IF($C159&gt;Data!$CP$2,"",OFFSET(tulossiirtymä,MATCH($D159,Data!$AN$2:$AN$313,0),Tulokset!J$2)))))</f>
        <v/>
      </c>
      <c r="K159" s="78">
        <f ca="1">IF($B159&gt;keilatut,"",IF($C159=(-1),"",IF($C159=0,"Pisteet",IF($C159&gt;Data!$CP$2,"",OFFSET(tulossiirtymä,MATCH($D159,Data!$AN$2:$AN$313,0),Tulokset!K$2)))))</f>
        <v>0</v>
      </c>
      <c r="L159" s="78">
        <f ca="1">IF($B159&gt;keilatut,"",IF($C159=(-1),"",IF($C159=0,"Pisteet yhteensä",IF($C159&gt;Data!$CP$2,"",OFFSET(tulossiirtymä,MATCH($D159,Data!$AN$2:$AN$313,0),Tulokset!L$2)))))</f>
        <v>4</v>
      </c>
      <c r="M159" s="78" t="str">
        <f ca="1">IF($B159&gt;keilatut,"",IF($C159=(-1),"",IF($C159=0,"Pisteseloste",IF($C159&gt;Data!$CP$2,"",OFFSET(tulossiirtymä,MATCH($D159,Data!$AN$2:$AN$313,0),Tulokset!M$2)))))</f>
        <v/>
      </c>
    </row>
    <row r="160" spans="2:13" x14ac:dyDescent="0.25">
      <c r="B160" s="78">
        <f t="shared" si="2"/>
        <v>6</v>
      </c>
      <c r="C160" s="78">
        <f>COUNTIF($B$6:B160,B160)-2</f>
        <v>18</v>
      </c>
      <c r="D160" s="79">
        <f t="array" ref="D160">IF($B160&lt;=keilatut,IF($C160&lt;1,"",IF($C160&gt;Data!$CP$2,"",SMALL(IF(Data!$B$2:$B$313=Tulokset!$B160,Data!$AN$2:$AN$313),Tulokset!$C160))),"")</f>
        <v>16.000108000000001</v>
      </c>
      <c r="E160" s="78">
        <f>IF($B160&gt;keilatut,"",IF($C160=(-1),"GP"&amp;$B160&amp;", "&amp;DAY(VLOOKUP($B160,kilpailukalenteri,2))&amp;"."&amp;MONTH(VLOOKUP($B160,kilpailukalenteri,2))&amp;"."&amp;YEAR(VLOOKUP($B160,kilpailukalenteri,2))&amp;", "&amp;IF(RIGHT(VLOOKUP($B160,kilpailukalenteri,4),1)="*",LEFT(VLOOKUP($B160,kilpailukalenteri,4),LEN(VLOOKUP($B160,kilpailukalenteri,4))-2)&amp;", Kultainen GP",VLOOKUP($B160,kilpailukalenteri,4)),IF($C160=0,"Sija",IF($C160&gt;Data!$CP$2,"",ROUND(Tulokset!$D160,0)))))</f>
        <v>16</v>
      </c>
      <c r="F160" s="78" t="str">
        <f ca="1">IF($B160&gt;keilatut,"",IF($C160=(-1),"",IF($C160=0,"Nimi",IF($C160&gt;Data!$CP$2,"",OFFSET(tulossiirtymä,MATCH($D160,Data!$AN$2:$AN$313,0),Tulokset!F$2)))))</f>
        <v>Miikka Korventausta</v>
      </c>
      <c r="G160" s="78">
        <f ca="1">IF($B160&gt;keilatut,"",IF($C160=(-1),"",IF($C160=0,"Sarja 1",IF($C160&gt;Data!$CP$2,"",OFFSET(tulossiirtymä,MATCH($D160,Data!$AN$2:$AN$313,0),Tulokset!G$2)))))</f>
        <v>0</v>
      </c>
      <c r="H160" s="78">
        <f ca="1">IF($B160&gt;keilatut,"",IF($C160=(-1),"",IF($C160=0,"Sarja 2",IF($C160&gt;Data!$CP$2,"",OFFSET(tulossiirtymä,MATCH($D160,Data!$AN$2:$AN$313,0),Tulokset!H$2)))))</f>
        <v>0</v>
      </c>
      <c r="I160" s="78">
        <f ca="1">IF($B160&gt;keilatut,"",IF($C160=(-1),"",IF($C160=0,"Yhteensä",IF($C160&gt;Data!$CP$2,"",OFFSET(tulossiirtymä,MATCH($D160,Data!$AN$2:$AN$313,0),Tulokset!I$2)))))</f>
        <v>0</v>
      </c>
      <c r="J160" s="78" t="str">
        <f ca="1">IF($B160&gt;keilatut,"",IF($C160=(-1),"",IF($C160=0,"Ero voittajaan",IF($C160&gt;Data!$CP$2,"",OFFSET(tulossiirtymä,MATCH($D160,Data!$AN$2:$AN$313,0),Tulokset!J$2)))))</f>
        <v/>
      </c>
      <c r="K160" s="78">
        <f ca="1">IF($B160&gt;keilatut,"",IF($C160=(-1),"",IF($C160=0,"Pisteet",IF($C160&gt;Data!$CP$2,"",OFFSET(tulossiirtymä,MATCH($D160,Data!$AN$2:$AN$313,0),Tulokset!K$2)))))</f>
        <v>0</v>
      </c>
      <c r="L160" s="78">
        <f ca="1">IF($B160&gt;keilatut,"",IF($C160=(-1),"",IF($C160=0,"Pisteet yhteensä",IF($C160&gt;Data!$CP$2,"",OFFSET(tulossiirtymä,MATCH($D160,Data!$AN$2:$AN$313,0),Tulokset!L$2)))))</f>
        <v>17</v>
      </c>
      <c r="M160" s="78" t="str">
        <f ca="1">IF($B160&gt;keilatut,"",IF($C160=(-1),"",IF($C160=0,"Pisteseloste",IF($C160&gt;Data!$CP$2,"",OFFSET(tulossiirtymä,MATCH($D160,Data!$AN$2:$AN$313,0),Tulokset!M$2)))))</f>
        <v/>
      </c>
    </row>
    <row r="161" spans="2:13" x14ac:dyDescent="0.25">
      <c r="B161" s="78">
        <f t="shared" si="2"/>
        <v>6</v>
      </c>
      <c r="C161" s="78">
        <f>COUNTIF($B$6:B161,B161)-2</f>
        <v>19</v>
      </c>
      <c r="D161" s="79" t="str">
        <f t="array" ref="D161">IF($B161&lt;=keilatut,IF($C161&lt;1,"",IF($C161&gt;Data!$CP$2,"",SMALL(IF(Data!$B$2:$B$313=Tulokset!$B161,Data!$AN$2:$AN$313),Tulokset!$C161))),"")</f>
        <v/>
      </c>
      <c r="E161" s="78" t="str">
        <f>IF($B161&gt;keilatut,"",IF($C161=(-1),"GP"&amp;$B161&amp;", "&amp;DAY(VLOOKUP($B161,kilpailukalenteri,2))&amp;"."&amp;MONTH(VLOOKUP($B161,kilpailukalenteri,2))&amp;"."&amp;YEAR(VLOOKUP($B161,kilpailukalenteri,2))&amp;", "&amp;IF(RIGHT(VLOOKUP($B161,kilpailukalenteri,4),1)="*",LEFT(VLOOKUP($B161,kilpailukalenteri,4),LEN(VLOOKUP($B161,kilpailukalenteri,4))-2)&amp;", Kultainen GP",VLOOKUP($B161,kilpailukalenteri,4)),IF($C161=0,"Sija",IF($C161&gt;Data!$CP$2,"",ROUND(Tulokset!$D161,0)))))</f>
        <v/>
      </c>
      <c r="F161" s="78" t="str">
        <f ca="1">IF($B161&gt;keilatut,"",IF($C161=(-1),"",IF($C161=0,"Nimi",IF($C161&gt;Data!$CP$2,"",OFFSET(tulossiirtymä,MATCH($D161,Data!$AN$2:$AN$313,0),Tulokset!F$2)))))</f>
        <v/>
      </c>
      <c r="G161" s="78" t="str">
        <f ca="1">IF($B161&gt;keilatut,"",IF($C161=(-1),"",IF($C161=0,"Sarja 1",IF($C161&gt;Data!$CP$2,"",OFFSET(tulossiirtymä,MATCH($D161,Data!$AN$2:$AN$313,0),Tulokset!G$2)))))</f>
        <v/>
      </c>
      <c r="H161" s="78" t="str">
        <f ca="1">IF($B161&gt;keilatut,"",IF($C161=(-1),"",IF($C161=0,"Sarja 2",IF($C161&gt;Data!$CP$2,"",OFFSET(tulossiirtymä,MATCH($D161,Data!$AN$2:$AN$313,0),Tulokset!H$2)))))</f>
        <v/>
      </c>
      <c r="I161" s="78" t="str">
        <f ca="1">IF($B161&gt;keilatut,"",IF($C161=(-1),"",IF($C161=0,"Yhteensä",IF($C161&gt;Data!$CP$2,"",OFFSET(tulossiirtymä,MATCH($D161,Data!$AN$2:$AN$313,0),Tulokset!I$2)))))</f>
        <v/>
      </c>
      <c r="J161" s="78" t="str">
        <f ca="1">IF($B161&gt;keilatut,"",IF($C161=(-1),"",IF($C161=0,"Ero voittajaan",IF($C161&gt;Data!$CP$2,"",OFFSET(tulossiirtymä,MATCH($D161,Data!$AN$2:$AN$313,0),Tulokset!J$2)))))</f>
        <v/>
      </c>
      <c r="K161" s="78" t="str">
        <f ca="1">IF($B161&gt;keilatut,"",IF($C161=(-1),"",IF($C161=0,"Pisteet",IF($C161&gt;Data!$CP$2,"",OFFSET(tulossiirtymä,MATCH($D161,Data!$AN$2:$AN$313,0),Tulokset!K$2)))))</f>
        <v/>
      </c>
      <c r="L161" s="78" t="str">
        <f ca="1">IF($B161&gt;keilatut,"",IF($C161=(-1),"",IF($C161=0,"Pisteet yhteensä",IF($C161&gt;Data!$CP$2,"",OFFSET(tulossiirtymä,MATCH($D161,Data!$AN$2:$AN$313,0),Tulokset!L$2)))))</f>
        <v/>
      </c>
      <c r="M161" s="78" t="str">
        <f ca="1">IF($B161&gt;keilatut,"",IF($C161=(-1),"",IF($C161=0,"Pisteseloste",IF($C161&gt;Data!$CP$2,"",OFFSET(tulossiirtymä,MATCH($D161,Data!$AN$2:$AN$313,0),Tulokset!M$2)))))</f>
        <v/>
      </c>
    </row>
    <row r="162" spans="2:13" x14ac:dyDescent="0.25">
      <c r="B162" s="78">
        <f t="shared" si="2"/>
        <v>6</v>
      </c>
      <c r="C162" s="78">
        <f>COUNTIF($B$6:B162,B162)-2</f>
        <v>20</v>
      </c>
      <c r="D162" s="79" t="str">
        <f t="array" ref="D162">IF($B162&lt;=keilatut,IF($C162&lt;1,"",IF($C162&gt;Data!$CP$2,"",SMALL(IF(Data!$B$2:$B$313=Tulokset!$B162,Data!$AN$2:$AN$313),Tulokset!$C162))),"")</f>
        <v/>
      </c>
      <c r="E162" s="78" t="str">
        <f>IF($B162&gt;keilatut,"",IF($C162=(-1),"GP"&amp;$B162&amp;", "&amp;DAY(VLOOKUP($B162,kilpailukalenteri,2))&amp;"."&amp;MONTH(VLOOKUP($B162,kilpailukalenteri,2))&amp;"."&amp;YEAR(VLOOKUP($B162,kilpailukalenteri,2))&amp;", "&amp;IF(RIGHT(VLOOKUP($B162,kilpailukalenteri,4),1)="*",LEFT(VLOOKUP($B162,kilpailukalenteri,4),LEN(VLOOKUP($B162,kilpailukalenteri,4))-2)&amp;", Kultainen GP",VLOOKUP($B162,kilpailukalenteri,4)),IF($C162=0,"Sija",IF($C162&gt;Data!$CP$2,"",ROUND(Tulokset!$D162,0)))))</f>
        <v/>
      </c>
      <c r="F162" s="78" t="str">
        <f ca="1">IF($B162&gt;keilatut,"",IF($C162=(-1),"",IF($C162=0,"Nimi",IF($C162&gt;Data!$CP$2,"",OFFSET(tulossiirtymä,MATCH($D162,Data!$AN$2:$AN$313,0),Tulokset!F$2)))))</f>
        <v/>
      </c>
      <c r="G162" s="78" t="str">
        <f ca="1">IF($B162&gt;keilatut,"",IF($C162=(-1),"",IF($C162=0,"Sarja 1",IF($C162&gt;Data!$CP$2,"",OFFSET(tulossiirtymä,MATCH($D162,Data!$AN$2:$AN$313,0),Tulokset!G$2)))))</f>
        <v/>
      </c>
      <c r="H162" s="78" t="str">
        <f ca="1">IF($B162&gt;keilatut,"",IF($C162=(-1),"",IF($C162=0,"Sarja 2",IF($C162&gt;Data!$CP$2,"",OFFSET(tulossiirtymä,MATCH($D162,Data!$AN$2:$AN$313,0),Tulokset!H$2)))))</f>
        <v/>
      </c>
      <c r="I162" s="78" t="str">
        <f ca="1">IF($B162&gt;keilatut,"",IF($C162=(-1),"",IF($C162=0,"Yhteensä",IF($C162&gt;Data!$CP$2,"",OFFSET(tulossiirtymä,MATCH($D162,Data!$AN$2:$AN$313,0),Tulokset!I$2)))))</f>
        <v/>
      </c>
      <c r="J162" s="78" t="str">
        <f ca="1">IF($B162&gt;keilatut,"",IF($C162=(-1),"",IF($C162=0,"Ero voittajaan",IF($C162&gt;Data!$CP$2,"",OFFSET(tulossiirtymä,MATCH($D162,Data!$AN$2:$AN$313,0),Tulokset!J$2)))))</f>
        <v/>
      </c>
      <c r="K162" s="78" t="str">
        <f ca="1">IF($B162&gt;keilatut,"",IF($C162=(-1),"",IF($C162=0,"Pisteet",IF($C162&gt;Data!$CP$2,"",OFFSET(tulossiirtymä,MATCH($D162,Data!$AN$2:$AN$313,0),Tulokset!K$2)))))</f>
        <v/>
      </c>
      <c r="L162" s="78" t="str">
        <f ca="1">IF($B162&gt;keilatut,"",IF($C162=(-1),"",IF($C162=0,"Pisteet yhteensä",IF($C162&gt;Data!$CP$2,"",OFFSET(tulossiirtymä,MATCH($D162,Data!$AN$2:$AN$313,0),Tulokset!L$2)))))</f>
        <v/>
      </c>
      <c r="M162" s="78" t="str">
        <f ca="1">IF($B162&gt;keilatut,"",IF($C162=(-1),"",IF($C162=0,"Pisteseloste",IF($C162&gt;Data!$CP$2,"",OFFSET(tulossiirtymä,MATCH($D162,Data!$AN$2:$AN$313,0),Tulokset!M$2)))))</f>
        <v/>
      </c>
    </row>
    <row r="163" spans="2:13" x14ac:dyDescent="0.25">
      <c r="B163" s="78">
        <f t="shared" si="2"/>
        <v>6</v>
      </c>
      <c r="C163" s="78">
        <f>COUNTIF($B$6:B163,B163)-2</f>
        <v>21</v>
      </c>
      <c r="D163" s="79" t="str">
        <f t="array" ref="D163">IF($B163&lt;=keilatut,IF($C163&lt;1,"",IF($C163&gt;Data!$CP$2,"",SMALL(IF(Data!$B$2:$B$313=Tulokset!$B163,Data!$AN$2:$AN$313),Tulokset!$C163))),"")</f>
        <v/>
      </c>
      <c r="E163" s="78" t="str">
        <f>IF($B163&gt;keilatut,"",IF($C163=(-1),"GP"&amp;$B163&amp;", "&amp;DAY(VLOOKUP($B163,kilpailukalenteri,2))&amp;"."&amp;MONTH(VLOOKUP($B163,kilpailukalenteri,2))&amp;"."&amp;YEAR(VLOOKUP($B163,kilpailukalenteri,2))&amp;", "&amp;IF(RIGHT(VLOOKUP($B163,kilpailukalenteri,4),1)="*",LEFT(VLOOKUP($B163,kilpailukalenteri,4),LEN(VLOOKUP($B163,kilpailukalenteri,4))-2)&amp;", Kultainen GP",VLOOKUP($B163,kilpailukalenteri,4)),IF($C163=0,"Sija",IF($C163&gt;Data!$CP$2,"",ROUND(Tulokset!$D163,0)))))</f>
        <v/>
      </c>
      <c r="F163" s="78" t="str">
        <f ca="1">IF($B163&gt;keilatut,"",IF($C163=(-1),"",IF($C163=0,"Nimi",IF($C163&gt;Data!$CP$2,"",OFFSET(tulossiirtymä,MATCH($D163,Data!$AN$2:$AN$313,0),Tulokset!F$2)))))</f>
        <v/>
      </c>
      <c r="G163" s="78" t="str">
        <f ca="1">IF($B163&gt;keilatut,"",IF($C163=(-1),"",IF($C163=0,"Sarja 1",IF($C163&gt;Data!$CP$2,"",OFFSET(tulossiirtymä,MATCH($D163,Data!$AN$2:$AN$313,0),Tulokset!G$2)))))</f>
        <v/>
      </c>
      <c r="H163" s="78" t="str">
        <f ca="1">IF($B163&gt;keilatut,"",IF($C163=(-1),"",IF($C163=0,"Sarja 2",IF($C163&gt;Data!$CP$2,"",OFFSET(tulossiirtymä,MATCH($D163,Data!$AN$2:$AN$313,0),Tulokset!H$2)))))</f>
        <v/>
      </c>
      <c r="I163" s="78" t="str">
        <f ca="1">IF($B163&gt;keilatut,"",IF($C163=(-1),"",IF($C163=0,"Yhteensä",IF($C163&gt;Data!$CP$2,"",OFFSET(tulossiirtymä,MATCH($D163,Data!$AN$2:$AN$313,0),Tulokset!I$2)))))</f>
        <v/>
      </c>
      <c r="J163" s="78" t="str">
        <f ca="1">IF($B163&gt;keilatut,"",IF($C163=(-1),"",IF($C163=0,"Ero voittajaan",IF($C163&gt;Data!$CP$2,"",OFFSET(tulossiirtymä,MATCH($D163,Data!$AN$2:$AN$313,0),Tulokset!J$2)))))</f>
        <v/>
      </c>
      <c r="K163" s="78" t="str">
        <f ca="1">IF($B163&gt;keilatut,"",IF($C163=(-1),"",IF($C163=0,"Pisteet",IF($C163&gt;Data!$CP$2,"",OFFSET(tulossiirtymä,MATCH($D163,Data!$AN$2:$AN$313,0),Tulokset!K$2)))))</f>
        <v/>
      </c>
      <c r="L163" s="78" t="str">
        <f ca="1">IF($B163&gt;keilatut,"",IF($C163=(-1),"",IF($C163=0,"Pisteet yhteensä",IF($C163&gt;Data!$CP$2,"",OFFSET(tulossiirtymä,MATCH($D163,Data!$AN$2:$AN$313,0),Tulokset!L$2)))))</f>
        <v/>
      </c>
      <c r="M163" s="78" t="str">
        <f ca="1">IF($B163&gt;keilatut,"",IF($C163=(-1),"",IF($C163=0,"Pisteseloste",IF($C163&gt;Data!$CP$2,"",OFFSET(tulossiirtymä,MATCH($D163,Data!$AN$2:$AN$313,0),Tulokset!M$2)))))</f>
        <v/>
      </c>
    </row>
    <row r="164" spans="2:13" x14ac:dyDescent="0.25">
      <c r="B164" s="78">
        <f t="shared" si="2"/>
        <v>6</v>
      </c>
      <c r="C164" s="78">
        <f>COUNTIF($B$6:B164,B164)-2</f>
        <v>22</v>
      </c>
      <c r="D164" s="79" t="str">
        <f t="array" ref="D164">IF($B164&lt;=keilatut,IF($C164&lt;1,"",IF($C164&gt;Data!$CP$2,"",SMALL(IF(Data!$B$2:$B$313=Tulokset!$B164,Data!$AN$2:$AN$313),Tulokset!$C164))),"")</f>
        <v/>
      </c>
      <c r="E164" s="78" t="str">
        <f>IF($B164&gt;keilatut,"",IF($C164=(-1),"GP"&amp;$B164&amp;", "&amp;DAY(VLOOKUP($B164,kilpailukalenteri,2))&amp;"."&amp;MONTH(VLOOKUP($B164,kilpailukalenteri,2))&amp;"."&amp;YEAR(VLOOKUP($B164,kilpailukalenteri,2))&amp;", "&amp;IF(RIGHT(VLOOKUP($B164,kilpailukalenteri,4),1)="*",LEFT(VLOOKUP($B164,kilpailukalenteri,4),LEN(VLOOKUP($B164,kilpailukalenteri,4))-2)&amp;", Kultainen GP",VLOOKUP($B164,kilpailukalenteri,4)),IF($C164=0,"Sija",IF($C164&gt;Data!$CP$2,"",ROUND(Tulokset!$D164,0)))))</f>
        <v/>
      </c>
      <c r="F164" s="78" t="str">
        <f ca="1">IF($B164&gt;keilatut,"",IF($C164=(-1),"",IF($C164=0,"Nimi",IF($C164&gt;Data!$CP$2,"",OFFSET(tulossiirtymä,MATCH($D164,Data!$AN$2:$AN$313,0),Tulokset!F$2)))))</f>
        <v/>
      </c>
      <c r="G164" s="78" t="str">
        <f ca="1">IF($B164&gt;keilatut,"",IF($C164=(-1),"",IF($C164=0,"Sarja 1",IF($C164&gt;Data!$CP$2,"",OFFSET(tulossiirtymä,MATCH($D164,Data!$AN$2:$AN$313,0),Tulokset!G$2)))))</f>
        <v/>
      </c>
      <c r="H164" s="78" t="str">
        <f ca="1">IF($B164&gt;keilatut,"",IF($C164=(-1),"",IF($C164=0,"Sarja 2",IF($C164&gt;Data!$CP$2,"",OFFSET(tulossiirtymä,MATCH($D164,Data!$AN$2:$AN$313,0),Tulokset!H$2)))))</f>
        <v/>
      </c>
      <c r="I164" s="78" t="str">
        <f ca="1">IF($B164&gt;keilatut,"",IF($C164=(-1),"",IF($C164=0,"Yhteensä",IF($C164&gt;Data!$CP$2,"",OFFSET(tulossiirtymä,MATCH($D164,Data!$AN$2:$AN$313,0),Tulokset!I$2)))))</f>
        <v/>
      </c>
      <c r="J164" s="78" t="str">
        <f ca="1">IF($B164&gt;keilatut,"",IF($C164=(-1),"",IF($C164=0,"Ero voittajaan",IF($C164&gt;Data!$CP$2,"",OFFSET(tulossiirtymä,MATCH($D164,Data!$AN$2:$AN$313,0),Tulokset!J$2)))))</f>
        <v/>
      </c>
      <c r="K164" s="78" t="str">
        <f ca="1">IF($B164&gt;keilatut,"",IF($C164=(-1),"",IF($C164=0,"Pisteet",IF($C164&gt;Data!$CP$2,"",OFFSET(tulossiirtymä,MATCH($D164,Data!$AN$2:$AN$313,0),Tulokset!K$2)))))</f>
        <v/>
      </c>
      <c r="L164" s="78" t="str">
        <f ca="1">IF($B164&gt;keilatut,"",IF($C164=(-1),"",IF($C164=0,"Pisteet yhteensä",IF($C164&gt;Data!$CP$2,"",OFFSET(tulossiirtymä,MATCH($D164,Data!$AN$2:$AN$313,0),Tulokset!L$2)))))</f>
        <v/>
      </c>
      <c r="M164" s="78" t="str">
        <f ca="1">IF($B164&gt;keilatut,"",IF($C164=(-1),"",IF($C164=0,"Pisteseloste",IF($C164&gt;Data!$CP$2,"",OFFSET(tulossiirtymä,MATCH($D164,Data!$AN$2:$AN$313,0),Tulokset!M$2)))))</f>
        <v/>
      </c>
    </row>
    <row r="165" spans="2:13" x14ac:dyDescent="0.25">
      <c r="B165" s="78">
        <f t="shared" si="2"/>
        <v>6</v>
      </c>
      <c r="C165" s="78">
        <f>COUNTIF($B$6:B165,B165)-2</f>
        <v>23</v>
      </c>
      <c r="D165" s="79" t="str">
        <f t="array" ref="D165">IF($B165&lt;=keilatut,IF($C165&lt;1,"",IF($C165&gt;Data!$CP$2,"",SMALL(IF(Data!$B$2:$B$313=Tulokset!$B165,Data!$AN$2:$AN$313),Tulokset!$C165))),"")</f>
        <v/>
      </c>
      <c r="E165" s="78" t="str">
        <f>IF($B165&gt;keilatut,"",IF($C165=(-1),"GP"&amp;$B165&amp;", "&amp;DAY(VLOOKUP($B165,kilpailukalenteri,2))&amp;"."&amp;MONTH(VLOOKUP($B165,kilpailukalenteri,2))&amp;"."&amp;YEAR(VLOOKUP($B165,kilpailukalenteri,2))&amp;", "&amp;IF(RIGHT(VLOOKUP($B165,kilpailukalenteri,4),1)="*",LEFT(VLOOKUP($B165,kilpailukalenteri,4),LEN(VLOOKUP($B165,kilpailukalenteri,4))-2)&amp;", Kultainen GP",VLOOKUP($B165,kilpailukalenteri,4)),IF($C165=0,"Sija",IF($C165&gt;Data!$CP$2,"",ROUND(Tulokset!$D165,0)))))</f>
        <v/>
      </c>
      <c r="F165" s="78" t="str">
        <f ca="1">IF($B165&gt;keilatut,"",IF($C165=(-1),"",IF($C165=0,"Nimi",IF($C165&gt;Data!$CP$2,"",OFFSET(tulossiirtymä,MATCH($D165,Data!$AN$2:$AN$313,0),Tulokset!F$2)))))</f>
        <v/>
      </c>
      <c r="G165" s="78" t="str">
        <f ca="1">IF($B165&gt;keilatut,"",IF($C165=(-1),"",IF($C165=0,"Sarja 1",IF($C165&gt;Data!$CP$2,"",OFFSET(tulossiirtymä,MATCH($D165,Data!$AN$2:$AN$313,0),Tulokset!G$2)))))</f>
        <v/>
      </c>
      <c r="H165" s="78" t="str">
        <f ca="1">IF($B165&gt;keilatut,"",IF($C165=(-1),"",IF($C165=0,"Sarja 2",IF($C165&gt;Data!$CP$2,"",OFFSET(tulossiirtymä,MATCH($D165,Data!$AN$2:$AN$313,0),Tulokset!H$2)))))</f>
        <v/>
      </c>
      <c r="I165" s="78" t="str">
        <f ca="1">IF($B165&gt;keilatut,"",IF($C165=(-1),"",IF($C165=0,"Yhteensä",IF($C165&gt;Data!$CP$2,"",OFFSET(tulossiirtymä,MATCH($D165,Data!$AN$2:$AN$313,0),Tulokset!I$2)))))</f>
        <v/>
      </c>
      <c r="J165" s="78" t="str">
        <f ca="1">IF($B165&gt;keilatut,"",IF($C165=(-1),"",IF($C165=0,"Ero voittajaan",IF($C165&gt;Data!$CP$2,"",OFFSET(tulossiirtymä,MATCH($D165,Data!$AN$2:$AN$313,0),Tulokset!J$2)))))</f>
        <v/>
      </c>
      <c r="K165" s="78" t="str">
        <f ca="1">IF($B165&gt;keilatut,"",IF($C165=(-1),"",IF($C165=0,"Pisteet",IF($C165&gt;Data!$CP$2,"",OFFSET(tulossiirtymä,MATCH($D165,Data!$AN$2:$AN$313,0),Tulokset!K$2)))))</f>
        <v/>
      </c>
      <c r="L165" s="78" t="str">
        <f ca="1">IF($B165&gt;keilatut,"",IF($C165=(-1),"",IF($C165=0,"Pisteet yhteensä",IF($C165&gt;Data!$CP$2,"",OFFSET(tulossiirtymä,MATCH($D165,Data!$AN$2:$AN$313,0),Tulokset!L$2)))))</f>
        <v/>
      </c>
      <c r="M165" s="78" t="str">
        <f ca="1">IF($B165&gt;keilatut,"",IF($C165=(-1),"",IF($C165=0,"Pisteseloste",IF($C165&gt;Data!$CP$2,"",OFFSET(tulossiirtymä,MATCH($D165,Data!$AN$2:$AN$313,0),Tulokset!M$2)))))</f>
        <v/>
      </c>
    </row>
    <row r="166" spans="2:13" x14ac:dyDescent="0.25">
      <c r="B166" s="78">
        <f t="shared" ref="B166:B229" si="3">IF(C165=25,1+B165,B165)</f>
        <v>6</v>
      </c>
      <c r="C166" s="78">
        <f>COUNTIF($B$6:B166,B166)-2</f>
        <v>24</v>
      </c>
      <c r="D166" s="79" t="str">
        <f t="array" ref="D166">IF($B166&lt;=keilatut,IF($C166&lt;1,"",IF($C166&gt;Data!$CP$2,"",SMALL(IF(Data!$B$2:$B$313=Tulokset!$B166,Data!$AN$2:$AN$313),Tulokset!$C166))),"")</f>
        <v/>
      </c>
      <c r="E166" s="78" t="str">
        <f>IF($B166&gt;keilatut,"",IF($C166=(-1),"GP"&amp;$B166&amp;", "&amp;DAY(VLOOKUP($B166,kilpailukalenteri,2))&amp;"."&amp;MONTH(VLOOKUP($B166,kilpailukalenteri,2))&amp;"."&amp;YEAR(VLOOKUP($B166,kilpailukalenteri,2))&amp;", "&amp;IF(RIGHT(VLOOKUP($B166,kilpailukalenteri,4),1)="*",LEFT(VLOOKUP($B166,kilpailukalenteri,4),LEN(VLOOKUP($B166,kilpailukalenteri,4))-2)&amp;", Kultainen GP",VLOOKUP($B166,kilpailukalenteri,4)),IF($C166=0,"Sija",IF($C166&gt;Data!$CP$2,"",ROUND(Tulokset!$D166,0)))))</f>
        <v/>
      </c>
      <c r="F166" s="78" t="str">
        <f ca="1">IF($B166&gt;keilatut,"",IF($C166=(-1),"",IF($C166=0,"Nimi",IF($C166&gt;Data!$CP$2,"",OFFSET(tulossiirtymä,MATCH($D166,Data!$AN$2:$AN$313,0),Tulokset!F$2)))))</f>
        <v/>
      </c>
      <c r="G166" s="78" t="str">
        <f ca="1">IF($B166&gt;keilatut,"",IF($C166=(-1),"",IF($C166=0,"Sarja 1",IF($C166&gt;Data!$CP$2,"",OFFSET(tulossiirtymä,MATCH($D166,Data!$AN$2:$AN$313,0),Tulokset!G$2)))))</f>
        <v/>
      </c>
      <c r="H166" s="78" t="str">
        <f ca="1">IF($B166&gt;keilatut,"",IF($C166=(-1),"",IF($C166=0,"Sarja 2",IF($C166&gt;Data!$CP$2,"",OFFSET(tulossiirtymä,MATCH($D166,Data!$AN$2:$AN$313,0),Tulokset!H$2)))))</f>
        <v/>
      </c>
      <c r="I166" s="78" t="str">
        <f ca="1">IF($B166&gt;keilatut,"",IF($C166=(-1),"",IF($C166=0,"Yhteensä",IF($C166&gt;Data!$CP$2,"",OFFSET(tulossiirtymä,MATCH($D166,Data!$AN$2:$AN$313,0),Tulokset!I$2)))))</f>
        <v/>
      </c>
      <c r="J166" s="78" t="str">
        <f ca="1">IF($B166&gt;keilatut,"",IF($C166=(-1),"",IF($C166=0,"Ero voittajaan",IF($C166&gt;Data!$CP$2,"",OFFSET(tulossiirtymä,MATCH($D166,Data!$AN$2:$AN$313,0),Tulokset!J$2)))))</f>
        <v/>
      </c>
      <c r="K166" s="78" t="str">
        <f ca="1">IF($B166&gt;keilatut,"",IF($C166=(-1),"",IF($C166=0,"Pisteet",IF($C166&gt;Data!$CP$2,"",OFFSET(tulossiirtymä,MATCH($D166,Data!$AN$2:$AN$313,0),Tulokset!K$2)))))</f>
        <v/>
      </c>
      <c r="L166" s="78" t="str">
        <f ca="1">IF($B166&gt;keilatut,"",IF($C166=(-1),"",IF($C166=0,"Pisteet yhteensä",IF($C166&gt;Data!$CP$2,"",OFFSET(tulossiirtymä,MATCH($D166,Data!$AN$2:$AN$313,0),Tulokset!L$2)))))</f>
        <v/>
      </c>
      <c r="M166" s="78" t="str">
        <f ca="1">IF($B166&gt;keilatut,"",IF($C166=(-1),"",IF($C166=0,"Pisteseloste",IF($C166&gt;Data!$CP$2,"",OFFSET(tulossiirtymä,MATCH($D166,Data!$AN$2:$AN$313,0),Tulokset!M$2)))))</f>
        <v/>
      </c>
    </row>
    <row r="167" spans="2:13" x14ac:dyDescent="0.25">
      <c r="B167" s="78">
        <f t="shared" si="3"/>
        <v>6</v>
      </c>
      <c r="C167" s="78">
        <f>COUNTIF($B$6:B167,B167)-2</f>
        <v>25</v>
      </c>
      <c r="D167" s="79" t="str">
        <f t="array" ref="D167">IF($B167&lt;=keilatut,IF($C167&lt;1,"",IF($C167&gt;Data!$CP$2,"",SMALL(IF(Data!$B$2:$B$313=Tulokset!$B167,Data!$AN$2:$AN$313),Tulokset!$C167))),"")</f>
        <v/>
      </c>
      <c r="E167" s="78" t="str">
        <f>IF($B167&gt;keilatut,"",IF($C167=(-1),"GP"&amp;$B167&amp;", "&amp;DAY(VLOOKUP($B167,kilpailukalenteri,2))&amp;"."&amp;MONTH(VLOOKUP($B167,kilpailukalenteri,2))&amp;"."&amp;YEAR(VLOOKUP($B167,kilpailukalenteri,2))&amp;", "&amp;IF(RIGHT(VLOOKUP($B167,kilpailukalenteri,4),1)="*",LEFT(VLOOKUP($B167,kilpailukalenteri,4),LEN(VLOOKUP($B167,kilpailukalenteri,4))-2)&amp;", Kultainen GP",VLOOKUP($B167,kilpailukalenteri,4)),IF($C167=0,"Sija",IF($C167&gt;Data!$CP$2,"",ROUND(Tulokset!$D167,0)))))</f>
        <v/>
      </c>
      <c r="F167" s="78" t="str">
        <f ca="1">IF($B167&gt;keilatut,"",IF($C167=(-1),"",IF($C167=0,"Nimi",IF($C167&gt;Data!$CP$2,"",OFFSET(tulossiirtymä,MATCH($D167,Data!$AN$2:$AN$313,0),Tulokset!F$2)))))</f>
        <v/>
      </c>
      <c r="G167" s="78" t="str">
        <f ca="1">IF($B167&gt;keilatut,"",IF($C167=(-1),"",IF($C167=0,"Sarja 1",IF($C167&gt;Data!$CP$2,"",OFFSET(tulossiirtymä,MATCH($D167,Data!$AN$2:$AN$313,0),Tulokset!G$2)))))</f>
        <v/>
      </c>
      <c r="H167" s="78" t="str">
        <f ca="1">IF($B167&gt;keilatut,"",IF($C167=(-1),"",IF($C167=0,"Sarja 2",IF($C167&gt;Data!$CP$2,"",OFFSET(tulossiirtymä,MATCH($D167,Data!$AN$2:$AN$313,0),Tulokset!H$2)))))</f>
        <v/>
      </c>
      <c r="I167" s="78" t="str">
        <f ca="1">IF($B167&gt;keilatut,"",IF($C167=(-1),"",IF($C167=0,"Yhteensä",IF($C167&gt;Data!$CP$2,"",OFFSET(tulossiirtymä,MATCH($D167,Data!$AN$2:$AN$313,0),Tulokset!I$2)))))</f>
        <v/>
      </c>
      <c r="J167" s="78" t="str">
        <f ca="1">IF($B167&gt;keilatut,"",IF($C167=(-1),"",IF($C167=0,"Ero voittajaan",IF($C167&gt;Data!$CP$2,"",OFFSET(tulossiirtymä,MATCH($D167,Data!$AN$2:$AN$313,0),Tulokset!J$2)))))</f>
        <v/>
      </c>
      <c r="K167" s="78" t="str">
        <f ca="1">IF($B167&gt;keilatut,"",IF($C167=(-1),"",IF($C167=0,"Pisteet",IF($C167&gt;Data!$CP$2,"",OFFSET(tulossiirtymä,MATCH($D167,Data!$AN$2:$AN$313,0),Tulokset!K$2)))))</f>
        <v/>
      </c>
      <c r="L167" s="78" t="str">
        <f ca="1">IF($B167&gt;keilatut,"",IF($C167=(-1),"",IF($C167=0,"Pisteet yhteensä",IF($C167&gt;Data!$CP$2,"",OFFSET(tulossiirtymä,MATCH($D167,Data!$AN$2:$AN$313,0),Tulokset!L$2)))))</f>
        <v/>
      </c>
      <c r="M167" s="78" t="str">
        <f ca="1">IF($B167&gt;keilatut,"",IF($C167=(-1),"",IF($C167=0,"Pisteseloste",IF($C167&gt;Data!$CP$2,"",OFFSET(tulossiirtymä,MATCH($D167,Data!$AN$2:$AN$313,0),Tulokset!M$2)))))</f>
        <v/>
      </c>
    </row>
    <row r="168" spans="2:13" x14ac:dyDescent="0.25">
      <c r="B168" s="78">
        <f t="shared" si="3"/>
        <v>7</v>
      </c>
      <c r="C168" s="78">
        <f>COUNTIF($B$6:B168,B168)-2</f>
        <v>-1</v>
      </c>
      <c r="D168" s="79" t="str">
        <f t="array" ref="D168">IF($B168&lt;=keilatut,IF($C168&lt;1,"",IF($C168&gt;Data!$CP$2,"",SMALL(IF(Data!$B$2:$B$313=Tulokset!$B168,Data!$AN$2:$AN$313),Tulokset!$C168))),"")</f>
        <v/>
      </c>
      <c r="E168" s="78" t="str">
        <f>IF($B168&gt;keilatut,"",IF($C168=(-1),"GP"&amp;$B168&amp;", "&amp;DAY(VLOOKUP($B168,kilpailukalenteri,2))&amp;"."&amp;MONTH(VLOOKUP($B168,kilpailukalenteri,2))&amp;"."&amp;YEAR(VLOOKUP($B168,kilpailukalenteri,2))&amp;", "&amp;IF(RIGHT(VLOOKUP($B168,kilpailukalenteri,4),1)="*",LEFT(VLOOKUP($B168,kilpailukalenteri,4),LEN(VLOOKUP($B168,kilpailukalenteri,4))-2)&amp;", Kultainen GP",VLOOKUP($B168,kilpailukalenteri,4)),IF($C168=0,"Sija",IF($C168&gt;Data!$CP$2,"",ROUND(Tulokset!$D168,0)))))</f>
        <v>GP7, 12.1.2025, Kupittaan keilahalli</v>
      </c>
    </row>
    <row r="169" spans="2:13" x14ac:dyDescent="0.25">
      <c r="B169" s="78">
        <f t="shared" si="3"/>
        <v>7</v>
      </c>
      <c r="C169" s="78">
        <f>COUNTIF($B$6:B169,B169)-2</f>
        <v>0</v>
      </c>
      <c r="D169" s="79" t="str">
        <f t="array" ref="D169">IF($B169&lt;=keilatut,IF($C169&lt;1,"",IF($C169&gt;Data!$CP$2,"",SMALL(IF(Data!$B$2:$B$313=Tulokset!$B169,Data!$AN$2:$AN$313),Tulokset!$C169))),"")</f>
        <v/>
      </c>
      <c r="E169" s="78" t="str">
        <f>IF($B169&gt;keilatut,"",IF($C169=(-1),"GP"&amp;$B169&amp;", "&amp;DAY(VLOOKUP($B169,kilpailukalenteri,2))&amp;"."&amp;MONTH(VLOOKUP($B169,kilpailukalenteri,2))&amp;"."&amp;YEAR(VLOOKUP($B169,kilpailukalenteri,2))&amp;", "&amp;IF(RIGHT(VLOOKUP($B169,kilpailukalenteri,4),1)="*",LEFT(VLOOKUP($B169,kilpailukalenteri,4),LEN(VLOOKUP($B169,kilpailukalenteri,4))-2)&amp;", Kultainen GP",VLOOKUP($B169,kilpailukalenteri,4)),IF($C169=0,"Sija",IF($C169&gt;Data!$CP$2,"",ROUND(Tulokset!$D169,0)))))</f>
        <v>Sija</v>
      </c>
      <c r="F169" s="78" t="str">
        <f ca="1">IF($B169&gt;keilatut,"",IF($C169=(-1),"",IF($C169=0,"Nimi",IF($C169&gt;Data!$CP$2,"",OFFSET(tulossiirtymä,MATCH($D169,Data!$AN$2:$AN$313,0),Tulokset!F$2)))))</f>
        <v>Nimi</v>
      </c>
      <c r="G169" s="78" t="str">
        <f ca="1">IF($B169&gt;keilatut,"",IF($C169=(-1),"",IF($C169=0,"Sarja 1",IF($C169&gt;Data!$CP$2,"",OFFSET(tulossiirtymä,MATCH($D169,Data!$AN$2:$AN$313,0),Tulokset!G$2)))))</f>
        <v>Sarja 1</v>
      </c>
      <c r="H169" s="78" t="str">
        <f ca="1">IF($B169&gt;keilatut,"",IF($C169=(-1),"",IF($C169=0,"Sarja 2",IF($C169&gt;Data!$CP$2,"",OFFSET(tulossiirtymä,MATCH($D169,Data!$AN$2:$AN$313,0),Tulokset!H$2)))))</f>
        <v>Sarja 2</v>
      </c>
      <c r="I169" s="78" t="str">
        <f ca="1">IF($B169&gt;keilatut,"",IF($C169=(-1),"",IF($C169=0,"Yhteensä",IF($C169&gt;Data!$CP$2,"",OFFSET(tulossiirtymä,MATCH($D169,Data!$AN$2:$AN$313,0),Tulokset!I$2)))))</f>
        <v>Yhteensä</v>
      </c>
      <c r="J169" s="78" t="str">
        <f ca="1">IF($B169&gt;keilatut,"",IF($C169=(-1),"",IF($C169=0,"Ero voittajaan",IF($C169&gt;Data!$CP$2,"",OFFSET(tulossiirtymä,MATCH($D169,Data!$AN$2:$AN$313,0),Tulokset!J$2)))))</f>
        <v>Ero voittajaan</v>
      </c>
      <c r="K169" s="78" t="str">
        <f ca="1">IF($B169&gt;keilatut,"",IF($C169=(-1),"",IF($C169=0,"Pisteet",IF($C169&gt;Data!$CP$2,"",OFFSET(tulossiirtymä,MATCH($D169,Data!$AN$2:$AN$313,0),Tulokset!K$2)))))</f>
        <v>Pisteet</v>
      </c>
      <c r="L169" s="78" t="str">
        <f ca="1">IF($B169&gt;keilatut,"",IF($C169=(-1),"",IF($C169=0,"Pisteet yhteensä",IF($C169&gt;Data!$CP$2,"",OFFSET(tulossiirtymä,MATCH($D169,Data!$AN$2:$AN$313,0),Tulokset!L$2)))))</f>
        <v>Pisteet yhteensä</v>
      </c>
      <c r="M169" s="78" t="str">
        <f ca="1">IF($B169&gt;keilatut,"",IF($C169=(-1),"",IF($C169=0,"Pisteseloste",IF($C169&gt;Data!$CP$2,"",OFFSET(tulossiirtymä,MATCH($D169,Data!$AN$2:$AN$313,0),Tulokset!M$2)))))</f>
        <v>Pisteseloste</v>
      </c>
    </row>
    <row r="170" spans="2:13" x14ac:dyDescent="0.25">
      <c r="B170" s="78">
        <f t="shared" si="3"/>
        <v>7</v>
      </c>
      <c r="C170" s="78">
        <f>COUNTIF($B$6:B170,B170)-2</f>
        <v>1</v>
      </c>
      <c r="D170" s="79">
        <f t="array" ref="D170">IF($B170&lt;=keilatut,IF($C170&lt;1,"",IF($C170&gt;Data!$CP$2,"",SMALL(IF(Data!$B$2:$B$313=Tulokset!$B170,Data!$AN$2:$AN$313),Tulokset!$C170))),"")</f>
        <v>1.000111</v>
      </c>
      <c r="E170" s="78">
        <f>IF($B170&gt;keilatut,"",IF($C170=(-1),"GP"&amp;$B170&amp;", "&amp;DAY(VLOOKUP($B170,kilpailukalenteri,2))&amp;"."&amp;MONTH(VLOOKUP($B170,kilpailukalenteri,2))&amp;"."&amp;YEAR(VLOOKUP($B170,kilpailukalenteri,2))&amp;", "&amp;IF(RIGHT(VLOOKUP($B170,kilpailukalenteri,4),1)="*",LEFT(VLOOKUP($B170,kilpailukalenteri,4),LEN(VLOOKUP($B170,kilpailukalenteri,4))-2)&amp;", Kultainen GP",VLOOKUP($B170,kilpailukalenteri,4)),IF($C170=0,"Sija",IF($C170&gt;Data!$CP$2,"",ROUND(Tulokset!$D170,0)))))</f>
        <v>1</v>
      </c>
      <c r="F170" s="78" t="str">
        <f ca="1">IF($B170&gt;keilatut,"",IF($C170=(-1),"",IF($C170=0,"Nimi",IF($C170&gt;Data!$CP$2,"",OFFSET(tulossiirtymä,MATCH($D170,Data!$AN$2:$AN$313,0),Tulokset!F$2)))))</f>
        <v>Asko Haaksi</v>
      </c>
      <c r="G170" s="78">
        <f ca="1">IF($B170&gt;keilatut,"",IF($C170=(-1),"",IF($C170=0,"Sarja 1",IF($C170&gt;Data!$CP$2,"",OFFSET(tulossiirtymä,MATCH($D170,Data!$AN$2:$AN$313,0),Tulokset!G$2)))))</f>
        <v>177</v>
      </c>
      <c r="H170" s="78">
        <f ca="1">IF($B170&gt;keilatut,"",IF($C170=(-1),"",IF($C170=0,"Sarja 2",IF($C170&gt;Data!$CP$2,"",OFFSET(tulossiirtymä,MATCH($D170,Data!$AN$2:$AN$313,0),Tulokset!H$2)))))</f>
        <v>155</v>
      </c>
      <c r="I170" s="78">
        <f ca="1">IF($B170&gt;keilatut,"",IF($C170=(-1),"",IF($C170=0,"Yhteensä",IF($C170&gt;Data!$CP$2,"",OFFSET(tulossiirtymä,MATCH($D170,Data!$AN$2:$AN$313,0),Tulokset!I$2)))))</f>
        <v>332</v>
      </c>
      <c r="J170" s="78" t="str">
        <f ca="1">IF($B170&gt;keilatut,"",IF($C170=(-1),"",IF($C170=0,"Ero voittajaan",IF($C170&gt;Data!$CP$2,"",OFFSET(tulossiirtymä,MATCH($D170,Data!$AN$2:$AN$313,0),Tulokset!J$2)))))</f>
        <v/>
      </c>
      <c r="K170" s="78">
        <f ca="1">IF($B170&gt;keilatut,"",IF($C170=(-1),"",IF($C170=0,"Pisteet",IF($C170&gt;Data!$CP$2,"",OFFSET(tulossiirtymä,MATCH($D170,Data!$AN$2:$AN$313,0),Tulokset!K$2)))))</f>
        <v>12</v>
      </c>
      <c r="L170" s="78">
        <f ca="1">IF($B170&gt;keilatut,"",IF($C170=(-1),"",IF($C170=0,"Pisteet yhteensä",IF($C170&gt;Data!$CP$2,"",OFFSET(tulossiirtymä,MATCH($D170,Data!$AN$2:$AN$313,0),Tulokset!L$2)))))</f>
        <v>25</v>
      </c>
      <c r="M170" s="78" t="str">
        <f ca="1">IF($B170&gt;keilatut,"",IF($C170=(-1),"",IF($C170=0,"Pisteseloste",IF($C170&gt;Data!$CP$2,"",OFFSET(tulossiirtymä,MATCH($D170,Data!$AN$2:$AN$313,0),Tulokset!M$2)))))</f>
        <v>+SP</v>
      </c>
    </row>
    <row r="171" spans="2:13" x14ac:dyDescent="0.25">
      <c r="B171" s="78">
        <f t="shared" si="3"/>
        <v>7</v>
      </c>
      <c r="C171" s="78">
        <f>COUNTIF($B$6:B171,B171)-2</f>
        <v>2</v>
      </c>
      <c r="D171" s="79">
        <f t="array" ref="D171">IF($B171&lt;=keilatut,IF($C171&lt;1,"",IF($C171&gt;Data!$CP$2,"",SMALL(IF(Data!$B$2:$B$313=Tulokset!$B171,Data!$AN$2:$AN$313),Tulokset!$C171))),"")</f>
        <v>2.0001139999999999</v>
      </c>
      <c r="E171" s="78">
        <f>IF($B171&gt;keilatut,"",IF($C171=(-1),"GP"&amp;$B171&amp;", "&amp;DAY(VLOOKUP($B171,kilpailukalenteri,2))&amp;"."&amp;MONTH(VLOOKUP($B171,kilpailukalenteri,2))&amp;"."&amp;YEAR(VLOOKUP($B171,kilpailukalenteri,2))&amp;", "&amp;IF(RIGHT(VLOOKUP($B171,kilpailukalenteri,4),1)="*",LEFT(VLOOKUP($B171,kilpailukalenteri,4),LEN(VLOOKUP($B171,kilpailukalenteri,4))-2)&amp;", Kultainen GP",VLOOKUP($B171,kilpailukalenteri,4)),IF($C171=0,"Sija",IF($C171&gt;Data!$CP$2,"",ROUND(Tulokset!$D171,0)))))</f>
        <v>2</v>
      </c>
      <c r="F171" s="78" t="str">
        <f ca="1">IF($B171&gt;keilatut,"",IF($C171=(-1),"",IF($C171=0,"Nimi",IF($C171&gt;Data!$CP$2,"",OFFSET(tulossiirtymä,MATCH($D171,Data!$AN$2:$AN$313,0),Tulokset!F$2)))))</f>
        <v>Jami Kallio</v>
      </c>
      <c r="G171" s="78">
        <f ca="1">IF($B171&gt;keilatut,"",IF($C171=(-1),"",IF($C171=0,"Sarja 1",IF($C171&gt;Data!$CP$2,"",OFFSET(tulossiirtymä,MATCH($D171,Data!$AN$2:$AN$313,0),Tulokset!G$2)))))</f>
        <v>155</v>
      </c>
      <c r="H171" s="78">
        <f ca="1">IF($B171&gt;keilatut,"",IF($C171=(-1),"",IF($C171=0,"Sarja 2",IF($C171&gt;Data!$CP$2,"",OFFSET(tulossiirtymä,MATCH($D171,Data!$AN$2:$AN$313,0),Tulokset!H$2)))))</f>
        <v>157</v>
      </c>
      <c r="I171" s="78">
        <f ca="1">IF($B171&gt;keilatut,"",IF($C171=(-1),"",IF($C171=0,"Yhteensä",IF($C171&gt;Data!$CP$2,"",OFFSET(tulossiirtymä,MATCH($D171,Data!$AN$2:$AN$313,0),Tulokset!I$2)))))</f>
        <v>312</v>
      </c>
      <c r="J171" s="78">
        <f ca="1">IF($B171&gt;keilatut,"",IF($C171=(-1),"",IF($C171=0,"Ero voittajaan",IF($C171&gt;Data!$CP$2,"",OFFSET(tulossiirtymä,MATCH($D171,Data!$AN$2:$AN$313,0),Tulokset!J$2)))))</f>
        <v>20</v>
      </c>
      <c r="K171" s="78">
        <f ca="1">IF($B171&gt;keilatut,"",IF($C171=(-1),"",IF($C171=0,"Pisteet",IF($C171&gt;Data!$CP$2,"",OFFSET(tulossiirtymä,MATCH($D171,Data!$AN$2:$AN$313,0),Tulokset!K$2)))))</f>
        <v>11</v>
      </c>
      <c r="L171" s="78">
        <f ca="1">IF($B171&gt;keilatut,"",IF($C171=(-1),"",IF($C171=0,"Pisteet yhteensä",IF($C171&gt;Data!$CP$2,"",OFFSET(tulossiirtymä,MATCH($D171,Data!$AN$2:$AN$313,0),Tulokset!L$2)))))</f>
        <v>57</v>
      </c>
      <c r="M171" s="78" t="str">
        <f ca="1">IF($B171&gt;keilatut,"",IF($C171=(-1),"",IF($C171=0,"Pisteseloste",IF($C171&gt;Data!$CP$2,"",OFFSET(tulossiirtymä,MATCH($D171,Data!$AN$2:$AN$313,0),Tulokset!M$2)))))</f>
        <v>+SP+KK</v>
      </c>
    </row>
    <row r="172" spans="2:13" x14ac:dyDescent="0.25">
      <c r="B172" s="78">
        <f t="shared" si="3"/>
        <v>7</v>
      </c>
      <c r="C172" s="78">
        <f>COUNTIF($B$6:B172,B172)-2</f>
        <v>3</v>
      </c>
      <c r="D172" s="79">
        <f t="array" ref="D172">IF($B172&lt;=keilatut,IF($C172&lt;1,"",IF($C172&gt;Data!$CP$2,"",SMALL(IF(Data!$B$2:$B$313=Tulokset!$B172,Data!$AN$2:$AN$313),Tulokset!$C172))),"")</f>
        <v>3.0001180000000001</v>
      </c>
      <c r="E172" s="78">
        <f>IF($B172&gt;keilatut,"",IF($C172=(-1),"GP"&amp;$B172&amp;", "&amp;DAY(VLOOKUP($B172,kilpailukalenteri,2))&amp;"."&amp;MONTH(VLOOKUP($B172,kilpailukalenteri,2))&amp;"."&amp;YEAR(VLOOKUP($B172,kilpailukalenteri,2))&amp;", "&amp;IF(RIGHT(VLOOKUP($B172,kilpailukalenteri,4),1)="*",LEFT(VLOOKUP($B172,kilpailukalenteri,4),LEN(VLOOKUP($B172,kilpailukalenteri,4))-2)&amp;", Kultainen GP",VLOOKUP($B172,kilpailukalenteri,4)),IF($C172=0,"Sija",IF($C172&gt;Data!$CP$2,"",ROUND(Tulokset!$D172,0)))))</f>
        <v>3</v>
      </c>
      <c r="F172" s="78" t="str">
        <f ca="1">IF($B172&gt;keilatut,"",IF($C172=(-1),"",IF($C172=0,"Nimi",IF($C172&gt;Data!$CP$2,"",OFFSET(tulossiirtymä,MATCH($D172,Data!$AN$2:$AN$313,0),Tulokset!F$2)))))</f>
        <v>Miika Nordblad</v>
      </c>
      <c r="G172" s="78">
        <f ca="1">IF($B172&gt;keilatut,"",IF($C172=(-1),"",IF($C172=0,"Sarja 1",IF($C172&gt;Data!$CP$2,"",OFFSET(tulossiirtymä,MATCH($D172,Data!$AN$2:$AN$313,0),Tulokset!G$2)))))</f>
        <v>148</v>
      </c>
      <c r="H172" s="78">
        <f ca="1">IF($B172&gt;keilatut,"",IF($C172=(-1),"",IF($C172=0,"Sarja 2",IF($C172&gt;Data!$CP$2,"",OFFSET(tulossiirtymä,MATCH($D172,Data!$AN$2:$AN$313,0),Tulokset!H$2)))))</f>
        <v>161</v>
      </c>
      <c r="I172" s="78">
        <f ca="1">IF($B172&gt;keilatut,"",IF($C172=(-1),"",IF($C172=0,"Yhteensä",IF($C172&gt;Data!$CP$2,"",OFFSET(tulossiirtymä,MATCH($D172,Data!$AN$2:$AN$313,0),Tulokset!I$2)))))</f>
        <v>309</v>
      </c>
      <c r="J172" s="78">
        <f ca="1">IF($B172&gt;keilatut,"",IF($C172=(-1),"",IF($C172=0,"Ero voittajaan",IF($C172&gt;Data!$CP$2,"",OFFSET(tulossiirtymä,MATCH($D172,Data!$AN$2:$AN$313,0),Tulokset!J$2)))))</f>
        <v>23</v>
      </c>
      <c r="K172" s="78">
        <f ca="1">IF($B172&gt;keilatut,"",IF($C172=(-1),"",IF($C172=0,"Pisteet",IF($C172&gt;Data!$CP$2,"",OFFSET(tulossiirtymä,MATCH($D172,Data!$AN$2:$AN$313,0),Tulokset!K$2)))))</f>
        <v>8</v>
      </c>
      <c r="L172" s="78">
        <f ca="1">IF($B172&gt;keilatut,"",IF($C172=(-1),"",IF($C172=0,"Pisteet yhteensä",IF($C172&gt;Data!$CP$2,"",OFFSET(tulossiirtymä,MATCH($D172,Data!$AN$2:$AN$313,0),Tulokset!L$2)))))</f>
        <v>50</v>
      </c>
      <c r="M172" s="78" t="str">
        <f ca="1">IF($B172&gt;keilatut,"",IF($C172=(-1),"",IF($C172=0,"Pisteseloste",IF($C172&gt;Data!$CP$2,"",OFFSET(tulossiirtymä,MATCH($D172,Data!$AN$2:$AN$313,0),Tulokset!M$2)))))</f>
        <v>+SP</v>
      </c>
    </row>
    <row r="173" spans="2:13" x14ac:dyDescent="0.25">
      <c r="B173" s="78">
        <f t="shared" si="3"/>
        <v>7</v>
      </c>
      <c r="C173" s="78">
        <f>COUNTIF($B$6:B173,B173)-2</f>
        <v>4</v>
      </c>
      <c r="D173" s="79">
        <f t="array" ref="D173">IF($B173&lt;=keilatut,IF($C173&lt;1,"",IF($C173&gt;Data!$CP$2,"",SMALL(IF(Data!$B$2:$B$313=Tulokset!$B173,Data!$AN$2:$AN$313),Tulokset!$C173))),"")</f>
        <v>4.0001160000000002</v>
      </c>
      <c r="E173" s="78">
        <f>IF($B173&gt;keilatut,"",IF($C173=(-1),"GP"&amp;$B173&amp;", "&amp;DAY(VLOOKUP($B173,kilpailukalenteri,2))&amp;"."&amp;MONTH(VLOOKUP($B173,kilpailukalenteri,2))&amp;"."&amp;YEAR(VLOOKUP($B173,kilpailukalenteri,2))&amp;", "&amp;IF(RIGHT(VLOOKUP($B173,kilpailukalenteri,4),1)="*",LEFT(VLOOKUP($B173,kilpailukalenteri,4),LEN(VLOOKUP($B173,kilpailukalenteri,4))-2)&amp;", Kultainen GP",VLOOKUP($B173,kilpailukalenteri,4)),IF($C173=0,"Sija",IF($C173&gt;Data!$CP$2,"",ROUND(Tulokset!$D173,0)))))</f>
        <v>4</v>
      </c>
      <c r="F173" s="78" t="str">
        <f ca="1">IF($B173&gt;keilatut,"",IF($C173=(-1),"",IF($C173=0,"Nimi",IF($C173&gt;Data!$CP$2,"",OFFSET(tulossiirtymä,MATCH($D173,Data!$AN$2:$AN$313,0),Tulokset!F$2)))))</f>
        <v>Mika Sola</v>
      </c>
      <c r="G173" s="78">
        <f ca="1">IF($B173&gt;keilatut,"",IF($C173=(-1),"",IF($C173=0,"Sarja 1",IF($C173&gt;Data!$CP$2,"",OFFSET(tulossiirtymä,MATCH($D173,Data!$AN$2:$AN$313,0),Tulokset!G$2)))))</f>
        <v>133</v>
      </c>
      <c r="H173" s="78">
        <f ca="1">IF($B173&gt;keilatut,"",IF($C173=(-1),"",IF($C173=0,"Sarja 2",IF($C173&gt;Data!$CP$2,"",OFFSET(tulossiirtymä,MATCH($D173,Data!$AN$2:$AN$313,0),Tulokset!H$2)))))</f>
        <v>162</v>
      </c>
      <c r="I173" s="78">
        <f ca="1">IF($B173&gt;keilatut,"",IF($C173=(-1),"",IF($C173=0,"Yhteensä",IF($C173&gt;Data!$CP$2,"",OFFSET(tulossiirtymä,MATCH($D173,Data!$AN$2:$AN$313,0),Tulokset!I$2)))))</f>
        <v>295</v>
      </c>
      <c r="J173" s="78">
        <f ca="1">IF($B173&gt;keilatut,"",IF($C173=(-1),"",IF($C173=0,"Ero voittajaan",IF($C173&gt;Data!$CP$2,"",OFFSET(tulossiirtymä,MATCH($D173,Data!$AN$2:$AN$313,0),Tulokset!J$2)))))</f>
        <v>37</v>
      </c>
      <c r="K173" s="78">
        <f ca="1">IF($B173&gt;keilatut,"",IF($C173=(-1),"",IF($C173=0,"Pisteet",IF($C173&gt;Data!$CP$2,"",OFFSET(tulossiirtymä,MATCH($D173,Data!$AN$2:$AN$313,0),Tulokset!K$2)))))</f>
        <v>7</v>
      </c>
      <c r="L173" s="78">
        <f ca="1">IF($B173&gt;keilatut,"",IF($C173=(-1),"",IF($C173=0,"Pisteet yhteensä",IF($C173&gt;Data!$CP$2,"",OFFSET(tulossiirtymä,MATCH($D173,Data!$AN$2:$AN$313,0),Tulokset!L$2)))))</f>
        <v>29</v>
      </c>
      <c r="M173" s="78" t="str">
        <f ca="1">IF($B173&gt;keilatut,"",IF($C173=(-1),"",IF($C173=0,"Pisteseloste",IF($C173&gt;Data!$CP$2,"",OFFSET(tulossiirtymä,MATCH($D173,Data!$AN$2:$AN$313,0),Tulokset!M$2)))))</f>
        <v>+SP</v>
      </c>
    </row>
    <row r="174" spans="2:13" x14ac:dyDescent="0.25">
      <c r="B174" s="78">
        <f t="shared" si="3"/>
        <v>7</v>
      </c>
      <c r="C174" s="78">
        <f>COUNTIF($B$6:B174,B174)-2</f>
        <v>5</v>
      </c>
      <c r="D174" s="79">
        <f t="array" ref="D174">IF($B174&lt;=keilatut,IF($C174&lt;1,"",IF($C174&gt;Data!$CP$2,"",SMALL(IF(Data!$B$2:$B$313=Tulokset!$B174,Data!$AN$2:$AN$313),Tulokset!$C174))),"")</f>
        <v>5.0001150000000001</v>
      </c>
      <c r="E174" s="78">
        <f>IF($B174&gt;keilatut,"",IF($C174=(-1),"GP"&amp;$B174&amp;", "&amp;DAY(VLOOKUP($B174,kilpailukalenteri,2))&amp;"."&amp;MONTH(VLOOKUP($B174,kilpailukalenteri,2))&amp;"."&amp;YEAR(VLOOKUP($B174,kilpailukalenteri,2))&amp;", "&amp;IF(RIGHT(VLOOKUP($B174,kilpailukalenteri,4),1)="*",LEFT(VLOOKUP($B174,kilpailukalenteri,4),LEN(VLOOKUP($B174,kilpailukalenteri,4))-2)&amp;", Kultainen GP",VLOOKUP($B174,kilpailukalenteri,4)),IF($C174=0,"Sija",IF($C174&gt;Data!$CP$2,"",ROUND(Tulokset!$D174,0)))))</f>
        <v>5</v>
      </c>
      <c r="F174" s="78" t="str">
        <f ca="1">IF($B174&gt;keilatut,"",IF($C174=(-1),"",IF($C174=0,"Nimi",IF($C174&gt;Data!$CP$2,"",OFFSET(tulossiirtymä,MATCH($D174,Data!$AN$2:$AN$313,0),Tulokset!F$2)))))</f>
        <v>Olli Kajava</v>
      </c>
      <c r="G174" s="78">
        <f ca="1">IF($B174&gt;keilatut,"",IF($C174=(-1),"",IF($C174=0,"Sarja 1",IF($C174&gt;Data!$CP$2,"",OFFSET(tulossiirtymä,MATCH($D174,Data!$AN$2:$AN$313,0),Tulokset!G$2)))))</f>
        <v>163</v>
      </c>
      <c r="H174" s="78">
        <f ca="1">IF($B174&gt;keilatut,"",IF($C174=(-1),"",IF($C174=0,"Sarja 2",IF($C174&gt;Data!$CP$2,"",OFFSET(tulossiirtymä,MATCH($D174,Data!$AN$2:$AN$313,0),Tulokset!H$2)))))</f>
        <v>129</v>
      </c>
      <c r="I174" s="78">
        <f ca="1">IF($B174&gt;keilatut,"",IF($C174=(-1),"",IF($C174=0,"Yhteensä",IF($C174&gt;Data!$CP$2,"",OFFSET(tulossiirtymä,MATCH($D174,Data!$AN$2:$AN$313,0),Tulokset!I$2)))))</f>
        <v>292</v>
      </c>
      <c r="J174" s="78">
        <f ca="1">IF($B174&gt;keilatut,"",IF($C174=(-1),"",IF($C174=0,"Ero voittajaan",IF($C174&gt;Data!$CP$2,"",OFFSET(tulossiirtymä,MATCH($D174,Data!$AN$2:$AN$313,0),Tulokset!J$2)))))</f>
        <v>40</v>
      </c>
      <c r="K174" s="78">
        <f ca="1">IF($B174&gt;keilatut,"",IF($C174=(-1),"",IF($C174=0,"Pisteet",IF($C174&gt;Data!$CP$2,"",OFFSET(tulossiirtymä,MATCH($D174,Data!$AN$2:$AN$313,0),Tulokset!K$2)))))</f>
        <v>6</v>
      </c>
      <c r="L174" s="78">
        <f ca="1">IF($B174&gt;keilatut,"",IF($C174=(-1),"",IF($C174=0,"Pisteet yhteensä",IF($C174&gt;Data!$CP$2,"",OFFSET(tulossiirtymä,MATCH($D174,Data!$AN$2:$AN$313,0),Tulokset!L$2)))))</f>
        <v>19</v>
      </c>
      <c r="M174" s="78" t="str">
        <f ca="1">IF($B174&gt;keilatut,"",IF($C174=(-1),"",IF($C174=0,"Pisteseloste",IF($C174&gt;Data!$CP$2,"",OFFSET(tulossiirtymä,MATCH($D174,Data!$AN$2:$AN$313,0),Tulokset!M$2)))))</f>
        <v>+SP</v>
      </c>
    </row>
    <row r="175" spans="2:13" x14ac:dyDescent="0.25">
      <c r="B175" s="78">
        <f t="shared" si="3"/>
        <v>7</v>
      </c>
      <c r="C175" s="78">
        <f>COUNTIF($B$6:B175,B175)-2</f>
        <v>6</v>
      </c>
      <c r="D175" s="79">
        <f t="array" ref="D175">IF($B175&lt;=keilatut,IF($C175&lt;1,"",IF($C175&gt;Data!$CP$2,"",SMALL(IF(Data!$B$2:$B$313=Tulokset!$B175,Data!$AN$2:$AN$313),Tulokset!$C175))),"")</f>
        <v>6.0001119999999997</v>
      </c>
      <c r="E175" s="78">
        <f>IF($B175&gt;keilatut,"",IF($C175=(-1),"GP"&amp;$B175&amp;", "&amp;DAY(VLOOKUP($B175,kilpailukalenteri,2))&amp;"."&amp;MONTH(VLOOKUP($B175,kilpailukalenteri,2))&amp;"."&amp;YEAR(VLOOKUP($B175,kilpailukalenteri,2))&amp;", "&amp;IF(RIGHT(VLOOKUP($B175,kilpailukalenteri,4),1)="*",LEFT(VLOOKUP($B175,kilpailukalenteri,4),LEN(VLOOKUP($B175,kilpailukalenteri,4))-2)&amp;", Kultainen GP",VLOOKUP($B175,kilpailukalenteri,4)),IF($C175=0,"Sija",IF($C175&gt;Data!$CP$2,"",ROUND(Tulokset!$D175,0)))))</f>
        <v>6</v>
      </c>
      <c r="F175" s="78" t="str">
        <f ca="1">IF($B175&gt;keilatut,"",IF($C175=(-1),"",IF($C175=0,"Nimi",IF($C175&gt;Data!$CP$2,"",OFFSET(tulossiirtymä,MATCH($D175,Data!$AN$2:$AN$313,0),Tulokset!F$2)))))</f>
        <v>Henri Verho</v>
      </c>
      <c r="G175" s="78">
        <f ca="1">IF($B175&gt;keilatut,"",IF($C175=(-1),"",IF($C175=0,"Sarja 1",IF($C175&gt;Data!$CP$2,"",OFFSET(tulossiirtymä,MATCH($D175,Data!$AN$2:$AN$313,0),Tulokset!G$2)))))</f>
        <v>132</v>
      </c>
      <c r="H175" s="78">
        <f ca="1">IF($B175&gt;keilatut,"",IF($C175=(-1),"",IF($C175=0,"Sarja 2",IF($C175&gt;Data!$CP$2,"",OFFSET(tulossiirtymä,MATCH($D175,Data!$AN$2:$AN$313,0),Tulokset!H$2)))))</f>
        <v>156</v>
      </c>
      <c r="I175" s="78">
        <f ca="1">IF($B175&gt;keilatut,"",IF($C175=(-1),"",IF($C175=0,"Yhteensä",IF($C175&gt;Data!$CP$2,"",OFFSET(tulossiirtymä,MATCH($D175,Data!$AN$2:$AN$313,0),Tulokset!I$2)))))</f>
        <v>288</v>
      </c>
      <c r="J175" s="78">
        <f ca="1">IF($B175&gt;keilatut,"",IF($C175=(-1),"",IF($C175=0,"Ero voittajaan",IF($C175&gt;Data!$CP$2,"",OFFSET(tulossiirtymä,MATCH($D175,Data!$AN$2:$AN$313,0),Tulokset!J$2)))))</f>
        <v>44</v>
      </c>
      <c r="K175" s="78">
        <f ca="1">IF($B175&gt;keilatut,"",IF($C175=(-1),"",IF($C175=0,"Pisteet",IF($C175&gt;Data!$CP$2,"",OFFSET(tulossiirtymä,MATCH($D175,Data!$AN$2:$AN$313,0),Tulokset!K$2)))))</f>
        <v>5</v>
      </c>
      <c r="L175" s="78">
        <f ca="1">IF($B175&gt;keilatut,"",IF($C175=(-1),"",IF($C175=0,"Pisteet yhteensä",IF($C175&gt;Data!$CP$2,"",OFFSET(tulossiirtymä,MATCH($D175,Data!$AN$2:$AN$313,0),Tulokset!L$2)))))</f>
        <v>40</v>
      </c>
      <c r="M175" s="78" t="str">
        <f ca="1">IF($B175&gt;keilatut,"",IF($C175=(-1),"",IF($C175=0,"Pisteseloste",IF($C175&gt;Data!$CP$2,"",OFFSET(tulossiirtymä,MATCH($D175,Data!$AN$2:$AN$313,0),Tulokset!M$2)))))</f>
        <v>+SP</v>
      </c>
    </row>
    <row r="176" spans="2:13" x14ac:dyDescent="0.25">
      <c r="B176" s="78">
        <f t="shared" si="3"/>
        <v>7</v>
      </c>
      <c r="C176" s="78">
        <f>COUNTIF($B$6:B176,B176)-2</f>
        <v>7</v>
      </c>
      <c r="D176" s="79">
        <f t="array" ref="D176">IF($B176&lt;=keilatut,IF($C176&lt;1,"",IF($C176&gt;Data!$CP$2,"",SMALL(IF(Data!$B$2:$B$313=Tulokset!$B176,Data!$AN$2:$AN$313),Tulokset!$C176))),"")</f>
        <v>7.0001129999999998</v>
      </c>
      <c r="E176" s="78">
        <f>IF($B176&gt;keilatut,"",IF($C176=(-1),"GP"&amp;$B176&amp;", "&amp;DAY(VLOOKUP($B176,kilpailukalenteri,2))&amp;"."&amp;MONTH(VLOOKUP($B176,kilpailukalenteri,2))&amp;"."&amp;YEAR(VLOOKUP($B176,kilpailukalenteri,2))&amp;", "&amp;IF(RIGHT(VLOOKUP($B176,kilpailukalenteri,4),1)="*",LEFT(VLOOKUP($B176,kilpailukalenteri,4),LEN(VLOOKUP($B176,kilpailukalenteri,4))-2)&amp;", Kultainen GP",VLOOKUP($B176,kilpailukalenteri,4)),IF($C176=0,"Sija",IF($C176&gt;Data!$CP$2,"",ROUND(Tulokset!$D176,0)))))</f>
        <v>7</v>
      </c>
      <c r="F176" s="78" t="str">
        <f ca="1">IF($B176&gt;keilatut,"",IF($C176=(-1),"",IF($C176=0,"Nimi",IF($C176&gt;Data!$CP$2,"",OFFSET(tulossiirtymä,MATCH($D176,Data!$AN$2:$AN$313,0),Tulokset!F$2)))))</f>
        <v>Juho Korpi</v>
      </c>
      <c r="G176" s="78">
        <f ca="1">IF($B176&gt;keilatut,"",IF($C176=(-1),"",IF($C176=0,"Sarja 1",IF($C176&gt;Data!$CP$2,"",OFFSET(tulossiirtymä,MATCH($D176,Data!$AN$2:$AN$313,0),Tulokset!G$2)))))</f>
        <v>128</v>
      </c>
      <c r="H176" s="78">
        <f ca="1">IF($B176&gt;keilatut,"",IF($C176=(-1),"",IF($C176=0,"Sarja 2",IF($C176&gt;Data!$CP$2,"",OFFSET(tulossiirtymä,MATCH($D176,Data!$AN$2:$AN$313,0),Tulokset!H$2)))))</f>
        <v>142</v>
      </c>
      <c r="I176" s="78">
        <f ca="1">IF($B176&gt;keilatut,"",IF($C176=(-1),"",IF($C176=0,"Yhteensä",IF($C176&gt;Data!$CP$2,"",OFFSET(tulossiirtymä,MATCH($D176,Data!$AN$2:$AN$313,0),Tulokset!I$2)))))</f>
        <v>270</v>
      </c>
      <c r="J176" s="78">
        <f ca="1">IF($B176&gt;keilatut,"",IF($C176=(-1),"",IF($C176=0,"Ero voittajaan",IF($C176&gt;Data!$CP$2,"",OFFSET(tulossiirtymä,MATCH($D176,Data!$AN$2:$AN$313,0),Tulokset!J$2)))))</f>
        <v>62</v>
      </c>
      <c r="K176" s="78">
        <f ca="1">IF($B176&gt;keilatut,"",IF($C176=(-1),"",IF($C176=0,"Pisteet",IF($C176&gt;Data!$CP$2,"",OFFSET(tulossiirtymä,MATCH($D176,Data!$AN$2:$AN$313,0),Tulokset!K$2)))))</f>
        <v>4</v>
      </c>
      <c r="L176" s="78">
        <f ca="1">IF($B176&gt;keilatut,"",IF($C176=(-1),"",IF($C176=0,"Pisteet yhteensä",IF($C176&gt;Data!$CP$2,"",OFFSET(tulossiirtymä,MATCH($D176,Data!$AN$2:$AN$313,0),Tulokset!L$2)))))</f>
        <v>19</v>
      </c>
      <c r="M176" s="78" t="str">
        <f ca="1">IF($B176&gt;keilatut,"",IF($C176=(-1),"",IF($C176=0,"Pisteseloste",IF($C176&gt;Data!$CP$2,"",OFFSET(tulossiirtymä,MATCH($D176,Data!$AN$2:$AN$313,0),Tulokset!M$2)))))</f>
        <v>+SP</v>
      </c>
    </row>
    <row r="177" spans="2:13" x14ac:dyDescent="0.25">
      <c r="B177" s="78">
        <f t="shared" si="3"/>
        <v>7</v>
      </c>
      <c r="C177" s="78">
        <f>COUNTIF($B$6:B177,B177)-2</f>
        <v>8</v>
      </c>
      <c r="D177" s="79">
        <f t="array" ref="D177">IF($B177&lt;=keilatut,IF($C177&lt;1,"",IF($C177&gt;Data!$CP$2,"",SMALL(IF(Data!$B$2:$B$313=Tulokset!$B177,Data!$AN$2:$AN$313),Tulokset!$C177))),"")</f>
        <v>8.0001090000000001</v>
      </c>
      <c r="E177" s="78">
        <f>IF($B177&gt;keilatut,"",IF($C177=(-1),"GP"&amp;$B177&amp;", "&amp;DAY(VLOOKUP($B177,kilpailukalenteri,2))&amp;"."&amp;MONTH(VLOOKUP($B177,kilpailukalenteri,2))&amp;"."&amp;YEAR(VLOOKUP($B177,kilpailukalenteri,2))&amp;", "&amp;IF(RIGHT(VLOOKUP($B177,kilpailukalenteri,4),1)="*",LEFT(VLOOKUP($B177,kilpailukalenteri,4),LEN(VLOOKUP($B177,kilpailukalenteri,4))-2)&amp;", Kultainen GP",VLOOKUP($B177,kilpailukalenteri,4)),IF($C177=0,"Sija",IF($C177&gt;Data!$CP$2,"",ROUND(Tulokset!$D177,0)))))</f>
        <v>8</v>
      </c>
      <c r="F177" s="78" t="str">
        <f ca="1">IF($B177&gt;keilatut,"",IF($C177=(-1),"",IF($C177=0,"Nimi",IF($C177&gt;Data!$CP$2,"",OFFSET(tulossiirtymä,MATCH($D177,Data!$AN$2:$AN$313,0),Tulokset!F$2)))))</f>
        <v>Miikka Korventausta</v>
      </c>
      <c r="G177" s="78">
        <f ca="1">IF($B177&gt;keilatut,"",IF($C177=(-1),"",IF($C177=0,"Sarja 1",IF($C177&gt;Data!$CP$2,"",OFFSET(tulossiirtymä,MATCH($D177,Data!$AN$2:$AN$313,0),Tulokset!G$2)))))</f>
        <v>112</v>
      </c>
      <c r="H177" s="78">
        <f ca="1">IF($B177&gt;keilatut,"",IF($C177=(-1),"",IF($C177=0,"Sarja 2",IF($C177&gt;Data!$CP$2,"",OFFSET(tulossiirtymä,MATCH($D177,Data!$AN$2:$AN$313,0),Tulokset!H$2)))))</f>
        <v>153</v>
      </c>
      <c r="I177" s="78">
        <f ca="1">IF($B177&gt;keilatut,"",IF($C177=(-1),"",IF($C177=0,"Yhteensä",IF($C177&gt;Data!$CP$2,"",OFFSET(tulossiirtymä,MATCH($D177,Data!$AN$2:$AN$313,0),Tulokset!I$2)))))</f>
        <v>265</v>
      </c>
      <c r="J177" s="78">
        <f ca="1">IF($B177&gt;keilatut,"",IF($C177=(-1),"",IF($C177=0,"Ero voittajaan",IF($C177&gt;Data!$CP$2,"",OFFSET(tulossiirtymä,MATCH($D177,Data!$AN$2:$AN$313,0),Tulokset!J$2)))))</f>
        <v>67</v>
      </c>
      <c r="K177" s="78">
        <f ca="1">IF($B177&gt;keilatut,"",IF($C177=(-1),"",IF($C177=0,"Pisteet",IF($C177&gt;Data!$CP$2,"",OFFSET(tulossiirtymä,MATCH($D177,Data!$AN$2:$AN$313,0),Tulokset!K$2)))))</f>
        <v>3</v>
      </c>
      <c r="L177" s="78">
        <f ca="1">IF($B177&gt;keilatut,"",IF($C177=(-1),"",IF($C177=0,"Pisteet yhteensä",IF($C177&gt;Data!$CP$2,"",OFFSET(tulossiirtymä,MATCH($D177,Data!$AN$2:$AN$313,0),Tulokset!L$2)))))</f>
        <v>20</v>
      </c>
      <c r="M177" s="78" t="str">
        <f ca="1">IF($B177&gt;keilatut,"",IF($C177=(-1),"",IF($C177=0,"Pisteseloste",IF($C177&gt;Data!$CP$2,"",OFFSET(tulossiirtymä,MATCH($D177,Data!$AN$2:$AN$313,0),Tulokset!M$2)))))</f>
        <v>+SP</v>
      </c>
    </row>
    <row r="178" spans="2:13" x14ac:dyDescent="0.25">
      <c r="B178" s="78">
        <f t="shared" si="3"/>
        <v>7</v>
      </c>
      <c r="C178" s="78">
        <f>COUNTIF($B$6:B178,B178)-2</f>
        <v>9</v>
      </c>
      <c r="D178" s="79">
        <f t="array" ref="D178">IF($B178&lt;=keilatut,IF($C178&lt;1,"",IF($C178&gt;Data!$CP$2,"",SMALL(IF(Data!$B$2:$B$313=Tulokset!$B178,Data!$AN$2:$AN$313),Tulokset!$C178))),"")</f>
        <v>9.0001169999999995</v>
      </c>
      <c r="E178" s="78">
        <f>IF($B178&gt;keilatut,"",IF($C178=(-1),"GP"&amp;$B178&amp;", "&amp;DAY(VLOOKUP($B178,kilpailukalenteri,2))&amp;"."&amp;MONTH(VLOOKUP($B178,kilpailukalenteri,2))&amp;"."&amp;YEAR(VLOOKUP($B178,kilpailukalenteri,2))&amp;", "&amp;IF(RIGHT(VLOOKUP($B178,kilpailukalenteri,4),1)="*",LEFT(VLOOKUP($B178,kilpailukalenteri,4),LEN(VLOOKUP($B178,kilpailukalenteri,4))-2)&amp;", Kultainen GP",VLOOKUP($B178,kilpailukalenteri,4)),IF($C178=0,"Sija",IF($C178&gt;Data!$CP$2,"",ROUND(Tulokset!$D178,0)))))</f>
        <v>9</v>
      </c>
      <c r="F178" s="78" t="str">
        <f ca="1">IF($B178&gt;keilatut,"",IF($C178=(-1),"",IF($C178=0,"Nimi",IF($C178&gt;Data!$CP$2,"",OFFSET(tulossiirtymä,MATCH($D178,Data!$AN$2:$AN$313,0),Tulokset!F$2)))))</f>
        <v>Niko Reunanen</v>
      </c>
      <c r="G178" s="78">
        <f ca="1">IF($B178&gt;keilatut,"",IF($C178=(-1),"",IF($C178=0,"Sarja 1",IF($C178&gt;Data!$CP$2,"",OFFSET(tulossiirtymä,MATCH($D178,Data!$AN$2:$AN$313,0),Tulokset!G$2)))))</f>
        <v>155</v>
      </c>
      <c r="H178" s="78">
        <f ca="1">IF($B178&gt;keilatut,"",IF($C178=(-1),"",IF($C178=0,"Sarja 2",IF($C178&gt;Data!$CP$2,"",OFFSET(tulossiirtymä,MATCH($D178,Data!$AN$2:$AN$313,0),Tulokset!H$2)))))</f>
        <v>106</v>
      </c>
      <c r="I178" s="78">
        <f ca="1">IF($B178&gt;keilatut,"",IF($C178=(-1),"",IF($C178=0,"Yhteensä",IF($C178&gt;Data!$CP$2,"",OFFSET(tulossiirtymä,MATCH($D178,Data!$AN$2:$AN$313,0),Tulokset!I$2)))))</f>
        <v>261</v>
      </c>
      <c r="J178" s="78">
        <f ca="1">IF($B178&gt;keilatut,"",IF($C178=(-1),"",IF($C178=0,"Ero voittajaan",IF($C178&gt;Data!$CP$2,"",OFFSET(tulossiirtymä,MATCH($D178,Data!$AN$2:$AN$313,0),Tulokset!J$2)))))</f>
        <v>71</v>
      </c>
      <c r="K178" s="78">
        <f ca="1">IF($B178&gt;keilatut,"",IF($C178=(-1),"",IF($C178=0,"Pisteet",IF($C178&gt;Data!$CP$2,"",OFFSET(tulossiirtymä,MATCH($D178,Data!$AN$2:$AN$313,0),Tulokset!K$2)))))</f>
        <v>2</v>
      </c>
      <c r="L178" s="78">
        <f ca="1">IF($B178&gt;keilatut,"",IF($C178=(-1),"",IF($C178=0,"Pisteet yhteensä",IF($C178&gt;Data!$CP$2,"",OFFSET(tulossiirtymä,MATCH($D178,Data!$AN$2:$AN$313,0),Tulokset!L$2)))))</f>
        <v>26</v>
      </c>
      <c r="M178" s="78" t="str">
        <f ca="1">IF($B178&gt;keilatut,"",IF($C178=(-1),"",IF($C178=0,"Pisteseloste",IF($C178&gt;Data!$CP$2,"",OFFSET(tulossiirtymä,MATCH($D178,Data!$AN$2:$AN$313,0),Tulokset!M$2)))))</f>
        <v>+SP</v>
      </c>
    </row>
    <row r="179" spans="2:13" x14ac:dyDescent="0.25">
      <c r="B179" s="78">
        <f t="shared" si="3"/>
        <v>7</v>
      </c>
      <c r="C179" s="78">
        <f>COUNTIF($B$6:B179,B179)-2</f>
        <v>10</v>
      </c>
      <c r="D179" s="79">
        <f t="array" ref="D179">IF($B179&lt;=keilatut,IF($C179&lt;1,"",IF($C179&gt;Data!$CP$2,"",SMALL(IF(Data!$B$2:$B$313=Tulokset!$B179,Data!$AN$2:$AN$313),Tulokset!$C179))),"")</f>
        <v>10.000119</v>
      </c>
      <c r="E179" s="78">
        <f>IF($B179&gt;keilatut,"",IF($C179=(-1),"GP"&amp;$B179&amp;", "&amp;DAY(VLOOKUP($B179,kilpailukalenteri,2))&amp;"."&amp;MONTH(VLOOKUP($B179,kilpailukalenteri,2))&amp;"."&amp;YEAR(VLOOKUP($B179,kilpailukalenteri,2))&amp;", "&amp;IF(RIGHT(VLOOKUP($B179,kilpailukalenteri,4),1)="*",LEFT(VLOOKUP($B179,kilpailukalenteri,4),LEN(VLOOKUP($B179,kilpailukalenteri,4))-2)&amp;", Kultainen GP",VLOOKUP($B179,kilpailukalenteri,4)),IF($C179=0,"Sija",IF($C179&gt;Data!$CP$2,"",ROUND(Tulokset!$D179,0)))))</f>
        <v>10</v>
      </c>
      <c r="F179" s="78" t="str">
        <f ca="1">IF($B179&gt;keilatut,"",IF($C179=(-1),"",IF($C179=0,"Nimi",IF($C179&gt;Data!$CP$2,"",OFFSET(tulossiirtymä,MATCH($D179,Data!$AN$2:$AN$313,0),Tulokset!F$2)))))</f>
        <v>Ossi Oksa</v>
      </c>
      <c r="G179" s="78">
        <f ca="1">IF($B179&gt;keilatut,"",IF($C179=(-1),"",IF($C179=0,"Sarja 1",IF($C179&gt;Data!$CP$2,"",OFFSET(tulossiirtymä,MATCH($D179,Data!$AN$2:$AN$313,0),Tulokset!G$2)))))</f>
        <v>87</v>
      </c>
      <c r="H179" s="78">
        <f ca="1">IF($B179&gt;keilatut,"",IF($C179=(-1),"",IF($C179=0,"Sarja 2",IF($C179&gt;Data!$CP$2,"",OFFSET(tulossiirtymä,MATCH($D179,Data!$AN$2:$AN$313,0),Tulokset!H$2)))))</f>
        <v>160</v>
      </c>
      <c r="I179" s="78">
        <f ca="1">IF($B179&gt;keilatut,"",IF($C179=(-1),"",IF($C179=0,"Yhteensä",IF($C179&gt;Data!$CP$2,"",OFFSET(tulossiirtymä,MATCH($D179,Data!$AN$2:$AN$313,0),Tulokset!I$2)))))</f>
        <v>247</v>
      </c>
      <c r="J179" s="78">
        <f ca="1">IF($B179&gt;keilatut,"",IF($C179=(-1),"",IF($C179=0,"Ero voittajaan",IF($C179&gt;Data!$CP$2,"",OFFSET(tulossiirtymä,MATCH($D179,Data!$AN$2:$AN$313,0),Tulokset!J$2)))))</f>
        <v>85</v>
      </c>
      <c r="K179" s="78">
        <f ca="1">IF($B179&gt;keilatut,"",IF($C179=(-1),"",IF($C179=0,"Pisteet",IF($C179&gt;Data!$CP$2,"",OFFSET(tulossiirtymä,MATCH($D179,Data!$AN$2:$AN$313,0),Tulokset!K$2)))))</f>
        <v>1</v>
      </c>
      <c r="L179" s="78">
        <f ca="1">IF($B179&gt;keilatut,"",IF($C179=(-1),"",IF($C179=0,"Pisteet yhteensä",IF($C179&gt;Data!$CP$2,"",OFFSET(tulossiirtymä,MATCH($D179,Data!$AN$2:$AN$313,0),Tulokset!L$2)))))</f>
        <v>35.5</v>
      </c>
      <c r="M179" s="78" t="str">
        <f ca="1">IF($B179&gt;keilatut,"",IF($C179=(-1),"",IF($C179=0,"Pisteseloste",IF($C179&gt;Data!$CP$2,"",OFFSET(tulossiirtymä,MATCH($D179,Data!$AN$2:$AN$313,0),Tulokset!M$2)))))</f>
        <v>+SP</v>
      </c>
    </row>
    <row r="180" spans="2:13" x14ac:dyDescent="0.25">
      <c r="B180" s="78">
        <f t="shared" si="3"/>
        <v>7</v>
      </c>
      <c r="C180" s="78">
        <f>COUNTIF($B$6:B180,B180)-2</f>
        <v>11</v>
      </c>
      <c r="D180" s="79">
        <f t="array" ref="D180">IF($B180&lt;=keilatut,IF($C180&lt;1,"",IF($C180&gt;Data!$CP$2,"",SMALL(IF(Data!$B$2:$B$313=Tulokset!$B180,Data!$AN$2:$AN$313),Tulokset!$C180))),"")</f>
        <v>11.000109999999999</v>
      </c>
      <c r="E180" s="78">
        <f>IF($B180&gt;keilatut,"",IF($C180=(-1),"GP"&amp;$B180&amp;", "&amp;DAY(VLOOKUP($B180,kilpailukalenteri,2))&amp;"."&amp;MONTH(VLOOKUP($B180,kilpailukalenteri,2))&amp;"."&amp;YEAR(VLOOKUP($B180,kilpailukalenteri,2))&amp;", "&amp;IF(RIGHT(VLOOKUP($B180,kilpailukalenteri,4),1)="*",LEFT(VLOOKUP($B180,kilpailukalenteri,4),LEN(VLOOKUP($B180,kilpailukalenteri,4))-2)&amp;", Kultainen GP",VLOOKUP($B180,kilpailukalenteri,4)),IF($C180=0,"Sija",IF($C180&gt;Data!$CP$2,"",ROUND(Tulokset!$D180,0)))))</f>
        <v>11</v>
      </c>
      <c r="F180" s="78" t="str">
        <f ca="1">IF($B180&gt;keilatut,"",IF($C180=(-1),"",IF($C180=0,"Nimi",IF($C180&gt;Data!$CP$2,"",OFFSET(tulossiirtymä,MATCH($D180,Data!$AN$2:$AN$313,0),Tulokset!F$2)))))</f>
        <v>Joonas Ollonqvist</v>
      </c>
      <c r="G180" s="78">
        <f ca="1">IF($B180&gt;keilatut,"",IF($C180=(-1),"",IF($C180=0,"Sarja 1",IF($C180&gt;Data!$CP$2,"",OFFSET(tulossiirtymä,MATCH($D180,Data!$AN$2:$AN$313,0),Tulokset!G$2)))))</f>
        <v>105</v>
      </c>
      <c r="H180" s="78">
        <f ca="1">IF($B180&gt;keilatut,"",IF($C180=(-1),"",IF($C180=0,"Sarja 2",IF($C180&gt;Data!$CP$2,"",OFFSET(tulossiirtymä,MATCH($D180,Data!$AN$2:$AN$313,0),Tulokset!H$2)))))</f>
        <v>128</v>
      </c>
      <c r="I180" s="78">
        <f ca="1">IF($B180&gt;keilatut,"",IF($C180=(-1),"",IF($C180=0,"Yhteensä",IF($C180&gt;Data!$CP$2,"",OFFSET(tulossiirtymä,MATCH($D180,Data!$AN$2:$AN$313,0),Tulokset!I$2)))))</f>
        <v>233</v>
      </c>
      <c r="J180" s="78">
        <f ca="1">IF($B180&gt;keilatut,"",IF($C180=(-1),"",IF($C180=0,"Ero voittajaan",IF($C180&gt;Data!$CP$2,"",OFFSET(tulossiirtymä,MATCH($D180,Data!$AN$2:$AN$313,0),Tulokset!J$2)))))</f>
        <v>99</v>
      </c>
      <c r="K180" s="78">
        <f ca="1">IF($B180&gt;keilatut,"",IF($C180=(-1),"",IF($C180=0,"Pisteet",IF($C180&gt;Data!$CP$2,"",OFFSET(tulossiirtymä,MATCH($D180,Data!$AN$2:$AN$313,0),Tulokset!K$2)))))</f>
        <v>0</v>
      </c>
      <c r="L180" s="78">
        <f ca="1">IF($B180&gt;keilatut,"",IF($C180=(-1),"",IF($C180=0,"Pisteet yhteensä",IF($C180&gt;Data!$CP$2,"",OFFSET(tulossiirtymä,MATCH($D180,Data!$AN$2:$AN$313,0),Tulokset!L$2)))))</f>
        <v>1</v>
      </c>
      <c r="M180" s="78" t="str">
        <f ca="1">IF($B180&gt;keilatut,"",IF($C180=(-1),"",IF($C180=0,"Pisteseloste",IF($C180&gt;Data!$CP$2,"",OFFSET(tulossiirtymä,MATCH($D180,Data!$AN$2:$AN$313,0),Tulokset!M$2)))))</f>
        <v/>
      </c>
    </row>
    <row r="181" spans="2:13" x14ac:dyDescent="0.25">
      <c r="B181" s="78">
        <f t="shared" si="3"/>
        <v>7</v>
      </c>
      <c r="C181" s="78">
        <f>COUNTIF($B$6:B181,B181)-2</f>
        <v>12</v>
      </c>
      <c r="D181" s="79">
        <f t="array" ref="D181">IF($B181&lt;=keilatut,IF($C181&lt;1,"",IF($C181&gt;Data!$CP$2,"",SMALL(IF(Data!$B$2:$B$313=Tulokset!$B181,Data!$AN$2:$AN$313),Tulokset!$C181))),"")</f>
        <v>12.000120000000001</v>
      </c>
      <c r="E181" s="78">
        <f>IF($B181&gt;keilatut,"",IF($C181=(-1),"GP"&amp;$B181&amp;", "&amp;DAY(VLOOKUP($B181,kilpailukalenteri,2))&amp;"."&amp;MONTH(VLOOKUP($B181,kilpailukalenteri,2))&amp;"."&amp;YEAR(VLOOKUP($B181,kilpailukalenteri,2))&amp;", "&amp;IF(RIGHT(VLOOKUP($B181,kilpailukalenteri,4),1)="*",LEFT(VLOOKUP($B181,kilpailukalenteri,4),LEN(VLOOKUP($B181,kilpailukalenteri,4))-2)&amp;", Kultainen GP",VLOOKUP($B181,kilpailukalenteri,4)),IF($C181=0,"Sija",IF($C181&gt;Data!$CP$2,"",ROUND(Tulokset!$D181,0)))))</f>
        <v>12</v>
      </c>
      <c r="F181" s="78" t="str">
        <f ca="1">IF($B181&gt;keilatut,"",IF($C181=(-1),"",IF($C181=0,"Nimi",IF($C181&gt;Data!$CP$2,"",OFFSET(tulossiirtymä,MATCH($D181,Data!$AN$2:$AN$313,0),Tulokset!F$2)))))</f>
        <v>Iiro Riikonen</v>
      </c>
      <c r="G181" s="78">
        <f ca="1">IF($B181&gt;keilatut,"",IF($C181=(-1),"",IF($C181=0,"Sarja 1",IF($C181&gt;Data!$CP$2,"",OFFSET(tulossiirtymä,MATCH($D181,Data!$AN$2:$AN$313,0),Tulokset!G$2)))))</f>
        <v>0</v>
      </c>
      <c r="H181" s="78">
        <f ca="1">IF($B181&gt;keilatut,"",IF($C181=(-1),"",IF($C181=0,"Sarja 2",IF($C181&gt;Data!$CP$2,"",OFFSET(tulossiirtymä,MATCH($D181,Data!$AN$2:$AN$313,0),Tulokset!H$2)))))</f>
        <v>0</v>
      </c>
      <c r="I181" s="78">
        <f ca="1">IF($B181&gt;keilatut,"",IF($C181=(-1),"",IF($C181=0,"Yhteensä",IF($C181&gt;Data!$CP$2,"",OFFSET(tulossiirtymä,MATCH($D181,Data!$AN$2:$AN$313,0),Tulokset!I$2)))))</f>
        <v>0</v>
      </c>
      <c r="J181" s="78" t="str">
        <f ca="1">IF($B181&gt;keilatut,"",IF($C181=(-1),"",IF($C181=0,"Ero voittajaan",IF($C181&gt;Data!$CP$2,"",OFFSET(tulossiirtymä,MATCH($D181,Data!$AN$2:$AN$313,0),Tulokset!J$2)))))</f>
        <v/>
      </c>
      <c r="K181" s="78">
        <f ca="1">IF($B181&gt;keilatut,"",IF($C181=(-1),"",IF($C181=0,"Pisteet",IF($C181&gt;Data!$CP$2,"",OFFSET(tulossiirtymä,MATCH($D181,Data!$AN$2:$AN$313,0),Tulokset!K$2)))))</f>
        <v>0</v>
      </c>
      <c r="L181" s="78">
        <f ca="1">IF($B181&gt;keilatut,"",IF($C181=(-1),"",IF($C181=0,"Pisteet yhteensä",IF($C181&gt;Data!$CP$2,"",OFFSET(tulossiirtymä,MATCH($D181,Data!$AN$2:$AN$313,0),Tulokset!L$2)))))</f>
        <v>14</v>
      </c>
      <c r="M181" s="78" t="str">
        <f ca="1">IF($B181&gt;keilatut,"",IF($C181=(-1),"",IF($C181=0,"Pisteseloste",IF($C181&gt;Data!$CP$2,"",OFFSET(tulossiirtymä,MATCH($D181,Data!$AN$2:$AN$313,0),Tulokset!M$2)))))</f>
        <v/>
      </c>
    </row>
    <row r="182" spans="2:13" x14ac:dyDescent="0.25">
      <c r="B182" s="78">
        <f t="shared" si="3"/>
        <v>7</v>
      </c>
      <c r="C182" s="78">
        <f>COUNTIF($B$6:B182,B182)-2</f>
        <v>13</v>
      </c>
      <c r="D182" s="79">
        <f t="array" ref="D182">IF($B182&lt;=keilatut,IF($C182&lt;1,"",IF($C182&gt;Data!$CP$2,"",SMALL(IF(Data!$B$2:$B$313=Tulokset!$B182,Data!$AN$2:$AN$313),Tulokset!$C182))),"")</f>
        <v>12.000121</v>
      </c>
      <c r="E182" s="78">
        <f>IF($B182&gt;keilatut,"",IF($C182=(-1),"GP"&amp;$B182&amp;", "&amp;DAY(VLOOKUP($B182,kilpailukalenteri,2))&amp;"."&amp;MONTH(VLOOKUP($B182,kilpailukalenteri,2))&amp;"."&amp;YEAR(VLOOKUP($B182,kilpailukalenteri,2))&amp;", "&amp;IF(RIGHT(VLOOKUP($B182,kilpailukalenteri,4),1)="*",LEFT(VLOOKUP($B182,kilpailukalenteri,4),LEN(VLOOKUP($B182,kilpailukalenteri,4))-2)&amp;", Kultainen GP",VLOOKUP($B182,kilpailukalenteri,4)),IF($C182=0,"Sija",IF($C182&gt;Data!$CP$2,"",ROUND(Tulokset!$D182,0)))))</f>
        <v>12</v>
      </c>
      <c r="F182" s="78" t="str">
        <f ca="1">IF($B182&gt;keilatut,"",IF($C182=(-1),"",IF($C182=0,"Nimi",IF($C182&gt;Data!$CP$2,"",OFFSET(tulossiirtymä,MATCH($D182,Data!$AN$2:$AN$313,0),Tulokset!F$2)))))</f>
        <v>Frans Hartman</v>
      </c>
      <c r="G182" s="78">
        <f ca="1">IF($B182&gt;keilatut,"",IF($C182=(-1),"",IF($C182=0,"Sarja 1",IF($C182&gt;Data!$CP$2,"",OFFSET(tulossiirtymä,MATCH($D182,Data!$AN$2:$AN$313,0),Tulokset!G$2)))))</f>
        <v>0</v>
      </c>
      <c r="H182" s="78">
        <f ca="1">IF($B182&gt;keilatut,"",IF($C182=(-1),"",IF($C182=0,"Sarja 2",IF($C182&gt;Data!$CP$2,"",OFFSET(tulossiirtymä,MATCH($D182,Data!$AN$2:$AN$313,0),Tulokset!H$2)))))</f>
        <v>0</v>
      </c>
      <c r="I182" s="78">
        <f ca="1">IF($B182&gt;keilatut,"",IF($C182=(-1),"",IF($C182=0,"Yhteensä",IF($C182&gt;Data!$CP$2,"",OFFSET(tulossiirtymä,MATCH($D182,Data!$AN$2:$AN$313,0),Tulokset!I$2)))))</f>
        <v>0</v>
      </c>
      <c r="J182" s="78" t="str">
        <f ca="1">IF($B182&gt;keilatut,"",IF($C182=(-1),"",IF($C182=0,"Ero voittajaan",IF($C182&gt;Data!$CP$2,"",OFFSET(tulossiirtymä,MATCH($D182,Data!$AN$2:$AN$313,0),Tulokset!J$2)))))</f>
        <v/>
      </c>
      <c r="K182" s="78">
        <f ca="1">IF($B182&gt;keilatut,"",IF($C182=(-1),"",IF($C182=0,"Pisteet",IF($C182&gt;Data!$CP$2,"",OFFSET(tulossiirtymä,MATCH($D182,Data!$AN$2:$AN$313,0),Tulokset!K$2)))))</f>
        <v>0</v>
      </c>
      <c r="L182" s="78">
        <f ca="1">IF($B182&gt;keilatut,"",IF($C182=(-1),"",IF($C182=0,"Pisteet yhteensä",IF($C182&gt;Data!$CP$2,"",OFFSET(tulossiirtymä,MATCH($D182,Data!$AN$2:$AN$313,0),Tulokset!L$2)))))</f>
        <v>32.5</v>
      </c>
      <c r="M182" s="78" t="str">
        <f ca="1">IF($B182&gt;keilatut,"",IF($C182=(-1),"",IF($C182=0,"Pisteseloste",IF($C182&gt;Data!$CP$2,"",OFFSET(tulossiirtymä,MATCH($D182,Data!$AN$2:$AN$313,0),Tulokset!M$2)))))</f>
        <v/>
      </c>
    </row>
    <row r="183" spans="2:13" x14ac:dyDescent="0.25">
      <c r="B183" s="78">
        <f t="shared" si="3"/>
        <v>7</v>
      </c>
      <c r="C183" s="78">
        <f>COUNTIF($B$6:B183,B183)-2</f>
        <v>14</v>
      </c>
      <c r="D183" s="79">
        <f t="array" ref="D183">IF($B183&lt;=keilatut,IF($C183&lt;1,"",IF($C183&gt;Data!$CP$2,"",SMALL(IF(Data!$B$2:$B$313=Tulokset!$B183,Data!$AN$2:$AN$313),Tulokset!$C183))),"")</f>
        <v>12.000121999999999</v>
      </c>
      <c r="E183" s="78">
        <f>IF($B183&gt;keilatut,"",IF($C183=(-1),"GP"&amp;$B183&amp;", "&amp;DAY(VLOOKUP($B183,kilpailukalenteri,2))&amp;"."&amp;MONTH(VLOOKUP($B183,kilpailukalenteri,2))&amp;"."&amp;YEAR(VLOOKUP($B183,kilpailukalenteri,2))&amp;", "&amp;IF(RIGHT(VLOOKUP($B183,kilpailukalenteri,4),1)="*",LEFT(VLOOKUP($B183,kilpailukalenteri,4),LEN(VLOOKUP($B183,kilpailukalenteri,4))-2)&amp;", Kultainen GP",VLOOKUP($B183,kilpailukalenteri,4)),IF($C183=0,"Sija",IF($C183&gt;Data!$CP$2,"",ROUND(Tulokset!$D183,0)))))</f>
        <v>12</v>
      </c>
      <c r="F183" s="78" t="str">
        <f ca="1">IF($B183&gt;keilatut,"",IF($C183=(-1),"",IF($C183=0,"Nimi",IF($C183&gt;Data!$CP$2,"",OFFSET(tulossiirtymä,MATCH($D183,Data!$AN$2:$AN$313,0),Tulokset!F$2)))))</f>
        <v>Kaleva Latvala</v>
      </c>
      <c r="G183" s="78">
        <f ca="1">IF($B183&gt;keilatut,"",IF($C183=(-1),"",IF($C183=0,"Sarja 1",IF($C183&gt;Data!$CP$2,"",OFFSET(tulossiirtymä,MATCH($D183,Data!$AN$2:$AN$313,0),Tulokset!G$2)))))</f>
        <v>0</v>
      </c>
      <c r="H183" s="78">
        <f ca="1">IF($B183&gt;keilatut,"",IF($C183=(-1),"",IF($C183=0,"Sarja 2",IF($C183&gt;Data!$CP$2,"",OFFSET(tulossiirtymä,MATCH($D183,Data!$AN$2:$AN$313,0),Tulokset!H$2)))))</f>
        <v>0</v>
      </c>
      <c r="I183" s="78">
        <f ca="1">IF($B183&gt;keilatut,"",IF($C183=(-1),"",IF($C183=0,"Yhteensä",IF($C183&gt;Data!$CP$2,"",OFFSET(tulossiirtymä,MATCH($D183,Data!$AN$2:$AN$313,0),Tulokset!I$2)))))</f>
        <v>0</v>
      </c>
      <c r="J183" s="78" t="str">
        <f ca="1">IF($B183&gt;keilatut,"",IF($C183=(-1),"",IF($C183=0,"Ero voittajaan",IF($C183&gt;Data!$CP$2,"",OFFSET(tulossiirtymä,MATCH($D183,Data!$AN$2:$AN$313,0),Tulokset!J$2)))))</f>
        <v/>
      </c>
      <c r="K183" s="78">
        <f ca="1">IF($B183&gt;keilatut,"",IF($C183=(-1),"",IF($C183=0,"Pisteet",IF($C183&gt;Data!$CP$2,"",OFFSET(tulossiirtymä,MATCH($D183,Data!$AN$2:$AN$313,0),Tulokset!K$2)))))</f>
        <v>0</v>
      </c>
      <c r="L183" s="78">
        <f ca="1">IF($B183&gt;keilatut,"",IF($C183=(-1),"",IF($C183=0,"Pisteet yhteensä",IF($C183&gt;Data!$CP$2,"",OFFSET(tulossiirtymä,MATCH($D183,Data!$AN$2:$AN$313,0),Tulokset!L$2)))))</f>
        <v>20</v>
      </c>
      <c r="M183" s="78" t="str">
        <f ca="1">IF($B183&gt;keilatut,"",IF($C183=(-1),"",IF($C183=0,"Pisteseloste",IF($C183&gt;Data!$CP$2,"",OFFSET(tulossiirtymä,MATCH($D183,Data!$AN$2:$AN$313,0),Tulokset!M$2)))))</f>
        <v/>
      </c>
    </row>
    <row r="184" spans="2:13" x14ac:dyDescent="0.25">
      <c r="B184" s="78">
        <f t="shared" si="3"/>
        <v>7</v>
      </c>
      <c r="C184" s="78">
        <f>COUNTIF($B$6:B184,B184)-2</f>
        <v>15</v>
      </c>
      <c r="D184" s="79">
        <f t="array" ref="D184">IF($B184&lt;=keilatut,IF($C184&lt;1,"",IF($C184&gt;Data!$CP$2,"",SMALL(IF(Data!$B$2:$B$313=Tulokset!$B184,Data!$AN$2:$AN$313),Tulokset!$C184))),"")</f>
        <v>12.000123</v>
      </c>
      <c r="E184" s="78">
        <f>IF($B184&gt;keilatut,"",IF($C184=(-1),"GP"&amp;$B184&amp;", "&amp;DAY(VLOOKUP($B184,kilpailukalenteri,2))&amp;"."&amp;MONTH(VLOOKUP($B184,kilpailukalenteri,2))&amp;"."&amp;YEAR(VLOOKUP($B184,kilpailukalenteri,2))&amp;", "&amp;IF(RIGHT(VLOOKUP($B184,kilpailukalenteri,4),1)="*",LEFT(VLOOKUP($B184,kilpailukalenteri,4),LEN(VLOOKUP($B184,kilpailukalenteri,4))-2)&amp;", Kultainen GP",VLOOKUP($B184,kilpailukalenteri,4)),IF($C184=0,"Sija",IF($C184&gt;Data!$CP$2,"",ROUND(Tulokset!$D184,0)))))</f>
        <v>12</v>
      </c>
      <c r="F184" s="78" t="str">
        <f ca="1">IF($B184&gt;keilatut,"",IF($C184=(-1),"",IF($C184=0,"Nimi",IF($C184&gt;Data!$CP$2,"",OFFSET(tulossiirtymä,MATCH($D184,Data!$AN$2:$AN$313,0),Tulokset!F$2)))))</f>
        <v>Mikko Mansikkamäki</v>
      </c>
      <c r="G184" s="78">
        <f ca="1">IF($B184&gt;keilatut,"",IF($C184=(-1),"",IF($C184=0,"Sarja 1",IF($C184&gt;Data!$CP$2,"",OFFSET(tulossiirtymä,MATCH($D184,Data!$AN$2:$AN$313,0),Tulokset!G$2)))))</f>
        <v>0</v>
      </c>
      <c r="H184" s="78">
        <f ca="1">IF($B184&gt;keilatut,"",IF($C184=(-1),"",IF($C184=0,"Sarja 2",IF($C184&gt;Data!$CP$2,"",OFFSET(tulossiirtymä,MATCH($D184,Data!$AN$2:$AN$313,0),Tulokset!H$2)))))</f>
        <v>0</v>
      </c>
      <c r="I184" s="78">
        <f ca="1">IF($B184&gt;keilatut,"",IF($C184=(-1),"",IF($C184=0,"Yhteensä",IF($C184&gt;Data!$CP$2,"",OFFSET(tulossiirtymä,MATCH($D184,Data!$AN$2:$AN$313,0),Tulokset!I$2)))))</f>
        <v>0</v>
      </c>
      <c r="J184" s="78" t="str">
        <f ca="1">IF($B184&gt;keilatut,"",IF($C184=(-1),"",IF($C184=0,"Ero voittajaan",IF($C184&gt;Data!$CP$2,"",OFFSET(tulossiirtymä,MATCH($D184,Data!$AN$2:$AN$313,0),Tulokset!J$2)))))</f>
        <v/>
      </c>
      <c r="K184" s="78">
        <f ca="1">IF($B184&gt;keilatut,"",IF($C184=(-1),"",IF($C184=0,"Pisteet",IF($C184&gt;Data!$CP$2,"",OFFSET(tulossiirtymä,MATCH($D184,Data!$AN$2:$AN$313,0),Tulokset!K$2)))))</f>
        <v>0</v>
      </c>
      <c r="L184" s="78">
        <f ca="1">IF($B184&gt;keilatut,"",IF($C184=(-1),"",IF($C184=0,"Pisteet yhteensä",IF($C184&gt;Data!$CP$2,"",OFFSET(tulossiirtymä,MATCH($D184,Data!$AN$2:$AN$313,0),Tulokset!L$2)))))</f>
        <v>-1</v>
      </c>
      <c r="M184" s="78" t="str">
        <f ca="1">IF($B184&gt;keilatut,"",IF($C184=(-1),"",IF($C184=0,"Pisteseloste",IF($C184&gt;Data!$CP$2,"",OFFSET(tulossiirtymä,MATCH($D184,Data!$AN$2:$AN$313,0),Tulokset!M$2)))))</f>
        <v/>
      </c>
    </row>
    <row r="185" spans="2:13" x14ac:dyDescent="0.25">
      <c r="B185" s="78">
        <f t="shared" si="3"/>
        <v>7</v>
      </c>
      <c r="C185" s="78">
        <f>COUNTIF($B$6:B185,B185)-2</f>
        <v>16</v>
      </c>
      <c r="D185" s="79">
        <f t="array" ref="D185">IF($B185&lt;=keilatut,IF($C185&lt;1,"",IF($C185&gt;Data!$CP$2,"",SMALL(IF(Data!$B$2:$B$313=Tulokset!$B185,Data!$AN$2:$AN$313),Tulokset!$C185))),"")</f>
        <v>12.000124</v>
      </c>
      <c r="E185" s="78">
        <f>IF($B185&gt;keilatut,"",IF($C185=(-1),"GP"&amp;$B185&amp;", "&amp;DAY(VLOOKUP($B185,kilpailukalenteri,2))&amp;"."&amp;MONTH(VLOOKUP($B185,kilpailukalenteri,2))&amp;"."&amp;YEAR(VLOOKUP($B185,kilpailukalenteri,2))&amp;", "&amp;IF(RIGHT(VLOOKUP($B185,kilpailukalenteri,4),1)="*",LEFT(VLOOKUP($B185,kilpailukalenteri,4),LEN(VLOOKUP($B185,kilpailukalenteri,4))-2)&amp;", Kultainen GP",VLOOKUP($B185,kilpailukalenteri,4)),IF($C185=0,"Sija",IF($C185&gt;Data!$CP$2,"",ROUND(Tulokset!$D185,0)))))</f>
        <v>12</v>
      </c>
      <c r="F185" s="78" t="str">
        <f ca="1">IF($B185&gt;keilatut,"",IF($C185=(-1),"",IF($C185=0,"Nimi",IF($C185&gt;Data!$CP$2,"",OFFSET(tulossiirtymä,MATCH($D185,Data!$AN$2:$AN$313,0),Tulokset!F$2)))))</f>
        <v>Sakari Leinonen</v>
      </c>
      <c r="G185" s="78">
        <f ca="1">IF($B185&gt;keilatut,"",IF($C185=(-1),"",IF($C185=0,"Sarja 1",IF($C185&gt;Data!$CP$2,"",OFFSET(tulossiirtymä,MATCH($D185,Data!$AN$2:$AN$313,0),Tulokset!G$2)))))</f>
        <v>0</v>
      </c>
      <c r="H185" s="78">
        <f ca="1">IF($B185&gt;keilatut,"",IF($C185=(-1),"",IF($C185=0,"Sarja 2",IF($C185&gt;Data!$CP$2,"",OFFSET(tulossiirtymä,MATCH($D185,Data!$AN$2:$AN$313,0),Tulokset!H$2)))))</f>
        <v>0</v>
      </c>
      <c r="I185" s="78">
        <f ca="1">IF($B185&gt;keilatut,"",IF($C185=(-1),"",IF($C185=0,"Yhteensä",IF($C185&gt;Data!$CP$2,"",OFFSET(tulossiirtymä,MATCH($D185,Data!$AN$2:$AN$313,0),Tulokset!I$2)))))</f>
        <v>0</v>
      </c>
      <c r="J185" s="78" t="str">
        <f ca="1">IF($B185&gt;keilatut,"",IF($C185=(-1),"",IF($C185=0,"Ero voittajaan",IF($C185&gt;Data!$CP$2,"",OFFSET(tulossiirtymä,MATCH($D185,Data!$AN$2:$AN$313,0),Tulokset!J$2)))))</f>
        <v/>
      </c>
      <c r="K185" s="78">
        <f ca="1">IF($B185&gt;keilatut,"",IF($C185=(-1),"",IF($C185=0,"Pisteet",IF($C185&gt;Data!$CP$2,"",OFFSET(tulossiirtymä,MATCH($D185,Data!$AN$2:$AN$313,0),Tulokset!K$2)))))</f>
        <v>0</v>
      </c>
      <c r="L185" s="78">
        <f ca="1">IF($B185&gt;keilatut,"",IF($C185=(-1),"",IF($C185=0,"Pisteet yhteensä",IF($C185&gt;Data!$CP$2,"",OFFSET(tulossiirtymä,MATCH($D185,Data!$AN$2:$AN$313,0),Tulokset!L$2)))))</f>
        <v>15</v>
      </c>
      <c r="M185" s="78" t="str">
        <f ca="1">IF($B185&gt;keilatut,"",IF($C185=(-1),"",IF($C185=0,"Pisteseloste",IF($C185&gt;Data!$CP$2,"",OFFSET(tulossiirtymä,MATCH($D185,Data!$AN$2:$AN$313,0),Tulokset!M$2)))))</f>
        <v/>
      </c>
    </row>
    <row r="186" spans="2:13" x14ac:dyDescent="0.25">
      <c r="B186" s="78">
        <f t="shared" si="3"/>
        <v>7</v>
      </c>
      <c r="C186" s="78">
        <f>COUNTIF($B$6:B186,B186)-2</f>
        <v>17</v>
      </c>
      <c r="D186" s="79">
        <f t="array" ref="D186">IF($B186&lt;=keilatut,IF($C186&lt;1,"",IF($C186&gt;Data!$CP$2,"",SMALL(IF(Data!$B$2:$B$313=Tulokset!$B186,Data!$AN$2:$AN$313),Tulokset!$C186))),"")</f>
        <v>12.000125000000001</v>
      </c>
      <c r="E186" s="78">
        <f>IF($B186&gt;keilatut,"",IF($C186=(-1),"GP"&amp;$B186&amp;", "&amp;DAY(VLOOKUP($B186,kilpailukalenteri,2))&amp;"."&amp;MONTH(VLOOKUP($B186,kilpailukalenteri,2))&amp;"."&amp;YEAR(VLOOKUP($B186,kilpailukalenteri,2))&amp;", "&amp;IF(RIGHT(VLOOKUP($B186,kilpailukalenteri,4),1)="*",LEFT(VLOOKUP($B186,kilpailukalenteri,4),LEN(VLOOKUP($B186,kilpailukalenteri,4))-2)&amp;", Kultainen GP",VLOOKUP($B186,kilpailukalenteri,4)),IF($C186=0,"Sija",IF($C186&gt;Data!$CP$2,"",ROUND(Tulokset!$D186,0)))))</f>
        <v>12</v>
      </c>
      <c r="F186" s="78" t="str">
        <f ca="1">IF($B186&gt;keilatut,"",IF($C186=(-1),"",IF($C186=0,"Nimi",IF($C186&gt;Data!$CP$2,"",OFFSET(tulossiirtymä,MATCH($D186,Data!$AN$2:$AN$313,0),Tulokset!F$2)))))</f>
        <v>Roope Warro</v>
      </c>
      <c r="G186" s="78">
        <f ca="1">IF($B186&gt;keilatut,"",IF($C186=(-1),"",IF($C186=0,"Sarja 1",IF($C186&gt;Data!$CP$2,"",OFFSET(tulossiirtymä,MATCH($D186,Data!$AN$2:$AN$313,0),Tulokset!G$2)))))</f>
        <v>0</v>
      </c>
      <c r="H186" s="78">
        <f ca="1">IF($B186&gt;keilatut,"",IF($C186=(-1),"",IF($C186=0,"Sarja 2",IF($C186&gt;Data!$CP$2,"",OFFSET(tulossiirtymä,MATCH($D186,Data!$AN$2:$AN$313,0),Tulokset!H$2)))))</f>
        <v>0</v>
      </c>
      <c r="I186" s="78">
        <f ca="1">IF($B186&gt;keilatut,"",IF($C186=(-1),"",IF($C186=0,"Yhteensä",IF($C186&gt;Data!$CP$2,"",OFFSET(tulossiirtymä,MATCH($D186,Data!$AN$2:$AN$313,0),Tulokset!I$2)))))</f>
        <v>0</v>
      </c>
      <c r="J186" s="78" t="str">
        <f ca="1">IF($B186&gt;keilatut,"",IF($C186=(-1),"",IF($C186=0,"Ero voittajaan",IF($C186&gt;Data!$CP$2,"",OFFSET(tulossiirtymä,MATCH($D186,Data!$AN$2:$AN$313,0),Tulokset!J$2)))))</f>
        <v/>
      </c>
      <c r="K186" s="78">
        <f ca="1">IF($B186&gt;keilatut,"",IF($C186=(-1),"",IF($C186=0,"Pisteet",IF($C186&gt;Data!$CP$2,"",OFFSET(tulossiirtymä,MATCH($D186,Data!$AN$2:$AN$313,0),Tulokset!K$2)))))</f>
        <v>0</v>
      </c>
      <c r="L186" s="78">
        <f ca="1">IF($B186&gt;keilatut,"",IF($C186=(-1),"",IF($C186=0,"Pisteet yhteensä",IF($C186&gt;Data!$CP$2,"",OFFSET(tulossiirtymä,MATCH($D186,Data!$AN$2:$AN$313,0),Tulokset!L$2)))))</f>
        <v>4</v>
      </c>
      <c r="M186" s="78" t="str">
        <f ca="1">IF($B186&gt;keilatut,"",IF($C186=(-1),"",IF($C186=0,"Pisteseloste",IF($C186&gt;Data!$CP$2,"",OFFSET(tulossiirtymä,MATCH($D186,Data!$AN$2:$AN$313,0),Tulokset!M$2)))))</f>
        <v/>
      </c>
    </row>
    <row r="187" spans="2:13" x14ac:dyDescent="0.25">
      <c r="B187" s="78">
        <f t="shared" si="3"/>
        <v>7</v>
      </c>
      <c r="C187" s="78">
        <f>COUNTIF($B$6:B187,B187)-2</f>
        <v>18</v>
      </c>
      <c r="D187" s="79">
        <f t="array" ref="D187">IF($B187&lt;=keilatut,IF($C187&lt;1,"",IF($C187&gt;Data!$CP$2,"",SMALL(IF(Data!$B$2:$B$313=Tulokset!$B187,Data!$AN$2:$AN$313),Tulokset!$C187))),"")</f>
        <v>12.000126</v>
      </c>
      <c r="E187" s="78">
        <f>IF($B187&gt;keilatut,"",IF($C187=(-1),"GP"&amp;$B187&amp;", "&amp;DAY(VLOOKUP($B187,kilpailukalenteri,2))&amp;"."&amp;MONTH(VLOOKUP($B187,kilpailukalenteri,2))&amp;"."&amp;YEAR(VLOOKUP($B187,kilpailukalenteri,2))&amp;", "&amp;IF(RIGHT(VLOOKUP($B187,kilpailukalenteri,4),1)="*",LEFT(VLOOKUP($B187,kilpailukalenteri,4),LEN(VLOOKUP($B187,kilpailukalenteri,4))-2)&amp;", Kultainen GP",VLOOKUP($B187,kilpailukalenteri,4)),IF($C187=0,"Sija",IF($C187&gt;Data!$CP$2,"",ROUND(Tulokset!$D187,0)))))</f>
        <v>12</v>
      </c>
      <c r="F187" s="78" t="str">
        <f ca="1">IF($B187&gt;keilatut,"",IF($C187=(-1),"",IF($C187=0,"Nimi",IF($C187&gt;Data!$CP$2,"",OFFSET(tulossiirtymä,MATCH($D187,Data!$AN$2:$AN$313,0),Tulokset!F$2)))))</f>
        <v>Tatu Erlin</v>
      </c>
      <c r="G187" s="78">
        <f ca="1">IF($B187&gt;keilatut,"",IF($C187=(-1),"",IF($C187=0,"Sarja 1",IF($C187&gt;Data!$CP$2,"",OFFSET(tulossiirtymä,MATCH($D187,Data!$AN$2:$AN$313,0),Tulokset!G$2)))))</f>
        <v>0</v>
      </c>
      <c r="H187" s="78">
        <f ca="1">IF($B187&gt;keilatut,"",IF($C187=(-1),"",IF($C187=0,"Sarja 2",IF($C187&gt;Data!$CP$2,"",OFFSET(tulossiirtymä,MATCH($D187,Data!$AN$2:$AN$313,0),Tulokset!H$2)))))</f>
        <v>0</v>
      </c>
      <c r="I187" s="78">
        <f ca="1">IF($B187&gt;keilatut,"",IF($C187=(-1),"",IF($C187=0,"Yhteensä",IF($C187&gt;Data!$CP$2,"",OFFSET(tulossiirtymä,MATCH($D187,Data!$AN$2:$AN$313,0),Tulokset!I$2)))))</f>
        <v>0</v>
      </c>
      <c r="J187" s="78" t="str">
        <f ca="1">IF($B187&gt;keilatut,"",IF($C187=(-1),"",IF($C187=0,"Ero voittajaan",IF($C187&gt;Data!$CP$2,"",OFFSET(tulossiirtymä,MATCH($D187,Data!$AN$2:$AN$313,0),Tulokset!J$2)))))</f>
        <v/>
      </c>
      <c r="K187" s="78">
        <f ca="1">IF($B187&gt;keilatut,"",IF($C187=(-1),"",IF($C187=0,"Pisteet",IF($C187&gt;Data!$CP$2,"",OFFSET(tulossiirtymä,MATCH($D187,Data!$AN$2:$AN$313,0),Tulokset!K$2)))))</f>
        <v>0</v>
      </c>
      <c r="L187" s="78">
        <f ca="1">IF($B187&gt;keilatut,"",IF($C187=(-1),"",IF($C187=0,"Pisteet yhteensä",IF($C187&gt;Data!$CP$2,"",OFFSET(tulossiirtymä,MATCH($D187,Data!$AN$2:$AN$313,0),Tulokset!L$2)))))</f>
        <v>5</v>
      </c>
      <c r="M187" s="78" t="str">
        <f ca="1">IF($B187&gt;keilatut,"",IF($C187=(-1),"",IF($C187=0,"Pisteseloste",IF($C187&gt;Data!$CP$2,"",OFFSET(tulossiirtymä,MATCH($D187,Data!$AN$2:$AN$313,0),Tulokset!M$2)))))</f>
        <v/>
      </c>
    </row>
    <row r="188" spans="2:13" x14ac:dyDescent="0.25">
      <c r="B188" s="78">
        <f t="shared" si="3"/>
        <v>7</v>
      </c>
      <c r="C188" s="78">
        <f>COUNTIF($B$6:B188,B188)-2</f>
        <v>19</v>
      </c>
      <c r="D188" s="79" t="str">
        <f t="array" ref="D188">IF($B188&lt;=keilatut,IF($C188&lt;1,"",IF($C188&gt;Data!$CP$2,"",SMALL(IF(Data!$B$2:$B$313=Tulokset!$B188,Data!$AN$2:$AN$313),Tulokset!$C188))),"")</f>
        <v/>
      </c>
      <c r="E188" s="78" t="str">
        <f>IF($B188&gt;keilatut,"",IF($C188=(-1),"GP"&amp;$B188&amp;", "&amp;DAY(VLOOKUP($B188,kilpailukalenteri,2))&amp;"."&amp;MONTH(VLOOKUP($B188,kilpailukalenteri,2))&amp;"."&amp;YEAR(VLOOKUP($B188,kilpailukalenteri,2))&amp;", "&amp;IF(RIGHT(VLOOKUP($B188,kilpailukalenteri,4),1)="*",LEFT(VLOOKUP($B188,kilpailukalenteri,4),LEN(VLOOKUP($B188,kilpailukalenteri,4))-2)&amp;", Kultainen GP",VLOOKUP($B188,kilpailukalenteri,4)),IF($C188=0,"Sija",IF($C188&gt;Data!$CP$2,"",ROUND(Tulokset!$D188,0)))))</f>
        <v/>
      </c>
      <c r="F188" s="78" t="str">
        <f ca="1">IF($B188&gt;keilatut,"",IF($C188=(-1),"",IF($C188=0,"Nimi",IF($C188&gt;Data!$CP$2,"",OFFSET(tulossiirtymä,MATCH($D188,Data!$AN$2:$AN$313,0),Tulokset!F$2)))))</f>
        <v/>
      </c>
      <c r="G188" s="78" t="str">
        <f ca="1">IF($B188&gt;keilatut,"",IF($C188=(-1),"",IF($C188=0,"Sarja 1",IF($C188&gt;Data!$CP$2,"",OFFSET(tulossiirtymä,MATCH($D188,Data!$AN$2:$AN$313,0),Tulokset!G$2)))))</f>
        <v/>
      </c>
      <c r="H188" s="78" t="str">
        <f ca="1">IF($B188&gt;keilatut,"",IF($C188=(-1),"",IF($C188=0,"Sarja 2",IF($C188&gt;Data!$CP$2,"",OFFSET(tulossiirtymä,MATCH($D188,Data!$AN$2:$AN$313,0),Tulokset!H$2)))))</f>
        <v/>
      </c>
      <c r="I188" s="78" t="str">
        <f ca="1">IF($B188&gt;keilatut,"",IF($C188=(-1),"",IF($C188=0,"Yhteensä",IF($C188&gt;Data!$CP$2,"",OFFSET(tulossiirtymä,MATCH($D188,Data!$AN$2:$AN$313,0),Tulokset!I$2)))))</f>
        <v/>
      </c>
      <c r="J188" s="78" t="str">
        <f ca="1">IF($B188&gt;keilatut,"",IF($C188=(-1),"",IF($C188=0,"Ero voittajaan",IF($C188&gt;Data!$CP$2,"",OFFSET(tulossiirtymä,MATCH($D188,Data!$AN$2:$AN$313,0),Tulokset!J$2)))))</f>
        <v/>
      </c>
      <c r="K188" s="78" t="str">
        <f ca="1">IF($B188&gt;keilatut,"",IF($C188=(-1),"",IF($C188=0,"Pisteet",IF($C188&gt;Data!$CP$2,"",OFFSET(tulossiirtymä,MATCH($D188,Data!$AN$2:$AN$313,0),Tulokset!K$2)))))</f>
        <v/>
      </c>
      <c r="L188" s="78" t="str">
        <f ca="1">IF($B188&gt;keilatut,"",IF($C188=(-1),"",IF($C188=0,"Pisteet yhteensä",IF($C188&gt;Data!$CP$2,"",OFFSET(tulossiirtymä,MATCH($D188,Data!$AN$2:$AN$313,0),Tulokset!L$2)))))</f>
        <v/>
      </c>
      <c r="M188" s="78" t="str">
        <f ca="1">IF($B188&gt;keilatut,"",IF($C188=(-1),"",IF($C188=0,"Pisteseloste",IF($C188&gt;Data!$CP$2,"",OFFSET(tulossiirtymä,MATCH($D188,Data!$AN$2:$AN$313,0),Tulokset!M$2)))))</f>
        <v/>
      </c>
    </row>
    <row r="189" spans="2:13" x14ac:dyDescent="0.25">
      <c r="B189" s="78">
        <f t="shared" si="3"/>
        <v>7</v>
      </c>
      <c r="C189" s="78">
        <f>COUNTIF($B$6:B189,B189)-2</f>
        <v>20</v>
      </c>
      <c r="D189" s="79" t="str">
        <f t="array" ref="D189">IF($B189&lt;=keilatut,IF($C189&lt;1,"",IF($C189&gt;Data!$CP$2,"",SMALL(IF(Data!$B$2:$B$313=Tulokset!$B189,Data!$AN$2:$AN$313),Tulokset!$C189))),"")</f>
        <v/>
      </c>
      <c r="E189" s="78" t="str">
        <f>IF($B189&gt;keilatut,"",IF($C189=(-1),"GP"&amp;$B189&amp;", "&amp;DAY(VLOOKUP($B189,kilpailukalenteri,2))&amp;"."&amp;MONTH(VLOOKUP($B189,kilpailukalenteri,2))&amp;"."&amp;YEAR(VLOOKUP($B189,kilpailukalenteri,2))&amp;", "&amp;IF(RIGHT(VLOOKUP($B189,kilpailukalenteri,4),1)="*",LEFT(VLOOKUP($B189,kilpailukalenteri,4),LEN(VLOOKUP($B189,kilpailukalenteri,4))-2)&amp;", Kultainen GP",VLOOKUP($B189,kilpailukalenteri,4)),IF($C189=0,"Sija",IF($C189&gt;Data!$CP$2,"",ROUND(Tulokset!$D189,0)))))</f>
        <v/>
      </c>
      <c r="F189" s="78" t="str">
        <f ca="1">IF($B189&gt;keilatut,"",IF($C189=(-1),"",IF($C189=0,"Nimi",IF($C189&gt;Data!$CP$2,"",OFFSET(tulossiirtymä,MATCH($D189,Data!$AN$2:$AN$313,0),Tulokset!F$2)))))</f>
        <v/>
      </c>
      <c r="G189" s="78" t="str">
        <f ca="1">IF($B189&gt;keilatut,"",IF($C189=(-1),"",IF($C189=0,"Sarja 1",IF($C189&gt;Data!$CP$2,"",OFFSET(tulossiirtymä,MATCH($D189,Data!$AN$2:$AN$313,0),Tulokset!G$2)))))</f>
        <v/>
      </c>
      <c r="H189" s="78" t="str">
        <f ca="1">IF($B189&gt;keilatut,"",IF($C189=(-1),"",IF($C189=0,"Sarja 2",IF($C189&gt;Data!$CP$2,"",OFFSET(tulossiirtymä,MATCH($D189,Data!$AN$2:$AN$313,0),Tulokset!H$2)))))</f>
        <v/>
      </c>
      <c r="I189" s="78" t="str">
        <f ca="1">IF($B189&gt;keilatut,"",IF($C189=(-1),"",IF($C189=0,"Yhteensä",IF($C189&gt;Data!$CP$2,"",OFFSET(tulossiirtymä,MATCH($D189,Data!$AN$2:$AN$313,0),Tulokset!I$2)))))</f>
        <v/>
      </c>
      <c r="J189" s="78" t="str">
        <f ca="1">IF($B189&gt;keilatut,"",IF($C189=(-1),"",IF($C189=0,"Ero voittajaan",IF($C189&gt;Data!$CP$2,"",OFFSET(tulossiirtymä,MATCH($D189,Data!$AN$2:$AN$313,0),Tulokset!J$2)))))</f>
        <v/>
      </c>
      <c r="K189" s="78" t="str">
        <f ca="1">IF($B189&gt;keilatut,"",IF($C189=(-1),"",IF($C189=0,"Pisteet",IF($C189&gt;Data!$CP$2,"",OFFSET(tulossiirtymä,MATCH($D189,Data!$AN$2:$AN$313,0),Tulokset!K$2)))))</f>
        <v/>
      </c>
      <c r="L189" s="78" t="str">
        <f ca="1">IF($B189&gt;keilatut,"",IF($C189=(-1),"",IF($C189=0,"Pisteet yhteensä",IF($C189&gt;Data!$CP$2,"",OFFSET(tulossiirtymä,MATCH($D189,Data!$AN$2:$AN$313,0),Tulokset!L$2)))))</f>
        <v/>
      </c>
      <c r="M189" s="78" t="str">
        <f ca="1">IF($B189&gt;keilatut,"",IF($C189=(-1),"",IF($C189=0,"Pisteseloste",IF($C189&gt;Data!$CP$2,"",OFFSET(tulossiirtymä,MATCH($D189,Data!$AN$2:$AN$313,0),Tulokset!M$2)))))</f>
        <v/>
      </c>
    </row>
    <row r="190" spans="2:13" x14ac:dyDescent="0.25">
      <c r="B190" s="78">
        <f t="shared" si="3"/>
        <v>7</v>
      </c>
      <c r="C190" s="78">
        <f>COUNTIF($B$6:B190,B190)-2</f>
        <v>21</v>
      </c>
      <c r="D190" s="79" t="str">
        <f t="array" ref="D190">IF($B190&lt;=keilatut,IF($C190&lt;1,"",IF($C190&gt;Data!$CP$2,"",SMALL(IF(Data!$B$2:$B$313=Tulokset!$B190,Data!$AN$2:$AN$313),Tulokset!$C190))),"")</f>
        <v/>
      </c>
      <c r="E190" s="78" t="str">
        <f>IF($B190&gt;keilatut,"",IF($C190=(-1),"GP"&amp;$B190&amp;", "&amp;DAY(VLOOKUP($B190,kilpailukalenteri,2))&amp;"."&amp;MONTH(VLOOKUP($B190,kilpailukalenteri,2))&amp;"."&amp;YEAR(VLOOKUP($B190,kilpailukalenteri,2))&amp;", "&amp;IF(RIGHT(VLOOKUP($B190,kilpailukalenteri,4),1)="*",LEFT(VLOOKUP($B190,kilpailukalenteri,4),LEN(VLOOKUP($B190,kilpailukalenteri,4))-2)&amp;", Kultainen GP",VLOOKUP($B190,kilpailukalenteri,4)),IF($C190=0,"Sija",IF($C190&gt;Data!$CP$2,"",ROUND(Tulokset!$D190,0)))))</f>
        <v/>
      </c>
      <c r="F190" s="78" t="str">
        <f ca="1">IF($B190&gt;keilatut,"",IF($C190=(-1),"",IF($C190=0,"Nimi",IF($C190&gt;Data!$CP$2,"",OFFSET(tulossiirtymä,MATCH($D190,Data!$AN$2:$AN$313,0),Tulokset!F$2)))))</f>
        <v/>
      </c>
      <c r="G190" s="78" t="str">
        <f ca="1">IF($B190&gt;keilatut,"",IF($C190=(-1),"",IF($C190=0,"Sarja 1",IF($C190&gt;Data!$CP$2,"",OFFSET(tulossiirtymä,MATCH($D190,Data!$AN$2:$AN$313,0),Tulokset!G$2)))))</f>
        <v/>
      </c>
      <c r="H190" s="78" t="str">
        <f ca="1">IF($B190&gt;keilatut,"",IF($C190=(-1),"",IF($C190=0,"Sarja 2",IF($C190&gt;Data!$CP$2,"",OFFSET(tulossiirtymä,MATCH($D190,Data!$AN$2:$AN$313,0),Tulokset!H$2)))))</f>
        <v/>
      </c>
      <c r="I190" s="78" t="str">
        <f ca="1">IF($B190&gt;keilatut,"",IF($C190=(-1),"",IF($C190=0,"Yhteensä",IF($C190&gt;Data!$CP$2,"",OFFSET(tulossiirtymä,MATCH($D190,Data!$AN$2:$AN$313,0),Tulokset!I$2)))))</f>
        <v/>
      </c>
      <c r="J190" s="78" t="str">
        <f ca="1">IF($B190&gt;keilatut,"",IF($C190=(-1),"",IF($C190=0,"Ero voittajaan",IF($C190&gt;Data!$CP$2,"",OFFSET(tulossiirtymä,MATCH($D190,Data!$AN$2:$AN$313,0),Tulokset!J$2)))))</f>
        <v/>
      </c>
      <c r="K190" s="78" t="str">
        <f ca="1">IF($B190&gt;keilatut,"",IF($C190=(-1),"",IF($C190=0,"Pisteet",IF($C190&gt;Data!$CP$2,"",OFFSET(tulossiirtymä,MATCH($D190,Data!$AN$2:$AN$313,0),Tulokset!K$2)))))</f>
        <v/>
      </c>
      <c r="L190" s="78" t="str">
        <f ca="1">IF($B190&gt;keilatut,"",IF($C190=(-1),"",IF($C190=0,"Pisteet yhteensä",IF($C190&gt;Data!$CP$2,"",OFFSET(tulossiirtymä,MATCH($D190,Data!$AN$2:$AN$313,0),Tulokset!L$2)))))</f>
        <v/>
      </c>
      <c r="M190" s="78" t="str">
        <f ca="1">IF($B190&gt;keilatut,"",IF($C190=(-1),"",IF($C190=0,"Pisteseloste",IF($C190&gt;Data!$CP$2,"",OFFSET(tulossiirtymä,MATCH($D190,Data!$AN$2:$AN$313,0),Tulokset!M$2)))))</f>
        <v/>
      </c>
    </row>
    <row r="191" spans="2:13" x14ac:dyDescent="0.25">
      <c r="B191" s="78">
        <f t="shared" si="3"/>
        <v>7</v>
      </c>
      <c r="C191" s="78">
        <f>COUNTIF($B$6:B191,B191)-2</f>
        <v>22</v>
      </c>
      <c r="D191" s="79" t="str">
        <f t="array" ref="D191">IF($B191&lt;=keilatut,IF($C191&lt;1,"",IF($C191&gt;Data!$CP$2,"",SMALL(IF(Data!$B$2:$B$313=Tulokset!$B191,Data!$AN$2:$AN$313),Tulokset!$C191))),"")</f>
        <v/>
      </c>
      <c r="E191" s="78" t="str">
        <f>IF($B191&gt;keilatut,"",IF($C191=(-1),"GP"&amp;$B191&amp;", "&amp;DAY(VLOOKUP($B191,kilpailukalenteri,2))&amp;"."&amp;MONTH(VLOOKUP($B191,kilpailukalenteri,2))&amp;"."&amp;YEAR(VLOOKUP($B191,kilpailukalenteri,2))&amp;", "&amp;IF(RIGHT(VLOOKUP($B191,kilpailukalenteri,4),1)="*",LEFT(VLOOKUP($B191,kilpailukalenteri,4),LEN(VLOOKUP($B191,kilpailukalenteri,4))-2)&amp;", Kultainen GP",VLOOKUP($B191,kilpailukalenteri,4)),IF($C191=0,"Sija",IF($C191&gt;Data!$CP$2,"",ROUND(Tulokset!$D191,0)))))</f>
        <v/>
      </c>
      <c r="F191" s="78" t="str">
        <f ca="1">IF($B191&gt;keilatut,"",IF($C191=(-1),"",IF($C191=0,"Nimi",IF($C191&gt;Data!$CP$2,"",OFFSET(tulossiirtymä,MATCH($D191,Data!$AN$2:$AN$313,0),Tulokset!F$2)))))</f>
        <v/>
      </c>
      <c r="G191" s="78" t="str">
        <f ca="1">IF($B191&gt;keilatut,"",IF($C191=(-1),"",IF($C191=0,"Sarja 1",IF($C191&gt;Data!$CP$2,"",OFFSET(tulossiirtymä,MATCH($D191,Data!$AN$2:$AN$313,0),Tulokset!G$2)))))</f>
        <v/>
      </c>
      <c r="H191" s="78" t="str">
        <f ca="1">IF($B191&gt;keilatut,"",IF($C191=(-1),"",IF($C191=0,"Sarja 2",IF($C191&gt;Data!$CP$2,"",OFFSET(tulossiirtymä,MATCH($D191,Data!$AN$2:$AN$313,0),Tulokset!H$2)))))</f>
        <v/>
      </c>
      <c r="I191" s="78" t="str">
        <f ca="1">IF($B191&gt;keilatut,"",IF($C191=(-1),"",IF($C191=0,"Yhteensä",IF($C191&gt;Data!$CP$2,"",OFFSET(tulossiirtymä,MATCH($D191,Data!$AN$2:$AN$313,0),Tulokset!I$2)))))</f>
        <v/>
      </c>
      <c r="J191" s="78" t="str">
        <f ca="1">IF($B191&gt;keilatut,"",IF($C191=(-1),"",IF($C191=0,"Ero voittajaan",IF($C191&gt;Data!$CP$2,"",OFFSET(tulossiirtymä,MATCH($D191,Data!$AN$2:$AN$313,0),Tulokset!J$2)))))</f>
        <v/>
      </c>
      <c r="K191" s="78" t="str">
        <f ca="1">IF($B191&gt;keilatut,"",IF($C191=(-1),"",IF($C191=0,"Pisteet",IF($C191&gt;Data!$CP$2,"",OFFSET(tulossiirtymä,MATCH($D191,Data!$AN$2:$AN$313,0),Tulokset!K$2)))))</f>
        <v/>
      </c>
      <c r="L191" s="78" t="str">
        <f ca="1">IF($B191&gt;keilatut,"",IF($C191=(-1),"",IF($C191=0,"Pisteet yhteensä",IF($C191&gt;Data!$CP$2,"",OFFSET(tulossiirtymä,MATCH($D191,Data!$AN$2:$AN$313,0),Tulokset!L$2)))))</f>
        <v/>
      </c>
      <c r="M191" s="78" t="str">
        <f ca="1">IF($B191&gt;keilatut,"",IF($C191=(-1),"",IF($C191=0,"Pisteseloste",IF($C191&gt;Data!$CP$2,"",OFFSET(tulossiirtymä,MATCH($D191,Data!$AN$2:$AN$313,0),Tulokset!M$2)))))</f>
        <v/>
      </c>
    </row>
    <row r="192" spans="2:13" x14ac:dyDescent="0.25">
      <c r="B192" s="78">
        <f t="shared" si="3"/>
        <v>7</v>
      </c>
      <c r="C192" s="78">
        <f>COUNTIF($B$6:B192,B192)-2</f>
        <v>23</v>
      </c>
      <c r="D192" s="79" t="str">
        <f t="array" ref="D192">IF($B192&lt;=keilatut,IF($C192&lt;1,"",IF($C192&gt;Data!$CP$2,"",SMALL(IF(Data!$B$2:$B$313=Tulokset!$B192,Data!$AN$2:$AN$313),Tulokset!$C192))),"")</f>
        <v/>
      </c>
      <c r="E192" s="78" t="str">
        <f>IF($B192&gt;keilatut,"",IF($C192=(-1),"GP"&amp;$B192&amp;", "&amp;DAY(VLOOKUP($B192,kilpailukalenteri,2))&amp;"."&amp;MONTH(VLOOKUP($B192,kilpailukalenteri,2))&amp;"."&amp;YEAR(VLOOKUP($B192,kilpailukalenteri,2))&amp;", "&amp;IF(RIGHT(VLOOKUP($B192,kilpailukalenteri,4),1)="*",LEFT(VLOOKUP($B192,kilpailukalenteri,4),LEN(VLOOKUP($B192,kilpailukalenteri,4))-2)&amp;", Kultainen GP",VLOOKUP($B192,kilpailukalenteri,4)),IF($C192=0,"Sija",IF($C192&gt;Data!$CP$2,"",ROUND(Tulokset!$D192,0)))))</f>
        <v/>
      </c>
      <c r="F192" s="78" t="str">
        <f ca="1">IF($B192&gt;keilatut,"",IF($C192=(-1),"",IF($C192=0,"Nimi",IF($C192&gt;Data!$CP$2,"",OFFSET(tulossiirtymä,MATCH($D192,Data!$AN$2:$AN$313,0),Tulokset!F$2)))))</f>
        <v/>
      </c>
      <c r="G192" s="78" t="str">
        <f ca="1">IF($B192&gt;keilatut,"",IF($C192=(-1),"",IF($C192=0,"Sarja 1",IF($C192&gt;Data!$CP$2,"",OFFSET(tulossiirtymä,MATCH($D192,Data!$AN$2:$AN$313,0),Tulokset!G$2)))))</f>
        <v/>
      </c>
      <c r="H192" s="78" t="str">
        <f ca="1">IF($B192&gt;keilatut,"",IF($C192=(-1),"",IF($C192=0,"Sarja 2",IF($C192&gt;Data!$CP$2,"",OFFSET(tulossiirtymä,MATCH($D192,Data!$AN$2:$AN$313,0),Tulokset!H$2)))))</f>
        <v/>
      </c>
      <c r="I192" s="78" t="str">
        <f ca="1">IF($B192&gt;keilatut,"",IF($C192=(-1),"",IF($C192=0,"Yhteensä",IF($C192&gt;Data!$CP$2,"",OFFSET(tulossiirtymä,MATCH($D192,Data!$AN$2:$AN$313,0),Tulokset!I$2)))))</f>
        <v/>
      </c>
      <c r="J192" s="78" t="str">
        <f ca="1">IF($B192&gt;keilatut,"",IF($C192=(-1),"",IF($C192=0,"Ero voittajaan",IF($C192&gt;Data!$CP$2,"",OFFSET(tulossiirtymä,MATCH($D192,Data!$AN$2:$AN$313,0),Tulokset!J$2)))))</f>
        <v/>
      </c>
      <c r="K192" s="78" t="str">
        <f ca="1">IF($B192&gt;keilatut,"",IF($C192=(-1),"",IF($C192=0,"Pisteet",IF($C192&gt;Data!$CP$2,"",OFFSET(tulossiirtymä,MATCH($D192,Data!$AN$2:$AN$313,0),Tulokset!K$2)))))</f>
        <v/>
      </c>
      <c r="L192" s="78" t="str">
        <f ca="1">IF($B192&gt;keilatut,"",IF($C192=(-1),"",IF($C192=0,"Pisteet yhteensä",IF($C192&gt;Data!$CP$2,"",OFFSET(tulossiirtymä,MATCH($D192,Data!$AN$2:$AN$313,0),Tulokset!L$2)))))</f>
        <v/>
      </c>
      <c r="M192" s="78" t="str">
        <f ca="1">IF($B192&gt;keilatut,"",IF($C192=(-1),"",IF($C192=0,"Pisteseloste",IF($C192&gt;Data!$CP$2,"",OFFSET(tulossiirtymä,MATCH($D192,Data!$AN$2:$AN$313,0),Tulokset!M$2)))))</f>
        <v/>
      </c>
    </row>
    <row r="193" spans="2:13" x14ac:dyDescent="0.25">
      <c r="B193" s="78">
        <f t="shared" si="3"/>
        <v>7</v>
      </c>
      <c r="C193" s="78">
        <f>COUNTIF($B$6:B193,B193)-2</f>
        <v>24</v>
      </c>
      <c r="D193" s="79" t="str">
        <f t="array" ref="D193">IF($B193&lt;=keilatut,IF($C193&lt;1,"",IF($C193&gt;Data!$CP$2,"",SMALL(IF(Data!$B$2:$B$313=Tulokset!$B193,Data!$AN$2:$AN$313),Tulokset!$C193))),"")</f>
        <v/>
      </c>
      <c r="E193" s="78" t="str">
        <f>IF($B193&gt;keilatut,"",IF($C193=(-1),"GP"&amp;$B193&amp;", "&amp;DAY(VLOOKUP($B193,kilpailukalenteri,2))&amp;"."&amp;MONTH(VLOOKUP($B193,kilpailukalenteri,2))&amp;"."&amp;YEAR(VLOOKUP($B193,kilpailukalenteri,2))&amp;", "&amp;IF(RIGHT(VLOOKUP($B193,kilpailukalenteri,4),1)="*",LEFT(VLOOKUP($B193,kilpailukalenteri,4),LEN(VLOOKUP($B193,kilpailukalenteri,4))-2)&amp;", Kultainen GP",VLOOKUP($B193,kilpailukalenteri,4)),IF($C193=0,"Sija",IF($C193&gt;Data!$CP$2,"",ROUND(Tulokset!$D193,0)))))</f>
        <v/>
      </c>
      <c r="F193" s="78" t="str">
        <f ca="1">IF($B193&gt;keilatut,"",IF($C193=(-1),"",IF($C193=0,"Nimi",IF($C193&gt;Data!$CP$2,"",OFFSET(tulossiirtymä,MATCH($D193,Data!$AN$2:$AN$313,0),Tulokset!F$2)))))</f>
        <v/>
      </c>
      <c r="G193" s="78" t="str">
        <f ca="1">IF($B193&gt;keilatut,"",IF($C193=(-1),"",IF($C193=0,"Sarja 1",IF($C193&gt;Data!$CP$2,"",OFFSET(tulossiirtymä,MATCH($D193,Data!$AN$2:$AN$313,0),Tulokset!G$2)))))</f>
        <v/>
      </c>
      <c r="H193" s="78" t="str">
        <f ca="1">IF($B193&gt;keilatut,"",IF($C193=(-1),"",IF($C193=0,"Sarja 2",IF($C193&gt;Data!$CP$2,"",OFFSET(tulossiirtymä,MATCH($D193,Data!$AN$2:$AN$313,0),Tulokset!H$2)))))</f>
        <v/>
      </c>
      <c r="I193" s="78" t="str">
        <f ca="1">IF($B193&gt;keilatut,"",IF($C193=(-1),"",IF($C193=0,"Yhteensä",IF($C193&gt;Data!$CP$2,"",OFFSET(tulossiirtymä,MATCH($D193,Data!$AN$2:$AN$313,0),Tulokset!I$2)))))</f>
        <v/>
      </c>
      <c r="J193" s="78" t="str">
        <f ca="1">IF($B193&gt;keilatut,"",IF($C193=(-1),"",IF($C193=0,"Ero voittajaan",IF($C193&gt;Data!$CP$2,"",OFFSET(tulossiirtymä,MATCH($D193,Data!$AN$2:$AN$313,0),Tulokset!J$2)))))</f>
        <v/>
      </c>
      <c r="K193" s="78" t="str">
        <f ca="1">IF($B193&gt;keilatut,"",IF($C193=(-1),"",IF($C193=0,"Pisteet",IF($C193&gt;Data!$CP$2,"",OFFSET(tulossiirtymä,MATCH($D193,Data!$AN$2:$AN$313,0),Tulokset!K$2)))))</f>
        <v/>
      </c>
      <c r="L193" s="78" t="str">
        <f ca="1">IF($B193&gt;keilatut,"",IF($C193=(-1),"",IF($C193=0,"Pisteet yhteensä",IF($C193&gt;Data!$CP$2,"",OFFSET(tulossiirtymä,MATCH($D193,Data!$AN$2:$AN$313,0),Tulokset!L$2)))))</f>
        <v/>
      </c>
      <c r="M193" s="78" t="str">
        <f ca="1">IF($B193&gt;keilatut,"",IF($C193=(-1),"",IF($C193=0,"Pisteseloste",IF($C193&gt;Data!$CP$2,"",OFFSET(tulossiirtymä,MATCH($D193,Data!$AN$2:$AN$313,0),Tulokset!M$2)))))</f>
        <v/>
      </c>
    </row>
    <row r="194" spans="2:13" x14ac:dyDescent="0.25">
      <c r="B194" s="78">
        <f t="shared" si="3"/>
        <v>7</v>
      </c>
      <c r="C194" s="78">
        <f>COUNTIF($B$6:B194,B194)-2</f>
        <v>25</v>
      </c>
      <c r="D194" s="79" t="str">
        <f t="array" ref="D194">IF($B194&lt;=keilatut,IF($C194&lt;1,"",IF($C194&gt;Data!$CP$2,"",SMALL(IF(Data!$B$2:$B$313=Tulokset!$B194,Data!$AN$2:$AN$313),Tulokset!$C194))),"")</f>
        <v/>
      </c>
      <c r="E194" s="78" t="str">
        <f>IF($B194&gt;keilatut,"",IF($C194=(-1),"GP"&amp;$B194&amp;", "&amp;DAY(VLOOKUP($B194,kilpailukalenteri,2))&amp;"."&amp;MONTH(VLOOKUP($B194,kilpailukalenteri,2))&amp;"."&amp;YEAR(VLOOKUP($B194,kilpailukalenteri,2))&amp;", "&amp;IF(RIGHT(VLOOKUP($B194,kilpailukalenteri,4),1)="*",LEFT(VLOOKUP($B194,kilpailukalenteri,4),LEN(VLOOKUP($B194,kilpailukalenteri,4))-2)&amp;", Kultainen GP",VLOOKUP($B194,kilpailukalenteri,4)),IF($C194=0,"Sija",IF($C194&gt;Data!$CP$2,"",ROUND(Tulokset!$D194,0)))))</f>
        <v/>
      </c>
      <c r="F194" s="78" t="str">
        <f ca="1">IF($B194&gt;keilatut,"",IF($C194=(-1),"",IF($C194=0,"Nimi",IF($C194&gt;Data!$CP$2,"",OFFSET(tulossiirtymä,MATCH($D194,Data!$AN$2:$AN$313,0),Tulokset!F$2)))))</f>
        <v/>
      </c>
      <c r="G194" s="78" t="str">
        <f ca="1">IF($B194&gt;keilatut,"",IF($C194=(-1),"",IF($C194=0,"Sarja 1",IF($C194&gt;Data!$CP$2,"",OFFSET(tulossiirtymä,MATCH($D194,Data!$AN$2:$AN$313,0),Tulokset!G$2)))))</f>
        <v/>
      </c>
      <c r="H194" s="78" t="str">
        <f ca="1">IF($B194&gt;keilatut,"",IF($C194=(-1),"",IF($C194=0,"Sarja 2",IF($C194&gt;Data!$CP$2,"",OFFSET(tulossiirtymä,MATCH($D194,Data!$AN$2:$AN$313,0),Tulokset!H$2)))))</f>
        <v/>
      </c>
      <c r="I194" s="78" t="str">
        <f ca="1">IF($B194&gt;keilatut,"",IF($C194=(-1),"",IF($C194=0,"Yhteensä",IF($C194&gt;Data!$CP$2,"",OFFSET(tulossiirtymä,MATCH($D194,Data!$AN$2:$AN$313,0),Tulokset!I$2)))))</f>
        <v/>
      </c>
      <c r="J194" s="78" t="str">
        <f ca="1">IF($B194&gt;keilatut,"",IF($C194=(-1),"",IF($C194=0,"Ero voittajaan",IF($C194&gt;Data!$CP$2,"",OFFSET(tulossiirtymä,MATCH($D194,Data!$AN$2:$AN$313,0),Tulokset!J$2)))))</f>
        <v/>
      </c>
      <c r="K194" s="78" t="str">
        <f ca="1">IF($B194&gt;keilatut,"",IF($C194=(-1),"",IF($C194=0,"Pisteet",IF($C194&gt;Data!$CP$2,"",OFFSET(tulossiirtymä,MATCH($D194,Data!$AN$2:$AN$313,0),Tulokset!K$2)))))</f>
        <v/>
      </c>
      <c r="L194" s="78" t="str">
        <f ca="1">IF($B194&gt;keilatut,"",IF($C194=(-1),"",IF($C194=0,"Pisteet yhteensä",IF($C194&gt;Data!$CP$2,"",OFFSET(tulossiirtymä,MATCH($D194,Data!$AN$2:$AN$313,0),Tulokset!L$2)))))</f>
        <v/>
      </c>
      <c r="M194" s="78" t="str">
        <f ca="1">IF($B194&gt;keilatut,"",IF($C194=(-1),"",IF($C194=0,"Pisteseloste",IF($C194&gt;Data!$CP$2,"",OFFSET(tulossiirtymä,MATCH($D194,Data!$AN$2:$AN$313,0),Tulokset!M$2)))))</f>
        <v/>
      </c>
    </row>
    <row r="195" spans="2:13" x14ac:dyDescent="0.25">
      <c r="B195" s="78">
        <f t="shared" si="3"/>
        <v>8</v>
      </c>
      <c r="C195" s="78">
        <f>COUNTIF($B$6:B195,B195)-2</f>
        <v>-1</v>
      </c>
      <c r="D195" s="79" t="str">
        <f t="array" ref="D195">IF($B195&lt;=keilatut,IF($C195&lt;1,"",IF($C195&gt;Data!$CP$2,"",SMALL(IF(Data!$B$2:$B$313=Tulokset!$B195,Data!$AN$2:$AN$313),Tulokset!$C195))),"")</f>
        <v/>
      </c>
      <c r="E195" s="78" t="str">
        <f>IF($B195&gt;keilatut,"",IF($C195=(-1),"GP"&amp;$B195&amp;", "&amp;DAY(VLOOKUP($B195,kilpailukalenteri,2))&amp;"."&amp;MONTH(VLOOKUP($B195,kilpailukalenteri,2))&amp;"."&amp;YEAR(VLOOKUP($B195,kilpailukalenteri,2))&amp;", "&amp;IF(RIGHT(VLOOKUP($B195,kilpailukalenteri,4),1)="*",LEFT(VLOOKUP($B195,kilpailukalenteri,4),LEN(VLOOKUP($B195,kilpailukalenteri,4))-2)&amp;", Kultainen GP",VLOOKUP($B195,kilpailukalenteri,4)),IF($C195=0,"Sija",IF($C195&gt;Data!$CP$2,"",ROUND(Tulokset!$D195,0)))))</f>
        <v>GP8, 2.2.2025, Aninkaisten keilahalli</v>
      </c>
    </row>
    <row r="196" spans="2:13" x14ac:dyDescent="0.25">
      <c r="B196" s="78">
        <f t="shared" si="3"/>
        <v>8</v>
      </c>
      <c r="C196" s="78">
        <f>COUNTIF($B$6:B196,B196)-2</f>
        <v>0</v>
      </c>
      <c r="D196" s="79" t="str">
        <f t="array" ref="D196">IF($B196&lt;=keilatut,IF($C196&lt;1,"",IF($C196&gt;Data!$CP$2,"",SMALL(IF(Data!$B$2:$B$313=Tulokset!$B196,Data!$AN$2:$AN$313),Tulokset!$C196))),"")</f>
        <v/>
      </c>
      <c r="E196" s="78" t="str">
        <f>IF($B196&gt;keilatut,"",IF($C196=(-1),"GP"&amp;$B196&amp;", "&amp;DAY(VLOOKUP($B196,kilpailukalenteri,2))&amp;"."&amp;MONTH(VLOOKUP($B196,kilpailukalenteri,2))&amp;"."&amp;YEAR(VLOOKUP($B196,kilpailukalenteri,2))&amp;", "&amp;IF(RIGHT(VLOOKUP($B196,kilpailukalenteri,4),1)="*",LEFT(VLOOKUP($B196,kilpailukalenteri,4),LEN(VLOOKUP($B196,kilpailukalenteri,4))-2)&amp;", Kultainen GP",VLOOKUP($B196,kilpailukalenteri,4)),IF($C196=0,"Sija",IF($C196&gt;Data!$CP$2,"",ROUND(Tulokset!$D196,0)))))</f>
        <v>Sija</v>
      </c>
      <c r="F196" s="78" t="str">
        <f ca="1">IF($B196&gt;keilatut,"",IF($C196=(-1),"",IF($C196=0,"Nimi",IF($C196&gt;Data!$CP$2,"",OFFSET(tulossiirtymä,MATCH($D196,Data!$AN$2:$AN$313,0),Tulokset!F$2)))))</f>
        <v>Nimi</v>
      </c>
      <c r="G196" s="78" t="str">
        <f ca="1">IF($B196&gt;keilatut,"",IF($C196=(-1),"",IF($C196=0,"Sarja 1",IF($C196&gt;Data!$CP$2,"",OFFSET(tulossiirtymä,MATCH($D196,Data!$AN$2:$AN$313,0),Tulokset!G$2)))))</f>
        <v>Sarja 1</v>
      </c>
      <c r="H196" s="78" t="str">
        <f ca="1">IF($B196&gt;keilatut,"",IF($C196=(-1),"",IF($C196=0,"Sarja 2",IF($C196&gt;Data!$CP$2,"",OFFSET(tulossiirtymä,MATCH($D196,Data!$AN$2:$AN$313,0),Tulokset!H$2)))))</f>
        <v>Sarja 2</v>
      </c>
      <c r="I196" s="78" t="str">
        <f ca="1">IF($B196&gt;keilatut,"",IF($C196=(-1),"",IF($C196=0,"Yhteensä",IF($C196&gt;Data!$CP$2,"",OFFSET(tulossiirtymä,MATCH($D196,Data!$AN$2:$AN$313,0),Tulokset!I$2)))))</f>
        <v>Yhteensä</v>
      </c>
      <c r="J196" s="78" t="str">
        <f ca="1">IF($B196&gt;keilatut,"",IF($C196=(-1),"",IF($C196=0,"Ero voittajaan",IF($C196&gt;Data!$CP$2,"",OFFSET(tulossiirtymä,MATCH($D196,Data!$AN$2:$AN$313,0),Tulokset!J$2)))))</f>
        <v>Ero voittajaan</v>
      </c>
      <c r="K196" s="78" t="str">
        <f ca="1">IF($B196&gt;keilatut,"",IF($C196=(-1),"",IF($C196=0,"Pisteet",IF($C196&gt;Data!$CP$2,"",OFFSET(tulossiirtymä,MATCH($D196,Data!$AN$2:$AN$313,0),Tulokset!K$2)))))</f>
        <v>Pisteet</v>
      </c>
      <c r="L196" s="78" t="str">
        <f ca="1">IF($B196&gt;keilatut,"",IF($C196=(-1),"",IF($C196=0,"Pisteet yhteensä",IF($C196&gt;Data!$CP$2,"",OFFSET(tulossiirtymä,MATCH($D196,Data!$AN$2:$AN$313,0),Tulokset!L$2)))))</f>
        <v>Pisteet yhteensä</v>
      </c>
      <c r="M196" s="78" t="str">
        <f ca="1">IF($B196&gt;keilatut,"",IF($C196=(-1),"",IF($C196=0,"Pisteseloste",IF($C196&gt;Data!$CP$2,"",OFFSET(tulossiirtymä,MATCH($D196,Data!$AN$2:$AN$313,0),Tulokset!M$2)))))</f>
        <v>Pisteseloste</v>
      </c>
    </row>
    <row r="197" spans="2:13" x14ac:dyDescent="0.25">
      <c r="B197" s="78">
        <f t="shared" si="3"/>
        <v>8</v>
      </c>
      <c r="C197" s="78">
        <f>COUNTIF($B$6:B197,B197)-2</f>
        <v>1</v>
      </c>
      <c r="D197" s="79">
        <f t="array" ref="D197">IF($B197&lt;=keilatut,IF($C197&lt;1,"",IF($C197&gt;Data!$CP$2,"",SMALL(IF(Data!$B$2:$B$313=Tulokset!$B197,Data!$AN$2:$AN$313),Tulokset!$C197))),"")</f>
        <v>1.000138</v>
      </c>
      <c r="E197" s="78">
        <f>IF($B197&gt;keilatut,"",IF($C197=(-1),"GP"&amp;$B197&amp;", "&amp;DAY(VLOOKUP($B197,kilpailukalenteri,2))&amp;"."&amp;MONTH(VLOOKUP($B197,kilpailukalenteri,2))&amp;"."&amp;YEAR(VLOOKUP($B197,kilpailukalenteri,2))&amp;", "&amp;IF(RIGHT(VLOOKUP($B197,kilpailukalenteri,4),1)="*",LEFT(VLOOKUP($B197,kilpailukalenteri,4),LEN(VLOOKUP($B197,kilpailukalenteri,4))-2)&amp;", Kultainen GP",VLOOKUP($B197,kilpailukalenteri,4)),IF($C197=0,"Sija",IF($C197&gt;Data!$CP$2,"",ROUND(Tulokset!$D197,0)))))</f>
        <v>1</v>
      </c>
      <c r="F197" s="78" t="str">
        <f ca="1">IF($B197&gt;keilatut,"",IF($C197=(-1),"",IF($C197=0,"Nimi",IF($C197&gt;Data!$CP$2,"",OFFSET(tulossiirtymä,MATCH($D197,Data!$AN$2:$AN$313,0),Tulokset!F$2)))))</f>
        <v>Miika Nordblad</v>
      </c>
      <c r="G197" s="78">
        <f ca="1">IF($B197&gt;keilatut,"",IF($C197=(-1),"",IF($C197=0,"Sarja 1",IF($C197&gt;Data!$CP$2,"",OFFSET(tulossiirtymä,MATCH($D197,Data!$AN$2:$AN$313,0),Tulokset!G$2)))))</f>
        <v>161</v>
      </c>
      <c r="H197" s="78">
        <f ca="1">IF($B197&gt;keilatut,"",IF($C197=(-1),"",IF($C197=0,"Sarja 2",IF($C197&gt;Data!$CP$2,"",OFFSET(tulossiirtymä,MATCH($D197,Data!$AN$2:$AN$313,0),Tulokset!H$2)))))</f>
        <v>182</v>
      </c>
      <c r="I197" s="78">
        <f ca="1">IF($B197&gt;keilatut,"",IF($C197=(-1),"",IF($C197=0,"Yhteensä",IF($C197&gt;Data!$CP$2,"",OFFSET(tulossiirtymä,MATCH($D197,Data!$AN$2:$AN$313,0),Tulokset!I$2)))))</f>
        <v>343</v>
      </c>
      <c r="J197" s="78" t="str">
        <f ca="1">IF($B197&gt;keilatut,"",IF($C197=(-1),"",IF($C197=0,"Ero voittajaan",IF($C197&gt;Data!$CP$2,"",OFFSET(tulossiirtymä,MATCH($D197,Data!$AN$2:$AN$313,0),Tulokset!J$2)))))</f>
        <v/>
      </c>
      <c r="K197" s="78">
        <f ca="1">IF($B197&gt;keilatut,"",IF($C197=(-1),"",IF($C197=0,"Pisteet",IF($C197&gt;Data!$CP$2,"",OFFSET(tulossiirtymä,MATCH($D197,Data!$AN$2:$AN$313,0),Tulokset!K$2)))))</f>
        <v>12</v>
      </c>
      <c r="L197" s="78">
        <f ca="1">IF($B197&gt;keilatut,"",IF($C197=(-1),"",IF($C197=0,"Pisteet yhteensä",IF($C197&gt;Data!$CP$2,"",OFFSET(tulossiirtymä,MATCH($D197,Data!$AN$2:$AN$313,0),Tulokset!L$2)))))</f>
        <v>62</v>
      </c>
      <c r="M197" s="78" t="str">
        <f ca="1">IF($B197&gt;keilatut,"",IF($C197=(-1),"",IF($C197=0,"Pisteseloste",IF($C197&gt;Data!$CP$2,"",OFFSET(tulossiirtymä,MATCH($D197,Data!$AN$2:$AN$313,0),Tulokset!M$2)))))</f>
        <v>+SP</v>
      </c>
    </row>
    <row r="198" spans="2:13" x14ac:dyDescent="0.25">
      <c r="B198" s="78">
        <f t="shared" si="3"/>
        <v>8</v>
      </c>
      <c r="C198" s="78">
        <f>COUNTIF($B$6:B198,B198)-2</f>
        <v>2</v>
      </c>
      <c r="D198" s="79">
        <f t="array" ref="D198">IF($B198&lt;=keilatut,IF($C198&lt;1,"",IF($C198&gt;Data!$CP$2,"",SMALL(IF(Data!$B$2:$B$313=Tulokset!$B198,Data!$AN$2:$AN$313),Tulokset!$C198))),"")</f>
        <v>2.0001350000000002</v>
      </c>
      <c r="E198" s="78">
        <f>IF($B198&gt;keilatut,"",IF($C198=(-1),"GP"&amp;$B198&amp;", "&amp;DAY(VLOOKUP($B198,kilpailukalenteri,2))&amp;"."&amp;MONTH(VLOOKUP($B198,kilpailukalenteri,2))&amp;"."&amp;YEAR(VLOOKUP($B198,kilpailukalenteri,2))&amp;", "&amp;IF(RIGHT(VLOOKUP($B198,kilpailukalenteri,4),1)="*",LEFT(VLOOKUP($B198,kilpailukalenteri,4),LEN(VLOOKUP($B198,kilpailukalenteri,4))-2)&amp;", Kultainen GP",VLOOKUP($B198,kilpailukalenteri,4)),IF($C198=0,"Sija",IF($C198&gt;Data!$CP$2,"",ROUND(Tulokset!$D198,0)))))</f>
        <v>2</v>
      </c>
      <c r="F198" s="78" t="str">
        <f ca="1">IF($B198&gt;keilatut,"",IF($C198=(-1),"",IF($C198=0,"Nimi",IF($C198&gt;Data!$CP$2,"",OFFSET(tulossiirtymä,MATCH($D198,Data!$AN$2:$AN$313,0),Tulokset!F$2)))))</f>
        <v>Ossi Oksa</v>
      </c>
      <c r="G198" s="78">
        <f ca="1">IF($B198&gt;keilatut,"",IF($C198=(-1),"",IF($C198=0,"Sarja 1",IF($C198&gt;Data!$CP$2,"",OFFSET(tulossiirtymä,MATCH($D198,Data!$AN$2:$AN$313,0),Tulokset!G$2)))))</f>
        <v>171</v>
      </c>
      <c r="H198" s="78">
        <f ca="1">IF($B198&gt;keilatut,"",IF($C198=(-1),"",IF($C198=0,"Sarja 2",IF($C198&gt;Data!$CP$2,"",OFFSET(tulossiirtymä,MATCH($D198,Data!$AN$2:$AN$313,0),Tulokset!H$2)))))</f>
        <v>148</v>
      </c>
      <c r="I198" s="78">
        <f ca="1">IF($B198&gt;keilatut,"",IF($C198=(-1),"",IF($C198=0,"Yhteensä",IF($C198&gt;Data!$CP$2,"",OFFSET(tulossiirtymä,MATCH($D198,Data!$AN$2:$AN$313,0),Tulokset!I$2)))))</f>
        <v>319</v>
      </c>
      <c r="J198" s="78">
        <f ca="1">IF($B198&gt;keilatut,"",IF($C198=(-1),"",IF($C198=0,"Ero voittajaan",IF($C198&gt;Data!$CP$2,"",OFFSET(tulossiirtymä,MATCH($D198,Data!$AN$2:$AN$313,0),Tulokset!J$2)))))</f>
        <v>24</v>
      </c>
      <c r="K198" s="78">
        <f ca="1">IF($B198&gt;keilatut,"",IF($C198=(-1),"",IF($C198=0,"Pisteet",IF($C198&gt;Data!$CP$2,"",OFFSET(tulossiirtymä,MATCH($D198,Data!$AN$2:$AN$313,0),Tulokset!K$2)))))</f>
        <v>10</v>
      </c>
      <c r="L198" s="78">
        <f ca="1">IF($B198&gt;keilatut,"",IF($C198=(-1),"",IF($C198=0,"Pisteet yhteensä",IF($C198&gt;Data!$CP$2,"",OFFSET(tulossiirtymä,MATCH($D198,Data!$AN$2:$AN$313,0),Tulokset!L$2)))))</f>
        <v>45.5</v>
      </c>
      <c r="M198" s="78" t="str">
        <f ca="1">IF($B198&gt;keilatut,"",IF($C198=(-1),"",IF($C198=0,"Pisteseloste",IF($C198&gt;Data!$CP$2,"",OFFSET(tulossiirtymä,MATCH($D198,Data!$AN$2:$AN$313,0),Tulokset!M$2)))))</f>
        <v>+SP</v>
      </c>
    </row>
    <row r="199" spans="2:13" x14ac:dyDescent="0.25">
      <c r="B199" s="78">
        <f t="shared" si="3"/>
        <v>8</v>
      </c>
      <c r="C199" s="78">
        <f>COUNTIF($B$6:B199,B199)-2</f>
        <v>3</v>
      </c>
      <c r="D199" s="79">
        <f t="array" ref="D199">IF($B199&lt;=keilatut,IF($C199&lt;1,"",IF($C199&gt;Data!$CP$2,"",SMALL(IF(Data!$B$2:$B$313=Tulokset!$B199,Data!$AN$2:$AN$313),Tulokset!$C199))),"")</f>
        <v>3.0001389999999999</v>
      </c>
      <c r="E199" s="78">
        <f>IF($B199&gt;keilatut,"",IF($C199=(-1),"GP"&amp;$B199&amp;", "&amp;DAY(VLOOKUP($B199,kilpailukalenteri,2))&amp;"."&amp;MONTH(VLOOKUP($B199,kilpailukalenteri,2))&amp;"."&amp;YEAR(VLOOKUP($B199,kilpailukalenteri,2))&amp;", "&amp;IF(RIGHT(VLOOKUP($B199,kilpailukalenteri,4),1)="*",LEFT(VLOOKUP($B199,kilpailukalenteri,4),LEN(VLOOKUP($B199,kilpailukalenteri,4))-2)&amp;", Kultainen GP",VLOOKUP($B199,kilpailukalenteri,4)),IF($C199=0,"Sija",IF($C199&gt;Data!$CP$2,"",ROUND(Tulokset!$D199,0)))))</f>
        <v>3</v>
      </c>
      <c r="F199" s="78" t="str">
        <f ca="1">IF($B199&gt;keilatut,"",IF($C199=(-1),"",IF($C199=0,"Nimi",IF($C199&gt;Data!$CP$2,"",OFFSET(tulossiirtymä,MATCH($D199,Data!$AN$2:$AN$313,0),Tulokset!F$2)))))</f>
        <v>Mika Sola</v>
      </c>
      <c r="G199" s="78">
        <f ca="1">IF($B199&gt;keilatut,"",IF($C199=(-1),"",IF($C199=0,"Sarja 1",IF($C199&gt;Data!$CP$2,"",OFFSET(tulossiirtymä,MATCH($D199,Data!$AN$2:$AN$313,0),Tulokset!G$2)))))</f>
        <v>115</v>
      </c>
      <c r="H199" s="78">
        <f ca="1">IF($B199&gt;keilatut,"",IF($C199=(-1),"",IF($C199=0,"Sarja 2",IF($C199&gt;Data!$CP$2,"",OFFSET(tulossiirtymä,MATCH($D199,Data!$AN$2:$AN$313,0),Tulokset!H$2)))))</f>
        <v>203</v>
      </c>
      <c r="I199" s="78">
        <f ca="1">IF($B199&gt;keilatut,"",IF($C199=(-1),"",IF($C199=0,"Yhteensä",IF($C199&gt;Data!$CP$2,"",OFFSET(tulossiirtymä,MATCH($D199,Data!$AN$2:$AN$313,0),Tulokset!I$2)))))</f>
        <v>318</v>
      </c>
      <c r="J199" s="78">
        <f ca="1">IF($B199&gt;keilatut,"",IF($C199=(-1),"",IF($C199=0,"Ero voittajaan",IF($C199&gt;Data!$CP$2,"",OFFSET(tulossiirtymä,MATCH($D199,Data!$AN$2:$AN$313,0),Tulokset!J$2)))))</f>
        <v>25</v>
      </c>
      <c r="K199" s="78">
        <f ca="1">IF($B199&gt;keilatut,"",IF($C199=(-1),"",IF($C199=0,"Pisteet",IF($C199&gt;Data!$CP$2,"",OFFSET(tulossiirtymä,MATCH($D199,Data!$AN$2:$AN$313,0),Tulokset!K$2)))))</f>
        <v>8</v>
      </c>
      <c r="L199" s="78">
        <f ca="1">IF($B199&gt;keilatut,"",IF($C199=(-1),"",IF($C199=0,"Pisteet yhteensä",IF($C199&gt;Data!$CP$2,"",OFFSET(tulossiirtymä,MATCH($D199,Data!$AN$2:$AN$313,0),Tulokset!L$2)))))</f>
        <v>37</v>
      </c>
      <c r="M199" s="78" t="str">
        <f ca="1">IF($B199&gt;keilatut,"",IF($C199=(-1),"",IF($C199=0,"Pisteseloste",IF($C199&gt;Data!$CP$2,"",OFFSET(tulossiirtymä,MATCH($D199,Data!$AN$2:$AN$313,0),Tulokset!M$2)))))</f>
        <v>+SP</v>
      </c>
    </row>
    <row r="200" spans="2:13" x14ac:dyDescent="0.25">
      <c r="B200" s="78">
        <f t="shared" si="3"/>
        <v>8</v>
      </c>
      <c r="C200" s="78">
        <f>COUNTIF($B$6:B200,B200)-2</f>
        <v>4</v>
      </c>
      <c r="D200" s="79">
        <f t="array" ref="D200">IF($B200&lt;=keilatut,IF($C200&lt;1,"",IF($C200&gt;Data!$CP$2,"",SMALL(IF(Data!$B$2:$B$313=Tulokset!$B200,Data!$AN$2:$AN$313),Tulokset!$C200))),"")</f>
        <v>4.0001290000000003</v>
      </c>
      <c r="E200" s="78">
        <f>IF($B200&gt;keilatut,"",IF($C200=(-1),"GP"&amp;$B200&amp;", "&amp;DAY(VLOOKUP($B200,kilpailukalenteri,2))&amp;"."&amp;MONTH(VLOOKUP($B200,kilpailukalenteri,2))&amp;"."&amp;YEAR(VLOOKUP($B200,kilpailukalenteri,2))&amp;", "&amp;IF(RIGHT(VLOOKUP($B200,kilpailukalenteri,4),1)="*",LEFT(VLOOKUP($B200,kilpailukalenteri,4),LEN(VLOOKUP($B200,kilpailukalenteri,4))-2)&amp;", Kultainen GP",VLOOKUP($B200,kilpailukalenteri,4)),IF($C200=0,"Sija",IF($C200&gt;Data!$CP$2,"",ROUND(Tulokset!$D200,0)))))</f>
        <v>4</v>
      </c>
      <c r="F200" s="78" t="str">
        <f ca="1">IF($B200&gt;keilatut,"",IF($C200=(-1),"",IF($C200=0,"Nimi",IF($C200&gt;Data!$CP$2,"",OFFSET(tulossiirtymä,MATCH($D200,Data!$AN$2:$AN$313,0),Tulokset!F$2)))))</f>
        <v>Roope Warro</v>
      </c>
      <c r="G200" s="78">
        <f ca="1">IF($B200&gt;keilatut,"",IF($C200=(-1),"",IF($C200=0,"Sarja 1",IF($C200&gt;Data!$CP$2,"",OFFSET(tulossiirtymä,MATCH($D200,Data!$AN$2:$AN$313,0),Tulokset!G$2)))))</f>
        <v>156</v>
      </c>
      <c r="H200" s="78">
        <f ca="1">IF($B200&gt;keilatut,"",IF($C200=(-1),"",IF($C200=0,"Sarja 2",IF($C200&gt;Data!$CP$2,"",OFFSET(tulossiirtymä,MATCH($D200,Data!$AN$2:$AN$313,0),Tulokset!H$2)))))</f>
        <v>151</v>
      </c>
      <c r="I200" s="78">
        <f ca="1">IF($B200&gt;keilatut,"",IF($C200=(-1),"",IF($C200=0,"Yhteensä",IF($C200&gt;Data!$CP$2,"",OFFSET(tulossiirtymä,MATCH($D200,Data!$AN$2:$AN$313,0),Tulokset!I$2)))))</f>
        <v>307</v>
      </c>
      <c r="J200" s="78">
        <f ca="1">IF($B200&gt;keilatut,"",IF($C200=(-1),"",IF($C200=0,"Ero voittajaan",IF($C200&gt;Data!$CP$2,"",OFFSET(tulossiirtymä,MATCH($D200,Data!$AN$2:$AN$313,0),Tulokset!J$2)))))</f>
        <v>36</v>
      </c>
      <c r="K200" s="78">
        <f ca="1">IF($B200&gt;keilatut,"",IF($C200=(-1),"",IF($C200=0,"Pisteet",IF($C200&gt;Data!$CP$2,"",OFFSET(tulossiirtymä,MATCH($D200,Data!$AN$2:$AN$313,0),Tulokset!K$2)))))</f>
        <v>7</v>
      </c>
      <c r="L200" s="78">
        <f ca="1">IF($B200&gt;keilatut,"",IF($C200=(-1),"",IF($C200=0,"Pisteet yhteensä",IF($C200&gt;Data!$CP$2,"",OFFSET(tulossiirtymä,MATCH($D200,Data!$AN$2:$AN$313,0),Tulokset!L$2)))))</f>
        <v>11</v>
      </c>
      <c r="M200" s="78" t="str">
        <f ca="1">IF($B200&gt;keilatut,"",IF($C200=(-1),"",IF($C200=0,"Pisteseloste",IF($C200&gt;Data!$CP$2,"",OFFSET(tulossiirtymä,MATCH($D200,Data!$AN$2:$AN$313,0),Tulokset!M$2)))))</f>
        <v>+SP</v>
      </c>
    </row>
    <row r="201" spans="2:13" x14ac:dyDescent="0.25">
      <c r="B201" s="78">
        <f t="shared" si="3"/>
        <v>8</v>
      </c>
      <c r="C201" s="78">
        <f>COUNTIF($B$6:B201,B201)-2</f>
        <v>5</v>
      </c>
      <c r="D201" s="79">
        <f t="array" ref="D201">IF($B201&lt;=keilatut,IF($C201&lt;1,"",IF($C201&gt;Data!$CP$2,"",SMALL(IF(Data!$B$2:$B$313=Tulokset!$B201,Data!$AN$2:$AN$313),Tulokset!$C201))),"")</f>
        <v>5.0001309999999997</v>
      </c>
      <c r="E201" s="78">
        <f>IF($B201&gt;keilatut,"",IF($C201=(-1),"GP"&amp;$B201&amp;", "&amp;DAY(VLOOKUP($B201,kilpailukalenteri,2))&amp;"."&amp;MONTH(VLOOKUP($B201,kilpailukalenteri,2))&amp;"."&amp;YEAR(VLOOKUP($B201,kilpailukalenteri,2))&amp;", "&amp;IF(RIGHT(VLOOKUP($B201,kilpailukalenteri,4),1)="*",LEFT(VLOOKUP($B201,kilpailukalenteri,4),LEN(VLOOKUP($B201,kilpailukalenteri,4))-2)&amp;", Kultainen GP",VLOOKUP($B201,kilpailukalenteri,4)),IF($C201=0,"Sija",IF($C201&gt;Data!$CP$2,"",ROUND(Tulokset!$D201,0)))))</f>
        <v>5</v>
      </c>
      <c r="F201" s="78" t="str">
        <f ca="1">IF($B201&gt;keilatut,"",IF($C201=(-1),"",IF($C201=0,"Nimi",IF($C201&gt;Data!$CP$2,"",OFFSET(tulossiirtymä,MATCH($D201,Data!$AN$2:$AN$313,0),Tulokset!F$2)))))</f>
        <v>Jami Kallio</v>
      </c>
      <c r="G201" s="78">
        <f ca="1">IF($B201&gt;keilatut,"",IF($C201=(-1),"",IF($C201=0,"Sarja 1",IF($C201&gt;Data!$CP$2,"",OFFSET(tulossiirtymä,MATCH($D201,Data!$AN$2:$AN$313,0),Tulokset!G$2)))))</f>
        <v>123</v>
      </c>
      <c r="H201" s="78">
        <f ca="1">IF($B201&gt;keilatut,"",IF($C201=(-1),"",IF($C201=0,"Sarja 2",IF($C201&gt;Data!$CP$2,"",OFFSET(tulossiirtymä,MATCH($D201,Data!$AN$2:$AN$313,0),Tulokset!H$2)))))</f>
        <v>171</v>
      </c>
      <c r="I201" s="78">
        <f ca="1">IF($B201&gt;keilatut,"",IF($C201=(-1),"",IF($C201=0,"Yhteensä",IF($C201&gt;Data!$CP$2,"",OFFSET(tulossiirtymä,MATCH($D201,Data!$AN$2:$AN$313,0),Tulokset!I$2)))))</f>
        <v>294</v>
      </c>
      <c r="J201" s="78">
        <f ca="1">IF($B201&gt;keilatut,"",IF($C201=(-1),"",IF($C201=0,"Ero voittajaan",IF($C201&gt;Data!$CP$2,"",OFFSET(tulossiirtymä,MATCH($D201,Data!$AN$2:$AN$313,0),Tulokset!J$2)))))</f>
        <v>49</v>
      </c>
      <c r="K201" s="78">
        <f ca="1">IF($B201&gt;keilatut,"",IF($C201=(-1),"",IF($C201=0,"Pisteet",IF($C201&gt;Data!$CP$2,"",OFFSET(tulossiirtymä,MATCH($D201,Data!$AN$2:$AN$313,0),Tulokset!K$2)))))</f>
        <v>7</v>
      </c>
      <c r="L201" s="78">
        <f ca="1">IF($B201&gt;keilatut,"",IF($C201=(-1),"",IF($C201=0,"Pisteet yhteensä",IF($C201&gt;Data!$CP$2,"",OFFSET(tulossiirtymä,MATCH($D201,Data!$AN$2:$AN$313,0),Tulokset!L$2)))))</f>
        <v>64</v>
      </c>
      <c r="M201" s="78" t="str">
        <f ca="1">IF($B201&gt;keilatut,"",IF($C201=(-1),"",IF($C201=0,"Pisteseloste",IF($C201&gt;Data!$CP$2,"",OFFSET(tulossiirtymä,MATCH($D201,Data!$AN$2:$AN$313,0),Tulokset!M$2)))))</f>
        <v>+SP+KK</v>
      </c>
    </row>
    <row r="202" spans="2:13" x14ac:dyDescent="0.25">
      <c r="B202" s="78">
        <f t="shared" si="3"/>
        <v>8</v>
      </c>
      <c r="C202" s="78">
        <f>COUNTIF($B$6:B202,B202)-2</f>
        <v>6</v>
      </c>
      <c r="D202" s="79">
        <f t="array" ref="D202">IF($B202&lt;=keilatut,IF($C202&lt;1,"",IF($C202&gt;Data!$CP$2,"",SMALL(IF(Data!$B$2:$B$313=Tulokset!$B202,Data!$AN$2:$AN$313),Tulokset!$C202))),"")</f>
        <v>6.00014</v>
      </c>
      <c r="E202" s="78">
        <f>IF($B202&gt;keilatut,"",IF($C202=(-1),"GP"&amp;$B202&amp;", "&amp;DAY(VLOOKUP($B202,kilpailukalenteri,2))&amp;"."&amp;MONTH(VLOOKUP($B202,kilpailukalenteri,2))&amp;"."&amp;YEAR(VLOOKUP($B202,kilpailukalenteri,2))&amp;", "&amp;IF(RIGHT(VLOOKUP($B202,kilpailukalenteri,4),1)="*",LEFT(VLOOKUP($B202,kilpailukalenteri,4),LEN(VLOOKUP($B202,kilpailukalenteri,4))-2)&amp;", Kultainen GP",VLOOKUP($B202,kilpailukalenteri,4)),IF($C202=0,"Sija",IF($C202&gt;Data!$CP$2,"",ROUND(Tulokset!$D202,0)))))</f>
        <v>6</v>
      </c>
      <c r="F202" s="78" t="str">
        <f ca="1">IF($B202&gt;keilatut,"",IF($C202=(-1),"",IF($C202=0,"Nimi",IF($C202&gt;Data!$CP$2,"",OFFSET(tulossiirtymä,MATCH($D202,Data!$AN$2:$AN$313,0),Tulokset!F$2)))))</f>
        <v>Henri Verho</v>
      </c>
      <c r="G202" s="78">
        <f ca="1">IF($B202&gt;keilatut,"",IF($C202=(-1),"",IF($C202=0,"Sarja 1",IF($C202&gt;Data!$CP$2,"",OFFSET(tulossiirtymä,MATCH($D202,Data!$AN$2:$AN$313,0),Tulokset!G$2)))))</f>
        <v>138</v>
      </c>
      <c r="H202" s="78">
        <f ca="1">IF($B202&gt;keilatut,"",IF($C202=(-1),"",IF($C202=0,"Sarja 2",IF($C202&gt;Data!$CP$2,"",OFFSET(tulossiirtymä,MATCH($D202,Data!$AN$2:$AN$313,0),Tulokset!H$2)))))</f>
        <v>142</v>
      </c>
      <c r="I202" s="78">
        <f ca="1">IF($B202&gt;keilatut,"",IF($C202=(-1),"",IF($C202=0,"Yhteensä",IF($C202&gt;Data!$CP$2,"",OFFSET(tulossiirtymä,MATCH($D202,Data!$AN$2:$AN$313,0),Tulokset!I$2)))))</f>
        <v>280</v>
      </c>
      <c r="J202" s="78">
        <f ca="1">IF($B202&gt;keilatut,"",IF($C202=(-1),"",IF($C202=0,"Ero voittajaan",IF($C202&gt;Data!$CP$2,"",OFFSET(tulossiirtymä,MATCH($D202,Data!$AN$2:$AN$313,0),Tulokset!J$2)))))</f>
        <v>63</v>
      </c>
      <c r="K202" s="78">
        <f ca="1">IF($B202&gt;keilatut,"",IF($C202=(-1),"",IF($C202=0,"Pisteet",IF($C202&gt;Data!$CP$2,"",OFFSET(tulossiirtymä,MATCH($D202,Data!$AN$2:$AN$313,0),Tulokset!K$2)))))</f>
        <v>5</v>
      </c>
      <c r="L202" s="78">
        <f ca="1">IF($B202&gt;keilatut,"",IF($C202=(-1),"",IF($C202=0,"Pisteet yhteensä",IF($C202&gt;Data!$CP$2,"",OFFSET(tulossiirtymä,MATCH($D202,Data!$AN$2:$AN$313,0),Tulokset!L$2)))))</f>
        <v>45</v>
      </c>
      <c r="M202" s="78" t="str">
        <f ca="1">IF($B202&gt;keilatut,"",IF($C202=(-1),"",IF($C202=0,"Pisteseloste",IF($C202&gt;Data!$CP$2,"",OFFSET(tulossiirtymä,MATCH($D202,Data!$AN$2:$AN$313,0),Tulokset!M$2)))))</f>
        <v>+SP</v>
      </c>
    </row>
    <row r="203" spans="2:13" x14ac:dyDescent="0.25">
      <c r="B203" s="78">
        <f t="shared" si="3"/>
        <v>8</v>
      </c>
      <c r="C203" s="78">
        <f>COUNTIF($B$6:B203,B203)-2</f>
        <v>7</v>
      </c>
      <c r="D203" s="79">
        <f t="array" ref="D203">IF($B203&lt;=keilatut,IF($C203&lt;1,"",IF($C203&gt;Data!$CP$2,"",SMALL(IF(Data!$B$2:$B$313=Tulokset!$B203,Data!$AN$2:$AN$313),Tulokset!$C203))),"")</f>
        <v>7.000127</v>
      </c>
      <c r="E203" s="78">
        <f>IF($B203&gt;keilatut,"",IF($C203=(-1),"GP"&amp;$B203&amp;", "&amp;DAY(VLOOKUP($B203,kilpailukalenteri,2))&amp;"."&amp;MONTH(VLOOKUP($B203,kilpailukalenteri,2))&amp;"."&amp;YEAR(VLOOKUP($B203,kilpailukalenteri,2))&amp;", "&amp;IF(RIGHT(VLOOKUP($B203,kilpailukalenteri,4),1)="*",LEFT(VLOOKUP($B203,kilpailukalenteri,4),LEN(VLOOKUP($B203,kilpailukalenteri,4))-2)&amp;", Kultainen GP",VLOOKUP($B203,kilpailukalenteri,4)),IF($C203=0,"Sija",IF($C203&gt;Data!$CP$2,"",ROUND(Tulokset!$D203,0)))))</f>
        <v>7</v>
      </c>
      <c r="F203" s="78" t="str">
        <f ca="1">IF($B203&gt;keilatut,"",IF($C203=(-1),"",IF($C203=0,"Nimi",IF($C203&gt;Data!$CP$2,"",OFFSET(tulossiirtymä,MATCH($D203,Data!$AN$2:$AN$313,0),Tulokset!F$2)))))</f>
        <v>Juho Korpi</v>
      </c>
      <c r="G203" s="78">
        <f ca="1">IF($B203&gt;keilatut,"",IF($C203=(-1),"",IF($C203=0,"Sarja 1",IF($C203&gt;Data!$CP$2,"",OFFSET(tulossiirtymä,MATCH($D203,Data!$AN$2:$AN$313,0),Tulokset!G$2)))))</f>
        <v>168</v>
      </c>
      <c r="H203" s="78">
        <f ca="1">IF($B203&gt;keilatut,"",IF($C203=(-1),"",IF($C203=0,"Sarja 2",IF($C203&gt;Data!$CP$2,"",OFFSET(tulossiirtymä,MATCH($D203,Data!$AN$2:$AN$313,0),Tulokset!H$2)))))</f>
        <v>107</v>
      </c>
      <c r="I203" s="78">
        <f ca="1">IF($B203&gt;keilatut,"",IF($C203=(-1),"",IF($C203=0,"Yhteensä",IF($C203&gt;Data!$CP$2,"",OFFSET(tulossiirtymä,MATCH($D203,Data!$AN$2:$AN$313,0),Tulokset!I$2)))))</f>
        <v>275</v>
      </c>
      <c r="J203" s="78">
        <f ca="1">IF($B203&gt;keilatut,"",IF($C203=(-1),"",IF($C203=0,"Ero voittajaan",IF($C203&gt;Data!$CP$2,"",OFFSET(tulossiirtymä,MATCH($D203,Data!$AN$2:$AN$313,0),Tulokset!J$2)))))</f>
        <v>68</v>
      </c>
      <c r="K203" s="78">
        <f ca="1">IF($B203&gt;keilatut,"",IF($C203=(-1),"",IF($C203=0,"Pisteet",IF($C203&gt;Data!$CP$2,"",OFFSET(tulossiirtymä,MATCH($D203,Data!$AN$2:$AN$313,0),Tulokset!K$2)))))</f>
        <v>4</v>
      </c>
      <c r="L203" s="78">
        <f ca="1">IF($B203&gt;keilatut,"",IF($C203=(-1),"",IF($C203=0,"Pisteet yhteensä",IF($C203&gt;Data!$CP$2,"",OFFSET(tulossiirtymä,MATCH($D203,Data!$AN$2:$AN$313,0),Tulokset!L$2)))))</f>
        <v>23</v>
      </c>
      <c r="M203" s="78" t="str">
        <f ca="1">IF($B203&gt;keilatut,"",IF($C203=(-1),"",IF($C203=0,"Pisteseloste",IF($C203&gt;Data!$CP$2,"",OFFSET(tulossiirtymä,MATCH($D203,Data!$AN$2:$AN$313,0),Tulokset!M$2)))))</f>
        <v>+SP</v>
      </c>
    </row>
    <row r="204" spans="2:13" x14ac:dyDescent="0.25">
      <c r="B204" s="78">
        <f t="shared" si="3"/>
        <v>8</v>
      </c>
      <c r="C204" s="78">
        <f>COUNTIF($B$6:B204,B204)-2</f>
        <v>8</v>
      </c>
      <c r="D204" s="79">
        <f t="array" ref="D204">IF($B204&lt;=keilatut,IF($C204&lt;1,"",IF($C204&gt;Data!$CP$2,"",SMALL(IF(Data!$B$2:$B$313=Tulokset!$B204,Data!$AN$2:$AN$313),Tulokset!$C204))),"")</f>
        <v>8.0001359999999995</v>
      </c>
      <c r="E204" s="78">
        <f>IF($B204&gt;keilatut,"",IF($C204=(-1),"GP"&amp;$B204&amp;", "&amp;DAY(VLOOKUP($B204,kilpailukalenteri,2))&amp;"."&amp;MONTH(VLOOKUP($B204,kilpailukalenteri,2))&amp;"."&amp;YEAR(VLOOKUP($B204,kilpailukalenteri,2))&amp;", "&amp;IF(RIGHT(VLOOKUP($B204,kilpailukalenteri,4),1)="*",LEFT(VLOOKUP($B204,kilpailukalenteri,4),LEN(VLOOKUP($B204,kilpailukalenteri,4))-2)&amp;", Kultainen GP",VLOOKUP($B204,kilpailukalenteri,4)),IF($C204=0,"Sija",IF($C204&gt;Data!$CP$2,"",ROUND(Tulokset!$D204,0)))))</f>
        <v>8</v>
      </c>
      <c r="F204" s="78" t="str">
        <f ca="1">IF($B204&gt;keilatut,"",IF($C204=(-1),"",IF($C204=0,"Nimi",IF($C204&gt;Data!$CP$2,"",OFFSET(tulossiirtymä,MATCH($D204,Data!$AN$2:$AN$313,0),Tulokset!F$2)))))</f>
        <v>Iiro Riikonen</v>
      </c>
      <c r="G204" s="78">
        <f ca="1">IF($B204&gt;keilatut,"",IF($C204=(-1),"",IF($C204=0,"Sarja 1",IF($C204&gt;Data!$CP$2,"",OFFSET(tulossiirtymä,MATCH($D204,Data!$AN$2:$AN$313,0),Tulokset!G$2)))))</f>
        <v>136</v>
      </c>
      <c r="H204" s="78">
        <f ca="1">IF($B204&gt;keilatut,"",IF($C204=(-1),"",IF($C204=0,"Sarja 2",IF($C204&gt;Data!$CP$2,"",OFFSET(tulossiirtymä,MATCH($D204,Data!$AN$2:$AN$313,0),Tulokset!H$2)))))</f>
        <v>128</v>
      </c>
      <c r="I204" s="78">
        <f ca="1">IF($B204&gt;keilatut,"",IF($C204=(-1),"",IF($C204=0,"Yhteensä",IF($C204&gt;Data!$CP$2,"",OFFSET(tulossiirtymä,MATCH($D204,Data!$AN$2:$AN$313,0),Tulokset!I$2)))))</f>
        <v>264</v>
      </c>
      <c r="J204" s="78">
        <f ca="1">IF($B204&gt;keilatut,"",IF($C204=(-1),"",IF($C204=0,"Ero voittajaan",IF($C204&gt;Data!$CP$2,"",OFFSET(tulossiirtymä,MATCH($D204,Data!$AN$2:$AN$313,0),Tulokset!J$2)))))</f>
        <v>79</v>
      </c>
      <c r="K204" s="78">
        <f ca="1">IF($B204&gt;keilatut,"",IF($C204=(-1),"",IF($C204=0,"Pisteet",IF($C204&gt;Data!$CP$2,"",OFFSET(tulossiirtymä,MATCH($D204,Data!$AN$2:$AN$313,0),Tulokset!K$2)))))</f>
        <v>3</v>
      </c>
      <c r="L204" s="78">
        <f ca="1">IF($B204&gt;keilatut,"",IF($C204=(-1),"",IF($C204=0,"Pisteet yhteensä",IF($C204&gt;Data!$CP$2,"",OFFSET(tulossiirtymä,MATCH($D204,Data!$AN$2:$AN$313,0),Tulokset!L$2)))))</f>
        <v>17</v>
      </c>
      <c r="M204" s="78" t="str">
        <f ca="1">IF($B204&gt;keilatut,"",IF($C204=(-1),"",IF($C204=0,"Pisteseloste",IF($C204&gt;Data!$CP$2,"",OFFSET(tulossiirtymä,MATCH($D204,Data!$AN$2:$AN$313,0),Tulokset!M$2)))))</f>
        <v>+SP</v>
      </c>
    </row>
    <row r="205" spans="2:13" x14ac:dyDescent="0.25">
      <c r="B205" s="78">
        <f t="shared" si="3"/>
        <v>8</v>
      </c>
      <c r="C205" s="78">
        <f>COUNTIF($B$6:B205,B205)-2</f>
        <v>9</v>
      </c>
      <c r="D205" s="79">
        <f t="array" ref="D205">IF($B205&lt;=keilatut,IF($C205&lt;1,"",IF($C205&gt;Data!$CP$2,"",SMALL(IF(Data!$B$2:$B$313=Tulokset!$B205,Data!$AN$2:$AN$313),Tulokset!$C205))),"")</f>
        <v>9.0001320000000007</v>
      </c>
      <c r="E205" s="78">
        <f>IF($B205&gt;keilatut,"",IF($C205=(-1),"GP"&amp;$B205&amp;", "&amp;DAY(VLOOKUP($B205,kilpailukalenteri,2))&amp;"."&amp;MONTH(VLOOKUP($B205,kilpailukalenteri,2))&amp;"."&amp;YEAR(VLOOKUP($B205,kilpailukalenteri,2))&amp;", "&amp;IF(RIGHT(VLOOKUP($B205,kilpailukalenteri,4),1)="*",LEFT(VLOOKUP($B205,kilpailukalenteri,4),LEN(VLOOKUP($B205,kilpailukalenteri,4))-2)&amp;", Kultainen GP",VLOOKUP($B205,kilpailukalenteri,4)),IF($C205=0,"Sija",IF($C205&gt;Data!$CP$2,"",ROUND(Tulokset!$D205,0)))))</f>
        <v>9</v>
      </c>
      <c r="F205" s="78" t="str">
        <f ca="1">IF($B205&gt;keilatut,"",IF($C205=(-1),"",IF($C205=0,"Nimi",IF($C205&gt;Data!$CP$2,"",OFFSET(tulossiirtymä,MATCH($D205,Data!$AN$2:$AN$313,0),Tulokset!F$2)))))</f>
        <v>Asko Haaksi</v>
      </c>
      <c r="G205" s="78">
        <f ca="1">IF($B205&gt;keilatut,"",IF($C205=(-1),"",IF($C205=0,"Sarja 1",IF($C205&gt;Data!$CP$2,"",OFFSET(tulossiirtymä,MATCH($D205,Data!$AN$2:$AN$313,0),Tulokset!G$2)))))</f>
        <v>131</v>
      </c>
      <c r="H205" s="78">
        <f ca="1">IF($B205&gt;keilatut,"",IF($C205=(-1),"",IF($C205=0,"Sarja 2",IF($C205&gt;Data!$CP$2,"",OFFSET(tulossiirtymä,MATCH($D205,Data!$AN$2:$AN$313,0),Tulokset!H$2)))))</f>
        <v>129</v>
      </c>
      <c r="I205" s="78">
        <f ca="1">IF($B205&gt;keilatut,"",IF($C205=(-1),"",IF($C205=0,"Yhteensä",IF($C205&gt;Data!$CP$2,"",OFFSET(tulossiirtymä,MATCH($D205,Data!$AN$2:$AN$313,0),Tulokset!I$2)))))</f>
        <v>260</v>
      </c>
      <c r="J205" s="78">
        <f ca="1">IF($B205&gt;keilatut,"",IF($C205=(-1),"",IF($C205=0,"Ero voittajaan",IF($C205&gt;Data!$CP$2,"",OFFSET(tulossiirtymä,MATCH($D205,Data!$AN$2:$AN$313,0),Tulokset!J$2)))))</f>
        <v>83</v>
      </c>
      <c r="K205" s="78">
        <f ca="1">IF($B205&gt;keilatut,"",IF($C205=(-1),"",IF($C205=0,"Pisteet",IF($C205&gt;Data!$CP$2,"",OFFSET(tulossiirtymä,MATCH($D205,Data!$AN$2:$AN$313,0),Tulokset!K$2)))))</f>
        <v>2</v>
      </c>
      <c r="L205" s="78">
        <f ca="1">IF($B205&gt;keilatut,"",IF($C205=(-1),"",IF($C205=0,"Pisteet yhteensä",IF($C205&gt;Data!$CP$2,"",OFFSET(tulossiirtymä,MATCH($D205,Data!$AN$2:$AN$313,0),Tulokset!L$2)))))</f>
        <v>27</v>
      </c>
      <c r="M205" s="78" t="str">
        <f ca="1">IF($B205&gt;keilatut,"",IF($C205=(-1),"",IF($C205=0,"Pisteseloste",IF($C205&gt;Data!$CP$2,"",OFFSET(tulossiirtymä,MATCH($D205,Data!$AN$2:$AN$313,0),Tulokset!M$2)))))</f>
        <v>+SP</v>
      </c>
    </row>
    <row r="206" spans="2:13" x14ac:dyDescent="0.25">
      <c r="B206" s="78">
        <f t="shared" si="3"/>
        <v>8</v>
      </c>
      <c r="C206" s="78">
        <f>COUNTIF($B$6:B206,B206)-2</f>
        <v>10</v>
      </c>
      <c r="D206" s="79">
        <f t="array" ref="D206">IF($B206&lt;=keilatut,IF($C206&lt;1,"",IF($C206&gt;Data!$CP$2,"",SMALL(IF(Data!$B$2:$B$313=Tulokset!$B206,Data!$AN$2:$AN$313),Tulokset!$C206))),"")</f>
        <v>10.000133999999999</v>
      </c>
      <c r="E206" s="78">
        <f>IF($B206&gt;keilatut,"",IF($C206=(-1),"GP"&amp;$B206&amp;", "&amp;DAY(VLOOKUP($B206,kilpailukalenteri,2))&amp;"."&amp;MONTH(VLOOKUP($B206,kilpailukalenteri,2))&amp;"."&amp;YEAR(VLOOKUP($B206,kilpailukalenteri,2))&amp;", "&amp;IF(RIGHT(VLOOKUP($B206,kilpailukalenteri,4),1)="*",LEFT(VLOOKUP($B206,kilpailukalenteri,4),LEN(VLOOKUP($B206,kilpailukalenteri,4))-2)&amp;", Kultainen GP",VLOOKUP($B206,kilpailukalenteri,4)),IF($C206=0,"Sija",IF($C206&gt;Data!$CP$2,"",ROUND(Tulokset!$D206,0)))))</f>
        <v>10</v>
      </c>
      <c r="F206" s="78" t="str">
        <f ca="1">IF($B206&gt;keilatut,"",IF($C206=(-1),"",IF($C206=0,"Nimi",IF($C206&gt;Data!$CP$2,"",OFFSET(tulossiirtymä,MATCH($D206,Data!$AN$2:$AN$313,0),Tulokset!F$2)))))</f>
        <v>Niko Reunanen</v>
      </c>
      <c r="G206" s="78">
        <f ca="1">IF($B206&gt;keilatut,"",IF($C206=(-1),"",IF($C206=0,"Sarja 1",IF($C206&gt;Data!$CP$2,"",OFFSET(tulossiirtymä,MATCH($D206,Data!$AN$2:$AN$313,0),Tulokset!G$2)))))</f>
        <v>118</v>
      </c>
      <c r="H206" s="78">
        <f ca="1">IF($B206&gt;keilatut,"",IF($C206=(-1),"",IF($C206=0,"Sarja 2",IF($C206&gt;Data!$CP$2,"",OFFSET(tulossiirtymä,MATCH($D206,Data!$AN$2:$AN$313,0),Tulokset!H$2)))))</f>
        <v>124</v>
      </c>
      <c r="I206" s="78">
        <f ca="1">IF($B206&gt;keilatut,"",IF($C206=(-1),"",IF($C206=0,"Yhteensä",IF($C206&gt;Data!$CP$2,"",OFFSET(tulossiirtymä,MATCH($D206,Data!$AN$2:$AN$313,0),Tulokset!I$2)))))</f>
        <v>242</v>
      </c>
      <c r="J206" s="78">
        <f ca="1">IF($B206&gt;keilatut,"",IF($C206=(-1),"",IF($C206=0,"Ero voittajaan",IF($C206&gt;Data!$CP$2,"",OFFSET(tulossiirtymä,MATCH($D206,Data!$AN$2:$AN$313,0),Tulokset!J$2)))))</f>
        <v>101</v>
      </c>
      <c r="K206" s="78">
        <f ca="1">IF($B206&gt;keilatut,"",IF($C206=(-1),"",IF($C206=0,"Pisteet",IF($C206&gt;Data!$CP$2,"",OFFSET(tulossiirtymä,MATCH($D206,Data!$AN$2:$AN$313,0),Tulokset!K$2)))))</f>
        <v>1</v>
      </c>
      <c r="L206" s="78">
        <f ca="1">IF($B206&gt;keilatut,"",IF($C206=(-1),"",IF($C206=0,"Pisteet yhteensä",IF($C206&gt;Data!$CP$2,"",OFFSET(tulossiirtymä,MATCH($D206,Data!$AN$2:$AN$313,0),Tulokset!L$2)))))</f>
        <v>27</v>
      </c>
      <c r="M206" s="78" t="str">
        <f ca="1">IF($B206&gt;keilatut,"",IF($C206=(-1),"",IF($C206=0,"Pisteseloste",IF($C206&gt;Data!$CP$2,"",OFFSET(tulossiirtymä,MATCH($D206,Data!$AN$2:$AN$313,0),Tulokset!M$2)))))</f>
        <v>+SP</v>
      </c>
    </row>
    <row r="207" spans="2:13" x14ac:dyDescent="0.25">
      <c r="B207" s="78">
        <f t="shared" si="3"/>
        <v>8</v>
      </c>
      <c r="C207" s="78">
        <f>COUNTIF($B$6:B207,B207)-2</f>
        <v>11</v>
      </c>
      <c r="D207" s="79">
        <f t="array" ref="D207">IF($B207&lt;=keilatut,IF($C207&lt;1,"",IF($C207&gt;Data!$CP$2,"",SMALL(IF(Data!$B$2:$B$313=Tulokset!$B207,Data!$AN$2:$AN$313),Tulokset!$C207))),"")</f>
        <v>11.000133</v>
      </c>
      <c r="E207" s="78">
        <f>IF($B207&gt;keilatut,"",IF($C207=(-1),"GP"&amp;$B207&amp;", "&amp;DAY(VLOOKUP($B207,kilpailukalenteri,2))&amp;"."&amp;MONTH(VLOOKUP($B207,kilpailukalenteri,2))&amp;"."&amp;YEAR(VLOOKUP($B207,kilpailukalenteri,2))&amp;", "&amp;IF(RIGHT(VLOOKUP($B207,kilpailukalenteri,4),1)="*",LEFT(VLOOKUP($B207,kilpailukalenteri,4),LEN(VLOOKUP($B207,kilpailukalenteri,4))-2)&amp;", Kultainen GP",VLOOKUP($B207,kilpailukalenteri,4)),IF($C207=0,"Sija",IF($C207&gt;Data!$CP$2,"",ROUND(Tulokset!$D207,0)))))</f>
        <v>11</v>
      </c>
      <c r="F207" s="78" t="str">
        <f ca="1">IF($B207&gt;keilatut,"",IF($C207=(-1),"",IF($C207=0,"Nimi",IF($C207&gt;Data!$CP$2,"",OFFSET(tulossiirtymä,MATCH($D207,Data!$AN$2:$AN$313,0),Tulokset!F$2)))))</f>
        <v>Joonas Ollonqvist</v>
      </c>
      <c r="G207" s="78">
        <f ca="1">IF($B207&gt;keilatut,"",IF($C207=(-1),"",IF($C207=0,"Sarja 1",IF($C207&gt;Data!$CP$2,"",OFFSET(tulossiirtymä,MATCH($D207,Data!$AN$2:$AN$313,0),Tulokset!G$2)))))</f>
        <v>80</v>
      </c>
      <c r="H207" s="78">
        <f ca="1">IF($B207&gt;keilatut,"",IF($C207=(-1),"",IF($C207=0,"Sarja 2",IF($C207&gt;Data!$CP$2,"",OFFSET(tulossiirtymä,MATCH($D207,Data!$AN$2:$AN$313,0),Tulokset!H$2)))))</f>
        <v>156</v>
      </c>
      <c r="I207" s="78">
        <f ca="1">IF($B207&gt;keilatut,"",IF($C207=(-1),"",IF($C207=0,"Yhteensä",IF($C207&gt;Data!$CP$2,"",OFFSET(tulossiirtymä,MATCH($D207,Data!$AN$2:$AN$313,0),Tulokset!I$2)))))</f>
        <v>236</v>
      </c>
      <c r="J207" s="78">
        <f ca="1">IF($B207&gt;keilatut,"",IF($C207=(-1),"",IF($C207=0,"Ero voittajaan",IF($C207&gt;Data!$CP$2,"",OFFSET(tulossiirtymä,MATCH($D207,Data!$AN$2:$AN$313,0),Tulokset!J$2)))))</f>
        <v>107</v>
      </c>
      <c r="K207" s="78">
        <f ca="1">IF($B207&gt;keilatut,"",IF($C207=(-1),"",IF($C207=0,"Pisteet",IF($C207&gt;Data!$CP$2,"",OFFSET(tulossiirtymä,MATCH($D207,Data!$AN$2:$AN$313,0),Tulokset!K$2)))))</f>
        <v>0</v>
      </c>
      <c r="L207" s="78">
        <f ca="1">IF($B207&gt;keilatut,"",IF($C207=(-1),"",IF($C207=0,"Pisteet yhteensä",IF($C207&gt;Data!$CP$2,"",OFFSET(tulossiirtymä,MATCH($D207,Data!$AN$2:$AN$313,0),Tulokset!L$2)))))</f>
        <v>1</v>
      </c>
      <c r="M207" s="78" t="str">
        <f ca="1">IF($B207&gt;keilatut,"",IF($C207=(-1),"",IF($C207=0,"Pisteseloste",IF($C207&gt;Data!$CP$2,"",OFFSET(tulossiirtymä,MATCH($D207,Data!$AN$2:$AN$313,0),Tulokset!M$2)))))</f>
        <v/>
      </c>
    </row>
    <row r="208" spans="2:13" x14ac:dyDescent="0.25">
      <c r="B208" s="78">
        <f t="shared" si="3"/>
        <v>8</v>
      </c>
      <c r="C208" s="78">
        <f>COUNTIF($B$6:B208,B208)-2</f>
        <v>12</v>
      </c>
      <c r="D208" s="79">
        <f t="array" ref="D208">IF($B208&lt;=keilatut,IF($C208&lt;1,"",IF($C208&gt;Data!$CP$2,"",SMALL(IF(Data!$B$2:$B$313=Tulokset!$B208,Data!$AN$2:$AN$313),Tulokset!$C208))),"")</f>
        <v>12.000128</v>
      </c>
      <c r="E208" s="78">
        <f>IF($B208&gt;keilatut,"",IF($C208=(-1),"GP"&amp;$B208&amp;", "&amp;DAY(VLOOKUP($B208,kilpailukalenteri,2))&amp;"."&amp;MONTH(VLOOKUP($B208,kilpailukalenteri,2))&amp;"."&amp;YEAR(VLOOKUP($B208,kilpailukalenteri,2))&amp;", "&amp;IF(RIGHT(VLOOKUP($B208,kilpailukalenteri,4),1)="*",LEFT(VLOOKUP($B208,kilpailukalenteri,4),LEN(VLOOKUP($B208,kilpailukalenteri,4))-2)&amp;", Kultainen GP",VLOOKUP($B208,kilpailukalenteri,4)),IF($C208=0,"Sija",IF($C208&gt;Data!$CP$2,"",ROUND(Tulokset!$D208,0)))))</f>
        <v>12</v>
      </c>
      <c r="F208" s="78" t="str">
        <f ca="1">IF($B208&gt;keilatut,"",IF($C208=(-1),"",IF($C208=0,"Nimi",IF($C208&gt;Data!$CP$2,"",OFFSET(tulossiirtymä,MATCH($D208,Data!$AN$2:$AN$313,0),Tulokset!F$2)))))</f>
        <v>Miikka Korventausta</v>
      </c>
      <c r="G208" s="78">
        <f ca="1">IF($B208&gt;keilatut,"",IF($C208=(-1),"",IF($C208=0,"Sarja 1",IF($C208&gt;Data!$CP$2,"",OFFSET(tulossiirtymä,MATCH($D208,Data!$AN$2:$AN$313,0),Tulokset!G$2)))))</f>
        <v>129</v>
      </c>
      <c r="H208" s="78">
        <f ca="1">IF($B208&gt;keilatut,"",IF($C208=(-1),"",IF($C208=0,"Sarja 2",IF($C208&gt;Data!$CP$2,"",OFFSET(tulossiirtymä,MATCH($D208,Data!$AN$2:$AN$313,0),Tulokset!H$2)))))</f>
        <v>104</v>
      </c>
      <c r="I208" s="78">
        <f ca="1">IF($B208&gt;keilatut,"",IF($C208=(-1),"",IF($C208=0,"Yhteensä",IF($C208&gt;Data!$CP$2,"",OFFSET(tulossiirtymä,MATCH($D208,Data!$AN$2:$AN$313,0),Tulokset!I$2)))))</f>
        <v>233</v>
      </c>
      <c r="J208" s="78">
        <f ca="1">IF($B208&gt;keilatut,"",IF($C208=(-1),"",IF($C208=0,"Ero voittajaan",IF($C208&gt;Data!$CP$2,"",OFFSET(tulossiirtymä,MATCH($D208,Data!$AN$2:$AN$313,0),Tulokset!J$2)))))</f>
        <v>110</v>
      </c>
      <c r="K208" s="78">
        <f ca="1">IF($B208&gt;keilatut,"",IF($C208=(-1),"",IF($C208=0,"Pisteet",IF($C208&gt;Data!$CP$2,"",OFFSET(tulossiirtymä,MATCH($D208,Data!$AN$2:$AN$313,0),Tulokset!K$2)))))</f>
        <v>0</v>
      </c>
      <c r="L208" s="78">
        <f ca="1">IF($B208&gt;keilatut,"",IF($C208=(-1),"",IF($C208=0,"Pisteet yhteensä",IF($C208&gt;Data!$CP$2,"",OFFSET(tulossiirtymä,MATCH($D208,Data!$AN$2:$AN$313,0),Tulokset!L$2)))))</f>
        <v>20</v>
      </c>
      <c r="M208" s="78" t="str">
        <f ca="1">IF($B208&gt;keilatut,"",IF($C208=(-1),"",IF($C208=0,"Pisteseloste",IF($C208&gt;Data!$CP$2,"",OFFSET(tulossiirtymä,MATCH($D208,Data!$AN$2:$AN$313,0),Tulokset!M$2)))))</f>
        <v/>
      </c>
    </row>
    <row r="209" spans="2:13" x14ac:dyDescent="0.25">
      <c r="B209" s="78">
        <f t="shared" si="3"/>
        <v>8</v>
      </c>
      <c r="C209" s="78">
        <f>COUNTIF($B$6:B209,B209)-2</f>
        <v>13</v>
      </c>
      <c r="D209" s="79">
        <f t="array" ref="D209">IF($B209&lt;=keilatut,IF($C209&lt;1,"",IF($C209&gt;Data!$CP$2,"",SMALL(IF(Data!$B$2:$B$313=Tulokset!$B209,Data!$AN$2:$AN$313),Tulokset!$C209))),"")</f>
        <v>13.000137</v>
      </c>
      <c r="E209" s="78">
        <f>IF($B209&gt;keilatut,"",IF($C209=(-1),"GP"&amp;$B209&amp;", "&amp;DAY(VLOOKUP($B209,kilpailukalenteri,2))&amp;"."&amp;MONTH(VLOOKUP($B209,kilpailukalenteri,2))&amp;"."&amp;YEAR(VLOOKUP($B209,kilpailukalenteri,2))&amp;", "&amp;IF(RIGHT(VLOOKUP($B209,kilpailukalenteri,4),1)="*",LEFT(VLOOKUP($B209,kilpailukalenteri,4),LEN(VLOOKUP($B209,kilpailukalenteri,4))-2)&amp;", Kultainen GP",VLOOKUP($B209,kilpailukalenteri,4)),IF($C209=0,"Sija",IF($C209&gt;Data!$CP$2,"",ROUND(Tulokset!$D209,0)))))</f>
        <v>13</v>
      </c>
      <c r="F209" s="78" t="str">
        <f ca="1">IF($B209&gt;keilatut,"",IF($C209=(-1),"",IF($C209=0,"Nimi",IF($C209&gt;Data!$CP$2,"",OFFSET(tulossiirtymä,MATCH($D209,Data!$AN$2:$AN$313,0),Tulokset!F$2)))))</f>
        <v>Mikko Mansikkamäki</v>
      </c>
      <c r="G209" s="78">
        <f ca="1">IF($B209&gt;keilatut,"",IF($C209=(-1),"",IF($C209=0,"Sarja 1",IF($C209&gt;Data!$CP$2,"",OFFSET(tulossiirtymä,MATCH($D209,Data!$AN$2:$AN$313,0),Tulokset!G$2)))))</f>
        <v>104</v>
      </c>
      <c r="H209" s="78">
        <f ca="1">IF($B209&gt;keilatut,"",IF($C209=(-1),"",IF($C209=0,"Sarja 2",IF($C209&gt;Data!$CP$2,"",OFFSET(tulossiirtymä,MATCH($D209,Data!$AN$2:$AN$313,0),Tulokset!H$2)))))</f>
        <v>124</v>
      </c>
      <c r="I209" s="78">
        <f ca="1">IF($B209&gt;keilatut,"",IF($C209=(-1),"",IF($C209=0,"Yhteensä",IF($C209&gt;Data!$CP$2,"",OFFSET(tulossiirtymä,MATCH($D209,Data!$AN$2:$AN$313,0),Tulokset!I$2)))))</f>
        <v>228</v>
      </c>
      <c r="J209" s="78">
        <f ca="1">IF($B209&gt;keilatut,"",IF($C209=(-1),"",IF($C209=0,"Ero voittajaan",IF($C209&gt;Data!$CP$2,"",OFFSET(tulossiirtymä,MATCH($D209,Data!$AN$2:$AN$313,0),Tulokset!J$2)))))</f>
        <v>115</v>
      </c>
      <c r="K209" s="78">
        <f ca="1">IF($B209&gt;keilatut,"",IF($C209=(-1),"",IF($C209=0,"Pisteet",IF($C209&gt;Data!$CP$2,"",OFFSET(tulossiirtymä,MATCH($D209,Data!$AN$2:$AN$313,0),Tulokset!K$2)))))</f>
        <v>0</v>
      </c>
      <c r="L209" s="78">
        <f ca="1">IF($B209&gt;keilatut,"",IF($C209=(-1),"",IF($C209=0,"Pisteet yhteensä",IF($C209&gt;Data!$CP$2,"",OFFSET(tulossiirtymä,MATCH($D209,Data!$AN$2:$AN$313,0),Tulokset!L$2)))))</f>
        <v>-1</v>
      </c>
      <c r="M209" s="78" t="str">
        <f ca="1">IF($B209&gt;keilatut,"",IF($C209=(-1),"",IF($C209=0,"Pisteseloste",IF($C209&gt;Data!$CP$2,"",OFFSET(tulossiirtymä,MATCH($D209,Data!$AN$2:$AN$313,0),Tulokset!M$2)))))</f>
        <v/>
      </c>
    </row>
    <row r="210" spans="2:13" x14ac:dyDescent="0.25">
      <c r="B210" s="78">
        <f t="shared" si="3"/>
        <v>8</v>
      </c>
      <c r="C210" s="78">
        <f>COUNTIF($B$6:B210,B210)-2</f>
        <v>14</v>
      </c>
      <c r="D210" s="79">
        <f t="array" ref="D210">IF($B210&lt;=keilatut,IF($C210&lt;1,"",IF($C210&gt;Data!$CP$2,"",SMALL(IF(Data!$B$2:$B$313=Tulokset!$B210,Data!$AN$2:$AN$313),Tulokset!$C210))),"")</f>
        <v>14.00013</v>
      </c>
      <c r="E210" s="78">
        <f>IF($B210&gt;keilatut,"",IF($C210=(-1),"GP"&amp;$B210&amp;", "&amp;DAY(VLOOKUP($B210,kilpailukalenteri,2))&amp;"."&amp;MONTH(VLOOKUP($B210,kilpailukalenteri,2))&amp;"."&amp;YEAR(VLOOKUP($B210,kilpailukalenteri,2))&amp;", "&amp;IF(RIGHT(VLOOKUP($B210,kilpailukalenteri,4),1)="*",LEFT(VLOOKUP($B210,kilpailukalenteri,4),LEN(VLOOKUP($B210,kilpailukalenteri,4))-2)&amp;", Kultainen GP",VLOOKUP($B210,kilpailukalenteri,4)),IF($C210=0,"Sija",IF($C210&gt;Data!$CP$2,"",ROUND(Tulokset!$D210,0)))))</f>
        <v>14</v>
      </c>
      <c r="F210" s="78" t="str">
        <f ca="1">IF($B210&gt;keilatut,"",IF($C210=(-1),"",IF($C210=0,"Nimi",IF($C210&gt;Data!$CP$2,"",OFFSET(tulossiirtymä,MATCH($D210,Data!$AN$2:$AN$313,0),Tulokset!F$2)))))</f>
        <v>Kaleva Latvala</v>
      </c>
      <c r="G210" s="78">
        <f ca="1">IF($B210&gt;keilatut,"",IF($C210=(-1),"",IF($C210=0,"Sarja 1",IF($C210&gt;Data!$CP$2,"",OFFSET(tulossiirtymä,MATCH($D210,Data!$AN$2:$AN$313,0),Tulokset!G$2)))))</f>
        <v>105</v>
      </c>
      <c r="H210" s="78">
        <f ca="1">IF($B210&gt;keilatut,"",IF($C210=(-1),"",IF($C210=0,"Sarja 2",IF($C210&gt;Data!$CP$2,"",OFFSET(tulossiirtymä,MATCH($D210,Data!$AN$2:$AN$313,0),Tulokset!H$2)))))</f>
        <v>111</v>
      </c>
      <c r="I210" s="78">
        <f ca="1">IF($B210&gt;keilatut,"",IF($C210=(-1),"",IF($C210=0,"Yhteensä",IF($C210&gt;Data!$CP$2,"",OFFSET(tulossiirtymä,MATCH($D210,Data!$AN$2:$AN$313,0),Tulokset!I$2)))))</f>
        <v>216</v>
      </c>
      <c r="J210" s="78">
        <f ca="1">IF($B210&gt;keilatut,"",IF($C210=(-1),"",IF($C210=0,"Ero voittajaan",IF($C210&gt;Data!$CP$2,"",OFFSET(tulossiirtymä,MATCH($D210,Data!$AN$2:$AN$313,0),Tulokset!J$2)))))</f>
        <v>127</v>
      </c>
      <c r="K210" s="78">
        <f ca="1">IF($B210&gt;keilatut,"",IF($C210=(-1),"",IF($C210=0,"Pisteet",IF($C210&gt;Data!$CP$2,"",OFFSET(tulossiirtymä,MATCH($D210,Data!$AN$2:$AN$313,0),Tulokset!K$2)))))</f>
        <v>0</v>
      </c>
      <c r="L210" s="78">
        <f ca="1">IF($B210&gt;keilatut,"",IF($C210=(-1),"",IF($C210=0,"Pisteet yhteensä",IF($C210&gt;Data!$CP$2,"",OFFSET(tulossiirtymä,MATCH($D210,Data!$AN$2:$AN$313,0),Tulokset!L$2)))))</f>
        <v>20</v>
      </c>
      <c r="M210" s="78" t="str">
        <f ca="1">IF($B210&gt;keilatut,"",IF($C210=(-1),"",IF($C210=0,"Pisteseloste",IF($C210&gt;Data!$CP$2,"",OFFSET(tulossiirtymä,MATCH($D210,Data!$AN$2:$AN$313,0),Tulokset!M$2)))))</f>
        <v/>
      </c>
    </row>
    <row r="211" spans="2:13" x14ac:dyDescent="0.25">
      <c r="B211" s="78">
        <f t="shared" si="3"/>
        <v>8</v>
      </c>
      <c r="C211" s="78">
        <f>COUNTIF($B$6:B211,B211)-2</f>
        <v>15</v>
      </c>
      <c r="D211" s="79">
        <f t="array" ref="D211">IF($B211&lt;=keilatut,IF($C211&lt;1,"",IF($C211&gt;Data!$CP$2,"",SMALL(IF(Data!$B$2:$B$313=Tulokset!$B211,Data!$AN$2:$AN$313),Tulokset!$C211))),"")</f>
        <v>15.000140999999999</v>
      </c>
      <c r="E211" s="78">
        <f>IF($B211&gt;keilatut,"",IF($C211=(-1),"GP"&amp;$B211&amp;", "&amp;DAY(VLOOKUP($B211,kilpailukalenteri,2))&amp;"."&amp;MONTH(VLOOKUP($B211,kilpailukalenteri,2))&amp;"."&amp;YEAR(VLOOKUP($B211,kilpailukalenteri,2))&amp;", "&amp;IF(RIGHT(VLOOKUP($B211,kilpailukalenteri,4),1)="*",LEFT(VLOOKUP($B211,kilpailukalenteri,4),LEN(VLOOKUP($B211,kilpailukalenteri,4))-2)&amp;", Kultainen GP",VLOOKUP($B211,kilpailukalenteri,4)),IF($C211=0,"Sija",IF($C211&gt;Data!$CP$2,"",ROUND(Tulokset!$D211,0)))))</f>
        <v>15</v>
      </c>
      <c r="F211" s="78" t="str">
        <f ca="1">IF($B211&gt;keilatut,"",IF($C211=(-1),"",IF($C211=0,"Nimi",IF($C211&gt;Data!$CP$2,"",OFFSET(tulossiirtymä,MATCH($D211,Data!$AN$2:$AN$313,0),Tulokset!F$2)))))</f>
        <v>Olli Kajava</v>
      </c>
      <c r="G211" s="78">
        <f ca="1">IF($B211&gt;keilatut,"",IF($C211=(-1),"",IF($C211=0,"Sarja 1",IF($C211&gt;Data!$CP$2,"",OFFSET(tulossiirtymä,MATCH($D211,Data!$AN$2:$AN$313,0),Tulokset!G$2)))))</f>
        <v>0</v>
      </c>
      <c r="H211" s="78">
        <f ca="1">IF($B211&gt;keilatut,"",IF($C211=(-1),"",IF($C211=0,"Sarja 2",IF($C211&gt;Data!$CP$2,"",OFFSET(tulossiirtymä,MATCH($D211,Data!$AN$2:$AN$313,0),Tulokset!H$2)))))</f>
        <v>0</v>
      </c>
      <c r="I211" s="78">
        <f ca="1">IF($B211&gt;keilatut,"",IF($C211=(-1),"",IF($C211=0,"Yhteensä",IF($C211&gt;Data!$CP$2,"",OFFSET(tulossiirtymä,MATCH($D211,Data!$AN$2:$AN$313,0),Tulokset!I$2)))))</f>
        <v>0</v>
      </c>
      <c r="J211" s="78" t="str">
        <f ca="1">IF($B211&gt;keilatut,"",IF($C211=(-1),"",IF($C211=0,"Ero voittajaan",IF($C211&gt;Data!$CP$2,"",OFFSET(tulossiirtymä,MATCH($D211,Data!$AN$2:$AN$313,0),Tulokset!J$2)))))</f>
        <v/>
      </c>
      <c r="K211" s="78">
        <f ca="1">IF($B211&gt;keilatut,"",IF($C211=(-1),"",IF($C211=0,"Pisteet",IF($C211&gt;Data!$CP$2,"",OFFSET(tulossiirtymä,MATCH($D211,Data!$AN$2:$AN$313,0),Tulokset!K$2)))))</f>
        <v>0</v>
      </c>
      <c r="L211" s="78">
        <f ca="1">IF($B211&gt;keilatut,"",IF($C211=(-1),"",IF($C211=0,"Pisteet yhteensä",IF($C211&gt;Data!$CP$2,"",OFFSET(tulossiirtymä,MATCH($D211,Data!$AN$2:$AN$313,0),Tulokset!L$2)))))</f>
        <v>19</v>
      </c>
      <c r="M211" s="78" t="str">
        <f ca="1">IF($B211&gt;keilatut,"",IF($C211=(-1),"",IF($C211=0,"Pisteseloste",IF($C211&gt;Data!$CP$2,"",OFFSET(tulossiirtymä,MATCH($D211,Data!$AN$2:$AN$313,0),Tulokset!M$2)))))</f>
        <v/>
      </c>
    </row>
    <row r="212" spans="2:13" x14ac:dyDescent="0.25">
      <c r="B212" s="78">
        <f t="shared" si="3"/>
        <v>8</v>
      </c>
      <c r="C212" s="78">
        <f>COUNTIF($B$6:B212,B212)-2</f>
        <v>16</v>
      </c>
      <c r="D212" s="79">
        <f t="array" ref="D212">IF($B212&lt;=keilatut,IF($C212&lt;1,"",IF($C212&gt;Data!$CP$2,"",SMALL(IF(Data!$B$2:$B$313=Tulokset!$B212,Data!$AN$2:$AN$313),Tulokset!$C212))),"")</f>
        <v>15.000142</v>
      </c>
      <c r="E212" s="78">
        <f>IF($B212&gt;keilatut,"",IF($C212=(-1),"GP"&amp;$B212&amp;", "&amp;DAY(VLOOKUP($B212,kilpailukalenteri,2))&amp;"."&amp;MONTH(VLOOKUP($B212,kilpailukalenteri,2))&amp;"."&amp;YEAR(VLOOKUP($B212,kilpailukalenteri,2))&amp;", "&amp;IF(RIGHT(VLOOKUP($B212,kilpailukalenteri,4),1)="*",LEFT(VLOOKUP($B212,kilpailukalenteri,4),LEN(VLOOKUP($B212,kilpailukalenteri,4))-2)&amp;", Kultainen GP",VLOOKUP($B212,kilpailukalenteri,4)),IF($C212=0,"Sija",IF($C212&gt;Data!$CP$2,"",ROUND(Tulokset!$D212,0)))))</f>
        <v>15</v>
      </c>
      <c r="F212" s="78" t="str">
        <f ca="1">IF($B212&gt;keilatut,"",IF($C212=(-1),"",IF($C212=0,"Nimi",IF($C212&gt;Data!$CP$2,"",OFFSET(tulossiirtymä,MATCH($D212,Data!$AN$2:$AN$313,0),Tulokset!F$2)))))</f>
        <v>Frans Hartman</v>
      </c>
      <c r="G212" s="78">
        <f ca="1">IF($B212&gt;keilatut,"",IF($C212=(-1),"",IF($C212=0,"Sarja 1",IF($C212&gt;Data!$CP$2,"",OFFSET(tulossiirtymä,MATCH($D212,Data!$AN$2:$AN$313,0),Tulokset!G$2)))))</f>
        <v>0</v>
      </c>
      <c r="H212" s="78">
        <f ca="1">IF($B212&gt;keilatut,"",IF($C212=(-1),"",IF($C212=0,"Sarja 2",IF($C212&gt;Data!$CP$2,"",OFFSET(tulossiirtymä,MATCH($D212,Data!$AN$2:$AN$313,0),Tulokset!H$2)))))</f>
        <v>0</v>
      </c>
      <c r="I212" s="78">
        <f ca="1">IF($B212&gt;keilatut,"",IF($C212=(-1),"",IF($C212=0,"Yhteensä",IF($C212&gt;Data!$CP$2,"",OFFSET(tulossiirtymä,MATCH($D212,Data!$AN$2:$AN$313,0),Tulokset!I$2)))))</f>
        <v>0</v>
      </c>
      <c r="J212" s="78" t="str">
        <f ca="1">IF($B212&gt;keilatut,"",IF($C212=(-1),"",IF($C212=0,"Ero voittajaan",IF($C212&gt;Data!$CP$2,"",OFFSET(tulossiirtymä,MATCH($D212,Data!$AN$2:$AN$313,0),Tulokset!J$2)))))</f>
        <v/>
      </c>
      <c r="K212" s="78">
        <f ca="1">IF($B212&gt;keilatut,"",IF($C212=(-1),"",IF($C212=0,"Pisteet",IF($C212&gt;Data!$CP$2,"",OFFSET(tulossiirtymä,MATCH($D212,Data!$AN$2:$AN$313,0),Tulokset!K$2)))))</f>
        <v>0</v>
      </c>
      <c r="L212" s="78">
        <f ca="1">IF($B212&gt;keilatut,"",IF($C212=(-1),"",IF($C212=0,"Pisteet yhteensä",IF($C212&gt;Data!$CP$2,"",OFFSET(tulossiirtymä,MATCH($D212,Data!$AN$2:$AN$313,0),Tulokset!L$2)))))</f>
        <v>32.5</v>
      </c>
      <c r="M212" s="78" t="str">
        <f ca="1">IF($B212&gt;keilatut,"",IF($C212=(-1),"",IF($C212=0,"Pisteseloste",IF($C212&gt;Data!$CP$2,"",OFFSET(tulossiirtymä,MATCH($D212,Data!$AN$2:$AN$313,0),Tulokset!M$2)))))</f>
        <v/>
      </c>
    </row>
    <row r="213" spans="2:13" x14ac:dyDescent="0.25">
      <c r="B213" s="78">
        <f t="shared" si="3"/>
        <v>8</v>
      </c>
      <c r="C213" s="78">
        <f>COUNTIF($B$6:B213,B213)-2</f>
        <v>17</v>
      </c>
      <c r="D213" s="79">
        <f t="array" ref="D213">IF($B213&lt;=keilatut,IF($C213&lt;1,"",IF($C213&gt;Data!$CP$2,"",SMALL(IF(Data!$B$2:$B$313=Tulokset!$B213,Data!$AN$2:$AN$313),Tulokset!$C213))),"")</f>
        <v>15.000143</v>
      </c>
      <c r="E213" s="78">
        <f>IF($B213&gt;keilatut,"",IF($C213=(-1),"GP"&amp;$B213&amp;", "&amp;DAY(VLOOKUP($B213,kilpailukalenteri,2))&amp;"."&amp;MONTH(VLOOKUP($B213,kilpailukalenteri,2))&amp;"."&amp;YEAR(VLOOKUP($B213,kilpailukalenteri,2))&amp;", "&amp;IF(RIGHT(VLOOKUP($B213,kilpailukalenteri,4),1)="*",LEFT(VLOOKUP($B213,kilpailukalenteri,4),LEN(VLOOKUP($B213,kilpailukalenteri,4))-2)&amp;", Kultainen GP",VLOOKUP($B213,kilpailukalenteri,4)),IF($C213=0,"Sija",IF($C213&gt;Data!$CP$2,"",ROUND(Tulokset!$D213,0)))))</f>
        <v>15</v>
      </c>
      <c r="F213" s="78" t="str">
        <f ca="1">IF($B213&gt;keilatut,"",IF($C213=(-1),"",IF($C213=0,"Nimi",IF($C213&gt;Data!$CP$2,"",OFFSET(tulossiirtymä,MATCH($D213,Data!$AN$2:$AN$313,0),Tulokset!F$2)))))</f>
        <v>Sakari Leinonen</v>
      </c>
      <c r="G213" s="78">
        <f ca="1">IF($B213&gt;keilatut,"",IF($C213=(-1),"",IF($C213=0,"Sarja 1",IF($C213&gt;Data!$CP$2,"",OFFSET(tulossiirtymä,MATCH($D213,Data!$AN$2:$AN$313,0),Tulokset!G$2)))))</f>
        <v>0</v>
      </c>
      <c r="H213" s="78">
        <f ca="1">IF($B213&gt;keilatut,"",IF($C213=(-1),"",IF($C213=0,"Sarja 2",IF($C213&gt;Data!$CP$2,"",OFFSET(tulossiirtymä,MATCH($D213,Data!$AN$2:$AN$313,0),Tulokset!H$2)))))</f>
        <v>0</v>
      </c>
      <c r="I213" s="78">
        <f ca="1">IF($B213&gt;keilatut,"",IF($C213=(-1),"",IF($C213=0,"Yhteensä",IF($C213&gt;Data!$CP$2,"",OFFSET(tulossiirtymä,MATCH($D213,Data!$AN$2:$AN$313,0),Tulokset!I$2)))))</f>
        <v>0</v>
      </c>
      <c r="J213" s="78" t="str">
        <f ca="1">IF($B213&gt;keilatut,"",IF($C213=(-1),"",IF($C213=0,"Ero voittajaan",IF($C213&gt;Data!$CP$2,"",OFFSET(tulossiirtymä,MATCH($D213,Data!$AN$2:$AN$313,0),Tulokset!J$2)))))</f>
        <v/>
      </c>
      <c r="K213" s="78">
        <f ca="1">IF($B213&gt;keilatut,"",IF($C213=(-1),"",IF($C213=0,"Pisteet",IF($C213&gt;Data!$CP$2,"",OFFSET(tulossiirtymä,MATCH($D213,Data!$AN$2:$AN$313,0),Tulokset!K$2)))))</f>
        <v>0</v>
      </c>
      <c r="L213" s="78">
        <f ca="1">IF($B213&gt;keilatut,"",IF($C213=(-1),"",IF($C213=0,"Pisteet yhteensä",IF($C213&gt;Data!$CP$2,"",OFFSET(tulossiirtymä,MATCH($D213,Data!$AN$2:$AN$313,0),Tulokset!L$2)))))</f>
        <v>15</v>
      </c>
      <c r="M213" s="78" t="str">
        <f ca="1">IF($B213&gt;keilatut,"",IF($C213=(-1),"",IF($C213=0,"Pisteseloste",IF($C213&gt;Data!$CP$2,"",OFFSET(tulossiirtymä,MATCH($D213,Data!$AN$2:$AN$313,0),Tulokset!M$2)))))</f>
        <v/>
      </c>
    </row>
    <row r="214" spans="2:13" x14ac:dyDescent="0.25">
      <c r="B214" s="78">
        <f t="shared" si="3"/>
        <v>8</v>
      </c>
      <c r="C214" s="78">
        <f>COUNTIF($B$6:B214,B214)-2</f>
        <v>18</v>
      </c>
      <c r="D214" s="79">
        <f t="array" ref="D214">IF($B214&lt;=keilatut,IF($C214&lt;1,"",IF($C214&gt;Data!$CP$2,"",SMALL(IF(Data!$B$2:$B$313=Tulokset!$B214,Data!$AN$2:$AN$313),Tulokset!$C214))),"")</f>
        <v>15.000144000000001</v>
      </c>
      <c r="E214" s="78">
        <f>IF($B214&gt;keilatut,"",IF($C214=(-1),"GP"&amp;$B214&amp;", "&amp;DAY(VLOOKUP($B214,kilpailukalenteri,2))&amp;"."&amp;MONTH(VLOOKUP($B214,kilpailukalenteri,2))&amp;"."&amp;YEAR(VLOOKUP($B214,kilpailukalenteri,2))&amp;", "&amp;IF(RIGHT(VLOOKUP($B214,kilpailukalenteri,4),1)="*",LEFT(VLOOKUP($B214,kilpailukalenteri,4),LEN(VLOOKUP($B214,kilpailukalenteri,4))-2)&amp;", Kultainen GP",VLOOKUP($B214,kilpailukalenteri,4)),IF($C214=0,"Sija",IF($C214&gt;Data!$CP$2,"",ROUND(Tulokset!$D214,0)))))</f>
        <v>15</v>
      </c>
      <c r="F214" s="78" t="str">
        <f ca="1">IF($B214&gt;keilatut,"",IF($C214=(-1),"",IF($C214=0,"Nimi",IF($C214&gt;Data!$CP$2,"",OFFSET(tulossiirtymä,MATCH($D214,Data!$AN$2:$AN$313,0),Tulokset!F$2)))))</f>
        <v>Tatu Erlin</v>
      </c>
      <c r="G214" s="78">
        <f ca="1">IF($B214&gt;keilatut,"",IF($C214=(-1),"",IF($C214=0,"Sarja 1",IF($C214&gt;Data!$CP$2,"",OFFSET(tulossiirtymä,MATCH($D214,Data!$AN$2:$AN$313,0),Tulokset!G$2)))))</f>
        <v>0</v>
      </c>
      <c r="H214" s="78">
        <f ca="1">IF($B214&gt;keilatut,"",IF($C214=(-1),"",IF($C214=0,"Sarja 2",IF($C214&gt;Data!$CP$2,"",OFFSET(tulossiirtymä,MATCH($D214,Data!$AN$2:$AN$313,0),Tulokset!H$2)))))</f>
        <v>0</v>
      </c>
      <c r="I214" s="78">
        <f ca="1">IF($B214&gt;keilatut,"",IF($C214=(-1),"",IF($C214=0,"Yhteensä",IF($C214&gt;Data!$CP$2,"",OFFSET(tulossiirtymä,MATCH($D214,Data!$AN$2:$AN$313,0),Tulokset!I$2)))))</f>
        <v>0</v>
      </c>
      <c r="J214" s="78" t="str">
        <f ca="1">IF($B214&gt;keilatut,"",IF($C214=(-1),"",IF($C214=0,"Ero voittajaan",IF($C214&gt;Data!$CP$2,"",OFFSET(tulossiirtymä,MATCH($D214,Data!$AN$2:$AN$313,0),Tulokset!J$2)))))</f>
        <v/>
      </c>
      <c r="K214" s="78">
        <f ca="1">IF($B214&gt;keilatut,"",IF($C214=(-1),"",IF($C214=0,"Pisteet",IF($C214&gt;Data!$CP$2,"",OFFSET(tulossiirtymä,MATCH($D214,Data!$AN$2:$AN$313,0),Tulokset!K$2)))))</f>
        <v>0</v>
      </c>
      <c r="L214" s="78">
        <f ca="1">IF($B214&gt;keilatut,"",IF($C214=(-1),"",IF($C214=0,"Pisteet yhteensä",IF($C214&gt;Data!$CP$2,"",OFFSET(tulossiirtymä,MATCH($D214,Data!$AN$2:$AN$313,0),Tulokset!L$2)))))</f>
        <v>5</v>
      </c>
      <c r="M214" s="78" t="str">
        <f ca="1">IF($B214&gt;keilatut,"",IF($C214=(-1),"",IF($C214=0,"Pisteseloste",IF($C214&gt;Data!$CP$2,"",OFFSET(tulossiirtymä,MATCH($D214,Data!$AN$2:$AN$313,0),Tulokset!M$2)))))</f>
        <v/>
      </c>
    </row>
    <row r="215" spans="2:13" x14ac:dyDescent="0.25">
      <c r="B215" s="78">
        <f t="shared" si="3"/>
        <v>8</v>
      </c>
      <c r="C215" s="78">
        <f>COUNTIF($B$6:B215,B215)-2</f>
        <v>19</v>
      </c>
      <c r="D215" s="79" t="str">
        <f t="array" ref="D215">IF($B215&lt;=keilatut,IF($C215&lt;1,"",IF($C215&gt;Data!$CP$2,"",SMALL(IF(Data!$B$2:$B$313=Tulokset!$B215,Data!$AN$2:$AN$313),Tulokset!$C215))),"")</f>
        <v/>
      </c>
      <c r="E215" s="78" t="str">
        <f>IF($B215&gt;keilatut,"",IF($C215=(-1),"GP"&amp;$B215&amp;", "&amp;DAY(VLOOKUP($B215,kilpailukalenteri,2))&amp;"."&amp;MONTH(VLOOKUP($B215,kilpailukalenteri,2))&amp;"."&amp;YEAR(VLOOKUP($B215,kilpailukalenteri,2))&amp;", "&amp;IF(RIGHT(VLOOKUP($B215,kilpailukalenteri,4),1)="*",LEFT(VLOOKUP($B215,kilpailukalenteri,4),LEN(VLOOKUP($B215,kilpailukalenteri,4))-2)&amp;", Kultainen GP",VLOOKUP($B215,kilpailukalenteri,4)),IF($C215=0,"Sija",IF($C215&gt;Data!$CP$2,"",ROUND(Tulokset!$D215,0)))))</f>
        <v/>
      </c>
      <c r="F215" s="78" t="str">
        <f ca="1">IF($B215&gt;keilatut,"",IF($C215=(-1),"",IF($C215=0,"Nimi",IF($C215&gt;Data!$CP$2,"",OFFSET(tulossiirtymä,MATCH($D215,Data!$AN$2:$AN$313,0),Tulokset!F$2)))))</f>
        <v/>
      </c>
      <c r="G215" s="78" t="str">
        <f ca="1">IF($B215&gt;keilatut,"",IF($C215=(-1),"",IF($C215=0,"Sarja 1",IF($C215&gt;Data!$CP$2,"",OFFSET(tulossiirtymä,MATCH($D215,Data!$AN$2:$AN$313,0),Tulokset!G$2)))))</f>
        <v/>
      </c>
      <c r="H215" s="78" t="str">
        <f ca="1">IF($B215&gt;keilatut,"",IF($C215=(-1),"",IF($C215=0,"Sarja 2",IF($C215&gt;Data!$CP$2,"",OFFSET(tulossiirtymä,MATCH($D215,Data!$AN$2:$AN$313,0),Tulokset!H$2)))))</f>
        <v/>
      </c>
      <c r="I215" s="78" t="str">
        <f ca="1">IF($B215&gt;keilatut,"",IF($C215=(-1),"",IF($C215=0,"Yhteensä",IF($C215&gt;Data!$CP$2,"",OFFSET(tulossiirtymä,MATCH($D215,Data!$AN$2:$AN$313,0),Tulokset!I$2)))))</f>
        <v/>
      </c>
      <c r="J215" s="78" t="str">
        <f ca="1">IF($B215&gt;keilatut,"",IF($C215=(-1),"",IF($C215=0,"Ero voittajaan",IF($C215&gt;Data!$CP$2,"",OFFSET(tulossiirtymä,MATCH($D215,Data!$AN$2:$AN$313,0),Tulokset!J$2)))))</f>
        <v/>
      </c>
      <c r="K215" s="78" t="str">
        <f ca="1">IF($B215&gt;keilatut,"",IF($C215=(-1),"",IF($C215=0,"Pisteet",IF($C215&gt;Data!$CP$2,"",OFFSET(tulossiirtymä,MATCH($D215,Data!$AN$2:$AN$313,0),Tulokset!K$2)))))</f>
        <v/>
      </c>
      <c r="L215" s="78" t="str">
        <f ca="1">IF($B215&gt;keilatut,"",IF($C215=(-1),"",IF($C215=0,"Pisteet yhteensä",IF($C215&gt;Data!$CP$2,"",OFFSET(tulossiirtymä,MATCH($D215,Data!$AN$2:$AN$313,0),Tulokset!L$2)))))</f>
        <v/>
      </c>
      <c r="M215" s="78" t="str">
        <f ca="1">IF($B215&gt;keilatut,"",IF($C215=(-1),"",IF($C215=0,"Pisteseloste",IF($C215&gt;Data!$CP$2,"",OFFSET(tulossiirtymä,MATCH($D215,Data!$AN$2:$AN$313,0),Tulokset!M$2)))))</f>
        <v/>
      </c>
    </row>
    <row r="216" spans="2:13" x14ac:dyDescent="0.25">
      <c r="B216" s="78">
        <f t="shared" si="3"/>
        <v>8</v>
      </c>
      <c r="C216" s="78">
        <f>COUNTIF($B$6:B216,B216)-2</f>
        <v>20</v>
      </c>
      <c r="D216" s="79" t="str">
        <f t="array" ref="D216">IF($B216&lt;=keilatut,IF($C216&lt;1,"",IF($C216&gt;Data!$CP$2,"",SMALL(IF(Data!$B$2:$B$313=Tulokset!$B216,Data!$AN$2:$AN$313),Tulokset!$C216))),"")</f>
        <v/>
      </c>
      <c r="E216" s="78" t="str">
        <f>IF($B216&gt;keilatut,"",IF($C216=(-1),"GP"&amp;$B216&amp;", "&amp;DAY(VLOOKUP($B216,kilpailukalenteri,2))&amp;"."&amp;MONTH(VLOOKUP($B216,kilpailukalenteri,2))&amp;"."&amp;YEAR(VLOOKUP($B216,kilpailukalenteri,2))&amp;", "&amp;IF(RIGHT(VLOOKUP($B216,kilpailukalenteri,4),1)="*",LEFT(VLOOKUP($B216,kilpailukalenteri,4),LEN(VLOOKUP($B216,kilpailukalenteri,4))-2)&amp;", Kultainen GP",VLOOKUP($B216,kilpailukalenteri,4)),IF($C216=0,"Sija",IF($C216&gt;Data!$CP$2,"",ROUND(Tulokset!$D216,0)))))</f>
        <v/>
      </c>
      <c r="F216" s="78" t="str">
        <f ca="1">IF($B216&gt;keilatut,"",IF($C216=(-1),"",IF($C216=0,"Nimi",IF($C216&gt;Data!$CP$2,"",OFFSET(tulossiirtymä,MATCH($D216,Data!$AN$2:$AN$313,0),Tulokset!F$2)))))</f>
        <v/>
      </c>
      <c r="G216" s="78" t="str">
        <f ca="1">IF($B216&gt;keilatut,"",IF($C216=(-1),"",IF($C216=0,"Sarja 1",IF($C216&gt;Data!$CP$2,"",OFFSET(tulossiirtymä,MATCH($D216,Data!$AN$2:$AN$313,0),Tulokset!G$2)))))</f>
        <v/>
      </c>
      <c r="H216" s="78" t="str">
        <f ca="1">IF($B216&gt;keilatut,"",IF($C216=(-1),"",IF($C216=0,"Sarja 2",IF($C216&gt;Data!$CP$2,"",OFFSET(tulossiirtymä,MATCH($D216,Data!$AN$2:$AN$313,0),Tulokset!H$2)))))</f>
        <v/>
      </c>
      <c r="I216" s="78" t="str">
        <f ca="1">IF($B216&gt;keilatut,"",IF($C216=(-1),"",IF($C216=0,"Yhteensä",IF($C216&gt;Data!$CP$2,"",OFFSET(tulossiirtymä,MATCH($D216,Data!$AN$2:$AN$313,0),Tulokset!I$2)))))</f>
        <v/>
      </c>
      <c r="J216" s="78" t="str">
        <f ca="1">IF($B216&gt;keilatut,"",IF($C216=(-1),"",IF($C216=0,"Ero voittajaan",IF($C216&gt;Data!$CP$2,"",OFFSET(tulossiirtymä,MATCH($D216,Data!$AN$2:$AN$313,0),Tulokset!J$2)))))</f>
        <v/>
      </c>
      <c r="K216" s="78" t="str">
        <f ca="1">IF($B216&gt;keilatut,"",IF($C216=(-1),"",IF($C216=0,"Pisteet",IF($C216&gt;Data!$CP$2,"",OFFSET(tulossiirtymä,MATCH($D216,Data!$AN$2:$AN$313,0),Tulokset!K$2)))))</f>
        <v/>
      </c>
      <c r="L216" s="78" t="str">
        <f ca="1">IF($B216&gt;keilatut,"",IF($C216=(-1),"",IF($C216=0,"Pisteet yhteensä",IF($C216&gt;Data!$CP$2,"",OFFSET(tulossiirtymä,MATCH($D216,Data!$AN$2:$AN$313,0),Tulokset!L$2)))))</f>
        <v/>
      </c>
      <c r="M216" s="78" t="str">
        <f ca="1">IF($B216&gt;keilatut,"",IF($C216=(-1),"",IF($C216=0,"Pisteseloste",IF($C216&gt;Data!$CP$2,"",OFFSET(tulossiirtymä,MATCH($D216,Data!$AN$2:$AN$313,0),Tulokset!M$2)))))</f>
        <v/>
      </c>
    </row>
    <row r="217" spans="2:13" x14ac:dyDescent="0.25">
      <c r="B217" s="78">
        <f t="shared" si="3"/>
        <v>8</v>
      </c>
      <c r="C217" s="78">
        <f>COUNTIF($B$6:B217,B217)-2</f>
        <v>21</v>
      </c>
      <c r="D217" s="79" t="str">
        <f t="array" ref="D217">IF($B217&lt;=keilatut,IF($C217&lt;1,"",IF($C217&gt;Data!$CP$2,"",SMALL(IF(Data!$B$2:$B$313=Tulokset!$B217,Data!$AN$2:$AN$313),Tulokset!$C217))),"")</f>
        <v/>
      </c>
      <c r="E217" s="78" t="str">
        <f>IF($B217&gt;keilatut,"",IF($C217=(-1),"GP"&amp;$B217&amp;", "&amp;DAY(VLOOKUP($B217,kilpailukalenteri,2))&amp;"."&amp;MONTH(VLOOKUP($B217,kilpailukalenteri,2))&amp;"."&amp;YEAR(VLOOKUP($B217,kilpailukalenteri,2))&amp;", "&amp;IF(RIGHT(VLOOKUP($B217,kilpailukalenteri,4),1)="*",LEFT(VLOOKUP($B217,kilpailukalenteri,4),LEN(VLOOKUP($B217,kilpailukalenteri,4))-2)&amp;", Kultainen GP",VLOOKUP($B217,kilpailukalenteri,4)),IF($C217=0,"Sija",IF($C217&gt;Data!$CP$2,"",ROUND(Tulokset!$D217,0)))))</f>
        <v/>
      </c>
      <c r="F217" s="78" t="str">
        <f ca="1">IF($B217&gt;keilatut,"",IF($C217=(-1),"",IF($C217=0,"Nimi",IF($C217&gt;Data!$CP$2,"",OFFSET(tulossiirtymä,MATCH($D217,Data!$AN$2:$AN$313,0),Tulokset!F$2)))))</f>
        <v/>
      </c>
      <c r="G217" s="78" t="str">
        <f ca="1">IF($B217&gt;keilatut,"",IF($C217=(-1),"",IF($C217=0,"Sarja 1",IF($C217&gt;Data!$CP$2,"",OFFSET(tulossiirtymä,MATCH($D217,Data!$AN$2:$AN$313,0),Tulokset!G$2)))))</f>
        <v/>
      </c>
      <c r="H217" s="78" t="str">
        <f ca="1">IF($B217&gt;keilatut,"",IF($C217=(-1),"",IF($C217=0,"Sarja 2",IF($C217&gt;Data!$CP$2,"",OFFSET(tulossiirtymä,MATCH($D217,Data!$AN$2:$AN$313,0),Tulokset!H$2)))))</f>
        <v/>
      </c>
      <c r="I217" s="78" t="str">
        <f ca="1">IF($B217&gt;keilatut,"",IF($C217=(-1),"",IF($C217=0,"Yhteensä",IF($C217&gt;Data!$CP$2,"",OFFSET(tulossiirtymä,MATCH($D217,Data!$AN$2:$AN$313,0),Tulokset!I$2)))))</f>
        <v/>
      </c>
      <c r="J217" s="78" t="str">
        <f ca="1">IF($B217&gt;keilatut,"",IF($C217=(-1),"",IF($C217=0,"Ero voittajaan",IF($C217&gt;Data!$CP$2,"",OFFSET(tulossiirtymä,MATCH($D217,Data!$AN$2:$AN$313,0),Tulokset!J$2)))))</f>
        <v/>
      </c>
      <c r="K217" s="78" t="str">
        <f ca="1">IF($B217&gt;keilatut,"",IF($C217=(-1),"",IF($C217=0,"Pisteet",IF($C217&gt;Data!$CP$2,"",OFFSET(tulossiirtymä,MATCH($D217,Data!$AN$2:$AN$313,0),Tulokset!K$2)))))</f>
        <v/>
      </c>
      <c r="L217" s="78" t="str">
        <f ca="1">IF($B217&gt;keilatut,"",IF($C217=(-1),"",IF($C217=0,"Pisteet yhteensä",IF($C217&gt;Data!$CP$2,"",OFFSET(tulossiirtymä,MATCH($D217,Data!$AN$2:$AN$313,0),Tulokset!L$2)))))</f>
        <v/>
      </c>
      <c r="M217" s="78" t="str">
        <f ca="1">IF($B217&gt;keilatut,"",IF($C217=(-1),"",IF($C217=0,"Pisteseloste",IF($C217&gt;Data!$CP$2,"",OFFSET(tulossiirtymä,MATCH($D217,Data!$AN$2:$AN$313,0),Tulokset!M$2)))))</f>
        <v/>
      </c>
    </row>
    <row r="218" spans="2:13" x14ac:dyDescent="0.25">
      <c r="B218" s="78">
        <f t="shared" si="3"/>
        <v>8</v>
      </c>
      <c r="C218" s="78">
        <f>COUNTIF($B$6:B218,B218)-2</f>
        <v>22</v>
      </c>
      <c r="D218" s="79" t="str">
        <f t="array" ref="D218">IF($B218&lt;=keilatut,IF($C218&lt;1,"",IF($C218&gt;Data!$CP$2,"",SMALL(IF(Data!$B$2:$B$313=Tulokset!$B218,Data!$AN$2:$AN$313),Tulokset!$C218))),"")</f>
        <v/>
      </c>
      <c r="E218" s="78" t="str">
        <f>IF($B218&gt;keilatut,"",IF($C218=(-1),"GP"&amp;$B218&amp;", "&amp;DAY(VLOOKUP($B218,kilpailukalenteri,2))&amp;"."&amp;MONTH(VLOOKUP($B218,kilpailukalenteri,2))&amp;"."&amp;YEAR(VLOOKUP($B218,kilpailukalenteri,2))&amp;", "&amp;IF(RIGHT(VLOOKUP($B218,kilpailukalenteri,4),1)="*",LEFT(VLOOKUP($B218,kilpailukalenteri,4),LEN(VLOOKUP($B218,kilpailukalenteri,4))-2)&amp;", Kultainen GP",VLOOKUP($B218,kilpailukalenteri,4)),IF($C218=0,"Sija",IF($C218&gt;Data!$CP$2,"",ROUND(Tulokset!$D218,0)))))</f>
        <v/>
      </c>
      <c r="F218" s="78" t="str">
        <f ca="1">IF($B218&gt;keilatut,"",IF($C218=(-1),"",IF($C218=0,"Nimi",IF($C218&gt;Data!$CP$2,"",OFFSET(tulossiirtymä,MATCH($D218,Data!$AN$2:$AN$313,0),Tulokset!F$2)))))</f>
        <v/>
      </c>
      <c r="G218" s="78" t="str">
        <f ca="1">IF($B218&gt;keilatut,"",IF($C218=(-1),"",IF($C218=0,"Sarja 1",IF($C218&gt;Data!$CP$2,"",OFFSET(tulossiirtymä,MATCH($D218,Data!$AN$2:$AN$313,0),Tulokset!G$2)))))</f>
        <v/>
      </c>
      <c r="H218" s="78" t="str">
        <f ca="1">IF($B218&gt;keilatut,"",IF($C218=(-1),"",IF($C218=0,"Sarja 2",IF($C218&gt;Data!$CP$2,"",OFFSET(tulossiirtymä,MATCH($D218,Data!$AN$2:$AN$313,0),Tulokset!H$2)))))</f>
        <v/>
      </c>
      <c r="I218" s="78" t="str">
        <f ca="1">IF($B218&gt;keilatut,"",IF($C218=(-1),"",IF($C218=0,"Yhteensä",IF($C218&gt;Data!$CP$2,"",OFFSET(tulossiirtymä,MATCH($D218,Data!$AN$2:$AN$313,0),Tulokset!I$2)))))</f>
        <v/>
      </c>
      <c r="J218" s="78" t="str">
        <f ca="1">IF($B218&gt;keilatut,"",IF($C218=(-1),"",IF($C218=0,"Ero voittajaan",IF($C218&gt;Data!$CP$2,"",OFFSET(tulossiirtymä,MATCH($D218,Data!$AN$2:$AN$313,0),Tulokset!J$2)))))</f>
        <v/>
      </c>
      <c r="K218" s="78" t="str">
        <f ca="1">IF($B218&gt;keilatut,"",IF($C218=(-1),"",IF($C218=0,"Pisteet",IF($C218&gt;Data!$CP$2,"",OFFSET(tulossiirtymä,MATCH($D218,Data!$AN$2:$AN$313,0),Tulokset!K$2)))))</f>
        <v/>
      </c>
      <c r="L218" s="78" t="str">
        <f ca="1">IF($B218&gt;keilatut,"",IF($C218=(-1),"",IF($C218=0,"Pisteet yhteensä",IF($C218&gt;Data!$CP$2,"",OFFSET(tulossiirtymä,MATCH($D218,Data!$AN$2:$AN$313,0),Tulokset!L$2)))))</f>
        <v/>
      </c>
      <c r="M218" s="78" t="str">
        <f ca="1">IF($B218&gt;keilatut,"",IF($C218=(-1),"",IF($C218=0,"Pisteseloste",IF($C218&gt;Data!$CP$2,"",OFFSET(tulossiirtymä,MATCH($D218,Data!$AN$2:$AN$313,0),Tulokset!M$2)))))</f>
        <v/>
      </c>
    </row>
    <row r="219" spans="2:13" x14ac:dyDescent="0.25">
      <c r="B219" s="78">
        <f t="shared" si="3"/>
        <v>8</v>
      </c>
      <c r="C219" s="78">
        <f>COUNTIF($B$6:B219,B219)-2</f>
        <v>23</v>
      </c>
      <c r="D219" s="79" t="str">
        <f t="array" ref="D219">IF($B219&lt;=keilatut,IF($C219&lt;1,"",IF($C219&gt;Data!$CP$2,"",SMALL(IF(Data!$B$2:$B$313=Tulokset!$B219,Data!$AN$2:$AN$313),Tulokset!$C219))),"")</f>
        <v/>
      </c>
      <c r="E219" s="78" t="str">
        <f>IF($B219&gt;keilatut,"",IF($C219=(-1),"GP"&amp;$B219&amp;", "&amp;DAY(VLOOKUP($B219,kilpailukalenteri,2))&amp;"."&amp;MONTH(VLOOKUP($B219,kilpailukalenteri,2))&amp;"."&amp;YEAR(VLOOKUP($B219,kilpailukalenteri,2))&amp;", "&amp;IF(RIGHT(VLOOKUP($B219,kilpailukalenteri,4),1)="*",LEFT(VLOOKUP($B219,kilpailukalenteri,4),LEN(VLOOKUP($B219,kilpailukalenteri,4))-2)&amp;", Kultainen GP",VLOOKUP($B219,kilpailukalenteri,4)),IF($C219=0,"Sija",IF($C219&gt;Data!$CP$2,"",ROUND(Tulokset!$D219,0)))))</f>
        <v/>
      </c>
      <c r="F219" s="78" t="str">
        <f ca="1">IF($B219&gt;keilatut,"",IF($C219=(-1),"",IF($C219=0,"Nimi",IF($C219&gt;Data!$CP$2,"",OFFSET(tulossiirtymä,MATCH($D219,Data!$AN$2:$AN$313,0),Tulokset!F$2)))))</f>
        <v/>
      </c>
      <c r="G219" s="78" t="str">
        <f ca="1">IF($B219&gt;keilatut,"",IF($C219=(-1),"",IF($C219=0,"Sarja 1",IF($C219&gt;Data!$CP$2,"",OFFSET(tulossiirtymä,MATCH($D219,Data!$AN$2:$AN$313,0),Tulokset!G$2)))))</f>
        <v/>
      </c>
      <c r="H219" s="78" t="str">
        <f ca="1">IF($B219&gt;keilatut,"",IF($C219=(-1),"",IF($C219=0,"Sarja 2",IF($C219&gt;Data!$CP$2,"",OFFSET(tulossiirtymä,MATCH($D219,Data!$AN$2:$AN$313,0),Tulokset!H$2)))))</f>
        <v/>
      </c>
      <c r="I219" s="78" t="str">
        <f ca="1">IF($B219&gt;keilatut,"",IF($C219=(-1),"",IF($C219=0,"Yhteensä",IF($C219&gt;Data!$CP$2,"",OFFSET(tulossiirtymä,MATCH($D219,Data!$AN$2:$AN$313,0),Tulokset!I$2)))))</f>
        <v/>
      </c>
      <c r="J219" s="78" t="str">
        <f ca="1">IF($B219&gt;keilatut,"",IF($C219=(-1),"",IF($C219=0,"Ero voittajaan",IF($C219&gt;Data!$CP$2,"",OFFSET(tulossiirtymä,MATCH($D219,Data!$AN$2:$AN$313,0),Tulokset!J$2)))))</f>
        <v/>
      </c>
      <c r="K219" s="78" t="str">
        <f ca="1">IF($B219&gt;keilatut,"",IF($C219=(-1),"",IF($C219=0,"Pisteet",IF($C219&gt;Data!$CP$2,"",OFFSET(tulossiirtymä,MATCH($D219,Data!$AN$2:$AN$313,0),Tulokset!K$2)))))</f>
        <v/>
      </c>
      <c r="L219" s="78" t="str">
        <f ca="1">IF($B219&gt;keilatut,"",IF($C219=(-1),"",IF($C219=0,"Pisteet yhteensä",IF($C219&gt;Data!$CP$2,"",OFFSET(tulossiirtymä,MATCH($D219,Data!$AN$2:$AN$313,0),Tulokset!L$2)))))</f>
        <v/>
      </c>
      <c r="M219" s="78" t="str">
        <f ca="1">IF($B219&gt;keilatut,"",IF($C219=(-1),"",IF($C219=0,"Pisteseloste",IF($C219&gt;Data!$CP$2,"",OFFSET(tulossiirtymä,MATCH($D219,Data!$AN$2:$AN$313,0),Tulokset!M$2)))))</f>
        <v/>
      </c>
    </row>
    <row r="220" spans="2:13" x14ac:dyDescent="0.25">
      <c r="B220" s="78">
        <f t="shared" si="3"/>
        <v>8</v>
      </c>
      <c r="C220" s="78">
        <f>COUNTIF($B$6:B220,B220)-2</f>
        <v>24</v>
      </c>
      <c r="D220" s="79" t="str">
        <f t="array" ref="D220">IF($B220&lt;=keilatut,IF($C220&lt;1,"",IF($C220&gt;Data!$CP$2,"",SMALL(IF(Data!$B$2:$B$313=Tulokset!$B220,Data!$AN$2:$AN$313),Tulokset!$C220))),"")</f>
        <v/>
      </c>
      <c r="E220" s="78" t="str">
        <f>IF($B220&gt;keilatut,"",IF($C220=(-1),"GP"&amp;$B220&amp;", "&amp;DAY(VLOOKUP($B220,kilpailukalenteri,2))&amp;"."&amp;MONTH(VLOOKUP($B220,kilpailukalenteri,2))&amp;"."&amp;YEAR(VLOOKUP($B220,kilpailukalenteri,2))&amp;", "&amp;IF(RIGHT(VLOOKUP($B220,kilpailukalenteri,4),1)="*",LEFT(VLOOKUP($B220,kilpailukalenteri,4),LEN(VLOOKUP($B220,kilpailukalenteri,4))-2)&amp;", Kultainen GP",VLOOKUP($B220,kilpailukalenteri,4)),IF($C220=0,"Sija",IF($C220&gt;Data!$CP$2,"",ROUND(Tulokset!$D220,0)))))</f>
        <v/>
      </c>
      <c r="F220" s="78" t="str">
        <f ca="1">IF($B220&gt;keilatut,"",IF($C220=(-1),"",IF($C220=0,"Nimi",IF($C220&gt;Data!$CP$2,"",OFFSET(tulossiirtymä,MATCH($D220,Data!$AN$2:$AN$313,0),Tulokset!F$2)))))</f>
        <v/>
      </c>
      <c r="G220" s="78" t="str">
        <f ca="1">IF($B220&gt;keilatut,"",IF($C220=(-1),"",IF($C220=0,"Sarja 1",IF($C220&gt;Data!$CP$2,"",OFFSET(tulossiirtymä,MATCH($D220,Data!$AN$2:$AN$313,0),Tulokset!G$2)))))</f>
        <v/>
      </c>
      <c r="H220" s="78" t="str">
        <f ca="1">IF($B220&gt;keilatut,"",IF($C220=(-1),"",IF($C220=0,"Sarja 2",IF($C220&gt;Data!$CP$2,"",OFFSET(tulossiirtymä,MATCH($D220,Data!$AN$2:$AN$313,0),Tulokset!H$2)))))</f>
        <v/>
      </c>
      <c r="I220" s="78" t="str">
        <f ca="1">IF($B220&gt;keilatut,"",IF($C220=(-1),"",IF($C220=0,"Yhteensä",IF($C220&gt;Data!$CP$2,"",OFFSET(tulossiirtymä,MATCH($D220,Data!$AN$2:$AN$313,0),Tulokset!I$2)))))</f>
        <v/>
      </c>
      <c r="J220" s="78" t="str">
        <f ca="1">IF($B220&gt;keilatut,"",IF($C220=(-1),"",IF($C220=0,"Ero voittajaan",IF($C220&gt;Data!$CP$2,"",OFFSET(tulossiirtymä,MATCH($D220,Data!$AN$2:$AN$313,0),Tulokset!J$2)))))</f>
        <v/>
      </c>
      <c r="K220" s="78" t="str">
        <f ca="1">IF($B220&gt;keilatut,"",IF($C220=(-1),"",IF($C220=0,"Pisteet",IF($C220&gt;Data!$CP$2,"",OFFSET(tulossiirtymä,MATCH($D220,Data!$AN$2:$AN$313,0),Tulokset!K$2)))))</f>
        <v/>
      </c>
      <c r="L220" s="78" t="str">
        <f ca="1">IF($B220&gt;keilatut,"",IF($C220=(-1),"",IF($C220=0,"Pisteet yhteensä",IF($C220&gt;Data!$CP$2,"",OFFSET(tulossiirtymä,MATCH($D220,Data!$AN$2:$AN$313,0),Tulokset!L$2)))))</f>
        <v/>
      </c>
      <c r="M220" s="78" t="str">
        <f ca="1">IF($B220&gt;keilatut,"",IF($C220=(-1),"",IF($C220=0,"Pisteseloste",IF($C220&gt;Data!$CP$2,"",OFFSET(tulossiirtymä,MATCH($D220,Data!$AN$2:$AN$313,0),Tulokset!M$2)))))</f>
        <v/>
      </c>
    </row>
    <row r="221" spans="2:13" x14ac:dyDescent="0.25">
      <c r="B221" s="78">
        <f t="shared" si="3"/>
        <v>8</v>
      </c>
      <c r="C221" s="78">
        <f>COUNTIF($B$6:B221,B221)-2</f>
        <v>25</v>
      </c>
      <c r="D221" s="79" t="str">
        <f t="array" ref="D221">IF($B221&lt;=keilatut,IF($C221&lt;1,"",IF($C221&gt;Data!$CP$2,"",SMALL(IF(Data!$B$2:$B$313=Tulokset!$B221,Data!$AN$2:$AN$313),Tulokset!$C221))),"")</f>
        <v/>
      </c>
      <c r="E221" s="78" t="str">
        <f>IF($B221&gt;keilatut,"",IF($C221=(-1),"GP"&amp;$B221&amp;", "&amp;DAY(VLOOKUP($B221,kilpailukalenteri,2))&amp;"."&amp;MONTH(VLOOKUP($B221,kilpailukalenteri,2))&amp;"."&amp;YEAR(VLOOKUP($B221,kilpailukalenteri,2))&amp;", "&amp;IF(RIGHT(VLOOKUP($B221,kilpailukalenteri,4),1)="*",LEFT(VLOOKUP($B221,kilpailukalenteri,4),LEN(VLOOKUP($B221,kilpailukalenteri,4))-2)&amp;", Kultainen GP",VLOOKUP($B221,kilpailukalenteri,4)),IF($C221=0,"Sija",IF($C221&gt;Data!$CP$2,"",ROUND(Tulokset!$D221,0)))))</f>
        <v/>
      </c>
      <c r="F221" s="78" t="str">
        <f ca="1">IF($B221&gt;keilatut,"",IF($C221=(-1),"",IF($C221=0,"Nimi",IF($C221&gt;Data!$CP$2,"",OFFSET(tulossiirtymä,MATCH($D221,Data!$AN$2:$AN$313,0),Tulokset!F$2)))))</f>
        <v/>
      </c>
      <c r="G221" s="78" t="str">
        <f ca="1">IF($B221&gt;keilatut,"",IF($C221=(-1),"",IF($C221=0,"Sarja 1",IF($C221&gt;Data!$CP$2,"",OFFSET(tulossiirtymä,MATCH($D221,Data!$AN$2:$AN$313,0),Tulokset!G$2)))))</f>
        <v/>
      </c>
      <c r="H221" s="78" t="str">
        <f ca="1">IF($B221&gt;keilatut,"",IF($C221=(-1),"",IF($C221=0,"Sarja 2",IF($C221&gt;Data!$CP$2,"",OFFSET(tulossiirtymä,MATCH($D221,Data!$AN$2:$AN$313,0),Tulokset!H$2)))))</f>
        <v/>
      </c>
      <c r="I221" s="78" t="str">
        <f ca="1">IF($B221&gt;keilatut,"",IF($C221=(-1),"",IF($C221=0,"Yhteensä",IF($C221&gt;Data!$CP$2,"",OFFSET(tulossiirtymä,MATCH($D221,Data!$AN$2:$AN$313,0),Tulokset!I$2)))))</f>
        <v/>
      </c>
      <c r="J221" s="78" t="str">
        <f ca="1">IF($B221&gt;keilatut,"",IF($C221=(-1),"",IF($C221=0,"Ero voittajaan",IF($C221&gt;Data!$CP$2,"",OFFSET(tulossiirtymä,MATCH($D221,Data!$AN$2:$AN$313,0),Tulokset!J$2)))))</f>
        <v/>
      </c>
      <c r="K221" s="78" t="str">
        <f ca="1">IF($B221&gt;keilatut,"",IF($C221=(-1),"",IF($C221=0,"Pisteet",IF($C221&gt;Data!$CP$2,"",OFFSET(tulossiirtymä,MATCH($D221,Data!$AN$2:$AN$313,0),Tulokset!K$2)))))</f>
        <v/>
      </c>
      <c r="L221" s="78" t="str">
        <f ca="1">IF($B221&gt;keilatut,"",IF($C221=(-1),"",IF($C221=0,"Pisteet yhteensä",IF($C221&gt;Data!$CP$2,"",OFFSET(tulossiirtymä,MATCH($D221,Data!$AN$2:$AN$313,0),Tulokset!L$2)))))</f>
        <v/>
      </c>
      <c r="M221" s="78" t="str">
        <f ca="1">IF($B221&gt;keilatut,"",IF($C221=(-1),"",IF($C221=0,"Pisteseloste",IF($C221&gt;Data!$CP$2,"",OFFSET(tulossiirtymä,MATCH($D221,Data!$AN$2:$AN$313,0),Tulokset!M$2)))))</f>
        <v/>
      </c>
    </row>
    <row r="222" spans="2:13" x14ac:dyDescent="0.25">
      <c r="B222" s="78">
        <f t="shared" si="3"/>
        <v>9</v>
      </c>
      <c r="C222" s="78">
        <f>COUNTIF($B$6:B222,B222)-2</f>
        <v>-1</v>
      </c>
      <c r="D222" s="79" t="str">
        <f t="array" ref="D222">IF($B222&lt;=keilatut,IF($C222&lt;1,"",IF($C222&gt;Data!$CP$2,"",SMALL(IF(Data!$B$2:$B$313=Tulokset!$B222,Data!$AN$2:$AN$313),Tulokset!$C222))),"")</f>
        <v/>
      </c>
      <c r="E222" s="78" t="str">
        <f>IF($B222&gt;keilatut,"",IF($C222=(-1),"GP"&amp;$B222&amp;", "&amp;DAY(VLOOKUP($B222,kilpailukalenteri,2))&amp;"."&amp;MONTH(VLOOKUP($B222,kilpailukalenteri,2))&amp;"."&amp;YEAR(VLOOKUP($B222,kilpailukalenteri,2))&amp;", "&amp;IF(RIGHT(VLOOKUP($B222,kilpailukalenteri,4),1)="*",LEFT(VLOOKUP($B222,kilpailukalenteri,4),LEN(VLOOKUP($B222,kilpailukalenteri,4))-2)&amp;", Kultainen GP",VLOOKUP($B222,kilpailukalenteri,4)),IF($C222=0,"Sija",IF($C222&gt;Data!$CP$2,"",ROUND(Tulokset!$D222,0)))))</f>
        <v>GP9, 23.2.2025, Raision keilahalli</v>
      </c>
    </row>
    <row r="223" spans="2:13" x14ac:dyDescent="0.25">
      <c r="B223" s="78">
        <f t="shared" si="3"/>
        <v>9</v>
      </c>
      <c r="C223" s="78">
        <f>COUNTIF($B$6:B223,B223)-2</f>
        <v>0</v>
      </c>
      <c r="D223" s="79" t="str">
        <f t="array" ref="D223">IF($B223&lt;=keilatut,IF($C223&lt;1,"",IF($C223&gt;Data!$CP$2,"",SMALL(IF(Data!$B$2:$B$313=Tulokset!$B223,Data!$AN$2:$AN$313),Tulokset!$C223))),"")</f>
        <v/>
      </c>
      <c r="E223" s="78" t="str">
        <f>IF($B223&gt;keilatut,"",IF($C223=(-1),"GP"&amp;$B223&amp;", "&amp;DAY(VLOOKUP($B223,kilpailukalenteri,2))&amp;"."&amp;MONTH(VLOOKUP($B223,kilpailukalenteri,2))&amp;"."&amp;YEAR(VLOOKUP($B223,kilpailukalenteri,2))&amp;", "&amp;IF(RIGHT(VLOOKUP($B223,kilpailukalenteri,4),1)="*",LEFT(VLOOKUP($B223,kilpailukalenteri,4),LEN(VLOOKUP($B223,kilpailukalenteri,4))-2)&amp;", Kultainen GP",VLOOKUP($B223,kilpailukalenteri,4)),IF($C223=0,"Sija",IF($C223&gt;Data!$CP$2,"",ROUND(Tulokset!$D223,0)))))</f>
        <v>Sija</v>
      </c>
      <c r="F223" s="78" t="str">
        <f ca="1">IF($B223&gt;keilatut,"",IF($C223=(-1),"",IF($C223=0,"Nimi",IF($C223&gt;Data!$CP$2,"",OFFSET(tulossiirtymä,MATCH($D223,Data!$AN$2:$AN$313,0),Tulokset!F$2)))))</f>
        <v>Nimi</v>
      </c>
      <c r="G223" s="78" t="str">
        <f ca="1">IF($B223&gt;keilatut,"",IF($C223=(-1),"",IF($C223=0,"Sarja 1",IF($C223&gt;Data!$CP$2,"",OFFSET(tulossiirtymä,MATCH($D223,Data!$AN$2:$AN$313,0),Tulokset!G$2)))))</f>
        <v>Sarja 1</v>
      </c>
      <c r="H223" s="78" t="str">
        <f ca="1">IF($B223&gt;keilatut,"",IF($C223=(-1),"",IF($C223=0,"Sarja 2",IF($C223&gt;Data!$CP$2,"",OFFSET(tulossiirtymä,MATCH($D223,Data!$AN$2:$AN$313,0),Tulokset!H$2)))))</f>
        <v>Sarja 2</v>
      </c>
      <c r="I223" s="78" t="str">
        <f ca="1">IF($B223&gt;keilatut,"",IF($C223=(-1),"",IF($C223=0,"Yhteensä",IF($C223&gt;Data!$CP$2,"",OFFSET(tulossiirtymä,MATCH($D223,Data!$AN$2:$AN$313,0),Tulokset!I$2)))))</f>
        <v>Yhteensä</v>
      </c>
      <c r="J223" s="78" t="str">
        <f ca="1">IF($B223&gt;keilatut,"",IF($C223=(-1),"",IF($C223=0,"Ero voittajaan",IF($C223&gt;Data!$CP$2,"",OFFSET(tulossiirtymä,MATCH($D223,Data!$AN$2:$AN$313,0),Tulokset!J$2)))))</f>
        <v>Ero voittajaan</v>
      </c>
      <c r="K223" s="78" t="str">
        <f ca="1">IF($B223&gt;keilatut,"",IF($C223=(-1),"",IF($C223=0,"Pisteet",IF($C223&gt;Data!$CP$2,"",OFFSET(tulossiirtymä,MATCH($D223,Data!$AN$2:$AN$313,0),Tulokset!K$2)))))</f>
        <v>Pisteet</v>
      </c>
      <c r="L223" s="78" t="str">
        <f ca="1">IF($B223&gt;keilatut,"",IF($C223=(-1),"",IF($C223=0,"Pisteet yhteensä",IF($C223&gt;Data!$CP$2,"",OFFSET(tulossiirtymä,MATCH($D223,Data!$AN$2:$AN$313,0),Tulokset!L$2)))))</f>
        <v>Pisteet yhteensä</v>
      </c>
      <c r="M223" s="78" t="str">
        <f ca="1">IF($B223&gt;keilatut,"",IF($C223=(-1),"",IF($C223=0,"Pisteseloste",IF($C223&gt;Data!$CP$2,"",OFFSET(tulossiirtymä,MATCH($D223,Data!$AN$2:$AN$313,0),Tulokset!M$2)))))</f>
        <v>Pisteseloste</v>
      </c>
    </row>
    <row r="224" spans="2:13" x14ac:dyDescent="0.25">
      <c r="B224" s="78">
        <f t="shared" si="3"/>
        <v>9</v>
      </c>
      <c r="C224" s="78">
        <f>COUNTIF($B$6:B224,B224)-2</f>
        <v>1</v>
      </c>
      <c r="D224" s="79">
        <f t="array" ref="D224">IF($B224&lt;=keilatut,IF($C224&lt;1,"",IF($C224&gt;Data!$CP$2,"",SMALL(IF(Data!$B$2:$B$313=Tulokset!$B224,Data!$AN$2:$AN$313),Tulokset!$C224))),"")</f>
        <v>1.0001450000000001</v>
      </c>
      <c r="E224" s="78">
        <f>IF($B224&gt;keilatut,"",IF($C224=(-1),"GP"&amp;$B224&amp;", "&amp;DAY(VLOOKUP($B224,kilpailukalenteri,2))&amp;"."&amp;MONTH(VLOOKUP($B224,kilpailukalenteri,2))&amp;"."&amp;YEAR(VLOOKUP($B224,kilpailukalenteri,2))&amp;", "&amp;IF(RIGHT(VLOOKUP($B224,kilpailukalenteri,4),1)="*",LEFT(VLOOKUP($B224,kilpailukalenteri,4),LEN(VLOOKUP($B224,kilpailukalenteri,4))-2)&amp;", Kultainen GP",VLOOKUP($B224,kilpailukalenteri,4)),IF($C224=0,"Sija",IF($C224&gt;Data!$CP$2,"",ROUND(Tulokset!$D224,0)))))</f>
        <v>1</v>
      </c>
      <c r="F224" s="78" t="str">
        <f ca="1">IF($B224&gt;keilatut,"",IF($C224=(-1),"",IF($C224=0,"Nimi",IF($C224&gt;Data!$CP$2,"",OFFSET(tulossiirtymä,MATCH($D224,Data!$AN$2:$AN$313,0),Tulokset!F$2)))))</f>
        <v>Jami Kallio</v>
      </c>
      <c r="G224" s="78">
        <f ca="1">IF($B224&gt;keilatut,"",IF($C224=(-1),"",IF($C224=0,"Sarja 1",IF($C224&gt;Data!$CP$2,"",OFFSET(tulossiirtymä,MATCH($D224,Data!$AN$2:$AN$313,0),Tulokset!G$2)))))</f>
        <v>112</v>
      </c>
      <c r="H224" s="78">
        <f ca="1">IF($B224&gt;keilatut,"",IF($C224=(-1),"",IF($C224=0,"Sarja 2",IF($C224&gt;Data!$CP$2,"",OFFSET(tulossiirtymä,MATCH($D224,Data!$AN$2:$AN$313,0),Tulokset!H$2)))))</f>
        <v>195</v>
      </c>
      <c r="I224" s="78">
        <f ca="1">IF($B224&gt;keilatut,"",IF($C224=(-1),"",IF($C224=0,"Yhteensä",IF($C224&gt;Data!$CP$2,"",OFFSET(tulossiirtymä,MATCH($D224,Data!$AN$2:$AN$313,0),Tulokset!I$2)))))</f>
        <v>307</v>
      </c>
      <c r="J224" s="78" t="str">
        <f ca="1">IF($B224&gt;keilatut,"",IF($C224=(-1),"",IF($C224=0,"Ero voittajaan",IF($C224&gt;Data!$CP$2,"",OFFSET(tulossiirtymä,MATCH($D224,Data!$AN$2:$AN$313,0),Tulokset!J$2)))))</f>
        <v/>
      </c>
      <c r="K224" s="78">
        <f ca="1">IF($B224&gt;keilatut,"",IF($C224=(-1),"",IF($C224=0,"Pisteet",IF($C224&gt;Data!$CP$2,"",OFFSET(tulossiirtymä,MATCH($D224,Data!$AN$2:$AN$313,0),Tulokset!K$2)))))</f>
        <v>12</v>
      </c>
      <c r="L224" s="78">
        <f ca="1">IF($B224&gt;keilatut,"",IF($C224=(-1),"",IF($C224=0,"Pisteet yhteensä",IF($C224&gt;Data!$CP$2,"",OFFSET(tulossiirtymä,MATCH($D224,Data!$AN$2:$AN$313,0),Tulokset!L$2)))))</f>
        <v>76</v>
      </c>
      <c r="M224" s="78" t="str">
        <f ca="1">IF($B224&gt;keilatut,"",IF($C224=(-1),"",IF($C224=0,"Pisteseloste",IF($C224&gt;Data!$CP$2,"",OFFSET(tulossiirtymä,MATCH($D224,Data!$AN$2:$AN$313,0),Tulokset!M$2)))))</f>
        <v>+SP+KK</v>
      </c>
    </row>
    <row r="225" spans="2:13" x14ac:dyDescent="0.25">
      <c r="B225" s="78">
        <f t="shared" si="3"/>
        <v>9</v>
      </c>
      <c r="C225" s="78">
        <f>COUNTIF($B$6:B225,B225)-2</f>
        <v>2</v>
      </c>
      <c r="D225" s="79">
        <f t="array" ref="D225">IF($B225&lt;=keilatut,IF($C225&lt;1,"",IF($C225&gt;Data!$CP$2,"",SMALL(IF(Data!$B$2:$B$313=Tulokset!$B225,Data!$AN$2:$AN$313),Tulokset!$C225))),"")</f>
        <v>1.000146</v>
      </c>
      <c r="E225" s="78">
        <f>IF($B225&gt;keilatut,"",IF($C225=(-1),"GP"&amp;$B225&amp;", "&amp;DAY(VLOOKUP($B225,kilpailukalenteri,2))&amp;"."&amp;MONTH(VLOOKUP($B225,kilpailukalenteri,2))&amp;"."&amp;YEAR(VLOOKUP($B225,kilpailukalenteri,2))&amp;", "&amp;IF(RIGHT(VLOOKUP($B225,kilpailukalenteri,4),1)="*",LEFT(VLOOKUP($B225,kilpailukalenteri,4),LEN(VLOOKUP($B225,kilpailukalenteri,4))-2)&amp;", Kultainen GP",VLOOKUP($B225,kilpailukalenteri,4)),IF($C225=0,"Sija",IF($C225&gt;Data!$CP$2,"",ROUND(Tulokset!$D225,0)))))</f>
        <v>1</v>
      </c>
      <c r="F225" s="78" t="str">
        <f ca="1">IF($B225&gt;keilatut,"",IF($C225=(-1),"",IF($C225=0,"Nimi",IF($C225&gt;Data!$CP$2,"",OFFSET(tulossiirtymä,MATCH($D225,Data!$AN$2:$AN$313,0),Tulokset!F$2)))))</f>
        <v>Niko Reunanen</v>
      </c>
      <c r="G225" s="78">
        <f ca="1">IF($B225&gt;keilatut,"",IF($C225=(-1),"",IF($C225=0,"Sarja 1",IF($C225&gt;Data!$CP$2,"",OFFSET(tulossiirtymä,MATCH($D225,Data!$AN$2:$AN$313,0),Tulokset!G$2)))))</f>
        <v>135</v>
      </c>
      <c r="H225" s="78">
        <f ca="1">IF($B225&gt;keilatut,"",IF($C225=(-1),"",IF($C225=0,"Sarja 2",IF($C225&gt;Data!$CP$2,"",OFFSET(tulossiirtymä,MATCH($D225,Data!$AN$2:$AN$313,0),Tulokset!H$2)))))</f>
        <v>172</v>
      </c>
      <c r="I225" s="78">
        <f ca="1">IF($B225&gt;keilatut,"",IF($C225=(-1),"",IF($C225=0,"Yhteensä",IF($C225&gt;Data!$CP$2,"",OFFSET(tulossiirtymä,MATCH($D225,Data!$AN$2:$AN$313,0),Tulokset!I$2)))))</f>
        <v>307</v>
      </c>
      <c r="J225" s="78" t="str">
        <f ca="1">IF($B225&gt;keilatut,"",IF($C225=(-1),"",IF($C225=0,"Ero voittajaan",IF($C225&gt;Data!$CP$2,"",OFFSET(tulossiirtymä,MATCH($D225,Data!$AN$2:$AN$313,0),Tulokset!J$2)))))</f>
        <v/>
      </c>
      <c r="K225" s="78">
        <f ca="1">IF($B225&gt;keilatut,"",IF($C225=(-1),"",IF($C225=0,"Pisteet",IF($C225&gt;Data!$CP$2,"",OFFSET(tulossiirtymä,MATCH($D225,Data!$AN$2:$AN$313,0),Tulokset!K$2)))))</f>
        <v>11</v>
      </c>
      <c r="L225" s="78">
        <f ca="1">IF($B225&gt;keilatut,"",IF($C225=(-1),"",IF($C225=0,"Pisteet yhteensä",IF($C225&gt;Data!$CP$2,"",OFFSET(tulossiirtymä,MATCH($D225,Data!$AN$2:$AN$313,0),Tulokset!L$2)))))</f>
        <v>38</v>
      </c>
      <c r="M225" s="78" t="str">
        <f ca="1">IF($B225&gt;keilatut,"",IF($C225=(-1),"",IF($C225=0,"Pisteseloste",IF($C225&gt;Data!$CP$2,"",OFFSET(tulossiirtymä,MATCH($D225,Data!$AN$2:$AN$313,0),Tulokset!M$2)))))</f>
        <v>+SP</v>
      </c>
    </row>
    <row r="226" spans="2:13" x14ac:dyDescent="0.25">
      <c r="B226" s="78">
        <f t="shared" si="3"/>
        <v>9</v>
      </c>
      <c r="C226" s="78">
        <f>COUNTIF($B$6:B226,B226)-2</f>
        <v>3</v>
      </c>
      <c r="D226" s="79">
        <f t="array" ref="D226">IF($B226&lt;=keilatut,IF($C226&lt;1,"",IF($C226&gt;Data!$CP$2,"",SMALL(IF(Data!$B$2:$B$313=Tulokset!$B226,Data!$AN$2:$AN$313),Tulokset!$C226))),"")</f>
        <v>3.0001470000000001</v>
      </c>
      <c r="E226" s="78">
        <f>IF($B226&gt;keilatut,"",IF($C226=(-1),"GP"&amp;$B226&amp;", "&amp;DAY(VLOOKUP($B226,kilpailukalenteri,2))&amp;"."&amp;MONTH(VLOOKUP($B226,kilpailukalenteri,2))&amp;"."&amp;YEAR(VLOOKUP($B226,kilpailukalenteri,2))&amp;", "&amp;IF(RIGHT(VLOOKUP($B226,kilpailukalenteri,4),1)="*",LEFT(VLOOKUP($B226,kilpailukalenteri,4),LEN(VLOOKUP($B226,kilpailukalenteri,4))-2)&amp;", Kultainen GP",VLOOKUP($B226,kilpailukalenteri,4)),IF($C226=0,"Sija",IF($C226&gt;Data!$CP$2,"",ROUND(Tulokset!$D226,0)))))</f>
        <v>3</v>
      </c>
      <c r="F226" s="78" t="str">
        <f ca="1">IF($B226&gt;keilatut,"",IF($C226=(-1),"",IF($C226=0,"Nimi",IF($C226&gt;Data!$CP$2,"",OFFSET(tulossiirtymä,MATCH($D226,Data!$AN$2:$AN$313,0),Tulokset!F$2)))))</f>
        <v>Frans Hartman</v>
      </c>
      <c r="G226" s="78">
        <f ca="1">IF($B226&gt;keilatut,"",IF($C226=(-1),"",IF($C226=0,"Sarja 1",IF($C226&gt;Data!$CP$2,"",OFFSET(tulossiirtymä,MATCH($D226,Data!$AN$2:$AN$313,0),Tulokset!G$2)))))</f>
        <v>133</v>
      </c>
      <c r="H226" s="78">
        <f ca="1">IF($B226&gt;keilatut,"",IF($C226=(-1),"",IF($C226=0,"Sarja 2",IF($C226&gt;Data!$CP$2,"",OFFSET(tulossiirtymä,MATCH($D226,Data!$AN$2:$AN$313,0),Tulokset!H$2)))))</f>
        <v>169</v>
      </c>
      <c r="I226" s="78">
        <f ca="1">IF($B226&gt;keilatut,"",IF($C226=(-1),"",IF($C226=0,"Yhteensä",IF($C226&gt;Data!$CP$2,"",OFFSET(tulossiirtymä,MATCH($D226,Data!$AN$2:$AN$313,0),Tulokset!I$2)))))</f>
        <v>302</v>
      </c>
      <c r="J226" s="78">
        <f ca="1">IF($B226&gt;keilatut,"",IF($C226=(-1),"",IF($C226=0,"Ero voittajaan",IF($C226&gt;Data!$CP$2,"",OFFSET(tulossiirtymä,MATCH($D226,Data!$AN$2:$AN$313,0),Tulokset!J$2)))))</f>
        <v>5</v>
      </c>
      <c r="K226" s="78">
        <f ca="1">IF($B226&gt;keilatut,"",IF($C226=(-1),"",IF($C226=0,"Pisteet",IF($C226&gt;Data!$CP$2,"",OFFSET(tulossiirtymä,MATCH($D226,Data!$AN$2:$AN$313,0),Tulokset!K$2)))))</f>
        <v>8</v>
      </c>
      <c r="L226" s="78">
        <f ca="1">IF($B226&gt;keilatut,"",IF($C226=(-1),"",IF($C226=0,"Pisteet yhteensä",IF($C226&gt;Data!$CP$2,"",OFFSET(tulossiirtymä,MATCH($D226,Data!$AN$2:$AN$313,0),Tulokset!L$2)))))</f>
        <v>40.5</v>
      </c>
      <c r="M226" s="78" t="str">
        <f ca="1">IF($B226&gt;keilatut,"",IF($C226=(-1),"",IF($C226=0,"Pisteseloste",IF($C226&gt;Data!$CP$2,"",OFFSET(tulossiirtymä,MATCH($D226,Data!$AN$2:$AN$313,0),Tulokset!M$2)))))</f>
        <v>+SP</v>
      </c>
    </row>
    <row r="227" spans="2:13" x14ac:dyDescent="0.25">
      <c r="B227" s="78">
        <f t="shared" si="3"/>
        <v>9</v>
      </c>
      <c r="C227" s="78">
        <f>COUNTIF($B$6:B227,B227)-2</f>
        <v>4</v>
      </c>
      <c r="D227" s="79">
        <f t="array" ref="D227">IF($B227&lt;=keilatut,IF($C227&lt;1,"",IF($C227&gt;Data!$CP$2,"",SMALL(IF(Data!$B$2:$B$313=Tulokset!$B227,Data!$AN$2:$AN$313),Tulokset!$C227))),"")</f>
        <v>4.0001480000000003</v>
      </c>
      <c r="E227" s="78">
        <f>IF($B227&gt;keilatut,"",IF($C227=(-1),"GP"&amp;$B227&amp;", "&amp;DAY(VLOOKUP($B227,kilpailukalenteri,2))&amp;"."&amp;MONTH(VLOOKUP($B227,kilpailukalenteri,2))&amp;"."&amp;YEAR(VLOOKUP($B227,kilpailukalenteri,2))&amp;", "&amp;IF(RIGHT(VLOOKUP($B227,kilpailukalenteri,4),1)="*",LEFT(VLOOKUP($B227,kilpailukalenteri,4),LEN(VLOOKUP($B227,kilpailukalenteri,4))-2)&amp;", Kultainen GP",VLOOKUP($B227,kilpailukalenteri,4)),IF($C227=0,"Sija",IF($C227&gt;Data!$CP$2,"",ROUND(Tulokset!$D227,0)))))</f>
        <v>4</v>
      </c>
      <c r="F227" s="78" t="str">
        <f ca="1">IF($B227&gt;keilatut,"",IF($C227=(-1),"",IF($C227=0,"Nimi",IF($C227&gt;Data!$CP$2,"",OFFSET(tulossiirtymä,MATCH($D227,Data!$AN$2:$AN$313,0),Tulokset!F$2)))))</f>
        <v>Miika Nordblad</v>
      </c>
      <c r="G227" s="78">
        <f ca="1">IF($B227&gt;keilatut,"",IF($C227=(-1),"",IF($C227=0,"Sarja 1",IF($C227&gt;Data!$CP$2,"",OFFSET(tulossiirtymä,MATCH($D227,Data!$AN$2:$AN$313,0),Tulokset!G$2)))))</f>
        <v>150</v>
      </c>
      <c r="H227" s="78">
        <f ca="1">IF($B227&gt;keilatut,"",IF($C227=(-1),"",IF($C227=0,"Sarja 2",IF($C227&gt;Data!$CP$2,"",OFFSET(tulossiirtymä,MATCH($D227,Data!$AN$2:$AN$313,0),Tulokset!H$2)))))</f>
        <v>140</v>
      </c>
      <c r="I227" s="78">
        <f ca="1">IF($B227&gt;keilatut,"",IF($C227=(-1),"",IF($C227=0,"Yhteensä",IF($C227&gt;Data!$CP$2,"",OFFSET(tulossiirtymä,MATCH($D227,Data!$AN$2:$AN$313,0),Tulokset!I$2)))))</f>
        <v>290</v>
      </c>
      <c r="J227" s="78">
        <f ca="1">IF($B227&gt;keilatut,"",IF($C227=(-1),"",IF($C227=0,"Ero voittajaan",IF($C227&gt;Data!$CP$2,"",OFFSET(tulossiirtymä,MATCH($D227,Data!$AN$2:$AN$313,0),Tulokset!J$2)))))</f>
        <v>17</v>
      </c>
      <c r="K227" s="78">
        <f ca="1">IF($B227&gt;keilatut,"",IF($C227=(-1),"",IF($C227=0,"Pisteet",IF($C227&gt;Data!$CP$2,"",OFFSET(tulossiirtymä,MATCH($D227,Data!$AN$2:$AN$313,0),Tulokset!K$2)))))</f>
        <v>7</v>
      </c>
      <c r="L227" s="78">
        <f ca="1">IF($B227&gt;keilatut,"",IF($C227=(-1),"",IF($C227=0,"Pisteet yhteensä",IF($C227&gt;Data!$CP$2,"",OFFSET(tulossiirtymä,MATCH($D227,Data!$AN$2:$AN$313,0),Tulokset!L$2)))))</f>
        <v>69</v>
      </c>
      <c r="M227" s="78" t="str">
        <f ca="1">IF($B227&gt;keilatut,"",IF($C227=(-1),"",IF($C227=0,"Pisteseloste",IF($C227&gt;Data!$CP$2,"",OFFSET(tulossiirtymä,MATCH($D227,Data!$AN$2:$AN$313,0),Tulokset!M$2)))))</f>
        <v>+SP</v>
      </c>
    </row>
    <row r="228" spans="2:13" x14ac:dyDescent="0.25">
      <c r="B228" s="78">
        <f t="shared" si="3"/>
        <v>9</v>
      </c>
      <c r="C228" s="78">
        <f>COUNTIF($B$6:B228,B228)-2</f>
        <v>5</v>
      </c>
      <c r="D228" s="79">
        <f t="array" ref="D228">IF($B228&lt;=keilatut,IF($C228&lt;1,"",IF($C228&gt;Data!$CP$2,"",SMALL(IF(Data!$B$2:$B$313=Tulokset!$B228,Data!$AN$2:$AN$313),Tulokset!$C228))),"")</f>
        <v>5.0001490000000004</v>
      </c>
      <c r="E228" s="78">
        <f>IF($B228&gt;keilatut,"",IF($C228=(-1),"GP"&amp;$B228&amp;", "&amp;DAY(VLOOKUP($B228,kilpailukalenteri,2))&amp;"."&amp;MONTH(VLOOKUP($B228,kilpailukalenteri,2))&amp;"."&amp;YEAR(VLOOKUP($B228,kilpailukalenteri,2))&amp;", "&amp;IF(RIGHT(VLOOKUP($B228,kilpailukalenteri,4),1)="*",LEFT(VLOOKUP($B228,kilpailukalenteri,4),LEN(VLOOKUP($B228,kilpailukalenteri,4))-2)&amp;", Kultainen GP",VLOOKUP($B228,kilpailukalenteri,4)),IF($C228=0,"Sija",IF($C228&gt;Data!$CP$2,"",ROUND(Tulokset!$D228,0)))))</f>
        <v>5</v>
      </c>
      <c r="F228" s="78" t="str">
        <f ca="1">IF($B228&gt;keilatut,"",IF($C228=(-1),"",IF($C228=0,"Nimi",IF($C228&gt;Data!$CP$2,"",OFFSET(tulossiirtymä,MATCH($D228,Data!$AN$2:$AN$313,0),Tulokset!F$2)))))</f>
        <v>Ossi Oksa</v>
      </c>
      <c r="G228" s="78">
        <f ca="1">IF($B228&gt;keilatut,"",IF($C228=(-1),"",IF($C228=0,"Sarja 1",IF($C228&gt;Data!$CP$2,"",OFFSET(tulossiirtymä,MATCH($D228,Data!$AN$2:$AN$313,0),Tulokset!G$2)))))</f>
        <v>161</v>
      </c>
      <c r="H228" s="78">
        <f ca="1">IF($B228&gt;keilatut,"",IF($C228=(-1),"",IF($C228=0,"Sarja 2",IF($C228&gt;Data!$CP$2,"",OFFSET(tulossiirtymä,MATCH($D228,Data!$AN$2:$AN$313,0),Tulokset!H$2)))))</f>
        <v>119</v>
      </c>
      <c r="I228" s="78">
        <f ca="1">IF($B228&gt;keilatut,"",IF($C228=(-1),"",IF($C228=0,"Yhteensä",IF($C228&gt;Data!$CP$2,"",OFFSET(tulossiirtymä,MATCH($D228,Data!$AN$2:$AN$313,0),Tulokset!I$2)))))</f>
        <v>280</v>
      </c>
      <c r="J228" s="78">
        <f ca="1">IF($B228&gt;keilatut,"",IF($C228=(-1),"",IF($C228=0,"Ero voittajaan",IF($C228&gt;Data!$CP$2,"",OFFSET(tulossiirtymä,MATCH($D228,Data!$AN$2:$AN$313,0),Tulokset!J$2)))))</f>
        <v>27</v>
      </c>
      <c r="K228" s="78">
        <f ca="1">IF($B228&gt;keilatut,"",IF($C228=(-1),"",IF($C228=0,"Pisteet",IF($C228&gt;Data!$CP$2,"",OFFSET(tulossiirtymä,MATCH($D228,Data!$AN$2:$AN$313,0),Tulokset!K$2)))))</f>
        <v>6</v>
      </c>
      <c r="L228" s="78">
        <f ca="1">IF($B228&gt;keilatut,"",IF($C228=(-1),"",IF($C228=0,"Pisteet yhteensä",IF($C228&gt;Data!$CP$2,"",OFFSET(tulossiirtymä,MATCH($D228,Data!$AN$2:$AN$313,0),Tulokset!L$2)))))</f>
        <v>51.5</v>
      </c>
      <c r="M228" s="78" t="str">
        <f ca="1">IF($B228&gt;keilatut,"",IF($C228=(-1),"",IF($C228=0,"Pisteseloste",IF($C228&gt;Data!$CP$2,"",OFFSET(tulossiirtymä,MATCH($D228,Data!$AN$2:$AN$313,0),Tulokset!M$2)))))</f>
        <v>+SP</v>
      </c>
    </row>
    <row r="229" spans="2:13" x14ac:dyDescent="0.25">
      <c r="B229" s="78">
        <f t="shared" si="3"/>
        <v>9</v>
      </c>
      <c r="C229" s="78">
        <f>COUNTIF($B$6:B229,B229)-2</f>
        <v>6</v>
      </c>
      <c r="D229" s="79">
        <f t="array" ref="D229">IF($B229&lt;=keilatut,IF($C229&lt;1,"",IF($C229&gt;Data!$CP$2,"",SMALL(IF(Data!$B$2:$B$313=Tulokset!$B229,Data!$AN$2:$AN$313),Tulokset!$C229))),"")</f>
        <v>6.0001499999999997</v>
      </c>
      <c r="E229" s="78">
        <f>IF($B229&gt;keilatut,"",IF($C229=(-1),"GP"&amp;$B229&amp;", "&amp;DAY(VLOOKUP($B229,kilpailukalenteri,2))&amp;"."&amp;MONTH(VLOOKUP($B229,kilpailukalenteri,2))&amp;"."&amp;YEAR(VLOOKUP($B229,kilpailukalenteri,2))&amp;", "&amp;IF(RIGHT(VLOOKUP($B229,kilpailukalenteri,4),1)="*",LEFT(VLOOKUP($B229,kilpailukalenteri,4),LEN(VLOOKUP($B229,kilpailukalenteri,4))-2)&amp;", Kultainen GP",VLOOKUP($B229,kilpailukalenteri,4)),IF($C229=0,"Sija",IF($C229&gt;Data!$CP$2,"",ROUND(Tulokset!$D229,0)))))</f>
        <v>6</v>
      </c>
      <c r="F229" s="78" t="str">
        <f ca="1">IF($B229&gt;keilatut,"",IF($C229=(-1),"",IF($C229=0,"Nimi",IF($C229&gt;Data!$CP$2,"",OFFSET(tulossiirtymä,MATCH($D229,Data!$AN$2:$AN$313,0),Tulokset!F$2)))))</f>
        <v>Mikko Mansikkamäki</v>
      </c>
      <c r="G229" s="78">
        <f ca="1">IF($B229&gt;keilatut,"",IF($C229=(-1),"",IF($C229=0,"Sarja 1",IF($C229&gt;Data!$CP$2,"",OFFSET(tulossiirtymä,MATCH($D229,Data!$AN$2:$AN$313,0),Tulokset!G$2)))))</f>
        <v>178</v>
      </c>
      <c r="H229" s="78">
        <f ca="1">IF($B229&gt;keilatut,"",IF($C229=(-1),"",IF($C229=0,"Sarja 2",IF($C229&gt;Data!$CP$2,"",OFFSET(tulossiirtymä,MATCH($D229,Data!$AN$2:$AN$313,0),Tulokset!H$2)))))</f>
        <v>100</v>
      </c>
      <c r="I229" s="78">
        <f ca="1">IF($B229&gt;keilatut,"",IF($C229=(-1),"",IF($C229=0,"Yhteensä",IF($C229&gt;Data!$CP$2,"",OFFSET(tulossiirtymä,MATCH($D229,Data!$AN$2:$AN$313,0),Tulokset!I$2)))))</f>
        <v>278</v>
      </c>
      <c r="J229" s="78">
        <f ca="1">IF($B229&gt;keilatut,"",IF($C229=(-1),"",IF($C229=0,"Ero voittajaan",IF($C229&gt;Data!$CP$2,"",OFFSET(tulossiirtymä,MATCH($D229,Data!$AN$2:$AN$313,0),Tulokset!J$2)))))</f>
        <v>29</v>
      </c>
      <c r="K229" s="78">
        <f ca="1">IF($B229&gt;keilatut,"",IF($C229=(-1),"",IF($C229=0,"Pisteet",IF($C229&gt;Data!$CP$2,"",OFFSET(tulossiirtymä,MATCH($D229,Data!$AN$2:$AN$313,0),Tulokset!K$2)))))</f>
        <v>5</v>
      </c>
      <c r="L229" s="78">
        <f ca="1">IF($B229&gt;keilatut,"",IF($C229=(-1),"",IF($C229=0,"Pisteet yhteensä",IF($C229&gt;Data!$CP$2,"",OFFSET(tulossiirtymä,MATCH($D229,Data!$AN$2:$AN$313,0),Tulokset!L$2)))))</f>
        <v>4</v>
      </c>
      <c r="M229" s="78" t="str">
        <f ca="1">IF($B229&gt;keilatut,"",IF($C229=(-1),"",IF($C229=0,"Pisteseloste",IF($C229&gt;Data!$CP$2,"",OFFSET(tulossiirtymä,MATCH($D229,Data!$AN$2:$AN$313,0),Tulokset!M$2)))))</f>
        <v>+SP</v>
      </c>
    </row>
    <row r="230" spans="2:13" x14ac:dyDescent="0.25">
      <c r="B230" s="78">
        <f t="shared" ref="B230:B293" si="4">IF(C229=25,1+B229,B229)</f>
        <v>9</v>
      </c>
      <c r="C230" s="78">
        <f>COUNTIF($B$6:B230,B230)-2</f>
        <v>7</v>
      </c>
      <c r="D230" s="79">
        <f t="array" ref="D230">IF($B230&lt;=keilatut,IF($C230&lt;1,"",IF($C230&gt;Data!$CP$2,"",SMALL(IF(Data!$B$2:$B$313=Tulokset!$B230,Data!$AN$2:$AN$313),Tulokset!$C230))),"")</f>
        <v>7.0001509999999998</v>
      </c>
      <c r="E230" s="78">
        <f>IF($B230&gt;keilatut,"",IF($C230=(-1),"GP"&amp;$B230&amp;", "&amp;DAY(VLOOKUP($B230,kilpailukalenteri,2))&amp;"."&amp;MONTH(VLOOKUP($B230,kilpailukalenteri,2))&amp;"."&amp;YEAR(VLOOKUP($B230,kilpailukalenteri,2))&amp;", "&amp;IF(RIGHT(VLOOKUP($B230,kilpailukalenteri,4),1)="*",LEFT(VLOOKUP($B230,kilpailukalenteri,4),LEN(VLOOKUP($B230,kilpailukalenteri,4))-2)&amp;", Kultainen GP",VLOOKUP($B230,kilpailukalenteri,4)),IF($C230=0,"Sija",IF($C230&gt;Data!$CP$2,"",ROUND(Tulokset!$D230,0)))))</f>
        <v>7</v>
      </c>
      <c r="F230" s="78" t="str">
        <f ca="1">IF($B230&gt;keilatut,"",IF($C230=(-1),"",IF($C230=0,"Nimi",IF($C230&gt;Data!$CP$2,"",OFFSET(tulossiirtymä,MATCH($D230,Data!$AN$2:$AN$313,0),Tulokset!F$2)))))</f>
        <v>Kaleva Latvala</v>
      </c>
      <c r="G230" s="78">
        <f ca="1">IF($B230&gt;keilatut,"",IF($C230=(-1),"",IF($C230=0,"Sarja 1",IF($C230&gt;Data!$CP$2,"",OFFSET(tulossiirtymä,MATCH($D230,Data!$AN$2:$AN$313,0),Tulokset!G$2)))))</f>
        <v>148</v>
      </c>
      <c r="H230" s="78">
        <f ca="1">IF($B230&gt;keilatut,"",IF($C230=(-1),"",IF($C230=0,"Sarja 2",IF($C230&gt;Data!$CP$2,"",OFFSET(tulossiirtymä,MATCH($D230,Data!$AN$2:$AN$313,0),Tulokset!H$2)))))</f>
        <v>124</v>
      </c>
      <c r="I230" s="78">
        <f ca="1">IF($B230&gt;keilatut,"",IF($C230=(-1),"",IF($C230=0,"Yhteensä",IF($C230&gt;Data!$CP$2,"",OFFSET(tulossiirtymä,MATCH($D230,Data!$AN$2:$AN$313,0),Tulokset!I$2)))))</f>
        <v>272</v>
      </c>
      <c r="J230" s="78">
        <f ca="1">IF($B230&gt;keilatut,"",IF($C230=(-1),"",IF($C230=0,"Ero voittajaan",IF($C230&gt;Data!$CP$2,"",OFFSET(tulossiirtymä,MATCH($D230,Data!$AN$2:$AN$313,0),Tulokset!J$2)))))</f>
        <v>35</v>
      </c>
      <c r="K230" s="78">
        <f ca="1">IF($B230&gt;keilatut,"",IF($C230=(-1),"",IF($C230=0,"Pisteet",IF($C230&gt;Data!$CP$2,"",OFFSET(tulossiirtymä,MATCH($D230,Data!$AN$2:$AN$313,0),Tulokset!K$2)))))</f>
        <v>4</v>
      </c>
      <c r="L230" s="78">
        <f ca="1">IF($B230&gt;keilatut,"",IF($C230=(-1),"",IF($C230=0,"Pisteet yhteensä",IF($C230&gt;Data!$CP$2,"",OFFSET(tulossiirtymä,MATCH($D230,Data!$AN$2:$AN$313,0),Tulokset!L$2)))))</f>
        <v>24</v>
      </c>
      <c r="M230" s="78" t="str">
        <f ca="1">IF($B230&gt;keilatut,"",IF($C230=(-1),"",IF($C230=0,"Pisteseloste",IF($C230&gt;Data!$CP$2,"",OFFSET(tulossiirtymä,MATCH($D230,Data!$AN$2:$AN$313,0),Tulokset!M$2)))))</f>
        <v>+SP</v>
      </c>
    </row>
    <row r="231" spans="2:13" x14ac:dyDescent="0.25">
      <c r="B231" s="78">
        <f t="shared" si="4"/>
        <v>9</v>
      </c>
      <c r="C231" s="78">
        <f>COUNTIF($B$6:B231,B231)-2</f>
        <v>8</v>
      </c>
      <c r="D231" s="79">
        <f t="array" ref="D231">IF($B231&lt;=keilatut,IF($C231&lt;1,"",IF($C231&gt;Data!$CP$2,"",SMALL(IF(Data!$B$2:$B$313=Tulokset!$B231,Data!$AN$2:$AN$313),Tulokset!$C231))),"")</f>
        <v>8.0001519999999999</v>
      </c>
      <c r="E231" s="78">
        <f>IF($B231&gt;keilatut,"",IF($C231=(-1),"GP"&amp;$B231&amp;", "&amp;DAY(VLOOKUP($B231,kilpailukalenteri,2))&amp;"."&amp;MONTH(VLOOKUP($B231,kilpailukalenteri,2))&amp;"."&amp;YEAR(VLOOKUP($B231,kilpailukalenteri,2))&amp;", "&amp;IF(RIGHT(VLOOKUP($B231,kilpailukalenteri,4),1)="*",LEFT(VLOOKUP($B231,kilpailukalenteri,4),LEN(VLOOKUP($B231,kilpailukalenteri,4))-2)&amp;", Kultainen GP",VLOOKUP($B231,kilpailukalenteri,4)),IF($C231=0,"Sija",IF($C231&gt;Data!$CP$2,"",ROUND(Tulokset!$D231,0)))))</f>
        <v>8</v>
      </c>
      <c r="F231" s="78" t="str">
        <f ca="1">IF($B231&gt;keilatut,"",IF($C231=(-1),"",IF($C231=0,"Nimi",IF($C231&gt;Data!$CP$2,"",OFFSET(tulossiirtymä,MATCH($D231,Data!$AN$2:$AN$313,0),Tulokset!F$2)))))</f>
        <v>Olli Kajava</v>
      </c>
      <c r="G231" s="78">
        <f ca="1">IF($B231&gt;keilatut,"",IF($C231=(-1),"",IF($C231=0,"Sarja 1",IF($C231&gt;Data!$CP$2,"",OFFSET(tulossiirtymä,MATCH($D231,Data!$AN$2:$AN$313,0),Tulokset!G$2)))))</f>
        <v>140</v>
      </c>
      <c r="H231" s="78">
        <f ca="1">IF($B231&gt;keilatut,"",IF($C231=(-1),"",IF($C231=0,"Sarja 2",IF($C231&gt;Data!$CP$2,"",OFFSET(tulossiirtymä,MATCH($D231,Data!$AN$2:$AN$313,0),Tulokset!H$2)))))</f>
        <v>131</v>
      </c>
      <c r="I231" s="78">
        <f ca="1">IF($B231&gt;keilatut,"",IF($C231=(-1),"",IF($C231=0,"Yhteensä",IF($C231&gt;Data!$CP$2,"",OFFSET(tulossiirtymä,MATCH($D231,Data!$AN$2:$AN$313,0),Tulokset!I$2)))))</f>
        <v>271</v>
      </c>
      <c r="J231" s="78">
        <f ca="1">IF($B231&gt;keilatut,"",IF($C231=(-1),"",IF($C231=0,"Ero voittajaan",IF($C231&gt;Data!$CP$2,"",OFFSET(tulossiirtymä,MATCH($D231,Data!$AN$2:$AN$313,0),Tulokset!J$2)))))</f>
        <v>36</v>
      </c>
      <c r="K231" s="78">
        <f ca="1">IF($B231&gt;keilatut,"",IF($C231=(-1),"",IF($C231=0,"Pisteet",IF($C231&gt;Data!$CP$2,"",OFFSET(tulossiirtymä,MATCH($D231,Data!$AN$2:$AN$313,0),Tulokset!K$2)))))</f>
        <v>3</v>
      </c>
      <c r="L231" s="78">
        <f ca="1">IF($B231&gt;keilatut,"",IF($C231=(-1),"",IF($C231=0,"Pisteet yhteensä",IF($C231&gt;Data!$CP$2,"",OFFSET(tulossiirtymä,MATCH($D231,Data!$AN$2:$AN$313,0),Tulokset!L$2)))))</f>
        <v>22</v>
      </c>
      <c r="M231" s="78" t="str">
        <f ca="1">IF($B231&gt;keilatut,"",IF($C231=(-1),"",IF($C231=0,"Pisteseloste",IF($C231&gt;Data!$CP$2,"",OFFSET(tulossiirtymä,MATCH($D231,Data!$AN$2:$AN$313,0),Tulokset!M$2)))))</f>
        <v>+SP</v>
      </c>
    </row>
    <row r="232" spans="2:13" x14ac:dyDescent="0.25">
      <c r="B232" s="78">
        <f t="shared" si="4"/>
        <v>9</v>
      </c>
      <c r="C232" s="78">
        <f>COUNTIF($B$6:B232,B232)-2</f>
        <v>9</v>
      </c>
      <c r="D232" s="79">
        <f t="array" ref="D232">IF($B232&lt;=keilatut,IF($C232&lt;1,"",IF($C232&gt;Data!$CP$2,"",SMALL(IF(Data!$B$2:$B$313=Tulokset!$B232,Data!$AN$2:$AN$313),Tulokset!$C232))),"")</f>
        <v>9.0001529999999992</v>
      </c>
      <c r="E232" s="78">
        <f>IF($B232&gt;keilatut,"",IF($C232=(-1),"GP"&amp;$B232&amp;", "&amp;DAY(VLOOKUP($B232,kilpailukalenteri,2))&amp;"."&amp;MONTH(VLOOKUP($B232,kilpailukalenteri,2))&amp;"."&amp;YEAR(VLOOKUP($B232,kilpailukalenteri,2))&amp;", "&amp;IF(RIGHT(VLOOKUP($B232,kilpailukalenteri,4),1)="*",LEFT(VLOOKUP($B232,kilpailukalenteri,4),LEN(VLOOKUP($B232,kilpailukalenteri,4))-2)&amp;", Kultainen GP",VLOOKUP($B232,kilpailukalenteri,4)),IF($C232=0,"Sija",IF($C232&gt;Data!$CP$2,"",ROUND(Tulokset!$D232,0)))))</f>
        <v>9</v>
      </c>
      <c r="F232" s="78" t="str">
        <f ca="1">IF($B232&gt;keilatut,"",IF($C232=(-1),"",IF($C232=0,"Nimi",IF($C232&gt;Data!$CP$2,"",OFFSET(tulossiirtymä,MATCH($D232,Data!$AN$2:$AN$313,0),Tulokset!F$2)))))</f>
        <v>Asko Haaksi</v>
      </c>
      <c r="G232" s="78">
        <f ca="1">IF($B232&gt;keilatut,"",IF($C232=(-1),"",IF($C232=0,"Sarja 1",IF($C232&gt;Data!$CP$2,"",OFFSET(tulossiirtymä,MATCH($D232,Data!$AN$2:$AN$313,0),Tulokset!G$2)))))</f>
        <v>145</v>
      </c>
      <c r="H232" s="78">
        <f ca="1">IF($B232&gt;keilatut,"",IF($C232=(-1),"",IF($C232=0,"Sarja 2",IF($C232&gt;Data!$CP$2,"",OFFSET(tulossiirtymä,MATCH($D232,Data!$AN$2:$AN$313,0),Tulokset!H$2)))))</f>
        <v>118</v>
      </c>
      <c r="I232" s="78">
        <f ca="1">IF($B232&gt;keilatut,"",IF($C232=(-1),"",IF($C232=0,"Yhteensä",IF($C232&gt;Data!$CP$2,"",OFFSET(tulossiirtymä,MATCH($D232,Data!$AN$2:$AN$313,0),Tulokset!I$2)))))</f>
        <v>263</v>
      </c>
      <c r="J232" s="78">
        <f ca="1">IF($B232&gt;keilatut,"",IF($C232=(-1),"",IF($C232=0,"Ero voittajaan",IF($C232&gt;Data!$CP$2,"",OFFSET(tulossiirtymä,MATCH($D232,Data!$AN$2:$AN$313,0),Tulokset!J$2)))))</f>
        <v>44</v>
      </c>
      <c r="K232" s="78">
        <f ca="1">IF($B232&gt;keilatut,"",IF($C232=(-1),"",IF($C232=0,"Pisteet",IF($C232&gt;Data!$CP$2,"",OFFSET(tulossiirtymä,MATCH($D232,Data!$AN$2:$AN$313,0),Tulokset!K$2)))))</f>
        <v>2</v>
      </c>
      <c r="L232" s="78">
        <f ca="1">IF($B232&gt;keilatut,"",IF($C232=(-1),"",IF($C232=0,"Pisteet yhteensä",IF($C232&gt;Data!$CP$2,"",OFFSET(tulossiirtymä,MATCH($D232,Data!$AN$2:$AN$313,0),Tulokset!L$2)))))</f>
        <v>29</v>
      </c>
      <c r="M232" s="78" t="str">
        <f ca="1">IF($B232&gt;keilatut,"",IF($C232=(-1),"",IF($C232=0,"Pisteseloste",IF($C232&gt;Data!$CP$2,"",OFFSET(tulossiirtymä,MATCH($D232,Data!$AN$2:$AN$313,0),Tulokset!M$2)))))</f>
        <v>+SP</v>
      </c>
    </row>
    <row r="233" spans="2:13" x14ac:dyDescent="0.25">
      <c r="B233" s="78">
        <f t="shared" si="4"/>
        <v>9</v>
      </c>
      <c r="C233" s="78">
        <f>COUNTIF($B$6:B233,B233)-2</f>
        <v>10</v>
      </c>
      <c r="D233" s="79">
        <f t="array" ref="D233">IF($B233&lt;=keilatut,IF($C233&lt;1,"",IF($C233&gt;Data!$CP$2,"",SMALL(IF(Data!$B$2:$B$313=Tulokset!$B233,Data!$AN$2:$AN$313),Tulokset!$C233))),"")</f>
        <v>10.000154</v>
      </c>
      <c r="E233" s="78">
        <f>IF($B233&gt;keilatut,"",IF($C233=(-1),"GP"&amp;$B233&amp;", "&amp;DAY(VLOOKUP($B233,kilpailukalenteri,2))&amp;"."&amp;MONTH(VLOOKUP($B233,kilpailukalenteri,2))&amp;"."&amp;YEAR(VLOOKUP($B233,kilpailukalenteri,2))&amp;", "&amp;IF(RIGHT(VLOOKUP($B233,kilpailukalenteri,4),1)="*",LEFT(VLOOKUP($B233,kilpailukalenteri,4),LEN(VLOOKUP($B233,kilpailukalenteri,4))-2)&amp;", Kultainen GP",VLOOKUP($B233,kilpailukalenteri,4)),IF($C233=0,"Sija",IF($C233&gt;Data!$CP$2,"",ROUND(Tulokset!$D233,0)))))</f>
        <v>10</v>
      </c>
      <c r="F233" s="78" t="str">
        <f ca="1">IF($B233&gt;keilatut,"",IF($C233=(-1),"",IF($C233=0,"Nimi",IF($C233&gt;Data!$CP$2,"",OFFSET(tulossiirtymä,MATCH($D233,Data!$AN$2:$AN$313,0),Tulokset!F$2)))))</f>
        <v>Henri Verho</v>
      </c>
      <c r="G233" s="78">
        <f ca="1">IF($B233&gt;keilatut,"",IF($C233=(-1),"",IF($C233=0,"Sarja 1",IF($C233&gt;Data!$CP$2,"",OFFSET(tulossiirtymä,MATCH($D233,Data!$AN$2:$AN$313,0),Tulokset!G$2)))))</f>
        <v>133</v>
      </c>
      <c r="H233" s="78">
        <f ca="1">IF($B233&gt;keilatut,"",IF($C233=(-1),"",IF($C233=0,"Sarja 2",IF($C233&gt;Data!$CP$2,"",OFFSET(tulossiirtymä,MATCH($D233,Data!$AN$2:$AN$313,0),Tulokset!H$2)))))</f>
        <v>123</v>
      </c>
      <c r="I233" s="78">
        <f ca="1">IF($B233&gt;keilatut,"",IF($C233=(-1),"",IF($C233=0,"Yhteensä",IF($C233&gt;Data!$CP$2,"",OFFSET(tulossiirtymä,MATCH($D233,Data!$AN$2:$AN$313,0),Tulokset!I$2)))))</f>
        <v>256</v>
      </c>
      <c r="J233" s="78">
        <f ca="1">IF($B233&gt;keilatut,"",IF($C233=(-1),"",IF($C233=0,"Ero voittajaan",IF($C233&gt;Data!$CP$2,"",OFFSET(tulossiirtymä,MATCH($D233,Data!$AN$2:$AN$313,0),Tulokset!J$2)))))</f>
        <v>51</v>
      </c>
      <c r="K233" s="78">
        <f ca="1">IF($B233&gt;keilatut,"",IF($C233=(-1),"",IF($C233=0,"Pisteet",IF($C233&gt;Data!$CP$2,"",OFFSET(tulossiirtymä,MATCH($D233,Data!$AN$2:$AN$313,0),Tulokset!K$2)))))</f>
        <v>1</v>
      </c>
      <c r="L233" s="78">
        <f ca="1">IF($B233&gt;keilatut,"",IF($C233=(-1),"",IF($C233=0,"Pisteet yhteensä",IF($C233&gt;Data!$CP$2,"",OFFSET(tulossiirtymä,MATCH($D233,Data!$AN$2:$AN$313,0),Tulokset!L$2)))))</f>
        <v>46</v>
      </c>
      <c r="M233" s="78" t="str">
        <f ca="1">IF($B233&gt;keilatut,"",IF($C233=(-1),"",IF($C233=0,"Pisteseloste",IF($C233&gt;Data!$CP$2,"",OFFSET(tulossiirtymä,MATCH($D233,Data!$AN$2:$AN$313,0),Tulokset!M$2)))))</f>
        <v>+SP</v>
      </c>
    </row>
    <row r="234" spans="2:13" x14ac:dyDescent="0.25">
      <c r="B234" s="78">
        <f t="shared" si="4"/>
        <v>9</v>
      </c>
      <c r="C234" s="78">
        <f>COUNTIF($B$6:B234,B234)-2</f>
        <v>11</v>
      </c>
      <c r="D234" s="79">
        <f t="array" ref="D234">IF($B234&lt;=keilatut,IF($C234&lt;1,"",IF($C234&gt;Data!$CP$2,"",SMALL(IF(Data!$B$2:$B$313=Tulokset!$B234,Data!$AN$2:$AN$313),Tulokset!$C234))),"")</f>
        <v>11.000154999999999</v>
      </c>
      <c r="E234" s="78">
        <f>IF($B234&gt;keilatut,"",IF($C234=(-1),"GP"&amp;$B234&amp;", "&amp;DAY(VLOOKUP($B234,kilpailukalenteri,2))&amp;"."&amp;MONTH(VLOOKUP($B234,kilpailukalenteri,2))&amp;"."&amp;YEAR(VLOOKUP($B234,kilpailukalenteri,2))&amp;", "&amp;IF(RIGHT(VLOOKUP($B234,kilpailukalenteri,4),1)="*",LEFT(VLOOKUP($B234,kilpailukalenteri,4),LEN(VLOOKUP($B234,kilpailukalenteri,4))-2)&amp;", Kultainen GP",VLOOKUP($B234,kilpailukalenteri,4)),IF($C234=0,"Sija",IF($C234&gt;Data!$CP$2,"",ROUND(Tulokset!$D234,0)))))</f>
        <v>11</v>
      </c>
      <c r="F234" s="78" t="str">
        <f ca="1">IF($B234&gt;keilatut,"",IF($C234=(-1),"",IF($C234=0,"Nimi",IF($C234&gt;Data!$CP$2,"",OFFSET(tulossiirtymä,MATCH($D234,Data!$AN$2:$AN$313,0),Tulokset!F$2)))))</f>
        <v>Joonas Ollonqvist</v>
      </c>
      <c r="G234" s="78">
        <f ca="1">IF($B234&gt;keilatut,"",IF($C234=(-1),"",IF($C234=0,"Sarja 1",IF($C234&gt;Data!$CP$2,"",OFFSET(tulossiirtymä,MATCH($D234,Data!$AN$2:$AN$313,0),Tulokset!G$2)))))</f>
        <v>119</v>
      </c>
      <c r="H234" s="78">
        <f ca="1">IF($B234&gt;keilatut,"",IF($C234=(-1),"",IF($C234=0,"Sarja 2",IF($C234&gt;Data!$CP$2,"",OFFSET(tulossiirtymä,MATCH($D234,Data!$AN$2:$AN$313,0),Tulokset!H$2)))))</f>
        <v>104</v>
      </c>
      <c r="I234" s="78">
        <f ca="1">IF($B234&gt;keilatut,"",IF($C234=(-1),"",IF($C234=0,"Yhteensä",IF($C234&gt;Data!$CP$2,"",OFFSET(tulossiirtymä,MATCH($D234,Data!$AN$2:$AN$313,0),Tulokset!I$2)))))</f>
        <v>223</v>
      </c>
      <c r="J234" s="78">
        <f ca="1">IF($B234&gt;keilatut,"",IF($C234=(-1),"",IF($C234=0,"Ero voittajaan",IF($C234&gt;Data!$CP$2,"",OFFSET(tulossiirtymä,MATCH($D234,Data!$AN$2:$AN$313,0),Tulokset!J$2)))))</f>
        <v>84</v>
      </c>
      <c r="K234" s="78">
        <f ca="1">IF($B234&gt;keilatut,"",IF($C234=(-1),"",IF($C234=0,"Pisteet",IF($C234&gt;Data!$CP$2,"",OFFSET(tulossiirtymä,MATCH($D234,Data!$AN$2:$AN$313,0),Tulokset!K$2)))))</f>
        <v>0</v>
      </c>
      <c r="L234" s="78">
        <f ca="1">IF($B234&gt;keilatut,"",IF($C234=(-1),"",IF($C234=0,"Pisteet yhteensä",IF($C234&gt;Data!$CP$2,"",OFFSET(tulossiirtymä,MATCH($D234,Data!$AN$2:$AN$313,0),Tulokset!L$2)))))</f>
        <v>1</v>
      </c>
      <c r="M234" s="78" t="str">
        <f ca="1">IF($B234&gt;keilatut,"",IF($C234=(-1),"",IF($C234=0,"Pisteseloste",IF($C234&gt;Data!$CP$2,"",OFFSET(tulossiirtymä,MATCH($D234,Data!$AN$2:$AN$313,0),Tulokset!M$2)))))</f>
        <v/>
      </c>
    </row>
    <row r="235" spans="2:13" x14ac:dyDescent="0.25">
      <c r="B235" s="78">
        <f t="shared" si="4"/>
        <v>9</v>
      </c>
      <c r="C235" s="78">
        <f>COUNTIF($B$6:B235,B235)-2</f>
        <v>12</v>
      </c>
      <c r="D235" s="79">
        <f t="array" ref="D235">IF($B235&lt;=keilatut,IF($C235&lt;1,"",IF($C235&gt;Data!$CP$2,"",SMALL(IF(Data!$B$2:$B$313=Tulokset!$B235,Data!$AN$2:$AN$313),Tulokset!$C235))),"")</f>
        <v>12.000156</v>
      </c>
      <c r="E235" s="78">
        <f>IF($B235&gt;keilatut,"",IF($C235=(-1),"GP"&amp;$B235&amp;", "&amp;DAY(VLOOKUP($B235,kilpailukalenteri,2))&amp;"."&amp;MONTH(VLOOKUP($B235,kilpailukalenteri,2))&amp;"."&amp;YEAR(VLOOKUP($B235,kilpailukalenteri,2))&amp;", "&amp;IF(RIGHT(VLOOKUP($B235,kilpailukalenteri,4),1)="*",LEFT(VLOOKUP($B235,kilpailukalenteri,4),LEN(VLOOKUP($B235,kilpailukalenteri,4))-2)&amp;", Kultainen GP",VLOOKUP($B235,kilpailukalenteri,4)),IF($C235=0,"Sija",IF($C235&gt;Data!$CP$2,"",ROUND(Tulokset!$D235,0)))))</f>
        <v>12</v>
      </c>
      <c r="F235" s="78" t="str">
        <f ca="1">IF($B235&gt;keilatut,"",IF($C235=(-1),"",IF($C235=0,"Nimi",IF($C235&gt;Data!$CP$2,"",OFFSET(tulossiirtymä,MATCH($D235,Data!$AN$2:$AN$313,0),Tulokset!F$2)))))</f>
        <v>Mika Sola</v>
      </c>
      <c r="G235" s="78">
        <f ca="1">IF($B235&gt;keilatut,"",IF($C235=(-1),"",IF($C235=0,"Sarja 1",IF($C235&gt;Data!$CP$2,"",OFFSET(tulossiirtymä,MATCH($D235,Data!$AN$2:$AN$313,0),Tulokset!G$2)))))</f>
        <v>123</v>
      </c>
      <c r="H235" s="78">
        <f ca="1">IF($B235&gt;keilatut,"",IF($C235=(-1),"",IF($C235=0,"Sarja 2",IF($C235&gt;Data!$CP$2,"",OFFSET(tulossiirtymä,MATCH($D235,Data!$AN$2:$AN$313,0),Tulokset!H$2)))))</f>
        <v>90</v>
      </c>
      <c r="I235" s="78">
        <f ca="1">IF($B235&gt;keilatut,"",IF($C235=(-1),"",IF($C235=0,"Yhteensä",IF($C235&gt;Data!$CP$2,"",OFFSET(tulossiirtymä,MATCH($D235,Data!$AN$2:$AN$313,0),Tulokset!I$2)))))</f>
        <v>213</v>
      </c>
      <c r="J235" s="78">
        <f ca="1">IF($B235&gt;keilatut,"",IF($C235=(-1),"",IF($C235=0,"Ero voittajaan",IF($C235&gt;Data!$CP$2,"",OFFSET(tulossiirtymä,MATCH($D235,Data!$AN$2:$AN$313,0),Tulokset!J$2)))))</f>
        <v>94</v>
      </c>
      <c r="K235" s="78">
        <f ca="1">IF($B235&gt;keilatut,"",IF($C235=(-1),"",IF($C235=0,"Pisteet",IF($C235&gt;Data!$CP$2,"",OFFSET(tulossiirtymä,MATCH($D235,Data!$AN$2:$AN$313,0),Tulokset!K$2)))))</f>
        <v>0</v>
      </c>
      <c r="L235" s="78">
        <f ca="1">IF($B235&gt;keilatut,"",IF($C235=(-1),"",IF($C235=0,"Pisteet yhteensä",IF($C235&gt;Data!$CP$2,"",OFFSET(tulossiirtymä,MATCH($D235,Data!$AN$2:$AN$313,0),Tulokset!L$2)))))</f>
        <v>37</v>
      </c>
      <c r="M235" s="78" t="str">
        <f ca="1">IF($B235&gt;keilatut,"",IF($C235=(-1),"",IF($C235=0,"Pisteseloste",IF($C235&gt;Data!$CP$2,"",OFFSET(tulossiirtymä,MATCH($D235,Data!$AN$2:$AN$313,0),Tulokset!M$2)))))</f>
        <v/>
      </c>
    </row>
    <row r="236" spans="2:13" x14ac:dyDescent="0.25">
      <c r="B236" s="78">
        <f t="shared" si="4"/>
        <v>9</v>
      </c>
      <c r="C236" s="78">
        <f>COUNTIF($B$6:B236,B236)-2</f>
        <v>13</v>
      </c>
      <c r="D236" s="79">
        <f t="array" ref="D236">IF($B236&lt;=keilatut,IF($C236&lt;1,"",IF($C236&gt;Data!$CP$2,"",SMALL(IF(Data!$B$2:$B$313=Tulokset!$B236,Data!$AN$2:$AN$313),Tulokset!$C236))),"")</f>
        <v>13.000157</v>
      </c>
      <c r="E236" s="78">
        <f>IF($B236&gt;keilatut,"",IF($C236=(-1),"GP"&amp;$B236&amp;", "&amp;DAY(VLOOKUP($B236,kilpailukalenteri,2))&amp;"."&amp;MONTH(VLOOKUP($B236,kilpailukalenteri,2))&amp;"."&amp;YEAR(VLOOKUP($B236,kilpailukalenteri,2))&amp;", "&amp;IF(RIGHT(VLOOKUP($B236,kilpailukalenteri,4),1)="*",LEFT(VLOOKUP($B236,kilpailukalenteri,4),LEN(VLOOKUP($B236,kilpailukalenteri,4))-2)&amp;", Kultainen GP",VLOOKUP($B236,kilpailukalenteri,4)),IF($C236=0,"Sija",IF($C236&gt;Data!$CP$2,"",ROUND(Tulokset!$D236,0)))))</f>
        <v>13</v>
      </c>
      <c r="F236" s="78" t="str">
        <f ca="1">IF($B236&gt;keilatut,"",IF($C236=(-1),"",IF($C236=0,"Nimi",IF($C236&gt;Data!$CP$2,"",OFFSET(tulossiirtymä,MATCH($D236,Data!$AN$2:$AN$313,0),Tulokset!F$2)))))</f>
        <v>Miikka Korventausta</v>
      </c>
      <c r="G236" s="78">
        <f ca="1">IF($B236&gt;keilatut,"",IF($C236=(-1),"",IF($C236=0,"Sarja 1",IF($C236&gt;Data!$CP$2,"",OFFSET(tulossiirtymä,MATCH($D236,Data!$AN$2:$AN$313,0),Tulokset!G$2)))))</f>
        <v>97</v>
      </c>
      <c r="H236" s="78">
        <f ca="1">IF($B236&gt;keilatut,"",IF($C236=(-1),"",IF($C236=0,"Sarja 2",IF($C236&gt;Data!$CP$2,"",OFFSET(tulossiirtymä,MATCH($D236,Data!$AN$2:$AN$313,0),Tulokset!H$2)))))</f>
        <v>107</v>
      </c>
      <c r="I236" s="78">
        <f ca="1">IF($B236&gt;keilatut,"",IF($C236=(-1),"",IF($C236=0,"Yhteensä",IF($C236&gt;Data!$CP$2,"",OFFSET(tulossiirtymä,MATCH($D236,Data!$AN$2:$AN$313,0),Tulokset!I$2)))))</f>
        <v>204</v>
      </c>
      <c r="J236" s="78">
        <f ca="1">IF($B236&gt;keilatut,"",IF($C236=(-1),"",IF($C236=0,"Ero voittajaan",IF($C236&gt;Data!$CP$2,"",OFFSET(tulossiirtymä,MATCH($D236,Data!$AN$2:$AN$313,0),Tulokset!J$2)))))</f>
        <v>103</v>
      </c>
      <c r="K236" s="78">
        <f ca="1">IF($B236&gt;keilatut,"",IF($C236=(-1),"",IF($C236=0,"Pisteet",IF($C236&gt;Data!$CP$2,"",OFFSET(tulossiirtymä,MATCH($D236,Data!$AN$2:$AN$313,0),Tulokset!K$2)))))</f>
        <v>0</v>
      </c>
      <c r="L236" s="78">
        <f ca="1">IF($B236&gt;keilatut,"",IF($C236=(-1),"",IF($C236=0,"Pisteet yhteensä",IF($C236&gt;Data!$CP$2,"",OFFSET(tulossiirtymä,MATCH($D236,Data!$AN$2:$AN$313,0),Tulokset!L$2)))))</f>
        <v>20</v>
      </c>
      <c r="M236" s="78" t="str">
        <f ca="1">IF($B236&gt;keilatut,"",IF($C236=(-1),"",IF($C236=0,"Pisteseloste",IF($C236&gt;Data!$CP$2,"",OFFSET(tulossiirtymä,MATCH($D236,Data!$AN$2:$AN$313,0),Tulokset!M$2)))))</f>
        <v/>
      </c>
    </row>
    <row r="237" spans="2:13" x14ac:dyDescent="0.25">
      <c r="B237" s="78">
        <f t="shared" si="4"/>
        <v>9</v>
      </c>
      <c r="C237" s="78">
        <f>COUNTIF($B$6:B237,B237)-2</f>
        <v>14</v>
      </c>
      <c r="D237" s="79">
        <f t="array" ref="D237">IF($B237&lt;=keilatut,IF($C237&lt;1,"",IF($C237&gt;Data!$CP$2,"",SMALL(IF(Data!$B$2:$B$313=Tulokset!$B237,Data!$AN$2:$AN$313),Tulokset!$C237))),"")</f>
        <v>14.000158000000001</v>
      </c>
      <c r="E237" s="78">
        <f>IF($B237&gt;keilatut,"",IF($C237=(-1),"GP"&amp;$B237&amp;", "&amp;DAY(VLOOKUP($B237,kilpailukalenteri,2))&amp;"."&amp;MONTH(VLOOKUP($B237,kilpailukalenteri,2))&amp;"."&amp;YEAR(VLOOKUP($B237,kilpailukalenteri,2))&amp;", "&amp;IF(RIGHT(VLOOKUP($B237,kilpailukalenteri,4),1)="*",LEFT(VLOOKUP($B237,kilpailukalenteri,4),LEN(VLOOKUP($B237,kilpailukalenteri,4))-2)&amp;", Kultainen GP",VLOOKUP($B237,kilpailukalenteri,4)),IF($C237=0,"Sija",IF($C237&gt;Data!$CP$2,"",ROUND(Tulokset!$D237,0)))))</f>
        <v>14</v>
      </c>
      <c r="F237" s="78" t="str">
        <f ca="1">IF($B237&gt;keilatut,"",IF($C237=(-1),"",IF($C237=0,"Nimi",IF($C237&gt;Data!$CP$2,"",OFFSET(tulossiirtymä,MATCH($D237,Data!$AN$2:$AN$313,0),Tulokset!F$2)))))</f>
        <v>Juho Korpi</v>
      </c>
      <c r="G237" s="78">
        <f ca="1">IF($B237&gt;keilatut,"",IF($C237=(-1),"",IF($C237=0,"Sarja 1",IF($C237&gt;Data!$CP$2,"",OFFSET(tulossiirtymä,MATCH($D237,Data!$AN$2:$AN$313,0),Tulokset!G$2)))))</f>
        <v>0</v>
      </c>
      <c r="H237" s="78">
        <f ca="1">IF($B237&gt;keilatut,"",IF($C237=(-1),"",IF($C237=0,"Sarja 2",IF($C237&gt;Data!$CP$2,"",OFFSET(tulossiirtymä,MATCH($D237,Data!$AN$2:$AN$313,0),Tulokset!H$2)))))</f>
        <v>0</v>
      </c>
      <c r="I237" s="78">
        <f ca="1">IF($B237&gt;keilatut,"",IF($C237=(-1),"",IF($C237=0,"Yhteensä",IF($C237&gt;Data!$CP$2,"",OFFSET(tulossiirtymä,MATCH($D237,Data!$AN$2:$AN$313,0),Tulokset!I$2)))))</f>
        <v>0</v>
      </c>
      <c r="J237" s="78" t="str">
        <f ca="1">IF($B237&gt;keilatut,"",IF($C237=(-1),"",IF($C237=0,"Ero voittajaan",IF($C237&gt;Data!$CP$2,"",OFFSET(tulossiirtymä,MATCH($D237,Data!$AN$2:$AN$313,0),Tulokset!J$2)))))</f>
        <v/>
      </c>
      <c r="K237" s="78">
        <f ca="1">IF($B237&gt;keilatut,"",IF($C237=(-1),"",IF($C237=0,"Pisteet",IF($C237&gt;Data!$CP$2,"",OFFSET(tulossiirtymä,MATCH($D237,Data!$AN$2:$AN$313,0),Tulokset!K$2)))))</f>
        <v>0</v>
      </c>
      <c r="L237" s="78">
        <f ca="1">IF($B237&gt;keilatut,"",IF($C237=(-1),"",IF($C237=0,"Pisteet yhteensä",IF($C237&gt;Data!$CP$2,"",OFFSET(tulossiirtymä,MATCH($D237,Data!$AN$2:$AN$313,0),Tulokset!L$2)))))</f>
        <v>23</v>
      </c>
      <c r="M237" s="78" t="str">
        <f ca="1">IF($B237&gt;keilatut,"",IF($C237=(-1),"",IF($C237=0,"Pisteseloste",IF($C237&gt;Data!$CP$2,"",OFFSET(tulossiirtymä,MATCH($D237,Data!$AN$2:$AN$313,0),Tulokset!M$2)))))</f>
        <v/>
      </c>
    </row>
    <row r="238" spans="2:13" x14ac:dyDescent="0.25">
      <c r="B238" s="78">
        <f t="shared" si="4"/>
        <v>9</v>
      </c>
      <c r="C238" s="78">
        <f>COUNTIF($B$6:B238,B238)-2</f>
        <v>15</v>
      </c>
      <c r="D238" s="79">
        <f t="array" ref="D238">IF($B238&lt;=keilatut,IF($C238&lt;1,"",IF($C238&gt;Data!$CP$2,"",SMALL(IF(Data!$B$2:$B$313=Tulokset!$B238,Data!$AN$2:$AN$313),Tulokset!$C238))),"")</f>
        <v>14.000159</v>
      </c>
      <c r="E238" s="78">
        <f>IF($B238&gt;keilatut,"",IF($C238=(-1),"GP"&amp;$B238&amp;", "&amp;DAY(VLOOKUP($B238,kilpailukalenteri,2))&amp;"."&amp;MONTH(VLOOKUP($B238,kilpailukalenteri,2))&amp;"."&amp;YEAR(VLOOKUP($B238,kilpailukalenteri,2))&amp;", "&amp;IF(RIGHT(VLOOKUP($B238,kilpailukalenteri,4),1)="*",LEFT(VLOOKUP($B238,kilpailukalenteri,4),LEN(VLOOKUP($B238,kilpailukalenteri,4))-2)&amp;", Kultainen GP",VLOOKUP($B238,kilpailukalenteri,4)),IF($C238=0,"Sija",IF($C238&gt;Data!$CP$2,"",ROUND(Tulokset!$D238,0)))))</f>
        <v>14</v>
      </c>
      <c r="F238" s="78" t="str">
        <f ca="1">IF($B238&gt;keilatut,"",IF($C238=(-1),"",IF($C238=0,"Nimi",IF($C238&gt;Data!$CP$2,"",OFFSET(tulossiirtymä,MATCH($D238,Data!$AN$2:$AN$313,0),Tulokset!F$2)))))</f>
        <v>Roope Warro</v>
      </c>
      <c r="G238" s="78">
        <f ca="1">IF($B238&gt;keilatut,"",IF($C238=(-1),"",IF($C238=0,"Sarja 1",IF($C238&gt;Data!$CP$2,"",OFFSET(tulossiirtymä,MATCH($D238,Data!$AN$2:$AN$313,0),Tulokset!G$2)))))</f>
        <v>0</v>
      </c>
      <c r="H238" s="78">
        <f ca="1">IF($B238&gt;keilatut,"",IF($C238=(-1),"",IF($C238=0,"Sarja 2",IF($C238&gt;Data!$CP$2,"",OFFSET(tulossiirtymä,MATCH($D238,Data!$AN$2:$AN$313,0),Tulokset!H$2)))))</f>
        <v>0</v>
      </c>
      <c r="I238" s="78">
        <f ca="1">IF($B238&gt;keilatut,"",IF($C238=(-1),"",IF($C238=0,"Yhteensä",IF($C238&gt;Data!$CP$2,"",OFFSET(tulossiirtymä,MATCH($D238,Data!$AN$2:$AN$313,0),Tulokset!I$2)))))</f>
        <v>0</v>
      </c>
      <c r="J238" s="78" t="str">
        <f ca="1">IF($B238&gt;keilatut,"",IF($C238=(-1),"",IF($C238=0,"Ero voittajaan",IF($C238&gt;Data!$CP$2,"",OFFSET(tulossiirtymä,MATCH($D238,Data!$AN$2:$AN$313,0),Tulokset!J$2)))))</f>
        <v/>
      </c>
      <c r="K238" s="78">
        <f ca="1">IF($B238&gt;keilatut,"",IF($C238=(-1),"",IF($C238=0,"Pisteet",IF($C238&gt;Data!$CP$2,"",OFFSET(tulossiirtymä,MATCH($D238,Data!$AN$2:$AN$313,0),Tulokset!K$2)))))</f>
        <v>0</v>
      </c>
      <c r="L238" s="78">
        <f ca="1">IF($B238&gt;keilatut,"",IF($C238=(-1),"",IF($C238=0,"Pisteet yhteensä",IF($C238&gt;Data!$CP$2,"",OFFSET(tulossiirtymä,MATCH($D238,Data!$AN$2:$AN$313,0),Tulokset!L$2)))))</f>
        <v>11</v>
      </c>
      <c r="M238" s="78" t="str">
        <f ca="1">IF($B238&gt;keilatut,"",IF($C238=(-1),"",IF($C238=0,"Pisteseloste",IF($C238&gt;Data!$CP$2,"",OFFSET(tulossiirtymä,MATCH($D238,Data!$AN$2:$AN$313,0),Tulokset!M$2)))))</f>
        <v/>
      </c>
    </row>
    <row r="239" spans="2:13" x14ac:dyDescent="0.25">
      <c r="B239" s="78">
        <f t="shared" si="4"/>
        <v>9</v>
      </c>
      <c r="C239" s="78">
        <f>COUNTIF($B$6:B239,B239)-2</f>
        <v>16</v>
      </c>
      <c r="D239" s="79">
        <f t="array" ref="D239">IF($B239&lt;=keilatut,IF($C239&lt;1,"",IF($C239&gt;Data!$CP$2,"",SMALL(IF(Data!$B$2:$B$313=Tulokset!$B239,Data!$AN$2:$AN$313),Tulokset!$C239))),"")</f>
        <v>14.000159999999999</v>
      </c>
      <c r="E239" s="78">
        <f>IF($B239&gt;keilatut,"",IF($C239=(-1),"GP"&amp;$B239&amp;", "&amp;DAY(VLOOKUP($B239,kilpailukalenteri,2))&amp;"."&amp;MONTH(VLOOKUP($B239,kilpailukalenteri,2))&amp;"."&amp;YEAR(VLOOKUP($B239,kilpailukalenteri,2))&amp;", "&amp;IF(RIGHT(VLOOKUP($B239,kilpailukalenteri,4),1)="*",LEFT(VLOOKUP($B239,kilpailukalenteri,4),LEN(VLOOKUP($B239,kilpailukalenteri,4))-2)&amp;", Kultainen GP",VLOOKUP($B239,kilpailukalenteri,4)),IF($C239=0,"Sija",IF($C239&gt;Data!$CP$2,"",ROUND(Tulokset!$D239,0)))))</f>
        <v>14</v>
      </c>
      <c r="F239" s="78" t="str">
        <f ca="1">IF($B239&gt;keilatut,"",IF($C239=(-1),"",IF($C239=0,"Nimi",IF($C239&gt;Data!$CP$2,"",OFFSET(tulossiirtymä,MATCH($D239,Data!$AN$2:$AN$313,0),Tulokset!F$2)))))</f>
        <v>Iiro Riikonen</v>
      </c>
      <c r="G239" s="78">
        <f ca="1">IF($B239&gt;keilatut,"",IF($C239=(-1),"",IF($C239=0,"Sarja 1",IF($C239&gt;Data!$CP$2,"",OFFSET(tulossiirtymä,MATCH($D239,Data!$AN$2:$AN$313,0),Tulokset!G$2)))))</f>
        <v>0</v>
      </c>
      <c r="H239" s="78">
        <f ca="1">IF($B239&gt;keilatut,"",IF($C239=(-1),"",IF($C239=0,"Sarja 2",IF($C239&gt;Data!$CP$2,"",OFFSET(tulossiirtymä,MATCH($D239,Data!$AN$2:$AN$313,0),Tulokset!H$2)))))</f>
        <v>0</v>
      </c>
      <c r="I239" s="78">
        <f ca="1">IF($B239&gt;keilatut,"",IF($C239=(-1),"",IF($C239=0,"Yhteensä",IF($C239&gt;Data!$CP$2,"",OFFSET(tulossiirtymä,MATCH($D239,Data!$AN$2:$AN$313,0),Tulokset!I$2)))))</f>
        <v>0</v>
      </c>
      <c r="J239" s="78" t="str">
        <f ca="1">IF($B239&gt;keilatut,"",IF($C239=(-1),"",IF($C239=0,"Ero voittajaan",IF($C239&gt;Data!$CP$2,"",OFFSET(tulossiirtymä,MATCH($D239,Data!$AN$2:$AN$313,0),Tulokset!J$2)))))</f>
        <v/>
      </c>
      <c r="K239" s="78">
        <f ca="1">IF($B239&gt;keilatut,"",IF($C239=(-1),"",IF($C239=0,"Pisteet",IF($C239&gt;Data!$CP$2,"",OFFSET(tulossiirtymä,MATCH($D239,Data!$AN$2:$AN$313,0),Tulokset!K$2)))))</f>
        <v>0</v>
      </c>
      <c r="L239" s="78">
        <f ca="1">IF($B239&gt;keilatut,"",IF($C239=(-1),"",IF($C239=0,"Pisteet yhteensä",IF($C239&gt;Data!$CP$2,"",OFFSET(tulossiirtymä,MATCH($D239,Data!$AN$2:$AN$313,0),Tulokset!L$2)))))</f>
        <v>17</v>
      </c>
      <c r="M239" s="78" t="str">
        <f ca="1">IF($B239&gt;keilatut,"",IF($C239=(-1),"",IF($C239=0,"Pisteseloste",IF($C239&gt;Data!$CP$2,"",OFFSET(tulossiirtymä,MATCH($D239,Data!$AN$2:$AN$313,0),Tulokset!M$2)))))</f>
        <v/>
      </c>
    </row>
    <row r="240" spans="2:13" x14ac:dyDescent="0.25">
      <c r="B240" s="78">
        <f t="shared" si="4"/>
        <v>9</v>
      </c>
      <c r="C240" s="78">
        <f>COUNTIF($B$6:B240,B240)-2</f>
        <v>17</v>
      </c>
      <c r="D240" s="79">
        <f t="array" ref="D240">IF($B240&lt;=keilatut,IF($C240&lt;1,"",IF($C240&gt;Data!$CP$2,"",SMALL(IF(Data!$B$2:$B$313=Tulokset!$B240,Data!$AN$2:$AN$313),Tulokset!$C240))),"")</f>
        <v>14.000161</v>
      </c>
      <c r="E240" s="78">
        <f>IF($B240&gt;keilatut,"",IF($C240=(-1),"GP"&amp;$B240&amp;", "&amp;DAY(VLOOKUP($B240,kilpailukalenteri,2))&amp;"."&amp;MONTH(VLOOKUP($B240,kilpailukalenteri,2))&amp;"."&amp;YEAR(VLOOKUP($B240,kilpailukalenteri,2))&amp;", "&amp;IF(RIGHT(VLOOKUP($B240,kilpailukalenteri,4),1)="*",LEFT(VLOOKUP($B240,kilpailukalenteri,4),LEN(VLOOKUP($B240,kilpailukalenteri,4))-2)&amp;", Kultainen GP",VLOOKUP($B240,kilpailukalenteri,4)),IF($C240=0,"Sija",IF($C240&gt;Data!$CP$2,"",ROUND(Tulokset!$D240,0)))))</f>
        <v>14</v>
      </c>
      <c r="F240" s="78" t="str">
        <f ca="1">IF($B240&gt;keilatut,"",IF($C240=(-1),"",IF($C240=0,"Nimi",IF($C240&gt;Data!$CP$2,"",OFFSET(tulossiirtymä,MATCH($D240,Data!$AN$2:$AN$313,0),Tulokset!F$2)))))</f>
        <v>Sakari Leinonen</v>
      </c>
      <c r="G240" s="78">
        <f ca="1">IF($B240&gt;keilatut,"",IF($C240=(-1),"",IF($C240=0,"Sarja 1",IF($C240&gt;Data!$CP$2,"",OFFSET(tulossiirtymä,MATCH($D240,Data!$AN$2:$AN$313,0),Tulokset!G$2)))))</f>
        <v>0</v>
      </c>
      <c r="H240" s="78">
        <f ca="1">IF($B240&gt;keilatut,"",IF($C240=(-1),"",IF($C240=0,"Sarja 2",IF($C240&gt;Data!$CP$2,"",OFFSET(tulossiirtymä,MATCH($D240,Data!$AN$2:$AN$313,0),Tulokset!H$2)))))</f>
        <v>0</v>
      </c>
      <c r="I240" s="78">
        <f ca="1">IF($B240&gt;keilatut,"",IF($C240=(-1),"",IF($C240=0,"Yhteensä",IF($C240&gt;Data!$CP$2,"",OFFSET(tulossiirtymä,MATCH($D240,Data!$AN$2:$AN$313,0),Tulokset!I$2)))))</f>
        <v>0</v>
      </c>
      <c r="J240" s="78" t="str">
        <f ca="1">IF($B240&gt;keilatut,"",IF($C240=(-1),"",IF($C240=0,"Ero voittajaan",IF($C240&gt;Data!$CP$2,"",OFFSET(tulossiirtymä,MATCH($D240,Data!$AN$2:$AN$313,0),Tulokset!J$2)))))</f>
        <v/>
      </c>
      <c r="K240" s="78">
        <f ca="1">IF($B240&gt;keilatut,"",IF($C240=(-1),"",IF($C240=0,"Pisteet",IF($C240&gt;Data!$CP$2,"",OFFSET(tulossiirtymä,MATCH($D240,Data!$AN$2:$AN$313,0),Tulokset!K$2)))))</f>
        <v>0</v>
      </c>
      <c r="L240" s="78">
        <f ca="1">IF($B240&gt;keilatut,"",IF($C240=(-1),"",IF($C240=0,"Pisteet yhteensä",IF($C240&gt;Data!$CP$2,"",OFFSET(tulossiirtymä,MATCH($D240,Data!$AN$2:$AN$313,0),Tulokset!L$2)))))</f>
        <v>15</v>
      </c>
      <c r="M240" s="78" t="str">
        <f ca="1">IF($B240&gt;keilatut,"",IF($C240=(-1),"",IF($C240=0,"Pisteseloste",IF($C240&gt;Data!$CP$2,"",OFFSET(tulossiirtymä,MATCH($D240,Data!$AN$2:$AN$313,0),Tulokset!M$2)))))</f>
        <v/>
      </c>
    </row>
    <row r="241" spans="2:13" x14ac:dyDescent="0.25">
      <c r="B241" s="78">
        <f t="shared" si="4"/>
        <v>9</v>
      </c>
      <c r="C241" s="78">
        <f>COUNTIF($B$6:B241,B241)-2</f>
        <v>18</v>
      </c>
      <c r="D241" s="79">
        <f t="array" ref="D241">IF($B241&lt;=keilatut,IF($C241&lt;1,"",IF($C241&gt;Data!$CP$2,"",SMALL(IF(Data!$B$2:$B$313=Tulokset!$B241,Data!$AN$2:$AN$313),Tulokset!$C241))),"")</f>
        <v>14.000162</v>
      </c>
      <c r="E241" s="78">
        <f>IF($B241&gt;keilatut,"",IF($C241=(-1),"GP"&amp;$B241&amp;", "&amp;DAY(VLOOKUP($B241,kilpailukalenteri,2))&amp;"."&amp;MONTH(VLOOKUP($B241,kilpailukalenteri,2))&amp;"."&amp;YEAR(VLOOKUP($B241,kilpailukalenteri,2))&amp;", "&amp;IF(RIGHT(VLOOKUP($B241,kilpailukalenteri,4),1)="*",LEFT(VLOOKUP($B241,kilpailukalenteri,4),LEN(VLOOKUP($B241,kilpailukalenteri,4))-2)&amp;", Kultainen GP",VLOOKUP($B241,kilpailukalenteri,4)),IF($C241=0,"Sija",IF($C241&gt;Data!$CP$2,"",ROUND(Tulokset!$D241,0)))))</f>
        <v>14</v>
      </c>
      <c r="F241" s="78" t="str">
        <f ca="1">IF($B241&gt;keilatut,"",IF($C241=(-1),"",IF($C241=0,"Nimi",IF($C241&gt;Data!$CP$2,"",OFFSET(tulossiirtymä,MATCH($D241,Data!$AN$2:$AN$313,0),Tulokset!F$2)))))</f>
        <v>Tatu Erlin</v>
      </c>
      <c r="G241" s="78">
        <f ca="1">IF($B241&gt;keilatut,"",IF($C241=(-1),"",IF($C241=0,"Sarja 1",IF($C241&gt;Data!$CP$2,"",OFFSET(tulossiirtymä,MATCH($D241,Data!$AN$2:$AN$313,0),Tulokset!G$2)))))</f>
        <v>0</v>
      </c>
      <c r="H241" s="78">
        <f ca="1">IF($B241&gt;keilatut,"",IF($C241=(-1),"",IF($C241=0,"Sarja 2",IF($C241&gt;Data!$CP$2,"",OFFSET(tulossiirtymä,MATCH($D241,Data!$AN$2:$AN$313,0),Tulokset!H$2)))))</f>
        <v>0</v>
      </c>
      <c r="I241" s="78">
        <f ca="1">IF($B241&gt;keilatut,"",IF($C241=(-1),"",IF($C241=0,"Yhteensä",IF($C241&gt;Data!$CP$2,"",OFFSET(tulossiirtymä,MATCH($D241,Data!$AN$2:$AN$313,0),Tulokset!I$2)))))</f>
        <v>0</v>
      </c>
      <c r="J241" s="78" t="str">
        <f ca="1">IF($B241&gt;keilatut,"",IF($C241=(-1),"",IF($C241=0,"Ero voittajaan",IF($C241&gt;Data!$CP$2,"",OFFSET(tulossiirtymä,MATCH($D241,Data!$AN$2:$AN$313,0),Tulokset!J$2)))))</f>
        <v/>
      </c>
      <c r="K241" s="78">
        <f ca="1">IF($B241&gt;keilatut,"",IF($C241=(-1),"",IF($C241=0,"Pisteet",IF($C241&gt;Data!$CP$2,"",OFFSET(tulossiirtymä,MATCH($D241,Data!$AN$2:$AN$313,0),Tulokset!K$2)))))</f>
        <v>0</v>
      </c>
      <c r="L241" s="78">
        <f ca="1">IF($B241&gt;keilatut,"",IF($C241=(-1),"",IF($C241=0,"Pisteet yhteensä",IF($C241&gt;Data!$CP$2,"",OFFSET(tulossiirtymä,MATCH($D241,Data!$AN$2:$AN$313,0),Tulokset!L$2)))))</f>
        <v>5</v>
      </c>
      <c r="M241" s="78" t="str">
        <f ca="1">IF($B241&gt;keilatut,"",IF($C241=(-1),"",IF($C241=0,"Pisteseloste",IF($C241&gt;Data!$CP$2,"",OFFSET(tulossiirtymä,MATCH($D241,Data!$AN$2:$AN$313,0),Tulokset!M$2)))))</f>
        <v/>
      </c>
    </row>
    <row r="242" spans="2:13" x14ac:dyDescent="0.25">
      <c r="B242" s="78">
        <f t="shared" si="4"/>
        <v>9</v>
      </c>
      <c r="C242" s="78">
        <f>COUNTIF($B$6:B242,B242)-2</f>
        <v>19</v>
      </c>
      <c r="D242" s="79" t="str">
        <f t="array" ref="D242">IF($B242&lt;=keilatut,IF($C242&lt;1,"",IF($C242&gt;Data!$CP$2,"",SMALL(IF(Data!$B$2:$B$313=Tulokset!$B242,Data!$AN$2:$AN$313),Tulokset!$C242))),"")</f>
        <v/>
      </c>
      <c r="E242" s="78" t="str">
        <f>IF($B242&gt;keilatut,"",IF($C242=(-1),"GP"&amp;$B242&amp;", "&amp;DAY(VLOOKUP($B242,kilpailukalenteri,2))&amp;"."&amp;MONTH(VLOOKUP($B242,kilpailukalenteri,2))&amp;"."&amp;YEAR(VLOOKUP($B242,kilpailukalenteri,2))&amp;", "&amp;IF(RIGHT(VLOOKUP($B242,kilpailukalenteri,4),1)="*",LEFT(VLOOKUP($B242,kilpailukalenteri,4),LEN(VLOOKUP($B242,kilpailukalenteri,4))-2)&amp;", Kultainen GP",VLOOKUP($B242,kilpailukalenteri,4)),IF($C242=0,"Sija",IF($C242&gt;Data!$CP$2,"",ROUND(Tulokset!$D242,0)))))</f>
        <v/>
      </c>
      <c r="F242" s="78" t="str">
        <f ca="1">IF($B242&gt;keilatut,"",IF($C242=(-1),"",IF($C242=0,"Nimi",IF($C242&gt;Data!$CP$2,"",OFFSET(tulossiirtymä,MATCH($D242,Data!$AN$2:$AN$313,0),Tulokset!F$2)))))</f>
        <v/>
      </c>
      <c r="G242" s="78" t="str">
        <f ca="1">IF($B242&gt;keilatut,"",IF($C242=(-1),"",IF($C242=0,"Sarja 1",IF($C242&gt;Data!$CP$2,"",OFFSET(tulossiirtymä,MATCH($D242,Data!$AN$2:$AN$313,0),Tulokset!G$2)))))</f>
        <v/>
      </c>
      <c r="H242" s="78" t="str">
        <f ca="1">IF($B242&gt;keilatut,"",IF($C242=(-1),"",IF($C242=0,"Sarja 2",IF($C242&gt;Data!$CP$2,"",OFFSET(tulossiirtymä,MATCH($D242,Data!$AN$2:$AN$313,0),Tulokset!H$2)))))</f>
        <v/>
      </c>
      <c r="I242" s="78" t="str">
        <f ca="1">IF($B242&gt;keilatut,"",IF($C242=(-1),"",IF($C242=0,"Yhteensä",IF($C242&gt;Data!$CP$2,"",OFFSET(tulossiirtymä,MATCH($D242,Data!$AN$2:$AN$313,0),Tulokset!I$2)))))</f>
        <v/>
      </c>
      <c r="J242" s="78" t="str">
        <f ca="1">IF($B242&gt;keilatut,"",IF($C242=(-1),"",IF($C242=0,"Ero voittajaan",IF($C242&gt;Data!$CP$2,"",OFFSET(tulossiirtymä,MATCH($D242,Data!$AN$2:$AN$313,0),Tulokset!J$2)))))</f>
        <v/>
      </c>
      <c r="K242" s="78" t="str">
        <f ca="1">IF($B242&gt;keilatut,"",IF($C242=(-1),"",IF($C242=0,"Pisteet",IF($C242&gt;Data!$CP$2,"",OFFSET(tulossiirtymä,MATCH($D242,Data!$AN$2:$AN$313,0),Tulokset!K$2)))))</f>
        <v/>
      </c>
      <c r="L242" s="78" t="str">
        <f ca="1">IF($B242&gt;keilatut,"",IF($C242=(-1),"",IF($C242=0,"Pisteet yhteensä",IF($C242&gt;Data!$CP$2,"",OFFSET(tulossiirtymä,MATCH($D242,Data!$AN$2:$AN$313,0),Tulokset!L$2)))))</f>
        <v/>
      </c>
      <c r="M242" s="78" t="str">
        <f ca="1">IF($B242&gt;keilatut,"",IF($C242=(-1),"",IF($C242=0,"Pisteseloste",IF($C242&gt;Data!$CP$2,"",OFFSET(tulossiirtymä,MATCH($D242,Data!$AN$2:$AN$313,0),Tulokset!M$2)))))</f>
        <v/>
      </c>
    </row>
    <row r="243" spans="2:13" x14ac:dyDescent="0.25">
      <c r="B243" s="78">
        <f t="shared" si="4"/>
        <v>9</v>
      </c>
      <c r="C243" s="78">
        <f>COUNTIF($B$6:B243,B243)-2</f>
        <v>20</v>
      </c>
      <c r="D243" s="79" t="str">
        <f t="array" ref="D243">IF($B243&lt;=keilatut,IF($C243&lt;1,"",IF($C243&gt;Data!$CP$2,"",SMALL(IF(Data!$B$2:$B$313=Tulokset!$B243,Data!$AN$2:$AN$313),Tulokset!$C243))),"")</f>
        <v/>
      </c>
      <c r="E243" s="78" t="str">
        <f>IF($B243&gt;keilatut,"",IF($C243=(-1),"GP"&amp;$B243&amp;", "&amp;DAY(VLOOKUP($B243,kilpailukalenteri,2))&amp;"."&amp;MONTH(VLOOKUP($B243,kilpailukalenteri,2))&amp;"."&amp;YEAR(VLOOKUP($B243,kilpailukalenteri,2))&amp;", "&amp;IF(RIGHT(VLOOKUP($B243,kilpailukalenteri,4),1)="*",LEFT(VLOOKUP($B243,kilpailukalenteri,4),LEN(VLOOKUP($B243,kilpailukalenteri,4))-2)&amp;", Kultainen GP",VLOOKUP($B243,kilpailukalenteri,4)),IF($C243=0,"Sija",IF($C243&gt;Data!$CP$2,"",ROUND(Tulokset!$D243,0)))))</f>
        <v/>
      </c>
      <c r="F243" s="78" t="str">
        <f ca="1">IF($B243&gt;keilatut,"",IF($C243=(-1),"",IF($C243=0,"Nimi",IF($C243&gt;Data!$CP$2,"",OFFSET(tulossiirtymä,MATCH($D243,Data!$AN$2:$AN$313,0),Tulokset!F$2)))))</f>
        <v/>
      </c>
      <c r="G243" s="78" t="str">
        <f ca="1">IF($B243&gt;keilatut,"",IF($C243=(-1),"",IF($C243=0,"Sarja 1",IF($C243&gt;Data!$CP$2,"",OFFSET(tulossiirtymä,MATCH($D243,Data!$AN$2:$AN$313,0),Tulokset!G$2)))))</f>
        <v/>
      </c>
      <c r="H243" s="78" t="str">
        <f ca="1">IF($B243&gt;keilatut,"",IF($C243=(-1),"",IF($C243=0,"Sarja 2",IF($C243&gt;Data!$CP$2,"",OFFSET(tulossiirtymä,MATCH($D243,Data!$AN$2:$AN$313,0),Tulokset!H$2)))))</f>
        <v/>
      </c>
      <c r="I243" s="78" t="str">
        <f ca="1">IF($B243&gt;keilatut,"",IF($C243=(-1),"",IF($C243=0,"Yhteensä",IF($C243&gt;Data!$CP$2,"",OFFSET(tulossiirtymä,MATCH($D243,Data!$AN$2:$AN$313,0),Tulokset!I$2)))))</f>
        <v/>
      </c>
      <c r="J243" s="78" t="str">
        <f ca="1">IF($B243&gt;keilatut,"",IF($C243=(-1),"",IF($C243=0,"Ero voittajaan",IF($C243&gt;Data!$CP$2,"",OFFSET(tulossiirtymä,MATCH($D243,Data!$AN$2:$AN$313,0),Tulokset!J$2)))))</f>
        <v/>
      </c>
      <c r="K243" s="78" t="str">
        <f ca="1">IF($B243&gt;keilatut,"",IF($C243=(-1),"",IF($C243=0,"Pisteet",IF($C243&gt;Data!$CP$2,"",OFFSET(tulossiirtymä,MATCH($D243,Data!$AN$2:$AN$313,0),Tulokset!K$2)))))</f>
        <v/>
      </c>
      <c r="L243" s="78" t="str">
        <f ca="1">IF($B243&gt;keilatut,"",IF($C243=(-1),"",IF($C243=0,"Pisteet yhteensä",IF($C243&gt;Data!$CP$2,"",OFFSET(tulossiirtymä,MATCH($D243,Data!$AN$2:$AN$313,0),Tulokset!L$2)))))</f>
        <v/>
      </c>
      <c r="M243" s="78" t="str">
        <f ca="1">IF($B243&gt;keilatut,"",IF($C243=(-1),"",IF($C243=0,"Pisteseloste",IF($C243&gt;Data!$CP$2,"",OFFSET(tulossiirtymä,MATCH($D243,Data!$AN$2:$AN$313,0),Tulokset!M$2)))))</f>
        <v/>
      </c>
    </row>
    <row r="244" spans="2:13" x14ac:dyDescent="0.25">
      <c r="B244" s="78">
        <f t="shared" si="4"/>
        <v>9</v>
      </c>
      <c r="C244" s="78">
        <f>COUNTIF($B$6:B244,B244)-2</f>
        <v>21</v>
      </c>
      <c r="D244" s="79" t="str">
        <f t="array" ref="D244">IF($B244&lt;=keilatut,IF($C244&lt;1,"",IF($C244&gt;Data!$CP$2,"",SMALL(IF(Data!$B$2:$B$313=Tulokset!$B244,Data!$AN$2:$AN$313),Tulokset!$C244))),"")</f>
        <v/>
      </c>
      <c r="E244" s="78" t="str">
        <f>IF($B244&gt;keilatut,"",IF($C244=(-1),"GP"&amp;$B244&amp;", "&amp;DAY(VLOOKUP($B244,kilpailukalenteri,2))&amp;"."&amp;MONTH(VLOOKUP($B244,kilpailukalenteri,2))&amp;"."&amp;YEAR(VLOOKUP($B244,kilpailukalenteri,2))&amp;", "&amp;IF(RIGHT(VLOOKUP($B244,kilpailukalenteri,4),1)="*",LEFT(VLOOKUP($B244,kilpailukalenteri,4),LEN(VLOOKUP($B244,kilpailukalenteri,4))-2)&amp;", Kultainen GP",VLOOKUP($B244,kilpailukalenteri,4)),IF($C244=0,"Sija",IF($C244&gt;Data!$CP$2,"",ROUND(Tulokset!$D244,0)))))</f>
        <v/>
      </c>
      <c r="F244" s="78" t="str">
        <f ca="1">IF($B244&gt;keilatut,"",IF($C244=(-1),"",IF($C244=0,"Nimi",IF($C244&gt;Data!$CP$2,"",OFFSET(tulossiirtymä,MATCH($D244,Data!$AN$2:$AN$313,0),Tulokset!F$2)))))</f>
        <v/>
      </c>
      <c r="G244" s="78" t="str">
        <f ca="1">IF($B244&gt;keilatut,"",IF($C244=(-1),"",IF($C244=0,"Sarja 1",IF($C244&gt;Data!$CP$2,"",OFFSET(tulossiirtymä,MATCH($D244,Data!$AN$2:$AN$313,0),Tulokset!G$2)))))</f>
        <v/>
      </c>
      <c r="H244" s="78" t="str">
        <f ca="1">IF($B244&gt;keilatut,"",IF($C244=(-1),"",IF($C244=0,"Sarja 2",IF($C244&gt;Data!$CP$2,"",OFFSET(tulossiirtymä,MATCH($D244,Data!$AN$2:$AN$313,0),Tulokset!H$2)))))</f>
        <v/>
      </c>
      <c r="I244" s="78" t="str">
        <f ca="1">IF($B244&gt;keilatut,"",IF($C244=(-1),"",IF($C244=0,"Yhteensä",IF($C244&gt;Data!$CP$2,"",OFFSET(tulossiirtymä,MATCH($D244,Data!$AN$2:$AN$313,0),Tulokset!I$2)))))</f>
        <v/>
      </c>
      <c r="J244" s="78" t="str">
        <f ca="1">IF($B244&gt;keilatut,"",IF($C244=(-1),"",IF($C244=0,"Ero voittajaan",IF($C244&gt;Data!$CP$2,"",OFFSET(tulossiirtymä,MATCH($D244,Data!$AN$2:$AN$313,0),Tulokset!J$2)))))</f>
        <v/>
      </c>
      <c r="K244" s="78" t="str">
        <f ca="1">IF($B244&gt;keilatut,"",IF($C244=(-1),"",IF($C244=0,"Pisteet",IF($C244&gt;Data!$CP$2,"",OFFSET(tulossiirtymä,MATCH($D244,Data!$AN$2:$AN$313,0),Tulokset!K$2)))))</f>
        <v/>
      </c>
      <c r="L244" s="78" t="str">
        <f ca="1">IF($B244&gt;keilatut,"",IF($C244=(-1),"",IF($C244=0,"Pisteet yhteensä",IF($C244&gt;Data!$CP$2,"",OFFSET(tulossiirtymä,MATCH($D244,Data!$AN$2:$AN$313,0),Tulokset!L$2)))))</f>
        <v/>
      </c>
      <c r="M244" s="78" t="str">
        <f ca="1">IF($B244&gt;keilatut,"",IF($C244=(-1),"",IF($C244=0,"Pisteseloste",IF($C244&gt;Data!$CP$2,"",OFFSET(tulossiirtymä,MATCH($D244,Data!$AN$2:$AN$313,0),Tulokset!M$2)))))</f>
        <v/>
      </c>
    </row>
    <row r="245" spans="2:13" x14ac:dyDescent="0.25">
      <c r="B245" s="78">
        <f t="shared" si="4"/>
        <v>9</v>
      </c>
      <c r="C245" s="78">
        <f>COUNTIF($B$6:B245,B245)-2</f>
        <v>22</v>
      </c>
      <c r="D245" s="79" t="str">
        <f t="array" ref="D245">IF($B245&lt;=keilatut,IF($C245&lt;1,"",IF($C245&gt;Data!$CP$2,"",SMALL(IF(Data!$B$2:$B$313=Tulokset!$B245,Data!$AN$2:$AN$313),Tulokset!$C245))),"")</f>
        <v/>
      </c>
      <c r="E245" s="78" t="str">
        <f>IF($B245&gt;keilatut,"",IF($C245=(-1),"GP"&amp;$B245&amp;", "&amp;DAY(VLOOKUP($B245,kilpailukalenteri,2))&amp;"."&amp;MONTH(VLOOKUP($B245,kilpailukalenteri,2))&amp;"."&amp;YEAR(VLOOKUP($B245,kilpailukalenteri,2))&amp;", "&amp;IF(RIGHT(VLOOKUP($B245,kilpailukalenteri,4),1)="*",LEFT(VLOOKUP($B245,kilpailukalenteri,4),LEN(VLOOKUP($B245,kilpailukalenteri,4))-2)&amp;", Kultainen GP",VLOOKUP($B245,kilpailukalenteri,4)),IF($C245=0,"Sija",IF($C245&gt;Data!$CP$2,"",ROUND(Tulokset!$D245,0)))))</f>
        <v/>
      </c>
      <c r="F245" s="78" t="str">
        <f ca="1">IF($B245&gt;keilatut,"",IF($C245=(-1),"",IF($C245=0,"Nimi",IF($C245&gt;Data!$CP$2,"",OFFSET(tulossiirtymä,MATCH($D245,Data!$AN$2:$AN$313,0),Tulokset!F$2)))))</f>
        <v/>
      </c>
      <c r="G245" s="78" t="str">
        <f ca="1">IF($B245&gt;keilatut,"",IF($C245=(-1),"",IF($C245=0,"Sarja 1",IF($C245&gt;Data!$CP$2,"",OFFSET(tulossiirtymä,MATCH($D245,Data!$AN$2:$AN$313,0),Tulokset!G$2)))))</f>
        <v/>
      </c>
      <c r="H245" s="78" t="str">
        <f ca="1">IF($B245&gt;keilatut,"",IF($C245=(-1),"",IF($C245=0,"Sarja 2",IF($C245&gt;Data!$CP$2,"",OFFSET(tulossiirtymä,MATCH($D245,Data!$AN$2:$AN$313,0),Tulokset!H$2)))))</f>
        <v/>
      </c>
      <c r="I245" s="78" t="str">
        <f ca="1">IF($B245&gt;keilatut,"",IF($C245=(-1),"",IF($C245=0,"Yhteensä",IF($C245&gt;Data!$CP$2,"",OFFSET(tulossiirtymä,MATCH($D245,Data!$AN$2:$AN$313,0),Tulokset!I$2)))))</f>
        <v/>
      </c>
      <c r="J245" s="78" t="str">
        <f ca="1">IF($B245&gt;keilatut,"",IF($C245=(-1),"",IF($C245=0,"Ero voittajaan",IF($C245&gt;Data!$CP$2,"",OFFSET(tulossiirtymä,MATCH($D245,Data!$AN$2:$AN$313,0),Tulokset!J$2)))))</f>
        <v/>
      </c>
      <c r="K245" s="78" t="str">
        <f ca="1">IF($B245&gt;keilatut,"",IF($C245=(-1),"",IF($C245=0,"Pisteet",IF($C245&gt;Data!$CP$2,"",OFFSET(tulossiirtymä,MATCH($D245,Data!$AN$2:$AN$313,0),Tulokset!K$2)))))</f>
        <v/>
      </c>
      <c r="L245" s="78" t="str">
        <f ca="1">IF($B245&gt;keilatut,"",IF($C245=(-1),"",IF($C245=0,"Pisteet yhteensä",IF($C245&gt;Data!$CP$2,"",OFFSET(tulossiirtymä,MATCH($D245,Data!$AN$2:$AN$313,0),Tulokset!L$2)))))</f>
        <v/>
      </c>
      <c r="M245" s="78" t="str">
        <f ca="1">IF($B245&gt;keilatut,"",IF($C245=(-1),"",IF($C245=0,"Pisteseloste",IF($C245&gt;Data!$CP$2,"",OFFSET(tulossiirtymä,MATCH($D245,Data!$AN$2:$AN$313,0),Tulokset!M$2)))))</f>
        <v/>
      </c>
    </row>
    <row r="246" spans="2:13" x14ac:dyDescent="0.25">
      <c r="B246" s="78">
        <f t="shared" si="4"/>
        <v>9</v>
      </c>
      <c r="C246" s="78">
        <f>COUNTIF($B$6:B246,B246)-2</f>
        <v>23</v>
      </c>
      <c r="D246" s="79" t="str">
        <f t="array" ref="D246">IF($B246&lt;=keilatut,IF($C246&lt;1,"",IF($C246&gt;Data!$CP$2,"",SMALL(IF(Data!$B$2:$B$313=Tulokset!$B246,Data!$AN$2:$AN$313),Tulokset!$C246))),"")</f>
        <v/>
      </c>
      <c r="E246" s="78" t="str">
        <f>IF($B246&gt;keilatut,"",IF($C246=(-1),"GP"&amp;$B246&amp;", "&amp;DAY(VLOOKUP($B246,kilpailukalenteri,2))&amp;"."&amp;MONTH(VLOOKUP($B246,kilpailukalenteri,2))&amp;"."&amp;YEAR(VLOOKUP($B246,kilpailukalenteri,2))&amp;", "&amp;IF(RIGHT(VLOOKUP($B246,kilpailukalenteri,4),1)="*",LEFT(VLOOKUP($B246,kilpailukalenteri,4),LEN(VLOOKUP($B246,kilpailukalenteri,4))-2)&amp;", Kultainen GP",VLOOKUP($B246,kilpailukalenteri,4)),IF($C246=0,"Sija",IF($C246&gt;Data!$CP$2,"",ROUND(Tulokset!$D246,0)))))</f>
        <v/>
      </c>
      <c r="F246" s="78" t="str">
        <f ca="1">IF($B246&gt;keilatut,"",IF($C246=(-1),"",IF($C246=0,"Nimi",IF($C246&gt;Data!$CP$2,"",OFFSET(tulossiirtymä,MATCH($D246,Data!$AN$2:$AN$313,0),Tulokset!F$2)))))</f>
        <v/>
      </c>
      <c r="G246" s="78" t="str">
        <f ca="1">IF($B246&gt;keilatut,"",IF($C246=(-1),"",IF($C246=0,"Sarja 1",IF($C246&gt;Data!$CP$2,"",OFFSET(tulossiirtymä,MATCH($D246,Data!$AN$2:$AN$313,0),Tulokset!G$2)))))</f>
        <v/>
      </c>
      <c r="H246" s="78" t="str">
        <f ca="1">IF($B246&gt;keilatut,"",IF($C246=(-1),"",IF($C246=0,"Sarja 2",IF($C246&gt;Data!$CP$2,"",OFFSET(tulossiirtymä,MATCH($D246,Data!$AN$2:$AN$313,0),Tulokset!H$2)))))</f>
        <v/>
      </c>
      <c r="I246" s="78" t="str">
        <f ca="1">IF($B246&gt;keilatut,"",IF($C246=(-1),"",IF($C246=0,"Yhteensä",IF($C246&gt;Data!$CP$2,"",OFFSET(tulossiirtymä,MATCH($D246,Data!$AN$2:$AN$313,0),Tulokset!I$2)))))</f>
        <v/>
      </c>
      <c r="J246" s="78" t="str">
        <f ca="1">IF($B246&gt;keilatut,"",IF($C246=(-1),"",IF($C246=0,"Ero voittajaan",IF($C246&gt;Data!$CP$2,"",OFFSET(tulossiirtymä,MATCH($D246,Data!$AN$2:$AN$313,0),Tulokset!J$2)))))</f>
        <v/>
      </c>
      <c r="K246" s="78" t="str">
        <f ca="1">IF($B246&gt;keilatut,"",IF($C246=(-1),"",IF($C246=0,"Pisteet",IF($C246&gt;Data!$CP$2,"",OFFSET(tulossiirtymä,MATCH($D246,Data!$AN$2:$AN$313,0),Tulokset!K$2)))))</f>
        <v/>
      </c>
      <c r="L246" s="78" t="str">
        <f ca="1">IF($B246&gt;keilatut,"",IF($C246=(-1),"",IF($C246=0,"Pisteet yhteensä",IF($C246&gt;Data!$CP$2,"",OFFSET(tulossiirtymä,MATCH($D246,Data!$AN$2:$AN$313,0),Tulokset!L$2)))))</f>
        <v/>
      </c>
      <c r="M246" s="78" t="str">
        <f ca="1">IF($B246&gt;keilatut,"",IF($C246=(-1),"",IF($C246=0,"Pisteseloste",IF($C246&gt;Data!$CP$2,"",OFFSET(tulossiirtymä,MATCH($D246,Data!$AN$2:$AN$313,0),Tulokset!M$2)))))</f>
        <v/>
      </c>
    </row>
    <row r="247" spans="2:13" x14ac:dyDescent="0.25">
      <c r="B247" s="78">
        <f t="shared" si="4"/>
        <v>9</v>
      </c>
      <c r="C247" s="78">
        <f>COUNTIF($B$6:B247,B247)-2</f>
        <v>24</v>
      </c>
      <c r="D247" s="79" t="str">
        <f t="array" ref="D247">IF($B247&lt;=keilatut,IF($C247&lt;1,"",IF($C247&gt;Data!$CP$2,"",SMALL(IF(Data!$B$2:$B$313=Tulokset!$B247,Data!$AN$2:$AN$313),Tulokset!$C247))),"")</f>
        <v/>
      </c>
      <c r="E247" s="78" t="str">
        <f>IF($B247&gt;keilatut,"",IF($C247=(-1),"GP"&amp;$B247&amp;", "&amp;DAY(VLOOKUP($B247,kilpailukalenteri,2))&amp;"."&amp;MONTH(VLOOKUP($B247,kilpailukalenteri,2))&amp;"."&amp;YEAR(VLOOKUP($B247,kilpailukalenteri,2))&amp;", "&amp;IF(RIGHT(VLOOKUP($B247,kilpailukalenteri,4),1)="*",LEFT(VLOOKUP($B247,kilpailukalenteri,4),LEN(VLOOKUP($B247,kilpailukalenteri,4))-2)&amp;", Kultainen GP",VLOOKUP($B247,kilpailukalenteri,4)),IF($C247=0,"Sija",IF($C247&gt;Data!$CP$2,"",ROUND(Tulokset!$D247,0)))))</f>
        <v/>
      </c>
      <c r="F247" s="78" t="str">
        <f ca="1">IF($B247&gt;keilatut,"",IF($C247=(-1),"",IF($C247=0,"Nimi",IF($C247&gt;Data!$CP$2,"",OFFSET(tulossiirtymä,MATCH($D247,Data!$AN$2:$AN$313,0),Tulokset!F$2)))))</f>
        <v/>
      </c>
      <c r="G247" s="78" t="str">
        <f ca="1">IF($B247&gt;keilatut,"",IF($C247=(-1),"",IF($C247=0,"Sarja 1",IF($C247&gt;Data!$CP$2,"",OFFSET(tulossiirtymä,MATCH($D247,Data!$AN$2:$AN$313,0),Tulokset!G$2)))))</f>
        <v/>
      </c>
      <c r="H247" s="78" t="str">
        <f ca="1">IF($B247&gt;keilatut,"",IF($C247=(-1),"",IF($C247=0,"Sarja 2",IF($C247&gt;Data!$CP$2,"",OFFSET(tulossiirtymä,MATCH($D247,Data!$AN$2:$AN$313,0),Tulokset!H$2)))))</f>
        <v/>
      </c>
      <c r="I247" s="78" t="str">
        <f ca="1">IF($B247&gt;keilatut,"",IF($C247=(-1),"",IF($C247=0,"Yhteensä",IF($C247&gt;Data!$CP$2,"",OFFSET(tulossiirtymä,MATCH($D247,Data!$AN$2:$AN$313,0),Tulokset!I$2)))))</f>
        <v/>
      </c>
      <c r="J247" s="78" t="str">
        <f ca="1">IF($B247&gt;keilatut,"",IF($C247=(-1),"",IF($C247=0,"Ero voittajaan",IF($C247&gt;Data!$CP$2,"",OFFSET(tulossiirtymä,MATCH($D247,Data!$AN$2:$AN$313,0),Tulokset!J$2)))))</f>
        <v/>
      </c>
      <c r="K247" s="78" t="str">
        <f ca="1">IF($B247&gt;keilatut,"",IF($C247=(-1),"",IF($C247=0,"Pisteet",IF($C247&gt;Data!$CP$2,"",OFFSET(tulossiirtymä,MATCH($D247,Data!$AN$2:$AN$313,0),Tulokset!K$2)))))</f>
        <v/>
      </c>
      <c r="L247" s="78" t="str">
        <f ca="1">IF($B247&gt;keilatut,"",IF($C247=(-1),"",IF($C247=0,"Pisteet yhteensä",IF($C247&gt;Data!$CP$2,"",OFFSET(tulossiirtymä,MATCH($D247,Data!$AN$2:$AN$313,0),Tulokset!L$2)))))</f>
        <v/>
      </c>
      <c r="M247" s="78" t="str">
        <f ca="1">IF($B247&gt;keilatut,"",IF($C247=(-1),"",IF($C247=0,"Pisteseloste",IF($C247&gt;Data!$CP$2,"",OFFSET(tulossiirtymä,MATCH($D247,Data!$AN$2:$AN$313,0),Tulokset!M$2)))))</f>
        <v/>
      </c>
    </row>
    <row r="248" spans="2:13" x14ac:dyDescent="0.25">
      <c r="B248" s="78">
        <f t="shared" si="4"/>
        <v>9</v>
      </c>
      <c r="C248" s="78">
        <f>COUNTIF($B$6:B248,B248)-2</f>
        <v>25</v>
      </c>
      <c r="D248" s="79" t="str">
        <f t="array" ref="D248">IF($B248&lt;=keilatut,IF($C248&lt;1,"",IF($C248&gt;Data!$CP$2,"",SMALL(IF(Data!$B$2:$B$313=Tulokset!$B248,Data!$AN$2:$AN$313),Tulokset!$C248))),"")</f>
        <v/>
      </c>
      <c r="E248" s="78" t="str">
        <f>IF($B248&gt;keilatut,"",IF($C248=(-1),"GP"&amp;$B248&amp;", "&amp;DAY(VLOOKUP($B248,kilpailukalenteri,2))&amp;"."&amp;MONTH(VLOOKUP($B248,kilpailukalenteri,2))&amp;"."&amp;YEAR(VLOOKUP($B248,kilpailukalenteri,2))&amp;", "&amp;IF(RIGHT(VLOOKUP($B248,kilpailukalenteri,4),1)="*",LEFT(VLOOKUP($B248,kilpailukalenteri,4),LEN(VLOOKUP($B248,kilpailukalenteri,4))-2)&amp;", Kultainen GP",VLOOKUP($B248,kilpailukalenteri,4)),IF($C248=0,"Sija",IF($C248&gt;Data!$CP$2,"",ROUND(Tulokset!$D248,0)))))</f>
        <v/>
      </c>
      <c r="F248" s="78" t="str">
        <f ca="1">IF($B248&gt;keilatut,"",IF($C248=(-1),"",IF($C248=0,"Nimi",IF($C248&gt;Data!$CP$2,"",OFFSET(tulossiirtymä,MATCH($D248,Data!$AN$2:$AN$313,0),Tulokset!F$2)))))</f>
        <v/>
      </c>
      <c r="G248" s="78" t="str">
        <f ca="1">IF($B248&gt;keilatut,"",IF($C248=(-1),"",IF($C248=0,"Sarja 1",IF($C248&gt;Data!$CP$2,"",OFFSET(tulossiirtymä,MATCH($D248,Data!$AN$2:$AN$313,0),Tulokset!G$2)))))</f>
        <v/>
      </c>
      <c r="H248" s="78" t="str">
        <f ca="1">IF($B248&gt;keilatut,"",IF($C248=(-1),"",IF($C248=0,"Sarja 2",IF($C248&gt;Data!$CP$2,"",OFFSET(tulossiirtymä,MATCH($D248,Data!$AN$2:$AN$313,0),Tulokset!H$2)))))</f>
        <v/>
      </c>
      <c r="I248" s="78" t="str">
        <f ca="1">IF($B248&gt;keilatut,"",IF($C248=(-1),"",IF($C248=0,"Yhteensä",IF($C248&gt;Data!$CP$2,"",OFFSET(tulossiirtymä,MATCH($D248,Data!$AN$2:$AN$313,0),Tulokset!I$2)))))</f>
        <v/>
      </c>
      <c r="J248" s="78" t="str">
        <f ca="1">IF($B248&gt;keilatut,"",IF($C248=(-1),"",IF($C248=0,"Ero voittajaan",IF($C248&gt;Data!$CP$2,"",OFFSET(tulossiirtymä,MATCH($D248,Data!$AN$2:$AN$313,0),Tulokset!J$2)))))</f>
        <v/>
      </c>
      <c r="K248" s="78" t="str">
        <f ca="1">IF($B248&gt;keilatut,"",IF($C248=(-1),"",IF($C248=0,"Pisteet",IF($C248&gt;Data!$CP$2,"",OFFSET(tulossiirtymä,MATCH($D248,Data!$AN$2:$AN$313,0),Tulokset!K$2)))))</f>
        <v/>
      </c>
      <c r="L248" s="78" t="str">
        <f ca="1">IF($B248&gt;keilatut,"",IF($C248=(-1),"",IF($C248=0,"Pisteet yhteensä",IF($C248&gt;Data!$CP$2,"",OFFSET(tulossiirtymä,MATCH($D248,Data!$AN$2:$AN$313,0),Tulokset!L$2)))))</f>
        <v/>
      </c>
      <c r="M248" s="78" t="str">
        <f ca="1">IF($B248&gt;keilatut,"",IF($C248=(-1),"",IF($C248=0,"Pisteseloste",IF($C248&gt;Data!$CP$2,"",OFFSET(tulossiirtymä,MATCH($D248,Data!$AN$2:$AN$313,0),Tulokset!M$2)))))</f>
        <v/>
      </c>
    </row>
    <row r="249" spans="2:13" x14ac:dyDescent="0.25">
      <c r="B249" s="78">
        <f t="shared" si="4"/>
        <v>10</v>
      </c>
      <c r="C249" s="78">
        <f>COUNTIF($B$6:B249,B249)-2</f>
        <v>-1</v>
      </c>
      <c r="D249" s="79" t="str">
        <f t="array" ref="D249">IF($B249&lt;=keilatut,IF($C249&lt;1,"",IF($C249&gt;Data!$CP$2,"",SMALL(IF(Data!$B$2:$B$313=Tulokset!$B249,Data!$AN$2:$AN$313),Tulokset!$C249))),"")</f>
        <v/>
      </c>
      <c r="E249" s="78" t="str">
        <f>IF($B249&gt;keilatut,"",IF($C249=(-1),"GP"&amp;$B249&amp;", "&amp;DAY(VLOOKUP($B249,kilpailukalenteri,2))&amp;"."&amp;MONTH(VLOOKUP($B249,kilpailukalenteri,2))&amp;"."&amp;YEAR(VLOOKUP($B249,kilpailukalenteri,2))&amp;", "&amp;IF(RIGHT(VLOOKUP($B249,kilpailukalenteri,4),1)="*",LEFT(VLOOKUP($B249,kilpailukalenteri,4),LEN(VLOOKUP($B249,kilpailukalenteri,4))-2)&amp;", Kultainen GP",VLOOKUP($B249,kilpailukalenteri,4)),IF($C249=0,"Sija",IF($C249&gt;Data!$CP$2,"",ROUND(Tulokset!$D249,0)))))</f>
        <v>GP10, 16.3.2025, Raision keilahalli</v>
      </c>
    </row>
    <row r="250" spans="2:13" x14ac:dyDescent="0.25">
      <c r="B250" s="78">
        <f t="shared" si="4"/>
        <v>10</v>
      </c>
      <c r="C250" s="78">
        <f>COUNTIF($B$6:B250,B250)-2</f>
        <v>0</v>
      </c>
      <c r="D250" s="79" t="str">
        <f t="array" ref="D250">IF($B250&lt;=keilatut,IF($C250&lt;1,"",IF($C250&gt;Data!$CP$2,"",SMALL(IF(Data!$B$2:$B$313=Tulokset!$B250,Data!$AN$2:$AN$313),Tulokset!$C250))),"")</f>
        <v/>
      </c>
      <c r="E250" s="78" t="str">
        <f>IF($B250&gt;keilatut,"",IF($C250=(-1),"GP"&amp;$B250&amp;", "&amp;DAY(VLOOKUP($B250,kilpailukalenteri,2))&amp;"."&amp;MONTH(VLOOKUP($B250,kilpailukalenteri,2))&amp;"."&amp;YEAR(VLOOKUP($B250,kilpailukalenteri,2))&amp;", "&amp;IF(RIGHT(VLOOKUP($B250,kilpailukalenteri,4),1)="*",LEFT(VLOOKUP($B250,kilpailukalenteri,4),LEN(VLOOKUP($B250,kilpailukalenteri,4))-2)&amp;", Kultainen GP",VLOOKUP($B250,kilpailukalenteri,4)),IF($C250=0,"Sija",IF($C250&gt;Data!$CP$2,"",ROUND(Tulokset!$D250,0)))))</f>
        <v>Sija</v>
      </c>
      <c r="F250" s="78" t="str">
        <f ca="1">IF($B250&gt;keilatut,"",IF($C250=(-1),"",IF($C250=0,"Nimi",IF($C250&gt;Data!$CP$2,"",OFFSET(tulossiirtymä,MATCH($D250,Data!$AN$2:$AN$313,0),Tulokset!F$2)))))</f>
        <v>Nimi</v>
      </c>
      <c r="G250" s="78" t="str">
        <f ca="1">IF($B250&gt;keilatut,"",IF($C250=(-1),"",IF($C250=0,"Sarja 1",IF($C250&gt;Data!$CP$2,"",OFFSET(tulossiirtymä,MATCH($D250,Data!$AN$2:$AN$313,0),Tulokset!G$2)))))</f>
        <v>Sarja 1</v>
      </c>
      <c r="H250" s="78" t="str">
        <f ca="1">IF($B250&gt;keilatut,"",IF($C250=(-1),"",IF($C250=0,"Sarja 2",IF($C250&gt;Data!$CP$2,"",OFFSET(tulossiirtymä,MATCH($D250,Data!$AN$2:$AN$313,0),Tulokset!H$2)))))</f>
        <v>Sarja 2</v>
      </c>
      <c r="I250" s="78" t="str">
        <f ca="1">IF($B250&gt;keilatut,"",IF($C250=(-1),"",IF($C250=0,"Yhteensä",IF($C250&gt;Data!$CP$2,"",OFFSET(tulossiirtymä,MATCH($D250,Data!$AN$2:$AN$313,0),Tulokset!I$2)))))</f>
        <v>Yhteensä</v>
      </c>
      <c r="J250" s="78" t="str">
        <f ca="1">IF($B250&gt;keilatut,"",IF($C250=(-1),"",IF($C250=0,"Ero voittajaan",IF($C250&gt;Data!$CP$2,"",OFFSET(tulossiirtymä,MATCH($D250,Data!$AN$2:$AN$313,0),Tulokset!J$2)))))</f>
        <v>Ero voittajaan</v>
      </c>
      <c r="K250" s="78" t="str">
        <f ca="1">IF($B250&gt;keilatut,"",IF($C250=(-1),"",IF($C250=0,"Pisteet",IF($C250&gt;Data!$CP$2,"",OFFSET(tulossiirtymä,MATCH($D250,Data!$AN$2:$AN$313,0),Tulokset!K$2)))))</f>
        <v>Pisteet</v>
      </c>
      <c r="L250" s="78" t="str">
        <f ca="1">IF($B250&gt;keilatut,"",IF($C250=(-1),"",IF($C250=0,"Pisteet yhteensä",IF($C250&gt;Data!$CP$2,"",OFFSET(tulossiirtymä,MATCH($D250,Data!$AN$2:$AN$313,0),Tulokset!L$2)))))</f>
        <v>Pisteet yhteensä</v>
      </c>
      <c r="M250" s="78" t="str">
        <f ca="1">IF($B250&gt;keilatut,"",IF($C250=(-1),"",IF($C250=0,"Pisteseloste",IF($C250&gt;Data!$CP$2,"",OFFSET(tulossiirtymä,MATCH($D250,Data!$AN$2:$AN$313,0),Tulokset!M$2)))))</f>
        <v>Pisteseloste</v>
      </c>
    </row>
    <row r="251" spans="2:13" x14ac:dyDescent="0.25">
      <c r="B251" s="78">
        <f t="shared" si="4"/>
        <v>10</v>
      </c>
      <c r="C251" s="78">
        <f>COUNTIF($B$6:B251,B251)-2</f>
        <v>1</v>
      </c>
      <c r="D251" s="79">
        <f t="array" ref="D251">IF($B251&lt;=keilatut,IF($C251&lt;1,"",IF($C251&gt;Data!$CP$2,"",SMALL(IF(Data!$B$2:$B$313=Tulokset!$B251,Data!$AN$2:$AN$313),Tulokset!$C251))),"")</f>
        <v>1.0001629999999999</v>
      </c>
      <c r="E251" s="78">
        <f>IF($B251&gt;keilatut,"",IF($C251=(-1),"GP"&amp;$B251&amp;", "&amp;DAY(VLOOKUP($B251,kilpailukalenteri,2))&amp;"."&amp;MONTH(VLOOKUP($B251,kilpailukalenteri,2))&amp;"."&amp;YEAR(VLOOKUP($B251,kilpailukalenteri,2))&amp;", "&amp;IF(RIGHT(VLOOKUP($B251,kilpailukalenteri,4),1)="*",LEFT(VLOOKUP($B251,kilpailukalenteri,4),LEN(VLOOKUP($B251,kilpailukalenteri,4))-2)&amp;", Kultainen GP",VLOOKUP($B251,kilpailukalenteri,4)),IF($C251=0,"Sija",IF($C251&gt;Data!$CP$2,"",ROUND(Tulokset!$D251,0)))))</f>
        <v>1</v>
      </c>
      <c r="F251" s="78" t="str">
        <f ca="1">IF($B251&gt;keilatut,"",IF($C251=(-1),"",IF($C251=0,"Nimi",IF($C251&gt;Data!$CP$2,"",OFFSET(tulossiirtymä,MATCH($D251,Data!$AN$2:$AN$313,0),Tulokset!F$2)))))</f>
        <v>Miika Nordblad</v>
      </c>
      <c r="G251" s="78">
        <f ca="1">IF($B251&gt;keilatut,"",IF($C251=(-1),"",IF($C251=0,"Sarja 1",IF($C251&gt;Data!$CP$2,"",OFFSET(tulossiirtymä,MATCH($D251,Data!$AN$2:$AN$313,0),Tulokset!G$2)))))</f>
        <v>166</v>
      </c>
      <c r="H251" s="78">
        <f ca="1">IF($B251&gt;keilatut,"",IF($C251=(-1),"",IF($C251=0,"Sarja 2",IF($C251&gt;Data!$CP$2,"",OFFSET(tulossiirtymä,MATCH($D251,Data!$AN$2:$AN$313,0),Tulokset!H$2)))))</f>
        <v>147</v>
      </c>
      <c r="I251" s="78">
        <f ca="1">IF($B251&gt;keilatut,"",IF($C251=(-1),"",IF($C251=0,"Yhteensä",IF($C251&gt;Data!$CP$2,"",OFFSET(tulossiirtymä,MATCH($D251,Data!$AN$2:$AN$313,0),Tulokset!I$2)))))</f>
        <v>313</v>
      </c>
      <c r="J251" s="78" t="str">
        <f ca="1">IF($B251&gt;keilatut,"",IF($C251=(-1),"",IF($C251=0,"Ero voittajaan",IF($C251&gt;Data!$CP$2,"",OFFSET(tulossiirtymä,MATCH($D251,Data!$AN$2:$AN$313,0),Tulokset!J$2)))))</f>
        <v/>
      </c>
      <c r="K251" s="78">
        <f ca="1">IF($B251&gt;keilatut,"",IF($C251=(-1),"",IF($C251=0,"Pisteet",IF($C251&gt;Data!$CP$2,"",OFFSET(tulossiirtymä,MATCH($D251,Data!$AN$2:$AN$313,0),Tulokset!K$2)))))</f>
        <v>12</v>
      </c>
      <c r="L251" s="78">
        <f ca="1">IF($B251&gt;keilatut,"",IF($C251=(-1),"",IF($C251=0,"Pisteet yhteensä",IF($C251&gt;Data!$CP$2,"",OFFSET(tulossiirtymä,MATCH($D251,Data!$AN$2:$AN$313,0),Tulokset!L$2)))))</f>
        <v>81</v>
      </c>
      <c r="M251" s="78" t="str">
        <f ca="1">IF($B251&gt;keilatut,"",IF($C251=(-1),"",IF($C251=0,"Pisteseloste",IF($C251&gt;Data!$CP$2,"",OFFSET(tulossiirtymä,MATCH($D251,Data!$AN$2:$AN$313,0),Tulokset!M$2)))))</f>
        <v>+SP</v>
      </c>
    </row>
    <row r="252" spans="2:13" x14ac:dyDescent="0.25">
      <c r="B252" s="78">
        <f t="shared" si="4"/>
        <v>10</v>
      </c>
      <c r="C252" s="78">
        <f>COUNTIF($B$6:B252,B252)-2</f>
        <v>2</v>
      </c>
      <c r="D252" s="79">
        <f t="array" ref="D252">IF($B252&lt;=keilatut,IF($C252&lt;1,"",IF($C252&gt;Data!$CP$2,"",SMALL(IF(Data!$B$2:$B$313=Tulokset!$B252,Data!$AN$2:$AN$313),Tulokset!$C252))),"")</f>
        <v>2.0001639999999998</v>
      </c>
      <c r="E252" s="78">
        <f>IF($B252&gt;keilatut,"",IF($C252=(-1),"GP"&amp;$B252&amp;", "&amp;DAY(VLOOKUP($B252,kilpailukalenteri,2))&amp;"."&amp;MONTH(VLOOKUP($B252,kilpailukalenteri,2))&amp;"."&amp;YEAR(VLOOKUP($B252,kilpailukalenteri,2))&amp;", "&amp;IF(RIGHT(VLOOKUP($B252,kilpailukalenteri,4),1)="*",LEFT(VLOOKUP($B252,kilpailukalenteri,4),LEN(VLOOKUP($B252,kilpailukalenteri,4))-2)&amp;", Kultainen GP",VLOOKUP($B252,kilpailukalenteri,4)),IF($C252=0,"Sija",IF($C252&gt;Data!$CP$2,"",ROUND(Tulokset!$D252,0)))))</f>
        <v>2</v>
      </c>
      <c r="F252" s="78" t="str">
        <f ca="1">IF($B252&gt;keilatut,"",IF($C252=(-1),"",IF($C252=0,"Nimi",IF($C252&gt;Data!$CP$2,"",OFFSET(tulossiirtymä,MATCH($D252,Data!$AN$2:$AN$313,0),Tulokset!F$2)))))</f>
        <v>Henri Verho</v>
      </c>
      <c r="G252" s="78">
        <f ca="1">IF($B252&gt;keilatut,"",IF($C252=(-1),"",IF($C252=0,"Sarja 1",IF($C252&gt;Data!$CP$2,"",OFFSET(tulossiirtymä,MATCH($D252,Data!$AN$2:$AN$313,0),Tulokset!G$2)))))</f>
        <v>144</v>
      </c>
      <c r="H252" s="78">
        <f ca="1">IF($B252&gt;keilatut,"",IF($C252=(-1),"",IF($C252=0,"Sarja 2",IF($C252&gt;Data!$CP$2,"",OFFSET(tulossiirtymä,MATCH($D252,Data!$AN$2:$AN$313,0),Tulokset!H$2)))))</f>
        <v>147</v>
      </c>
      <c r="I252" s="78">
        <f ca="1">IF($B252&gt;keilatut,"",IF($C252=(-1),"",IF($C252=0,"Yhteensä",IF($C252&gt;Data!$CP$2,"",OFFSET(tulossiirtymä,MATCH($D252,Data!$AN$2:$AN$313,0),Tulokset!I$2)))))</f>
        <v>291</v>
      </c>
      <c r="J252" s="78">
        <f ca="1">IF($B252&gt;keilatut,"",IF($C252=(-1),"",IF($C252=0,"Ero voittajaan",IF($C252&gt;Data!$CP$2,"",OFFSET(tulossiirtymä,MATCH($D252,Data!$AN$2:$AN$313,0),Tulokset!J$2)))))</f>
        <v>22</v>
      </c>
      <c r="K252" s="78">
        <f ca="1">IF($B252&gt;keilatut,"",IF($C252=(-1),"",IF($C252=0,"Pisteet",IF($C252&gt;Data!$CP$2,"",OFFSET(tulossiirtymä,MATCH($D252,Data!$AN$2:$AN$313,0),Tulokset!K$2)))))</f>
        <v>10</v>
      </c>
      <c r="L252" s="78">
        <f ca="1">IF($B252&gt;keilatut,"",IF($C252=(-1),"",IF($C252=0,"Pisteet yhteensä",IF($C252&gt;Data!$CP$2,"",OFFSET(tulossiirtymä,MATCH($D252,Data!$AN$2:$AN$313,0),Tulokset!L$2)))))</f>
        <v>56</v>
      </c>
      <c r="M252" s="78" t="str">
        <f ca="1">IF($B252&gt;keilatut,"",IF($C252=(-1),"",IF($C252=0,"Pisteseloste",IF($C252&gt;Data!$CP$2,"",OFFSET(tulossiirtymä,MATCH($D252,Data!$AN$2:$AN$313,0),Tulokset!M$2)))))</f>
        <v>+SP</v>
      </c>
    </row>
    <row r="253" spans="2:13" x14ac:dyDescent="0.25">
      <c r="B253" s="78">
        <f t="shared" si="4"/>
        <v>10</v>
      </c>
      <c r="C253" s="78">
        <f>COUNTIF($B$6:B253,B253)-2</f>
        <v>3</v>
      </c>
      <c r="D253" s="79">
        <f t="array" ref="D253">IF($B253&lt;=keilatut,IF($C253&lt;1,"",IF($C253&gt;Data!$CP$2,"",SMALL(IF(Data!$B$2:$B$313=Tulokset!$B253,Data!$AN$2:$AN$313),Tulokset!$C253))),"")</f>
        <v>3.000165</v>
      </c>
      <c r="E253" s="78">
        <f>IF($B253&gt;keilatut,"",IF($C253=(-1),"GP"&amp;$B253&amp;", "&amp;DAY(VLOOKUP($B253,kilpailukalenteri,2))&amp;"."&amp;MONTH(VLOOKUP($B253,kilpailukalenteri,2))&amp;"."&amp;YEAR(VLOOKUP($B253,kilpailukalenteri,2))&amp;", "&amp;IF(RIGHT(VLOOKUP($B253,kilpailukalenteri,4),1)="*",LEFT(VLOOKUP($B253,kilpailukalenteri,4),LEN(VLOOKUP($B253,kilpailukalenteri,4))-2)&amp;", Kultainen GP",VLOOKUP($B253,kilpailukalenteri,4)),IF($C253=0,"Sija",IF($C253&gt;Data!$CP$2,"",ROUND(Tulokset!$D253,0)))))</f>
        <v>3</v>
      </c>
      <c r="F253" s="78" t="str">
        <f ca="1">IF($B253&gt;keilatut,"",IF($C253=(-1),"",IF($C253=0,"Nimi",IF($C253&gt;Data!$CP$2,"",OFFSET(tulossiirtymä,MATCH($D253,Data!$AN$2:$AN$313,0),Tulokset!F$2)))))</f>
        <v>Jami Kallio</v>
      </c>
      <c r="G253" s="78">
        <f ca="1">IF($B253&gt;keilatut,"",IF($C253=(-1),"",IF($C253=0,"Sarja 1",IF($C253&gt;Data!$CP$2,"",OFFSET(tulossiirtymä,MATCH($D253,Data!$AN$2:$AN$313,0),Tulokset!G$2)))))</f>
        <v>145</v>
      </c>
      <c r="H253" s="78">
        <f ca="1">IF($B253&gt;keilatut,"",IF($C253=(-1),"",IF($C253=0,"Sarja 2",IF($C253&gt;Data!$CP$2,"",OFFSET(tulossiirtymä,MATCH($D253,Data!$AN$2:$AN$313,0),Tulokset!H$2)))))</f>
        <v>132</v>
      </c>
      <c r="I253" s="78">
        <f ca="1">IF($B253&gt;keilatut,"",IF($C253=(-1),"",IF($C253=0,"Yhteensä",IF($C253&gt;Data!$CP$2,"",OFFSET(tulossiirtymä,MATCH($D253,Data!$AN$2:$AN$313,0),Tulokset!I$2)))))</f>
        <v>277</v>
      </c>
      <c r="J253" s="78">
        <f ca="1">IF($B253&gt;keilatut,"",IF($C253=(-1),"",IF($C253=0,"Ero voittajaan",IF($C253&gt;Data!$CP$2,"",OFFSET(tulossiirtymä,MATCH($D253,Data!$AN$2:$AN$313,0),Tulokset!J$2)))))</f>
        <v>36</v>
      </c>
      <c r="K253" s="78">
        <f ca="1">IF($B253&gt;keilatut,"",IF($C253=(-1),"",IF($C253=0,"Pisteet",IF($C253&gt;Data!$CP$2,"",OFFSET(tulossiirtymä,MATCH($D253,Data!$AN$2:$AN$313,0),Tulokset!K$2)))))</f>
        <v>9</v>
      </c>
      <c r="L253" s="78">
        <f ca="1">IF($B253&gt;keilatut,"",IF($C253=(-1),"",IF($C253=0,"Pisteet yhteensä",IF($C253&gt;Data!$CP$2,"",OFFSET(tulossiirtymä,MATCH($D253,Data!$AN$2:$AN$313,0),Tulokset!L$2)))))</f>
        <v>85</v>
      </c>
      <c r="M253" s="78" t="str">
        <f ca="1">IF($B253&gt;keilatut,"",IF($C253=(-1),"",IF($C253=0,"Pisteseloste",IF($C253&gt;Data!$CP$2,"",OFFSET(tulossiirtymä,MATCH($D253,Data!$AN$2:$AN$313,0),Tulokset!M$2)))))</f>
        <v>+SP+KK</v>
      </c>
    </row>
    <row r="254" spans="2:13" x14ac:dyDescent="0.25">
      <c r="B254" s="78">
        <f t="shared" si="4"/>
        <v>10</v>
      </c>
      <c r="C254" s="78">
        <f>COUNTIF($B$6:B254,B254)-2</f>
        <v>4</v>
      </c>
      <c r="D254" s="79">
        <f t="array" ref="D254">IF($B254&lt;=keilatut,IF($C254&lt;1,"",IF($C254&gt;Data!$CP$2,"",SMALL(IF(Data!$B$2:$B$313=Tulokset!$B254,Data!$AN$2:$AN$313),Tulokset!$C254))),"")</f>
        <v>4.0001660000000001</v>
      </c>
      <c r="E254" s="78">
        <f>IF($B254&gt;keilatut,"",IF($C254=(-1),"GP"&amp;$B254&amp;", "&amp;DAY(VLOOKUP($B254,kilpailukalenteri,2))&amp;"."&amp;MONTH(VLOOKUP($B254,kilpailukalenteri,2))&amp;"."&amp;YEAR(VLOOKUP($B254,kilpailukalenteri,2))&amp;", "&amp;IF(RIGHT(VLOOKUP($B254,kilpailukalenteri,4),1)="*",LEFT(VLOOKUP($B254,kilpailukalenteri,4),LEN(VLOOKUP($B254,kilpailukalenteri,4))-2)&amp;", Kultainen GP",VLOOKUP($B254,kilpailukalenteri,4)),IF($C254=0,"Sija",IF($C254&gt;Data!$CP$2,"",ROUND(Tulokset!$D254,0)))))</f>
        <v>4</v>
      </c>
      <c r="F254" s="78" t="str">
        <f ca="1">IF($B254&gt;keilatut,"",IF($C254=(-1),"",IF($C254=0,"Nimi",IF($C254&gt;Data!$CP$2,"",OFFSET(tulossiirtymä,MATCH($D254,Data!$AN$2:$AN$313,0),Tulokset!F$2)))))</f>
        <v>Mikko Mansikkamäki</v>
      </c>
      <c r="G254" s="78">
        <f ca="1">IF($B254&gt;keilatut,"",IF($C254=(-1),"",IF($C254=0,"Sarja 1",IF($C254&gt;Data!$CP$2,"",OFFSET(tulossiirtymä,MATCH($D254,Data!$AN$2:$AN$313,0),Tulokset!G$2)))))</f>
        <v>127</v>
      </c>
      <c r="H254" s="78">
        <f ca="1">IF($B254&gt;keilatut,"",IF($C254=(-1),"",IF($C254=0,"Sarja 2",IF($C254&gt;Data!$CP$2,"",OFFSET(tulossiirtymä,MATCH($D254,Data!$AN$2:$AN$313,0),Tulokset!H$2)))))</f>
        <v>137</v>
      </c>
      <c r="I254" s="78">
        <f ca="1">IF($B254&gt;keilatut,"",IF($C254=(-1),"",IF($C254=0,"Yhteensä",IF($C254&gt;Data!$CP$2,"",OFFSET(tulossiirtymä,MATCH($D254,Data!$AN$2:$AN$313,0),Tulokset!I$2)))))</f>
        <v>264</v>
      </c>
      <c r="J254" s="78">
        <f ca="1">IF($B254&gt;keilatut,"",IF($C254=(-1),"",IF($C254=0,"Ero voittajaan",IF($C254&gt;Data!$CP$2,"",OFFSET(tulossiirtymä,MATCH($D254,Data!$AN$2:$AN$313,0),Tulokset!J$2)))))</f>
        <v>49</v>
      </c>
      <c r="K254" s="78">
        <f ca="1">IF($B254&gt;keilatut,"",IF($C254=(-1),"",IF($C254=0,"Pisteet",IF($C254&gt;Data!$CP$2,"",OFFSET(tulossiirtymä,MATCH($D254,Data!$AN$2:$AN$313,0),Tulokset!K$2)))))</f>
        <v>7</v>
      </c>
      <c r="L254" s="78">
        <f ca="1">IF($B254&gt;keilatut,"",IF($C254=(-1),"",IF($C254=0,"Pisteet yhteensä",IF($C254&gt;Data!$CP$2,"",OFFSET(tulossiirtymä,MATCH($D254,Data!$AN$2:$AN$313,0),Tulokset!L$2)))))</f>
        <v>11</v>
      </c>
      <c r="M254" s="78" t="str">
        <f ca="1">IF($B254&gt;keilatut,"",IF($C254=(-1),"",IF($C254=0,"Pisteseloste",IF($C254&gt;Data!$CP$2,"",OFFSET(tulossiirtymä,MATCH($D254,Data!$AN$2:$AN$313,0),Tulokset!M$2)))))</f>
        <v>+SP</v>
      </c>
    </row>
    <row r="255" spans="2:13" x14ac:dyDescent="0.25">
      <c r="B255" s="78">
        <f t="shared" si="4"/>
        <v>10</v>
      </c>
      <c r="C255" s="78">
        <f>COUNTIF($B$6:B255,B255)-2</f>
        <v>5</v>
      </c>
      <c r="D255" s="79">
        <f t="array" ref="D255">IF($B255&lt;=keilatut,IF($C255&lt;1,"",IF($C255&gt;Data!$CP$2,"",SMALL(IF(Data!$B$2:$B$313=Tulokset!$B255,Data!$AN$2:$AN$313),Tulokset!$C255))),"")</f>
        <v>5.0001670000000003</v>
      </c>
      <c r="E255" s="78">
        <f>IF($B255&gt;keilatut,"",IF($C255=(-1),"GP"&amp;$B255&amp;", "&amp;DAY(VLOOKUP($B255,kilpailukalenteri,2))&amp;"."&amp;MONTH(VLOOKUP($B255,kilpailukalenteri,2))&amp;"."&amp;YEAR(VLOOKUP($B255,kilpailukalenteri,2))&amp;", "&amp;IF(RIGHT(VLOOKUP($B255,kilpailukalenteri,4),1)="*",LEFT(VLOOKUP($B255,kilpailukalenteri,4),LEN(VLOOKUP($B255,kilpailukalenteri,4))-2)&amp;", Kultainen GP",VLOOKUP($B255,kilpailukalenteri,4)),IF($C255=0,"Sija",IF($C255&gt;Data!$CP$2,"",ROUND(Tulokset!$D255,0)))))</f>
        <v>5</v>
      </c>
      <c r="F255" s="78" t="str">
        <f ca="1">IF($B255&gt;keilatut,"",IF($C255=(-1),"",IF($C255=0,"Nimi",IF($C255&gt;Data!$CP$2,"",OFFSET(tulossiirtymä,MATCH($D255,Data!$AN$2:$AN$313,0),Tulokset!F$2)))))</f>
        <v>Juho Korpi</v>
      </c>
      <c r="G255" s="78">
        <f ca="1">IF($B255&gt;keilatut,"",IF($C255=(-1),"",IF($C255=0,"Sarja 1",IF($C255&gt;Data!$CP$2,"",OFFSET(tulossiirtymä,MATCH($D255,Data!$AN$2:$AN$313,0),Tulokset!G$2)))))</f>
        <v>133</v>
      </c>
      <c r="H255" s="78">
        <f ca="1">IF($B255&gt;keilatut,"",IF($C255=(-1),"",IF($C255=0,"Sarja 2",IF($C255&gt;Data!$CP$2,"",OFFSET(tulossiirtymä,MATCH($D255,Data!$AN$2:$AN$313,0),Tulokset!H$2)))))</f>
        <v>120</v>
      </c>
      <c r="I255" s="78">
        <f ca="1">IF($B255&gt;keilatut,"",IF($C255=(-1),"",IF($C255=0,"Yhteensä",IF($C255&gt;Data!$CP$2,"",OFFSET(tulossiirtymä,MATCH($D255,Data!$AN$2:$AN$313,0),Tulokset!I$2)))))</f>
        <v>253</v>
      </c>
      <c r="J255" s="78">
        <f ca="1">IF($B255&gt;keilatut,"",IF($C255=(-1),"",IF($C255=0,"Ero voittajaan",IF($C255&gt;Data!$CP$2,"",OFFSET(tulossiirtymä,MATCH($D255,Data!$AN$2:$AN$313,0),Tulokset!J$2)))))</f>
        <v>60</v>
      </c>
      <c r="K255" s="78">
        <f ca="1">IF($B255&gt;keilatut,"",IF($C255=(-1),"",IF($C255=0,"Pisteet",IF($C255&gt;Data!$CP$2,"",OFFSET(tulossiirtymä,MATCH($D255,Data!$AN$2:$AN$313,0),Tulokset!K$2)))))</f>
        <v>6</v>
      </c>
      <c r="L255" s="78">
        <f ca="1">IF($B255&gt;keilatut,"",IF($C255=(-1),"",IF($C255=0,"Pisteet yhteensä",IF($C255&gt;Data!$CP$2,"",OFFSET(tulossiirtymä,MATCH($D255,Data!$AN$2:$AN$313,0),Tulokset!L$2)))))</f>
        <v>29</v>
      </c>
      <c r="M255" s="78" t="str">
        <f ca="1">IF($B255&gt;keilatut,"",IF($C255=(-1),"",IF($C255=0,"Pisteseloste",IF($C255&gt;Data!$CP$2,"",OFFSET(tulossiirtymä,MATCH($D255,Data!$AN$2:$AN$313,0),Tulokset!M$2)))))</f>
        <v>+SP</v>
      </c>
    </row>
    <row r="256" spans="2:13" x14ac:dyDescent="0.25">
      <c r="B256" s="78">
        <f t="shared" si="4"/>
        <v>10</v>
      </c>
      <c r="C256" s="78">
        <f>COUNTIF($B$6:B256,B256)-2</f>
        <v>6</v>
      </c>
      <c r="D256" s="79">
        <f t="array" ref="D256">IF($B256&lt;=keilatut,IF($C256&lt;1,"",IF($C256&gt;Data!$CP$2,"",SMALL(IF(Data!$B$2:$B$313=Tulokset!$B256,Data!$AN$2:$AN$313),Tulokset!$C256))),"")</f>
        <v>6.0001680000000004</v>
      </c>
      <c r="E256" s="78">
        <f>IF($B256&gt;keilatut,"",IF($C256=(-1),"GP"&amp;$B256&amp;", "&amp;DAY(VLOOKUP($B256,kilpailukalenteri,2))&amp;"."&amp;MONTH(VLOOKUP($B256,kilpailukalenteri,2))&amp;"."&amp;YEAR(VLOOKUP($B256,kilpailukalenteri,2))&amp;", "&amp;IF(RIGHT(VLOOKUP($B256,kilpailukalenteri,4),1)="*",LEFT(VLOOKUP($B256,kilpailukalenteri,4),LEN(VLOOKUP($B256,kilpailukalenteri,4))-2)&amp;", Kultainen GP",VLOOKUP($B256,kilpailukalenteri,4)),IF($C256=0,"Sija",IF($C256&gt;Data!$CP$2,"",ROUND(Tulokset!$D256,0)))))</f>
        <v>6</v>
      </c>
      <c r="F256" s="78" t="str">
        <f ca="1">IF($B256&gt;keilatut,"",IF($C256=(-1),"",IF($C256=0,"Nimi",IF($C256&gt;Data!$CP$2,"",OFFSET(tulossiirtymä,MATCH($D256,Data!$AN$2:$AN$313,0),Tulokset!F$2)))))</f>
        <v>Mika Sola</v>
      </c>
      <c r="G256" s="78">
        <f ca="1">IF($B256&gt;keilatut,"",IF($C256=(-1),"",IF($C256=0,"Sarja 1",IF($C256&gt;Data!$CP$2,"",OFFSET(tulossiirtymä,MATCH($D256,Data!$AN$2:$AN$313,0),Tulokset!G$2)))))</f>
        <v>119</v>
      </c>
      <c r="H256" s="78">
        <f ca="1">IF($B256&gt;keilatut,"",IF($C256=(-1),"",IF($C256=0,"Sarja 2",IF($C256&gt;Data!$CP$2,"",OFFSET(tulossiirtymä,MATCH($D256,Data!$AN$2:$AN$313,0),Tulokset!H$2)))))</f>
        <v>131</v>
      </c>
      <c r="I256" s="78">
        <f ca="1">IF($B256&gt;keilatut,"",IF($C256=(-1),"",IF($C256=0,"Yhteensä",IF($C256&gt;Data!$CP$2,"",OFFSET(tulossiirtymä,MATCH($D256,Data!$AN$2:$AN$313,0),Tulokset!I$2)))))</f>
        <v>250</v>
      </c>
      <c r="J256" s="78">
        <f ca="1">IF($B256&gt;keilatut,"",IF($C256=(-1),"",IF($C256=0,"Ero voittajaan",IF($C256&gt;Data!$CP$2,"",OFFSET(tulossiirtymä,MATCH($D256,Data!$AN$2:$AN$313,0),Tulokset!J$2)))))</f>
        <v>63</v>
      </c>
      <c r="K256" s="78">
        <f ca="1">IF($B256&gt;keilatut,"",IF($C256=(-1),"",IF($C256=0,"Pisteet",IF($C256&gt;Data!$CP$2,"",OFFSET(tulossiirtymä,MATCH($D256,Data!$AN$2:$AN$313,0),Tulokset!K$2)))))</f>
        <v>5</v>
      </c>
      <c r="L256" s="78">
        <f ca="1">IF($B256&gt;keilatut,"",IF($C256=(-1),"",IF($C256=0,"Pisteet yhteensä",IF($C256&gt;Data!$CP$2,"",OFFSET(tulossiirtymä,MATCH($D256,Data!$AN$2:$AN$313,0),Tulokset!L$2)))))</f>
        <v>42</v>
      </c>
      <c r="M256" s="78" t="str">
        <f ca="1">IF($B256&gt;keilatut,"",IF($C256=(-1),"",IF($C256=0,"Pisteseloste",IF($C256&gt;Data!$CP$2,"",OFFSET(tulossiirtymä,MATCH($D256,Data!$AN$2:$AN$313,0),Tulokset!M$2)))))</f>
        <v>+SP</v>
      </c>
    </row>
    <row r="257" spans="2:13" x14ac:dyDescent="0.25">
      <c r="B257" s="78">
        <f t="shared" si="4"/>
        <v>10</v>
      </c>
      <c r="C257" s="78">
        <f>COUNTIF($B$6:B257,B257)-2</f>
        <v>7</v>
      </c>
      <c r="D257" s="79">
        <f t="array" ref="D257">IF($B257&lt;=keilatut,IF($C257&lt;1,"",IF($C257&gt;Data!$CP$2,"",SMALL(IF(Data!$B$2:$B$313=Tulokset!$B257,Data!$AN$2:$AN$313),Tulokset!$C257))),"")</f>
        <v>7.0001689999999996</v>
      </c>
      <c r="E257" s="78">
        <f>IF($B257&gt;keilatut,"",IF($C257=(-1),"GP"&amp;$B257&amp;", "&amp;DAY(VLOOKUP($B257,kilpailukalenteri,2))&amp;"."&amp;MONTH(VLOOKUP($B257,kilpailukalenteri,2))&amp;"."&amp;YEAR(VLOOKUP($B257,kilpailukalenteri,2))&amp;", "&amp;IF(RIGHT(VLOOKUP($B257,kilpailukalenteri,4),1)="*",LEFT(VLOOKUP($B257,kilpailukalenteri,4),LEN(VLOOKUP($B257,kilpailukalenteri,4))-2)&amp;", Kultainen GP",VLOOKUP($B257,kilpailukalenteri,4)),IF($C257=0,"Sija",IF($C257&gt;Data!$CP$2,"",ROUND(Tulokset!$D257,0)))))</f>
        <v>7</v>
      </c>
      <c r="F257" s="78" t="str">
        <f ca="1">IF($B257&gt;keilatut,"",IF($C257=(-1),"",IF($C257=0,"Nimi",IF($C257&gt;Data!$CP$2,"",OFFSET(tulossiirtymä,MATCH($D257,Data!$AN$2:$AN$313,0),Tulokset!F$2)))))</f>
        <v>Niko Reunanen</v>
      </c>
      <c r="G257" s="78">
        <f ca="1">IF($B257&gt;keilatut,"",IF($C257=(-1),"",IF($C257=0,"Sarja 1",IF($C257&gt;Data!$CP$2,"",OFFSET(tulossiirtymä,MATCH($D257,Data!$AN$2:$AN$313,0),Tulokset!G$2)))))</f>
        <v>129</v>
      </c>
      <c r="H257" s="78">
        <f ca="1">IF($B257&gt;keilatut,"",IF($C257=(-1),"",IF($C257=0,"Sarja 2",IF($C257&gt;Data!$CP$2,"",OFFSET(tulossiirtymä,MATCH($D257,Data!$AN$2:$AN$313,0),Tulokset!H$2)))))</f>
        <v>117</v>
      </c>
      <c r="I257" s="78">
        <f ca="1">IF($B257&gt;keilatut,"",IF($C257=(-1),"",IF($C257=0,"Yhteensä",IF($C257&gt;Data!$CP$2,"",OFFSET(tulossiirtymä,MATCH($D257,Data!$AN$2:$AN$313,0),Tulokset!I$2)))))</f>
        <v>246</v>
      </c>
      <c r="J257" s="78">
        <f ca="1">IF($B257&gt;keilatut,"",IF($C257=(-1),"",IF($C257=0,"Ero voittajaan",IF($C257&gt;Data!$CP$2,"",OFFSET(tulossiirtymä,MATCH($D257,Data!$AN$2:$AN$313,0),Tulokset!J$2)))))</f>
        <v>67</v>
      </c>
      <c r="K257" s="78">
        <f ca="1">IF($B257&gt;keilatut,"",IF($C257=(-1),"",IF($C257=0,"Pisteet",IF($C257&gt;Data!$CP$2,"",OFFSET(tulossiirtymä,MATCH($D257,Data!$AN$2:$AN$313,0),Tulokset!K$2)))))</f>
        <v>4</v>
      </c>
      <c r="L257" s="78">
        <f ca="1">IF($B257&gt;keilatut,"",IF($C257=(-1),"",IF($C257=0,"Pisteet yhteensä",IF($C257&gt;Data!$CP$2,"",OFFSET(tulossiirtymä,MATCH($D257,Data!$AN$2:$AN$313,0),Tulokset!L$2)))))</f>
        <v>42</v>
      </c>
      <c r="M257" s="78" t="str">
        <f ca="1">IF($B257&gt;keilatut,"",IF($C257=(-1),"",IF($C257=0,"Pisteseloste",IF($C257&gt;Data!$CP$2,"",OFFSET(tulossiirtymä,MATCH($D257,Data!$AN$2:$AN$313,0),Tulokset!M$2)))))</f>
        <v>+SP</v>
      </c>
    </row>
    <row r="258" spans="2:13" x14ac:dyDescent="0.25">
      <c r="B258" s="78">
        <f t="shared" si="4"/>
        <v>10</v>
      </c>
      <c r="C258" s="78">
        <f>COUNTIF($B$6:B258,B258)-2</f>
        <v>8</v>
      </c>
      <c r="D258" s="79">
        <f t="array" ref="D258">IF($B258&lt;=keilatut,IF($C258&lt;1,"",IF($C258&gt;Data!$CP$2,"",SMALL(IF(Data!$B$2:$B$313=Tulokset!$B258,Data!$AN$2:$AN$313),Tulokset!$C258))),"")</f>
        <v>8.0001700000000007</v>
      </c>
      <c r="E258" s="78">
        <f>IF($B258&gt;keilatut,"",IF($C258=(-1),"GP"&amp;$B258&amp;", "&amp;DAY(VLOOKUP($B258,kilpailukalenteri,2))&amp;"."&amp;MONTH(VLOOKUP($B258,kilpailukalenteri,2))&amp;"."&amp;YEAR(VLOOKUP($B258,kilpailukalenteri,2))&amp;", "&amp;IF(RIGHT(VLOOKUP($B258,kilpailukalenteri,4),1)="*",LEFT(VLOOKUP($B258,kilpailukalenteri,4),LEN(VLOOKUP($B258,kilpailukalenteri,4))-2)&amp;", Kultainen GP",VLOOKUP($B258,kilpailukalenteri,4)),IF($C258=0,"Sija",IF($C258&gt;Data!$CP$2,"",ROUND(Tulokset!$D258,0)))))</f>
        <v>8</v>
      </c>
      <c r="F258" s="78" t="str">
        <f ca="1">IF($B258&gt;keilatut,"",IF($C258=(-1),"",IF($C258=0,"Nimi",IF($C258&gt;Data!$CP$2,"",OFFSET(tulossiirtymä,MATCH($D258,Data!$AN$2:$AN$313,0),Tulokset!F$2)))))</f>
        <v>Sakari Leinonen</v>
      </c>
      <c r="G258" s="78">
        <f ca="1">IF($B258&gt;keilatut,"",IF($C258=(-1),"",IF($C258=0,"Sarja 1",IF($C258&gt;Data!$CP$2,"",OFFSET(tulossiirtymä,MATCH($D258,Data!$AN$2:$AN$313,0),Tulokset!G$2)))))</f>
        <v>109</v>
      </c>
      <c r="H258" s="78">
        <f ca="1">IF($B258&gt;keilatut,"",IF($C258=(-1),"",IF($C258=0,"Sarja 2",IF($C258&gt;Data!$CP$2,"",OFFSET(tulossiirtymä,MATCH($D258,Data!$AN$2:$AN$313,0),Tulokset!H$2)))))</f>
        <v>131</v>
      </c>
      <c r="I258" s="78">
        <f ca="1">IF($B258&gt;keilatut,"",IF($C258=(-1),"",IF($C258=0,"Yhteensä",IF($C258&gt;Data!$CP$2,"",OFFSET(tulossiirtymä,MATCH($D258,Data!$AN$2:$AN$313,0),Tulokset!I$2)))))</f>
        <v>240</v>
      </c>
      <c r="J258" s="78">
        <f ca="1">IF($B258&gt;keilatut,"",IF($C258=(-1),"",IF($C258=0,"Ero voittajaan",IF($C258&gt;Data!$CP$2,"",OFFSET(tulossiirtymä,MATCH($D258,Data!$AN$2:$AN$313,0),Tulokset!J$2)))))</f>
        <v>73</v>
      </c>
      <c r="K258" s="78">
        <f ca="1">IF($B258&gt;keilatut,"",IF($C258=(-1),"",IF($C258=0,"Pisteet",IF($C258&gt;Data!$CP$2,"",OFFSET(tulossiirtymä,MATCH($D258,Data!$AN$2:$AN$313,0),Tulokset!K$2)))))</f>
        <v>3</v>
      </c>
      <c r="L258" s="78">
        <f ca="1">IF($B258&gt;keilatut,"",IF($C258=(-1),"",IF($C258=0,"Pisteet yhteensä",IF($C258&gt;Data!$CP$2,"",OFFSET(tulossiirtymä,MATCH($D258,Data!$AN$2:$AN$313,0),Tulokset!L$2)))))</f>
        <v>18</v>
      </c>
      <c r="M258" s="78" t="str">
        <f ca="1">IF($B258&gt;keilatut,"",IF($C258=(-1),"",IF($C258=0,"Pisteseloste",IF($C258&gt;Data!$CP$2,"",OFFSET(tulossiirtymä,MATCH($D258,Data!$AN$2:$AN$313,0),Tulokset!M$2)))))</f>
        <v>+SP</v>
      </c>
    </row>
    <row r="259" spans="2:13" x14ac:dyDescent="0.25">
      <c r="B259" s="78">
        <f t="shared" si="4"/>
        <v>10</v>
      </c>
      <c r="C259" s="78">
        <f>COUNTIF($B$6:B259,B259)-2</f>
        <v>9</v>
      </c>
      <c r="D259" s="79">
        <f t="array" ref="D259">IF($B259&lt;=keilatut,IF($C259&lt;1,"",IF($C259&gt;Data!$CP$2,"",SMALL(IF(Data!$B$2:$B$313=Tulokset!$B259,Data!$AN$2:$AN$313),Tulokset!$C259))),"")</f>
        <v>9.0001709999999999</v>
      </c>
      <c r="E259" s="78">
        <f>IF($B259&gt;keilatut,"",IF($C259=(-1),"GP"&amp;$B259&amp;", "&amp;DAY(VLOOKUP($B259,kilpailukalenteri,2))&amp;"."&amp;MONTH(VLOOKUP($B259,kilpailukalenteri,2))&amp;"."&amp;YEAR(VLOOKUP($B259,kilpailukalenteri,2))&amp;", "&amp;IF(RIGHT(VLOOKUP($B259,kilpailukalenteri,4),1)="*",LEFT(VLOOKUP($B259,kilpailukalenteri,4),LEN(VLOOKUP($B259,kilpailukalenteri,4))-2)&amp;", Kultainen GP",VLOOKUP($B259,kilpailukalenteri,4)),IF($C259=0,"Sija",IF($C259&gt;Data!$CP$2,"",ROUND(Tulokset!$D259,0)))))</f>
        <v>9</v>
      </c>
      <c r="F259" s="78" t="str">
        <f ca="1">IF($B259&gt;keilatut,"",IF($C259=(-1),"",IF($C259=0,"Nimi",IF($C259&gt;Data!$CP$2,"",OFFSET(tulossiirtymä,MATCH($D259,Data!$AN$2:$AN$313,0),Tulokset!F$2)))))</f>
        <v>Olli Kajava</v>
      </c>
      <c r="G259" s="78">
        <f ca="1">IF($B259&gt;keilatut,"",IF($C259=(-1),"",IF($C259=0,"Sarja 1",IF($C259&gt;Data!$CP$2,"",OFFSET(tulossiirtymä,MATCH($D259,Data!$AN$2:$AN$313,0),Tulokset!G$2)))))</f>
        <v>102</v>
      </c>
      <c r="H259" s="78">
        <f ca="1">IF($B259&gt;keilatut,"",IF($C259=(-1),"",IF($C259=0,"Sarja 2",IF($C259&gt;Data!$CP$2,"",OFFSET(tulossiirtymä,MATCH($D259,Data!$AN$2:$AN$313,0),Tulokset!H$2)))))</f>
        <v>124</v>
      </c>
      <c r="I259" s="78">
        <f ca="1">IF($B259&gt;keilatut,"",IF($C259=(-1),"",IF($C259=0,"Yhteensä",IF($C259&gt;Data!$CP$2,"",OFFSET(tulossiirtymä,MATCH($D259,Data!$AN$2:$AN$313,0),Tulokset!I$2)))))</f>
        <v>226</v>
      </c>
      <c r="J259" s="78">
        <f ca="1">IF($B259&gt;keilatut,"",IF($C259=(-1),"",IF($C259=0,"Ero voittajaan",IF($C259&gt;Data!$CP$2,"",OFFSET(tulossiirtymä,MATCH($D259,Data!$AN$2:$AN$313,0),Tulokset!J$2)))))</f>
        <v>87</v>
      </c>
      <c r="K259" s="78">
        <f ca="1">IF($B259&gt;keilatut,"",IF($C259=(-1),"",IF($C259=0,"Pisteet",IF($C259&gt;Data!$CP$2,"",OFFSET(tulossiirtymä,MATCH($D259,Data!$AN$2:$AN$313,0),Tulokset!K$2)))))</f>
        <v>2</v>
      </c>
      <c r="L259" s="78">
        <f ca="1">IF($B259&gt;keilatut,"",IF($C259=(-1),"",IF($C259=0,"Pisteet yhteensä",IF($C259&gt;Data!$CP$2,"",OFFSET(tulossiirtymä,MATCH($D259,Data!$AN$2:$AN$313,0),Tulokset!L$2)))))</f>
        <v>24</v>
      </c>
      <c r="M259" s="78" t="str">
        <f ca="1">IF($B259&gt;keilatut,"",IF($C259=(-1),"",IF($C259=0,"Pisteseloste",IF($C259&gt;Data!$CP$2,"",OFFSET(tulossiirtymä,MATCH($D259,Data!$AN$2:$AN$313,0),Tulokset!M$2)))))</f>
        <v>+SP</v>
      </c>
    </row>
    <row r="260" spans="2:13" x14ac:dyDescent="0.25">
      <c r="B260" s="78">
        <f t="shared" si="4"/>
        <v>10</v>
      </c>
      <c r="C260" s="78">
        <f>COUNTIF($B$6:B260,B260)-2</f>
        <v>10</v>
      </c>
      <c r="D260" s="79">
        <f t="array" ref="D260">IF($B260&lt;=keilatut,IF($C260&lt;1,"",IF($C260&gt;Data!$CP$2,"",SMALL(IF(Data!$B$2:$B$313=Tulokset!$B260,Data!$AN$2:$AN$313),Tulokset!$C260))),"")</f>
        <v>10.000171999999999</v>
      </c>
      <c r="E260" s="78">
        <f>IF($B260&gt;keilatut,"",IF($C260=(-1),"GP"&amp;$B260&amp;", "&amp;DAY(VLOOKUP($B260,kilpailukalenteri,2))&amp;"."&amp;MONTH(VLOOKUP($B260,kilpailukalenteri,2))&amp;"."&amp;YEAR(VLOOKUP($B260,kilpailukalenteri,2))&amp;", "&amp;IF(RIGHT(VLOOKUP($B260,kilpailukalenteri,4),1)="*",LEFT(VLOOKUP($B260,kilpailukalenteri,4),LEN(VLOOKUP($B260,kilpailukalenteri,4))-2)&amp;", Kultainen GP",VLOOKUP($B260,kilpailukalenteri,4)),IF($C260=0,"Sija",IF($C260&gt;Data!$CP$2,"",ROUND(Tulokset!$D260,0)))))</f>
        <v>10</v>
      </c>
      <c r="F260" s="78" t="str">
        <f ca="1">IF($B260&gt;keilatut,"",IF($C260=(-1),"",IF($C260=0,"Nimi",IF($C260&gt;Data!$CP$2,"",OFFSET(tulossiirtymä,MATCH($D260,Data!$AN$2:$AN$313,0),Tulokset!F$2)))))</f>
        <v>Ossi Oksa</v>
      </c>
      <c r="G260" s="78">
        <f ca="1">IF($B260&gt;keilatut,"",IF($C260=(-1),"",IF($C260=0,"Sarja 1",IF($C260&gt;Data!$CP$2,"",OFFSET(tulossiirtymä,MATCH($D260,Data!$AN$2:$AN$313,0),Tulokset!G$2)))))</f>
        <v>112</v>
      </c>
      <c r="H260" s="78">
        <f ca="1">IF($B260&gt;keilatut,"",IF($C260=(-1),"",IF($C260=0,"Sarja 2",IF($C260&gt;Data!$CP$2,"",OFFSET(tulossiirtymä,MATCH($D260,Data!$AN$2:$AN$313,0),Tulokset!H$2)))))</f>
        <v>91</v>
      </c>
      <c r="I260" s="78">
        <f ca="1">IF($B260&gt;keilatut,"",IF($C260=(-1),"",IF($C260=0,"Yhteensä",IF($C260&gt;Data!$CP$2,"",OFFSET(tulossiirtymä,MATCH($D260,Data!$AN$2:$AN$313,0),Tulokset!I$2)))))</f>
        <v>203</v>
      </c>
      <c r="J260" s="78">
        <f ca="1">IF($B260&gt;keilatut,"",IF($C260=(-1),"",IF($C260=0,"Ero voittajaan",IF($C260&gt;Data!$CP$2,"",OFFSET(tulossiirtymä,MATCH($D260,Data!$AN$2:$AN$313,0),Tulokset!J$2)))))</f>
        <v>110</v>
      </c>
      <c r="K260" s="78">
        <f ca="1">IF($B260&gt;keilatut,"",IF($C260=(-1),"",IF($C260=0,"Pisteet",IF($C260&gt;Data!$CP$2,"",OFFSET(tulossiirtymä,MATCH($D260,Data!$AN$2:$AN$313,0),Tulokset!K$2)))))</f>
        <v>0</v>
      </c>
      <c r="L260" s="78">
        <f ca="1">IF($B260&gt;keilatut,"",IF($C260=(-1),"",IF($C260=0,"Pisteet yhteensä",IF($C260&gt;Data!$CP$2,"",OFFSET(tulossiirtymä,MATCH($D260,Data!$AN$2:$AN$313,0),Tulokset!L$2)))))</f>
        <v>51.5</v>
      </c>
      <c r="M260" s="78" t="str">
        <f ca="1">IF($B260&gt;keilatut,"",IF($C260=(-1),"",IF($C260=0,"Pisteseloste",IF($C260&gt;Data!$CP$2,"",OFFSET(tulossiirtymä,MATCH($D260,Data!$AN$2:$AN$313,0),Tulokset!M$2)))))</f>
        <v/>
      </c>
    </row>
    <row r="261" spans="2:13" x14ac:dyDescent="0.25">
      <c r="B261" s="78">
        <f t="shared" si="4"/>
        <v>10</v>
      </c>
      <c r="C261" s="78">
        <f>COUNTIF($B$6:B261,B261)-2</f>
        <v>11</v>
      </c>
      <c r="D261" s="79">
        <f t="array" ref="D261">IF($B261&lt;=keilatut,IF($C261&lt;1,"",IF($C261&gt;Data!$CP$2,"",SMALL(IF(Data!$B$2:$B$313=Tulokset!$B261,Data!$AN$2:$AN$313),Tulokset!$C261))),"")</f>
        <v>11.000173</v>
      </c>
      <c r="E261" s="78">
        <f>IF($B261&gt;keilatut,"",IF($C261=(-1),"GP"&amp;$B261&amp;", "&amp;DAY(VLOOKUP($B261,kilpailukalenteri,2))&amp;"."&amp;MONTH(VLOOKUP($B261,kilpailukalenteri,2))&amp;"."&amp;YEAR(VLOOKUP($B261,kilpailukalenteri,2))&amp;", "&amp;IF(RIGHT(VLOOKUP($B261,kilpailukalenteri,4),1)="*",LEFT(VLOOKUP($B261,kilpailukalenteri,4),LEN(VLOOKUP($B261,kilpailukalenteri,4))-2)&amp;", Kultainen GP",VLOOKUP($B261,kilpailukalenteri,4)),IF($C261=0,"Sija",IF($C261&gt;Data!$CP$2,"",ROUND(Tulokset!$D261,0)))))</f>
        <v>11</v>
      </c>
      <c r="F261" s="78" t="str">
        <f ca="1">IF($B261&gt;keilatut,"",IF($C261=(-1),"",IF($C261=0,"Nimi",IF($C261&gt;Data!$CP$2,"",OFFSET(tulossiirtymä,MATCH($D261,Data!$AN$2:$AN$313,0),Tulokset!F$2)))))</f>
        <v>Frans Hartman</v>
      </c>
      <c r="G261" s="78">
        <f ca="1">IF($B261&gt;keilatut,"",IF($C261=(-1),"",IF($C261=0,"Sarja 1",IF($C261&gt;Data!$CP$2,"",OFFSET(tulossiirtymä,MATCH($D261,Data!$AN$2:$AN$313,0),Tulokset!G$2)))))</f>
        <v>0</v>
      </c>
      <c r="H261" s="78">
        <f ca="1">IF($B261&gt;keilatut,"",IF($C261=(-1),"",IF($C261=0,"Sarja 2",IF($C261&gt;Data!$CP$2,"",OFFSET(tulossiirtymä,MATCH($D261,Data!$AN$2:$AN$313,0),Tulokset!H$2)))))</f>
        <v>0</v>
      </c>
      <c r="I261" s="78">
        <f ca="1">IF($B261&gt;keilatut,"",IF($C261=(-1),"",IF($C261=0,"Yhteensä",IF($C261&gt;Data!$CP$2,"",OFFSET(tulossiirtymä,MATCH($D261,Data!$AN$2:$AN$313,0),Tulokset!I$2)))))</f>
        <v>0</v>
      </c>
      <c r="J261" s="78" t="str">
        <f ca="1">IF($B261&gt;keilatut,"",IF($C261=(-1),"",IF($C261=0,"Ero voittajaan",IF($C261&gt;Data!$CP$2,"",OFFSET(tulossiirtymä,MATCH($D261,Data!$AN$2:$AN$313,0),Tulokset!J$2)))))</f>
        <v/>
      </c>
      <c r="K261" s="78">
        <f ca="1">IF($B261&gt;keilatut,"",IF($C261=(-1),"",IF($C261=0,"Pisteet",IF($C261&gt;Data!$CP$2,"",OFFSET(tulossiirtymä,MATCH($D261,Data!$AN$2:$AN$313,0),Tulokset!K$2)))))</f>
        <v>0</v>
      </c>
      <c r="L261" s="78">
        <f ca="1">IF($B261&gt;keilatut,"",IF($C261=(-1),"",IF($C261=0,"Pisteet yhteensä",IF($C261&gt;Data!$CP$2,"",OFFSET(tulossiirtymä,MATCH($D261,Data!$AN$2:$AN$313,0),Tulokset!L$2)))))</f>
        <v>40.5</v>
      </c>
      <c r="M261" s="78" t="str">
        <f ca="1">IF($B261&gt;keilatut,"",IF($C261=(-1),"",IF($C261=0,"Pisteseloste",IF($C261&gt;Data!$CP$2,"",OFFSET(tulossiirtymä,MATCH($D261,Data!$AN$2:$AN$313,0),Tulokset!M$2)))))</f>
        <v/>
      </c>
    </row>
    <row r="262" spans="2:13" x14ac:dyDescent="0.25">
      <c r="B262" s="78">
        <f t="shared" si="4"/>
        <v>10</v>
      </c>
      <c r="C262" s="78">
        <f>COUNTIF($B$6:B262,B262)-2</f>
        <v>12</v>
      </c>
      <c r="D262" s="79">
        <f t="array" ref="D262">IF($B262&lt;=keilatut,IF($C262&lt;1,"",IF($C262&gt;Data!$CP$2,"",SMALL(IF(Data!$B$2:$B$313=Tulokset!$B262,Data!$AN$2:$AN$313),Tulokset!$C262))),"")</f>
        <v>11.000173999999999</v>
      </c>
      <c r="E262" s="78">
        <f>IF($B262&gt;keilatut,"",IF($C262=(-1),"GP"&amp;$B262&amp;", "&amp;DAY(VLOOKUP($B262,kilpailukalenteri,2))&amp;"."&amp;MONTH(VLOOKUP($B262,kilpailukalenteri,2))&amp;"."&amp;YEAR(VLOOKUP($B262,kilpailukalenteri,2))&amp;", "&amp;IF(RIGHT(VLOOKUP($B262,kilpailukalenteri,4),1)="*",LEFT(VLOOKUP($B262,kilpailukalenteri,4),LEN(VLOOKUP($B262,kilpailukalenteri,4))-2)&amp;", Kultainen GP",VLOOKUP($B262,kilpailukalenteri,4)),IF($C262=0,"Sija",IF($C262&gt;Data!$CP$2,"",ROUND(Tulokset!$D262,0)))))</f>
        <v>11</v>
      </c>
      <c r="F262" s="78" t="str">
        <f ca="1">IF($B262&gt;keilatut,"",IF($C262=(-1),"",IF($C262=0,"Nimi",IF($C262&gt;Data!$CP$2,"",OFFSET(tulossiirtymä,MATCH($D262,Data!$AN$2:$AN$313,0),Tulokset!F$2)))))</f>
        <v>Kaleva Latvala</v>
      </c>
      <c r="G262" s="78">
        <f ca="1">IF($B262&gt;keilatut,"",IF($C262=(-1),"",IF($C262=0,"Sarja 1",IF($C262&gt;Data!$CP$2,"",OFFSET(tulossiirtymä,MATCH($D262,Data!$AN$2:$AN$313,0),Tulokset!G$2)))))</f>
        <v>0</v>
      </c>
      <c r="H262" s="78">
        <f ca="1">IF($B262&gt;keilatut,"",IF($C262=(-1),"",IF($C262=0,"Sarja 2",IF($C262&gt;Data!$CP$2,"",OFFSET(tulossiirtymä,MATCH($D262,Data!$AN$2:$AN$313,0),Tulokset!H$2)))))</f>
        <v>0</v>
      </c>
      <c r="I262" s="78">
        <f ca="1">IF($B262&gt;keilatut,"",IF($C262=(-1),"",IF($C262=0,"Yhteensä",IF($C262&gt;Data!$CP$2,"",OFFSET(tulossiirtymä,MATCH($D262,Data!$AN$2:$AN$313,0),Tulokset!I$2)))))</f>
        <v>0</v>
      </c>
      <c r="J262" s="78" t="str">
        <f ca="1">IF($B262&gt;keilatut,"",IF($C262=(-1),"",IF($C262=0,"Ero voittajaan",IF($C262&gt;Data!$CP$2,"",OFFSET(tulossiirtymä,MATCH($D262,Data!$AN$2:$AN$313,0),Tulokset!J$2)))))</f>
        <v/>
      </c>
      <c r="K262" s="78">
        <f ca="1">IF($B262&gt;keilatut,"",IF($C262=(-1),"",IF($C262=0,"Pisteet",IF($C262&gt;Data!$CP$2,"",OFFSET(tulossiirtymä,MATCH($D262,Data!$AN$2:$AN$313,0),Tulokset!K$2)))))</f>
        <v>0</v>
      </c>
      <c r="L262" s="78">
        <f ca="1">IF($B262&gt;keilatut,"",IF($C262=(-1),"",IF($C262=0,"Pisteet yhteensä",IF($C262&gt;Data!$CP$2,"",OFFSET(tulossiirtymä,MATCH($D262,Data!$AN$2:$AN$313,0),Tulokset!L$2)))))</f>
        <v>24</v>
      </c>
      <c r="M262" s="78" t="str">
        <f ca="1">IF($B262&gt;keilatut,"",IF($C262=(-1),"",IF($C262=0,"Pisteseloste",IF($C262&gt;Data!$CP$2,"",OFFSET(tulossiirtymä,MATCH($D262,Data!$AN$2:$AN$313,0),Tulokset!M$2)))))</f>
        <v/>
      </c>
    </row>
    <row r="263" spans="2:13" x14ac:dyDescent="0.25">
      <c r="B263" s="78">
        <f t="shared" si="4"/>
        <v>10</v>
      </c>
      <c r="C263" s="78">
        <f>COUNTIF($B$6:B263,B263)-2</f>
        <v>13</v>
      </c>
      <c r="D263" s="79">
        <f t="array" ref="D263">IF($B263&lt;=keilatut,IF($C263&lt;1,"",IF($C263&gt;Data!$CP$2,"",SMALL(IF(Data!$B$2:$B$313=Tulokset!$B263,Data!$AN$2:$AN$313),Tulokset!$C263))),"")</f>
        <v>11.000175</v>
      </c>
      <c r="E263" s="78">
        <f>IF($B263&gt;keilatut,"",IF($C263=(-1),"GP"&amp;$B263&amp;", "&amp;DAY(VLOOKUP($B263,kilpailukalenteri,2))&amp;"."&amp;MONTH(VLOOKUP($B263,kilpailukalenteri,2))&amp;"."&amp;YEAR(VLOOKUP($B263,kilpailukalenteri,2))&amp;", "&amp;IF(RIGHT(VLOOKUP($B263,kilpailukalenteri,4),1)="*",LEFT(VLOOKUP($B263,kilpailukalenteri,4),LEN(VLOOKUP($B263,kilpailukalenteri,4))-2)&amp;", Kultainen GP",VLOOKUP($B263,kilpailukalenteri,4)),IF($C263=0,"Sija",IF($C263&gt;Data!$CP$2,"",ROUND(Tulokset!$D263,0)))))</f>
        <v>11</v>
      </c>
      <c r="F263" s="78" t="str">
        <f ca="1">IF($B263&gt;keilatut,"",IF($C263=(-1),"",IF($C263=0,"Nimi",IF($C263&gt;Data!$CP$2,"",OFFSET(tulossiirtymä,MATCH($D263,Data!$AN$2:$AN$313,0),Tulokset!F$2)))))</f>
        <v>Asko Haaksi</v>
      </c>
      <c r="G263" s="78">
        <f ca="1">IF($B263&gt;keilatut,"",IF($C263=(-1),"",IF($C263=0,"Sarja 1",IF($C263&gt;Data!$CP$2,"",OFFSET(tulossiirtymä,MATCH($D263,Data!$AN$2:$AN$313,0),Tulokset!G$2)))))</f>
        <v>0</v>
      </c>
      <c r="H263" s="78">
        <f ca="1">IF($B263&gt;keilatut,"",IF($C263=(-1),"",IF($C263=0,"Sarja 2",IF($C263&gt;Data!$CP$2,"",OFFSET(tulossiirtymä,MATCH($D263,Data!$AN$2:$AN$313,0),Tulokset!H$2)))))</f>
        <v>0</v>
      </c>
      <c r="I263" s="78">
        <f ca="1">IF($B263&gt;keilatut,"",IF($C263=(-1),"",IF($C263=0,"Yhteensä",IF($C263&gt;Data!$CP$2,"",OFFSET(tulossiirtymä,MATCH($D263,Data!$AN$2:$AN$313,0),Tulokset!I$2)))))</f>
        <v>0</v>
      </c>
      <c r="J263" s="78" t="str">
        <f ca="1">IF($B263&gt;keilatut,"",IF($C263=(-1),"",IF($C263=0,"Ero voittajaan",IF($C263&gt;Data!$CP$2,"",OFFSET(tulossiirtymä,MATCH($D263,Data!$AN$2:$AN$313,0),Tulokset!J$2)))))</f>
        <v/>
      </c>
      <c r="K263" s="78">
        <f ca="1">IF($B263&gt;keilatut,"",IF($C263=(-1),"",IF($C263=0,"Pisteet",IF($C263&gt;Data!$CP$2,"",OFFSET(tulossiirtymä,MATCH($D263,Data!$AN$2:$AN$313,0),Tulokset!K$2)))))</f>
        <v>0</v>
      </c>
      <c r="L263" s="78">
        <f ca="1">IF($B263&gt;keilatut,"",IF($C263=(-1),"",IF($C263=0,"Pisteet yhteensä",IF($C263&gt;Data!$CP$2,"",OFFSET(tulossiirtymä,MATCH($D263,Data!$AN$2:$AN$313,0),Tulokset!L$2)))))</f>
        <v>29</v>
      </c>
      <c r="M263" s="78" t="str">
        <f ca="1">IF($B263&gt;keilatut,"",IF($C263=(-1),"",IF($C263=0,"Pisteseloste",IF($C263&gt;Data!$CP$2,"",OFFSET(tulossiirtymä,MATCH($D263,Data!$AN$2:$AN$313,0),Tulokset!M$2)))))</f>
        <v/>
      </c>
    </row>
    <row r="264" spans="2:13" x14ac:dyDescent="0.25">
      <c r="B264" s="78">
        <f t="shared" si="4"/>
        <v>10</v>
      </c>
      <c r="C264" s="78">
        <f>COUNTIF($B$6:B264,B264)-2</f>
        <v>14</v>
      </c>
      <c r="D264" s="79">
        <f t="array" ref="D264">IF($B264&lt;=keilatut,IF($C264&lt;1,"",IF($C264&gt;Data!$CP$2,"",SMALL(IF(Data!$B$2:$B$313=Tulokset!$B264,Data!$AN$2:$AN$313),Tulokset!$C264))),"")</f>
        <v>11.000176</v>
      </c>
      <c r="E264" s="78">
        <f>IF($B264&gt;keilatut,"",IF($C264=(-1),"GP"&amp;$B264&amp;", "&amp;DAY(VLOOKUP($B264,kilpailukalenteri,2))&amp;"."&amp;MONTH(VLOOKUP($B264,kilpailukalenteri,2))&amp;"."&amp;YEAR(VLOOKUP($B264,kilpailukalenteri,2))&amp;", "&amp;IF(RIGHT(VLOOKUP($B264,kilpailukalenteri,4),1)="*",LEFT(VLOOKUP($B264,kilpailukalenteri,4),LEN(VLOOKUP($B264,kilpailukalenteri,4))-2)&amp;", Kultainen GP",VLOOKUP($B264,kilpailukalenteri,4)),IF($C264=0,"Sija",IF($C264&gt;Data!$CP$2,"",ROUND(Tulokset!$D264,0)))))</f>
        <v>11</v>
      </c>
      <c r="F264" s="78" t="str">
        <f ca="1">IF($B264&gt;keilatut,"",IF($C264=(-1),"",IF($C264=0,"Nimi",IF($C264&gt;Data!$CP$2,"",OFFSET(tulossiirtymä,MATCH($D264,Data!$AN$2:$AN$313,0),Tulokset!F$2)))))</f>
        <v>Joonas Ollonqvist</v>
      </c>
      <c r="G264" s="78">
        <f ca="1">IF($B264&gt;keilatut,"",IF($C264=(-1),"",IF($C264=0,"Sarja 1",IF($C264&gt;Data!$CP$2,"",OFFSET(tulossiirtymä,MATCH($D264,Data!$AN$2:$AN$313,0),Tulokset!G$2)))))</f>
        <v>0</v>
      </c>
      <c r="H264" s="78">
        <f ca="1">IF($B264&gt;keilatut,"",IF($C264=(-1),"",IF($C264=0,"Sarja 2",IF($C264&gt;Data!$CP$2,"",OFFSET(tulossiirtymä,MATCH($D264,Data!$AN$2:$AN$313,0),Tulokset!H$2)))))</f>
        <v>0</v>
      </c>
      <c r="I264" s="78">
        <f ca="1">IF($B264&gt;keilatut,"",IF($C264=(-1),"",IF($C264=0,"Yhteensä",IF($C264&gt;Data!$CP$2,"",OFFSET(tulossiirtymä,MATCH($D264,Data!$AN$2:$AN$313,0),Tulokset!I$2)))))</f>
        <v>0</v>
      </c>
      <c r="J264" s="78" t="str">
        <f ca="1">IF($B264&gt;keilatut,"",IF($C264=(-1),"",IF($C264=0,"Ero voittajaan",IF($C264&gt;Data!$CP$2,"",OFFSET(tulossiirtymä,MATCH($D264,Data!$AN$2:$AN$313,0),Tulokset!J$2)))))</f>
        <v/>
      </c>
      <c r="K264" s="78">
        <f ca="1">IF($B264&gt;keilatut,"",IF($C264=(-1),"",IF($C264=0,"Pisteet",IF($C264&gt;Data!$CP$2,"",OFFSET(tulossiirtymä,MATCH($D264,Data!$AN$2:$AN$313,0),Tulokset!K$2)))))</f>
        <v>0</v>
      </c>
      <c r="L264" s="78">
        <f ca="1">IF($B264&gt;keilatut,"",IF($C264=(-1),"",IF($C264=0,"Pisteet yhteensä",IF($C264&gt;Data!$CP$2,"",OFFSET(tulossiirtymä,MATCH($D264,Data!$AN$2:$AN$313,0),Tulokset!L$2)))))</f>
        <v>1</v>
      </c>
      <c r="M264" s="78" t="str">
        <f ca="1">IF($B264&gt;keilatut,"",IF($C264=(-1),"",IF($C264=0,"Pisteseloste",IF($C264&gt;Data!$CP$2,"",OFFSET(tulossiirtymä,MATCH($D264,Data!$AN$2:$AN$313,0),Tulokset!M$2)))))</f>
        <v/>
      </c>
    </row>
    <row r="265" spans="2:13" x14ac:dyDescent="0.25">
      <c r="B265" s="78">
        <f t="shared" si="4"/>
        <v>10</v>
      </c>
      <c r="C265" s="78">
        <f>COUNTIF($B$6:B265,B265)-2</f>
        <v>15</v>
      </c>
      <c r="D265" s="79">
        <f t="array" ref="D265">IF($B265&lt;=keilatut,IF($C265&lt;1,"",IF($C265&gt;Data!$CP$2,"",SMALL(IF(Data!$B$2:$B$313=Tulokset!$B265,Data!$AN$2:$AN$313),Tulokset!$C265))),"")</f>
        <v>11.000177000000001</v>
      </c>
      <c r="E265" s="78">
        <f>IF($B265&gt;keilatut,"",IF($C265=(-1),"GP"&amp;$B265&amp;", "&amp;DAY(VLOOKUP($B265,kilpailukalenteri,2))&amp;"."&amp;MONTH(VLOOKUP($B265,kilpailukalenteri,2))&amp;"."&amp;YEAR(VLOOKUP($B265,kilpailukalenteri,2))&amp;", "&amp;IF(RIGHT(VLOOKUP($B265,kilpailukalenteri,4),1)="*",LEFT(VLOOKUP($B265,kilpailukalenteri,4),LEN(VLOOKUP($B265,kilpailukalenteri,4))-2)&amp;", Kultainen GP",VLOOKUP($B265,kilpailukalenteri,4)),IF($C265=0,"Sija",IF($C265&gt;Data!$CP$2,"",ROUND(Tulokset!$D265,0)))))</f>
        <v>11</v>
      </c>
      <c r="F265" s="78" t="str">
        <f ca="1">IF($B265&gt;keilatut,"",IF($C265=(-1),"",IF($C265=0,"Nimi",IF($C265&gt;Data!$CP$2,"",OFFSET(tulossiirtymä,MATCH($D265,Data!$AN$2:$AN$313,0),Tulokset!F$2)))))</f>
        <v>Miikka Korventausta</v>
      </c>
      <c r="G265" s="78">
        <f ca="1">IF($B265&gt;keilatut,"",IF($C265=(-1),"",IF($C265=0,"Sarja 1",IF($C265&gt;Data!$CP$2,"",OFFSET(tulossiirtymä,MATCH($D265,Data!$AN$2:$AN$313,0),Tulokset!G$2)))))</f>
        <v>0</v>
      </c>
      <c r="H265" s="78">
        <f ca="1">IF($B265&gt;keilatut,"",IF($C265=(-1),"",IF($C265=0,"Sarja 2",IF($C265&gt;Data!$CP$2,"",OFFSET(tulossiirtymä,MATCH($D265,Data!$AN$2:$AN$313,0),Tulokset!H$2)))))</f>
        <v>0</v>
      </c>
      <c r="I265" s="78">
        <f ca="1">IF($B265&gt;keilatut,"",IF($C265=(-1),"",IF($C265=0,"Yhteensä",IF($C265&gt;Data!$CP$2,"",OFFSET(tulossiirtymä,MATCH($D265,Data!$AN$2:$AN$313,0),Tulokset!I$2)))))</f>
        <v>0</v>
      </c>
      <c r="J265" s="78" t="str">
        <f ca="1">IF($B265&gt;keilatut,"",IF($C265=(-1),"",IF($C265=0,"Ero voittajaan",IF($C265&gt;Data!$CP$2,"",OFFSET(tulossiirtymä,MATCH($D265,Data!$AN$2:$AN$313,0),Tulokset!J$2)))))</f>
        <v/>
      </c>
      <c r="K265" s="78">
        <f ca="1">IF($B265&gt;keilatut,"",IF($C265=(-1),"",IF($C265=0,"Pisteet",IF($C265&gt;Data!$CP$2,"",OFFSET(tulossiirtymä,MATCH($D265,Data!$AN$2:$AN$313,0),Tulokset!K$2)))))</f>
        <v>0</v>
      </c>
      <c r="L265" s="78">
        <f ca="1">IF($B265&gt;keilatut,"",IF($C265=(-1),"",IF($C265=0,"Pisteet yhteensä",IF($C265&gt;Data!$CP$2,"",OFFSET(tulossiirtymä,MATCH($D265,Data!$AN$2:$AN$313,0),Tulokset!L$2)))))</f>
        <v>20</v>
      </c>
      <c r="M265" s="78" t="str">
        <f ca="1">IF($B265&gt;keilatut,"",IF($C265=(-1),"",IF($C265=0,"Pisteseloste",IF($C265&gt;Data!$CP$2,"",OFFSET(tulossiirtymä,MATCH($D265,Data!$AN$2:$AN$313,0),Tulokset!M$2)))))</f>
        <v/>
      </c>
    </row>
    <row r="266" spans="2:13" x14ac:dyDescent="0.25">
      <c r="B266" s="78">
        <f t="shared" si="4"/>
        <v>10</v>
      </c>
      <c r="C266" s="78">
        <f>COUNTIF($B$6:B266,B266)-2</f>
        <v>16</v>
      </c>
      <c r="D266" s="79">
        <f t="array" ref="D266">IF($B266&lt;=keilatut,IF($C266&lt;1,"",IF($C266&gt;Data!$CP$2,"",SMALL(IF(Data!$B$2:$B$313=Tulokset!$B266,Data!$AN$2:$AN$313),Tulokset!$C266))),"")</f>
        <v>11.000178</v>
      </c>
      <c r="E266" s="78">
        <f>IF($B266&gt;keilatut,"",IF($C266=(-1),"GP"&amp;$B266&amp;", "&amp;DAY(VLOOKUP($B266,kilpailukalenteri,2))&amp;"."&amp;MONTH(VLOOKUP($B266,kilpailukalenteri,2))&amp;"."&amp;YEAR(VLOOKUP($B266,kilpailukalenteri,2))&amp;", "&amp;IF(RIGHT(VLOOKUP($B266,kilpailukalenteri,4),1)="*",LEFT(VLOOKUP($B266,kilpailukalenteri,4),LEN(VLOOKUP($B266,kilpailukalenteri,4))-2)&amp;", Kultainen GP",VLOOKUP($B266,kilpailukalenteri,4)),IF($C266=0,"Sija",IF($C266&gt;Data!$CP$2,"",ROUND(Tulokset!$D266,0)))))</f>
        <v>11</v>
      </c>
      <c r="F266" s="78" t="str">
        <f ca="1">IF($B266&gt;keilatut,"",IF($C266=(-1),"",IF($C266=0,"Nimi",IF($C266&gt;Data!$CP$2,"",OFFSET(tulossiirtymä,MATCH($D266,Data!$AN$2:$AN$313,0),Tulokset!F$2)))))</f>
        <v>Roope Warro</v>
      </c>
      <c r="G266" s="78">
        <f ca="1">IF($B266&gt;keilatut,"",IF($C266=(-1),"",IF($C266=0,"Sarja 1",IF($C266&gt;Data!$CP$2,"",OFFSET(tulossiirtymä,MATCH($D266,Data!$AN$2:$AN$313,0),Tulokset!G$2)))))</f>
        <v>0</v>
      </c>
      <c r="H266" s="78">
        <f ca="1">IF($B266&gt;keilatut,"",IF($C266=(-1),"",IF($C266=0,"Sarja 2",IF($C266&gt;Data!$CP$2,"",OFFSET(tulossiirtymä,MATCH($D266,Data!$AN$2:$AN$313,0),Tulokset!H$2)))))</f>
        <v>0</v>
      </c>
      <c r="I266" s="78">
        <f ca="1">IF($B266&gt;keilatut,"",IF($C266=(-1),"",IF($C266=0,"Yhteensä",IF($C266&gt;Data!$CP$2,"",OFFSET(tulossiirtymä,MATCH($D266,Data!$AN$2:$AN$313,0),Tulokset!I$2)))))</f>
        <v>0</v>
      </c>
      <c r="J266" s="78" t="str">
        <f ca="1">IF($B266&gt;keilatut,"",IF($C266=(-1),"",IF($C266=0,"Ero voittajaan",IF($C266&gt;Data!$CP$2,"",OFFSET(tulossiirtymä,MATCH($D266,Data!$AN$2:$AN$313,0),Tulokset!J$2)))))</f>
        <v/>
      </c>
      <c r="K266" s="78">
        <f ca="1">IF($B266&gt;keilatut,"",IF($C266=(-1),"",IF($C266=0,"Pisteet",IF($C266&gt;Data!$CP$2,"",OFFSET(tulossiirtymä,MATCH($D266,Data!$AN$2:$AN$313,0),Tulokset!K$2)))))</f>
        <v>0</v>
      </c>
      <c r="L266" s="78">
        <f ca="1">IF($B266&gt;keilatut,"",IF($C266=(-1),"",IF($C266=0,"Pisteet yhteensä",IF($C266&gt;Data!$CP$2,"",OFFSET(tulossiirtymä,MATCH($D266,Data!$AN$2:$AN$313,0),Tulokset!L$2)))))</f>
        <v>11</v>
      </c>
      <c r="M266" s="78" t="str">
        <f ca="1">IF($B266&gt;keilatut,"",IF($C266=(-1),"",IF($C266=0,"Pisteseloste",IF($C266&gt;Data!$CP$2,"",OFFSET(tulossiirtymä,MATCH($D266,Data!$AN$2:$AN$313,0),Tulokset!M$2)))))</f>
        <v/>
      </c>
    </row>
    <row r="267" spans="2:13" x14ac:dyDescent="0.25">
      <c r="B267" s="78">
        <f t="shared" si="4"/>
        <v>10</v>
      </c>
      <c r="C267" s="78">
        <f>COUNTIF($B$6:B267,B267)-2</f>
        <v>17</v>
      </c>
      <c r="D267" s="79">
        <f t="array" ref="D267">IF($B267&lt;=keilatut,IF($C267&lt;1,"",IF($C267&gt;Data!$CP$2,"",SMALL(IF(Data!$B$2:$B$313=Tulokset!$B267,Data!$AN$2:$AN$313),Tulokset!$C267))),"")</f>
        <v>11.000178999999999</v>
      </c>
      <c r="E267" s="78">
        <f>IF($B267&gt;keilatut,"",IF($C267=(-1),"GP"&amp;$B267&amp;", "&amp;DAY(VLOOKUP($B267,kilpailukalenteri,2))&amp;"."&amp;MONTH(VLOOKUP($B267,kilpailukalenteri,2))&amp;"."&amp;YEAR(VLOOKUP($B267,kilpailukalenteri,2))&amp;", "&amp;IF(RIGHT(VLOOKUP($B267,kilpailukalenteri,4),1)="*",LEFT(VLOOKUP($B267,kilpailukalenteri,4),LEN(VLOOKUP($B267,kilpailukalenteri,4))-2)&amp;", Kultainen GP",VLOOKUP($B267,kilpailukalenteri,4)),IF($C267=0,"Sija",IF($C267&gt;Data!$CP$2,"",ROUND(Tulokset!$D267,0)))))</f>
        <v>11</v>
      </c>
      <c r="F267" s="78" t="str">
        <f ca="1">IF($B267&gt;keilatut,"",IF($C267=(-1),"",IF($C267=0,"Nimi",IF($C267&gt;Data!$CP$2,"",OFFSET(tulossiirtymä,MATCH($D267,Data!$AN$2:$AN$313,0),Tulokset!F$2)))))</f>
        <v>Iiro Riikonen</v>
      </c>
      <c r="G267" s="78">
        <f ca="1">IF($B267&gt;keilatut,"",IF($C267=(-1),"",IF($C267=0,"Sarja 1",IF($C267&gt;Data!$CP$2,"",OFFSET(tulossiirtymä,MATCH($D267,Data!$AN$2:$AN$313,0),Tulokset!G$2)))))</f>
        <v>0</v>
      </c>
      <c r="H267" s="78">
        <f ca="1">IF($B267&gt;keilatut,"",IF($C267=(-1),"",IF($C267=0,"Sarja 2",IF($C267&gt;Data!$CP$2,"",OFFSET(tulossiirtymä,MATCH($D267,Data!$AN$2:$AN$313,0),Tulokset!H$2)))))</f>
        <v>0</v>
      </c>
      <c r="I267" s="78">
        <f ca="1">IF($B267&gt;keilatut,"",IF($C267=(-1),"",IF($C267=0,"Yhteensä",IF($C267&gt;Data!$CP$2,"",OFFSET(tulossiirtymä,MATCH($D267,Data!$AN$2:$AN$313,0),Tulokset!I$2)))))</f>
        <v>0</v>
      </c>
      <c r="J267" s="78" t="str">
        <f ca="1">IF($B267&gt;keilatut,"",IF($C267=(-1),"",IF($C267=0,"Ero voittajaan",IF($C267&gt;Data!$CP$2,"",OFFSET(tulossiirtymä,MATCH($D267,Data!$AN$2:$AN$313,0),Tulokset!J$2)))))</f>
        <v/>
      </c>
      <c r="K267" s="78">
        <f ca="1">IF($B267&gt;keilatut,"",IF($C267=(-1),"",IF($C267=0,"Pisteet",IF($C267&gt;Data!$CP$2,"",OFFSET(tulossiirtymä,MATCH($D267,Data!$AN$2:$AN$313,0),Tulokset!K$2)))))</f>
        <v>0</v>
      </c>
      <c r="L267" s="78">
        <f ca="1">IF($B267&gt;keilatut,"",IF($C267=(-1),"",IF($C267=0,"Pisteet yhteensä",IF($C267&gt;Data!$CP$2,"",OFFSET(tulossiirtymä,MATCH($D267,Data!$AN$2:$AN$313,0),Tulokset!L$2)))))</f>
        <v>17</v>
      </c>
      <c r="M267" s="78" t="str">
        <f ca="1">IF($B267&gt;keilatut,"",IF($C267=(-1),"",IF($C267=0,"Pisteseloste",IF($C267&gt;Data!$CP$2,"",OFFSET(tulossiirtymä,MATCH($D267,Data!$AN$2:$AN$313,0),Tulokset!M$2)))))</f>
        <v/>
      </c>
    </row>
    <row r="268" spans="2:13" x14ac:dyDescent="0.25">
      <c r="B268" s="78">
        <f t="shared" si="4"/>
        <v>10</v>
      </c>
      <c r="C268" s="78">
        <f>COUNTIF($B$6:B268,B268)-2</f>
        <v>18</v>
      </c>
      <c r="D268" s="79">
        <f t="array" ref="D268">IF($B268&lt;=keilatut,IF($C268&lt;1,"",IF($C268&gt;Data!$CP$2,"",SMALL(IF(Data!$B$2:$B$313=Tulokset!$B268,Data!$AN$2:$AN$313),Tulokset!$C268))),"")</f>
        <v>11.00018</v>
      </c>
      <c r="E268" s="78">
        <f>IF($B268&gt;keilatut,"",IF($C268=(-1),"GP"&amp;$B268&amp;", "&amp;DAY(VLOOKUP($B268,kilpailukalenteri,2))&amp;"."&amp;MONTH(VLOOKUP($B268,kilpailukalenteri,2))&amp;"."&amp;YEAR(VLOOKUP($B268,kilpailukalenteri,2))&amp;", "&amp;IF(RIGHT(VLOOKUP($B268,kilpailukalenteri,4),1)="*",LEFT(VLOOKUP($B268,kilpailukalenteri,4),LEN(VLOOKUP($B268,kilpailukalenteri,4))-2)&amp;", Kultainen GP",VLOOKUP($B268,kilpailukalenteri,4)),IF($C268=0,"Sija",IF($C268&gt;Data!$CP$2,"",ROUND(Tulokset!$D268,0)))))</f>
        <v>11</v>
      </c>
      <c r="F268" s="78" t="str">
        <f ca="1">IF($B268&gt;keilatut,"",IF($C268=(-1),"",IF($C268=0,"Nimi",IF($C268&gt;Data!$CP$2,"",OFFSET(tulossiirtymä,MATCH($D268,Data!$AN$2:$AN$313,0),Tulokset!F$2)))))</f>
        <v>Tatu Erlin</v>
      </c>
      <c r="G268" s="78">
        <f ca="1">IF($B268&gt;keilatut,"",IF($C268=(-1),"",IF($C268=0,"Sarja 1",IF($C268&gt;Data!$CP$2,"",OFFSET(tulossiirtymä,MATCH($D268,Data!$AN$2:$AN$313,0),Tulokset!G$2)))))</f>
        <v>0</v>
      </c>
      <c r="H268" s="78">
        <f ca="1">IF($B268&gt;keilatut,"",IF($C268=(-1),"",IF($C268=0,"Sarja 2",IF($C268&gt;Data!$CP$2,"",OFFSET(tulossiirtymä,MATCH($D268,Data!$AN$2:$AN$313,0),Tulokset!H$2)))))</f>
        <v>0</v>
      </c>
      <c r="I268" s="78">
        <f ca="1">IF($B268&gt;keilatut,"",IF($C268=(-1),"",IF($C268=0,"Yhteensä",IF($C268&gt;Data!$CP$2,"",OFFSET(tulossiirtymä,MATCH($D268,Data!$AN$2:$AN$313,0),Tulokset!I$2)))))</f>
        <v>0</v>
      </c>
      <c r="J268" s="78" t="str">
        <f ca="1">IF($B268&gt;keilatut,"",IF($C268=(-1),"",IF($C268=0,"Ero voittajaan",IF($C268&gt;Data!$CP$2,"",OFFSET(tulossiirtymä,MATCH($D268,Data!$AN$2:$AN$313,0),Tulokset!J$2)))))</f>
        <v/>
      </c>
      <c r="K268" s="78">
        <f ca="1">IF($B268&gt;keilatut,"",IF($C268=(-1),"",IF($C268=0,"Pisteet",IF($C268&gt;Data!$CP$2,"",OFFSET(tulossiirtymä,MATCH($D268,Data!$AN$2:$AN$313,0),Tulokset!K$2)))))</f>
        <v>0</v>
      </c>
      <c r="L268" s="78">
        <f ca="1">IF($B268&gt;keilatut,"",IF($C268=(-1),"",IF($C268=0,"Pisteet yhteensä",IF($C268&gt;Data!$CP$2,"",OFFSET(tulossiirtymä,MATCH($D268,Data!$AN$2:$AN$313,0),Tulokset!L$2)))))</f>
        <v>5</v>
      </c>
      <c r="M268" s="78" t="str">
        <f ca="1">IF($B268&gt;keilatut,"",IF($C268=(-1),"",IF($C268=0,"Pisteseloste",IF($C268&gt;Data!$CP$2,"",OFFSET(tulossiirtymä,MATCH($D268,Data!$AN$2:$AN$313,0),Tulokset!M$2)))))</f>
        <v/>
      </c>
    </row>
    <row r="269" spans="2:13" x14ac:dyDescent="0.25">
      <c r="B269" s="78">
        <f t="shared" si="4"/>
        <v>10</v>
      </c>
      <c r="C269" s="78">
        <f>COUNTIF($B$6:B269,B269)-2</f>
        <v>19</v>
      </c>
      <c r="D269" s="79" t="str">
        <f t="array" ref="D269">IF($B269&lt;=keilatut,IF($C269&lt;1,"",IF($C269&gt;Data!$CP$2,"",SMALL(IF(Data!$B$2:$B$313=Tulokset!$B269,Data!$AN$2:$AN$313),Tulokset!$C269))),"")</f>
        <v/>
      </c>
      <c r="E269" s="78" t="str">
        <f>IF($B269&gt;keilatut,"",IF($C269=(-1),"GP"&amp;$B269&amp;", "&amp;DAY(VLOOKUP($B269,kilpailukalenteri,2))&amp;"."&amp;MONTH(VLOOKUP($B269,kilpailukalenteri,2))&amp;"."&amp;YEAR(VLOOKUP($B269,kilpailukalenteri,2))&amp;", "&amp;IF(RIGHT(VLOOKUP($B269,kilpailukalenteri,4),1)="*",LEFT(VLOOKUP($B269,kilpailukalenteri,4),LEN(VLOOKUP($B269,kilpailukalenteri,4))-2)&amp;", Kultainen GP",VLOOKUP($B269,kilpailukalenteri,4)),IF($C269=0,"Sija",IF($C269&gt;Data!$CP$2,"",ROUND(Tulokset!$D269,0)))))</f>
        <v/>
      </c>
      <c r="F269" s="78" t="str">
        <f ca="1">IF($B269&gt;keilatut,"",IF($C269=(-1),"",IF($C269=0,"Nimi",IF($C269&gt;Data!$CP$2,"",OFFSET(tulossiirtymä,MATCH($D269,Data!$AN$2:$AN$313,0),Tulokset!F$2)))))</f>
        <v/>
      </c>
      <c r="G269" s="78" t="str">
        <f ca="1">IF($B269&gt;keilatut,"",IF($C269=(-1),"",IF($C269=0,"Sarja 1",IF($C269&gt;Data!$CP$2,"",OFFSET(tulossiirtymä,MATCH($D269,Data!$AN$2:$AN$313,0),Tulokset!G$2)))))</f>
        <v/>
      </c>
      <c r="H269" s="78" t="str">
        <f ca="1">IF($B269&gt;keilatut,"",IF($C269=(-1),"",IF($C269=0,"Sarja 2",IF($C269&gt;Data!$CP$2,"",OFFSET(tulossiirtymä,MATCH($D269,Data!$AN$2:$AN$313,0),Tulokset!H$2)))))</f>
        <v/>
      </c>
      <c r="I269" s="78" t="str">
        <f ca="1">IF($B269&gt;keilatut,"",IF($C269=(-1),"",IF($C269=0,"Yhteensä",IF($C269&gt;Data!$CP$2,"",OFFSET(tulossiirtymä,MATCH($D269,Data!$AN$2:$AN$313,0),Tulokset!I$2)))))</f>
        <v/>
      </c>
      <c r="J269" s="78" t="str">
        <f ca="1">IF($B269&gt;keilatut,"",IF($C269=(-1),"",IF($C269=0,"Ero voittajaan",IF($C269&gt;Data!$CP$2,"",OFFSET(tulossiirtymä,MATCH($D269,Data!$AN$2:$AN$313,0),Tulokset!J$2)))))</f>
        <v/>
      </c>
      <c r="K269" s="78" t="str">
        <f ca="1">IF($B269&gt;keilatut,"",IF($C269=(-1),"",IF($C269=0,"Pisteet",IF($C269&gt;Data!$CP$2,"",OFFSET(tulossiirtymä,MATCH($D269,Data!$AN$2:$AN$313,0),Tulokset!K$2)))))</f>
        <v/>
      </c>
      <c r="L269" s="78" t="str">
        <f ca="1">IF($B269&gt;keilatut,"",IF($C269=(-1),"",IF($C269=0,"Pisteet yhteensä",IF($C269&gt;Data!$CP$2,"",OFFSET(tulossiirtymä,MATCH($D269,Data!$AN$2:$AN$313,0),Tulokset!L$2)))))</f>
        <v/>
      </c>
      <c r="M269" s="78" t="str">
        <f ca="1">IF($B269&gt;keilatut,"",IF($C269=(-1),"",IF($C269=0,"Pisteseloste",IF($C269&gt;Data!$CP$2,"",OFFSET(tulossiirtymä,MATCH($D269,Data!$AN$2:$AN$313,0),Tulokset!M$2)))))</f>
        <v/>
      </c>
    </row>
    <row r="270" spans="2:13" x14ac:dyDescent="0.25">
      <c r="B270" s="78">
        <f t="shared" si="4"/>
        <v>10</v>
      </c>
      <c r="C270" s="78">
        <f>COUNTIF($B$6:B270,B270)-2</f>
        <v>20</v>
      </c>
      <c r="D270" s="79" t="str">
        <f t="array" ref="D270">IF($B270&lt;=keilatut,IF($C270&lt;1,"",IF($C270&gt;Data!$CP$2,"",SMALL(IF(Data!$B$2:$B$313=Tulokset!$B270,Data!$AN$2:$AN$313),Tulokset!$C270))),"")</f>
        <v/>
      </c>
      <c r="E270" s="78" t="str">
        <f>IF($B270&gt;keilatut,"",IF($C270=(-1),"GP"&amp;$B270&amp;", "&amp;DAY(VLOOKUP($B270,kilpailukalenteri,2))&amp;"."&amp;MONTH(VLOOKUP($B270,kilpailukalenteri,2))&amp;"."&amp;YEAR(VLOOKUP($B270,kilpailukalenteri,2))&amp;", "&amp;IF(RIGHT(VLOOKUP($B270,kilpailukalenteri,4),1)="*",LEFT(VLOOKUP($B270,kilpailukalenteri,4),LEN(VLOOKUP($B270,kilpailukalenteri,4))-2)&amp;", Kultainen GP",VLOOKUP($B270,kilpailukalenteri,4)),IF($C270=0,"Sija",IF($C270&gt;Data!$CP$2,"",ROUND(Tulokset!$D270,0)))))</f>
        <v/>
      </c>
      <c r="F270" s="78" t="str">
        <f ca="1">IF($B270&gt;keilatut,"",IF($C270=(-1),"",IF($C270=0,"Nimi",IF($C270&gt;Data!$CP$2,"",OFFSET(tulossiirtymä,MATCH($D270,Data!$AN$2:$AN$313,0),Tulokset!F$2)))))</f>
        <v/>
      </c>
      <c r="G270" s="78" t="str">
        <f ca="1">IF($B270&gt;keilatut,"",IF($C270=(-1),"",IF($C270=0,"Sarja 1",IF($C270&gt;Data!$CP$2,"",OFFSET(tulossiirtymä,MATCH($D270,Data!$AN$2:$AN$313,0),Tulokset!G$2)))))</f>
        <v/>
      </c>
      <c r="H270" s="78" t="str">
        <f ca="1">IF($B270&gt;keilatut,"",IF($C270=(-1),"",IF($C270=0,"Sarja 2",IF($C270&gt;Data!$CP$2,"",OFFSET(tulossiirtymä,MATCH($D270,Data!$AN$2:$AN$313,0),Tulokset!H$2)))))</f>
        <v/>
      </c>
      <c r="I270" s="78" t="str">
        <f ca="1">IF($B270&gt;keilatut,"",IF($C270=(-1),"",IF($C270=0,"Yhteensä",IF($C270&gt;Data!$CP$2,"",OFFSET(tulossiirtymä,MATCH($D270,Data!$AN$2:$AN$313,0),Tulokset!I$2)))))</f>
        <v/>
      </c>
      <c r="J270" s="78" t="str">
        <f ca="1">IF($B270&gt;keilatut,"",IF($C270=(-1),"",IF($C270=0,"Ero voittajaan",IF($C270&gt;Data!$CP$2,"",OFFSET(tulossiirtymä,MATCH($D270,Data!$AN$2:$AN$313,0),Tulokset!J$2)))))</f>
        <v/>
      </c>
      <c r="K270" s="78" t="str">
        <f ca="1">IF($B270&gt;keilatut,"",IF($C270=(-1),"",IF($C270=0,"Pisteet",IF($C270&gt;Data!$CP$2,"",OFFSET(tulossiirtymä,MATCH($D270,Data!$AN$2:$AN$313,0),Tulokset!K$2)))))</f>
        <v/>
      </c>
      <c r="L270" s="78" t="str">
        <f ca="1">IF($B270&gt;keilatut,"",IF($C270=(-1),"",IF($C270=0,"Pisteet yhteensä",IF($C270&gt;Data!$CP$2,"",OFFSET(tulossiirtymä,MATCH($D270,Data!$AN$2:$AN$313,0),Tulokset!L$2)))))</f>
        <v/>
      </c>
      <c r="M270" s="78" t="str">
        <f ca="1">IF($B270&gt;keilatut,"",IF($C270=(-1),"",IF($C270=0,"Pisteseloste",IF($C270&gt;Data!$CP$2,"",OFFSET(tulossiirtymä,MATCH($D270,Data!$AN$2:$AN$313,0),Tulokset!M$2)))))</f>
        <v/>
      </c>
    </row>
    <row r="271" spans="2:13" x14ac:dyDescent="0.25">
      <c r="B271" s="78">
        <f t="shared" si="4"/>
        <v>10</v>
      </c>
      <c r="C271" s="78">
        <f>COUNTIF($B$6:B271,B271)-2</f>
        <v>21</v>
      </c>
      <c r="D271" s="79" t="str">
        <f t="array" ref="D271">IF($B271&lt;=keilatut,IF($C271&lt;1,"",IF($C271&gt;Data!$CP$2,"",SMALL(IF(Data!$B$2:$B$313=Tulokset!$B271,Data!$AN$2:$AN$313),Tulokset!$C271))),"")</f>
        <v/>
      </c>
      <c r="E271" s="78" t="str">
        <f>IF($B271&gt;keilatut,"",IF($C271=(-1),"GP"&amp;$B271&amp;", "&amp;DAY(VLOOKUP($B271,kilpailukalenteri,2))&amp;"."&amp;MONTH(VLOOKUP($B271,kilpailukalenteri,2))&amp;"."&amp;YEAR(VLOOKUP($B271,kilpailukalenteri,2))&amp;", "&amp;IF(RIGHT(VLOOKUP($B271,kilpailukalenteri,4),1)="*",LEFT(VLOOKUP($B271,kilpailukalenteri,4),LEN(VLOOKUP($B271,kilpailukalenteri,4))-2)&amp;", Kultainen GP",VLOOKUP($B271,kilpailukalenteri,4)),IF($C271=0,"Sija",IF($C271&gt;Data!$CP$2,"",ROUND(Tulokset!$D271,0)))))</f>
        <v/>
      </c>
      <c r="F271" s="78" t="str">
        <f ca="1">IF($B271&gt;keilatut,"",IF($C271=(-1),"",IF($C271=0,"Nimi",IF($C271&gt;Data!$CP$2,"",OFFSET(tulossiirtymä,MATCH($D271,Data!$AN$2:$AN$313,0),Tulokset!F$2)))))</f>
        <v/>
      </c>
      <c r="G271" s="78" t="str">
        <f ca="1">IF($B271&gt;keilatut,"",IF($C271=(-1),"",IF($C271=0,"Sarja 1",IF($C271&gt;Data!$CP$2,"",OFFSET(tulossiirtymä,MATCH($D271,Data!$AN$2:$AN$313,0),Tulokset!G$2)))))</f>
        <v/>
      </c>
      <c r="H271" s="78" t="str">
        <f ca="1">IF($B271&gt;keilatut,"",IF($C271=(-1),"",IF($C271=0,"Sarja 2",IF($C271&gt;Data!$CP$2,"",OFFSET(tulossiirtymä,MATCH($D271,Data!$AN$2:$AN$313,0),Tulokset!H$2)))))</f>
        <v/>
      </c>
      <c r="I271" s="78" t="str">
        <f ca="1">IF($B271&gt;keilatut,"",IF($C271=(-1),"",IF($C271=0,"Yhteensä",IF($C271&gt;Data!$CP$2,"",OFFSET(tulossiirtymä,MATCH($D271,Data!$AN$2:$AN$313,0),Tulokset!I$2)))))</f>
        <v/>
      </c>
      <c r="J271" s="78" t="str">
        <f ca="1">IF($B271&gt;keilatut,"",IF($C271=(-1),"",IF($C271=0,"Ero voittajaan",IF($C271&gt;Data!$CP$2,"",OFFSET(tulossiirtymä,MATCH($D271,Data!$AN$2:$AN$313,0),Tulokset!J$2)))))</f>
        <v/>
      </c>
      <c r="K271" s="78" t="str">
        <f ca="1">IF($B271&gt;keilatut,"",IF($C271=(-1),"",IF($C271=0,"Pisteet",IF($C271&gt;Data!$CP$2,"",OFFSET(tulossiirtymä,MATCH($D271,Data!$AN$2:$AN$313,0),Tulokset!K$2)))))</f>
        <v/>
      </c>
      <c r="L271" s="78" t="str">
        <f ca="1">IF($B271&gt;keilatut,"",IF($C271=(-1),"",IF($C271=0,"Pisteet yhteensä",IF($C271&gt;Data!$CP$2,"",OFFSET(tulossiirtymä,MATCH($D271,Data!$AN$2:$AN$313,0),Tulokset!L$2)))))</f>
        <v/>
      </c>
      <c r="M271" s="78" t="str">
        <f ca="1">IF($B271&gt;keilatut,"",IF($C271=(-1),"",IF($C271=0,"Pisteseloste",IF($C271&gt;Data!$CP$2,"",OFFSET(tulossiirtymä,MATCH($D271,Data!$AN$2:$AN$313,0),Tulokset!M$2)))))</f>
        <v/>
      </c>
    </row>
    <row r="272" spans="2:13" x14ac:dyDescent="0.25">
      <c r="B272" s="78">
        <f t="shared" si="4"/>
        <v>10</v>
      </c>
      <c r="C272" s="78">
        <f>COUNTIF($B$6:B272,B272)-2</f>
        <v>22</v>
      </c>
      <c r="D272" s="79" t="str">
        <f t="array" ref="D272">IF($B272&lt;=keilatut,IF($C272&lt;1,"",IF($C272&gt;Data!$CP$2,"",SMALL(IF(Data!$B$2:$B$313=Tulokset!$B272,Data!$AN$2:$AN$313),Tulokset!$C272))),"")</f>
        <v/>
      </c>
      <c r="E272" s="78" t="str">
        <f>IF($B272&gt;keilatut,"",IF($C272=(-1),"GP"&amp;$B272&amp;", "&amp;DAY(VLOOKUP($B272,kilpailukalenteri,2))&amp;"."&amp;MONTH(VLOOKUP($B272,kilpailukalenteri,2))&amp;"."&amp;YEAR(VLOOKUP($B272,kilpailukalenteri,2))&amp;", "&amp;IF(RIGHT(VLOOKUP($B272,kilpailukalenteri,4),1)="*",LEFT(VLOOKUP($B272,kilpailukalenteri,4),LEN(VLOOKUP($B272,kilpailukalenteri,4))-2)&amp;", Kultainen GP",VLOOKUP($B272,kilpailukalenteri,4)),IF($C272=0,"Sija",IF($C272&gt;Data!$CP$2,"",ROUND(Tulokset!$D272,0)))))</f>
        <v/>
      </c>
      <c r="F272" s="78" t="str">
        <f ca="1">IF($B272&gt;keilatut,"",IF($C272=(-1),"",IF($C272=0,"Nimi",IF($C272&gt;Data!$CP$2,"",OFFSET(tulossiirtymä,MATCH($D272,Data!$AN$2:$AN$313,0),Tulokset!F$2)))))</f>
        <v/>
      </c>
      <c r="G272" s="78" t="str">
        <f ca="1">IF($B272&gt;keilatut,"",IF($C272=(-1),"",IF($C272=0,"Sarja 1",IF($C272&gt;Data!$CP$2,"",OFFSET(tulossiirtymä,MATCH($D272,Data!$AN$2:$AN$313,0),Tulokset!G$2)))))</f>
        <v/>
      </c>
      <c r="H272" s="78" t="str">
        <f ca="1">IF($B272&gt;keilatut,"",IF($C272=(-1),"",IF($C272=0,"Sarja 2",IF($C272&gt;Data!$CP$2,"",OFFSET(tulossiirtymä,MATCH($D272,Data!$AN$2:$AN$313,0),Tulokset!H$2)))))</f>
        <v/>
      </c>
      <c r="I272" s="78" t="str">
        <f ca="1">IF($B272&gt;keilatut,"",IF($C272=(-1),"",IF($C272=0,"Yhteensä",IF($C272&gt;Data!$CP$2,"",OFFSET(tulossiirtymä,MATCH($D272,Data!$AN$2:$AN$313,0),Tulokset!I$2)))))</f>
        <v/>
      </c>
      <c r="J272" s="78" t="str">
        <f ca="1">IF($B272&gt;keilatut,"",IF($C272=(-1),"",IF($C272=0,"Ero voittajaan",IF($C272&gt;Data!$CP$2,"",OFFSET(tulossiirtymä,MATCH($D272,Data!$AN$2:$AN$313,0),Tulokset!J$2)))))</f>
        <v/>
      </c>
      <c r="K272" s="78" t="str">
        <f ca="1">IF($B272&gt;keilatut,"",IF($C272=(-1),"",IF($C272=0,"Pisteet",IF($C272&gt;Data!$CP$2,"",OFFSET(tulossiirtymä,MATCH($D272,Data!$AN$2:$AN$313,0),Tulokset!K$2)))))</f>
        <v/>
      </c>
      <c r="L272" s="78" t="str">
        <f ca="1">IF($B272&gt;keilatut,"",IF($C272=(-1),"",IF($C272=0,"Pisteet yhteensä",IF($C272&gt;Data!$CP$2,"",OFFSET(tulossiirtymä,MATCH($D272,Data!$AN$2:$AN$313,0),Tulokset!L$2)))))</f>
        <v/>
      </c>
      <c r="M272" s="78" t="str">
        <f ca="1">IF($B272&gt;keilatut,"",IF($C272=(-1),"",IF($C272=0,"Pisteseloste",IF($C272&gt;Data!$CP$2,"",OFFSET(tulossiirtymä,MATCH($D272,Data!$AN$2:$AN$313,0),Tulokset!M$2)))))</f>
        <v/>
      </c>
    </row>
    <row r="273" spans="2:13" x14ac:dyDescent="0.25">
      <c r="B273" s="78">
        <f t="shared" si="4"/>
        <v>10</v>
      </c>
      <c r="C273" s="78">
        <f>COUNTIF($B$6:B273,B273)-2</f>
        <v>23</v>
      </c>
      <c r="D273" s="79" t="str">
        <f t="array" ref="D273">IF($B273&lt;=keilatut,IF($C273&lt;1,"",IF($C273&gt;Data!$CP$2,"",SMALL(IF(Data!$B$2:$B$313=Tulokset!$B273,Data!$AN$2:$AN$313),Tulokset!$C273))),"")</f>
        <v/>
      </c>
      <c r="E273" s="78" t="str">
        <f>IF($B273&gt;keilatut,"",IF($C273=(-1),"GP"&amp;$B273&amp;", "&amp;DAY(VLOOKUP($B273,kilpailukalenteri,2))&amp;"."&amp;MONTH(VLOOKUP($B273,kilpailukalenteri,2))&amp;"."&amp;YEAR(VLOOKUP($B273,kilpailukalenteri,2))&amp;", "&amp;IF(RIGHT(VLOOKUP($B273,kilpailukalenteri,4),1)="*",LEFT(VLOOKUP($B273,kilpailukalenteri,4),LEN(VLOOKUP($B273,kilpailukalenteri,4))-2)&amp;", Kultainen GP",VLOOKUP($B273,kilpailukalenteri,4)),IF($C273=0,"Sija",IF($C273&gt;Data!$CP$2,"",ROUND(Tulokset!$D273,0)))))</f>
        <v/>
      </c>
      <c r="F273" s="78" t="str">
        <f ca="1">IF($B273&gt;keilatut,"",IF($C273=(-1),"",IF($C273=0,"Nimi",IF($C273&gt;Data!$CP$2,"",OFFSET(tulossiirtymä,MATCH($D273,Data!$AN$2:$AN$313,0),Tulokset!F$2)))))</f>
        <v/>
      </c>
      <c r="G273" s="78" t="str">
        <f ca="1">IF($B273&gt;keilatut,"",IF($C273=(-1),"",IF($C273=0,"Sarja 1",IF($C273&gt;Data!$CP$2,"",OFFSET(tulossiirtymä,MATCH($D273,Data!$AN$2:$AN$313,0),Tulokset!G$2)))))</f>
        <v/>
      </c>
      <c r="H273" s="78" t="str">
        <f ca="1">IF($B273&gt;keilatut,"",IF($C273=(-1),"",IF($C273=0,"Sarja 2",IF($C273&gt;Data!$CP$2,"",OFFSET(tulossiirtymä,MATCH($D273,Data!$AN$2:$AN$313,0),Tulokset!H$2)))))</f>
        <v/>
      </c>
      <c r="I273" s="78" t="str">
        <f ca="1">IF($B273&gt;keilatut,"",IF($C273=(-1),"",IF($C273=0,"Yhteensä",IF($C273&gt;Data!$CP$2,"",OFFSET(tulossiirtymä,MATCH($D273,Data!$AN$2:$AN$313,0),Tulokset!I$2)))))</f>
        <v/>
      </c>
      <c r="J273" s="78" t="str">
        <f ca="1">IF($B273&gt;keilatut,"",IF($C273=(-1),"",IF($C273=0,"Ero voittajaan",IF($C273&gt;Data!$CP$2,"",OFFSET(tulossiirtymä,MATCH($D273,Data!$AN$2:$AN$313,0),Tulokset!J$2)))))</f>
        <v/>
      </c>
      <c r="K273" s="78" t="str">
        <f ca="1">IF($B273&gt;keilatut,"",IF($C273=(-1),"",IF($C273=0,"Pisteet",IF($C273&gt;Data!$CP$2,"",OFFSET(tulossiirtymä,MATCH($D273,Data!$AN$2:$AN$313,0),Tulokset!K$2)))))</f>
        <v/>
      </c>
      <c r="L273" s="78" t="str">
        <f ca="1">IF($B273&gt;keilatut,"",IF($C273=(-1),"",IF($C273=0,"Pisteet yhteensä",IF($C273&gt;Data!$CP$2,"",OFFSET(tulossiirtymä,MATCH($D273,Data!$AN$2:$AN$313,0),Tulokset!L$2)))))</f>
        <v/>
      </c>
      <c r="M273" s="78" t="str">
        <f ca="1">IF($B273&gt;keilatut,"",IF($C273=(-1),"",IF($C273=0,"Pisteseloste",IF($C273&gt;Data!$CP$2,"",OFFSET(tulossiirtymä,MATCH($D273,Data!$AN$2:$AN$313,0),Tulokset!M$2)))))</f>
        <v/>
      </c>
    </row>
    <row r="274" spans="2:13" x14ac:dyDescent="0.25">
      <c r="B274" s="78">
        <f t="shared" si="4"/>
        <v>10</v>
      </c>
      <c r="C274" s="78">
        <f>COUNTIF($B$6:B274,B274)-2</f>
        <v>24</v>
      </c>
      <c r="D274" s="79" t="str">
        <f t="array" ref="D274">IF($B274&lt;=keilatut,IF($C274&lt;1,"",IF($C274&gt;Data!$CP$2,"",SMALL(IF(Data!$B$2:$B$313=Tulokset!$B274,Data!$AN$2:$AN$313),Tulokset!$C274))),"")</f>
        <v/>
      </c>
      <c r="E274" s="78" t="str">
        <f>IF($B274&gt;keilatut,"",IF($C274=(-1),"GP"&amp;$B274&amp;", "&amp;DAY(VLOOKUP($B274,kilpailukalenteri,2))&amp;"."&amp;MONTH(VLOOKUP($B274,kilpailukalenteri,2))&amp;"."&amp;YEAR(VLOOKUP($B274,kilpailukalenteri,2))&amp;", "&amp;IF(RIGHT(VLOOKUP($B274,kilpailukalenteri,4),1)="*",LEFT(VLOOKUP($B274,kilpailukalenteri,4),LEN(VLOOKUP($B274,kilpailukalenteri,4))-2)&amp;", Kultainen GP",VLOOKUP($B274,kilpailukalenteri,4)),IF($C274=0,"Sija",IF($C274&gt;Data!$CP$2,"",ROUND(Tulokset!$D274,0)))))</f>
        <v/>
      </c>
      <c r="F274" s="78" t="str">
        <f ca="1">IF($B274&gt;keilatut,"",IF($C274=(-1),"",IF($C274=0,"Nimi",IF($C274&gt;Data!$CP$2,"",OFFSET(tulossiirtymä,MATCH($D274,Data!$AN$2:$AN$313,0),Tulokset!F$2)))))</f>
        <v/>
      </c>
      <c r="G274" s="78" t="str">
        <f ca="1">IF($B274&gt;keilatut,"",IF($C274=(-1),"",IF($C274=0,"Sarja 1",IF($C274&gt;Data!$CP$2,"",OFFSET(tulossiirtymä,MATCH($D274,Data!$AN$2:$AN$313,0),Tulokset!G$2)))))</f>
        <v/>
      </c>
      <c r="H274" s="78" t="str">
        <f ca="1">IF($B274&gt;keilatut,"",IF($C274=(-1),"",IF($C274=0,"Sarja 2",IF($C274&gt;Data!$CP$2,"",OFFSET(tulossiirtymä,MATCH($D274,Data!$AN$2:$AN$313,0),Tulokset!H$2)))))</f>
        <v/>
      </c>
      <c r="I274" s="78" t="str">
        <f ca="1">IF($B274&gt;keilatut,"",IF($C274=(-1),"",IF($C274=0,"Yhteensä",IF($C274&gt;Data!$CP$2,"",OFFSET(tulossiirtymä,MATCH($D274,Data!$AN$2:$AN$313,0),Tulokset!I$2)))))</f>
        <v/>
      </c>
      <c r="J274" s="78" t="str">
        <f ca="1">IF($B274&gt;keilatut,"",IF($C274=(-1),"",IF($C274=0,"Ero voittajaan",IF($C274&gt;Data!$CP$2,"",OFFSET(tulossiirtymä,MATCH($D274,Data!$AN$2:$AN$313,0),Tulokset!J$2)))))</f>
        <v/>
      </c>
      <c r="K274" s="78" t="str">
        <f ca="1">IF($B274&gt;keilatut,"",IF($C274=(-1),"",IF($C274=0,"Pisteet",IF($C274&gt;Data!$CP$2,"",OFFSET(tulossiirtymä,MATCH($D274,Data!$AN$2:$AN$313,0),Tulokset!K$2)))))</f>
        <v/>
      </c>
      <c r="L274" s="78" t="str">
        <f ca="1">IF($B274&gt;keilatut,"",IF($C274=(-1),"",IF($C274=0,"Pisteet yhteensä",IF($C274&gt;Data!$CP$2,"",OFFSET(tulossiirtymä,MATCH($D274,Data!$AN$2:$AN$313,0),Tulokset!L$2)))))</f>
        <v/>
      </c>
      <c r="M274" s="78" t="str">
        <f ca="1">IF($B274&gt;keilatut,"",IF($C274=(-1),"",IF($C274=0,"Pisteseloste",IF($C274&gt;Data!$CP$2,"",OFFSET(tulossiirtymä,MATCH($D274,Data!$AN$2:$AN$313,0),Tulokset!M$2)))))</f>
        <v/>
      </c>
    </row>
    <row r="275" spans="2:13" x14ac:dyDescent="0.25">
      <c r="B275" s="78">
        <f t="shared" si="4"/>
        <v>10</v>
      </c>
      <c r="C275" s="78">
        <f>COUNTIF($B$6:B275,B275)-2</f>
        <v>25</v>
      </c>
      <c r="D275" s="79" t="str">
        <f t="array" ref="D275">IF($B275&lt;=keilatut,IF($C275&lt;1,"",IF($C275&gt;Data!$CP$2,"",SMALL(IF(Data!$B$2:$B$313=Tulokset!$B275,Data!$AN$2:$AN$313),Tulokset!$C275))),"")</f>
        <v/>
      </c>
      <c r="E275" s="78" t="str">
        <f>IF($B275&gt;keilatut,"",IF($C275=(-1),"GP"&amp;$B275&amp;", "&amp;DAY(VLOOKUP($B275,kilpailukalenteri,2))&amp;"."&amp;MONTH(VLOOKUP($B275,kilpailukalenteri,2))&amp;"."&amp;YEAR(VLOOKUP($B275,kilpailukalenteri,2))&amp;", "&amp;IF(RIGHT(VLOOKUP($B275,kilpailukalenteri,4),1)="*",LEFT(VLOOKUP($B275,kilpailukalenteri,4),LEN(VLOOKUP($B275,kilpailukalenteri,4))-2)&amp;", Kultainen GP",VLOOKUP($B275,kilpailukalenteri,4)),IF($C275=0,"Sija",IF($C275&gt;Data!$CP$2,"",ROUND(Tulokset!$D275,0)))))</f>
        <v/>
      </c>
      <c r="F275" s="78" t="str">
        <f ca="1">IF($B275&gt;keilatut,"",IF($C275=(-1),"",IF($C275=0,"Nimi",IF($C275&gt;Data!$CP$2,"",OFFSET(tulossiirtymä,MATCH($D275,Data!$AN$2:$AN$313,0),Tulokset!F$2)))))</f>
        <v/>
      </c>
      <c r="G275" s="78" t="str">
        <f ca="1">IF($B275&gt;keilatut,"",IF($C275=(-1),"",IF($C275=0,"Sarja 1",IF($C275&gt;Data!$CP$2,"",OFFSET(tulossiirtymä,MATCH($D275,Data!$AN$2:$AN$313,0),Tulokset!G$2)))))</f>
        <v/>
      </c>
      <c r="H275" s="78" t="str">
        <f ca="1">IF($B275&gt;keilatut,"",IF($C275=(-1),"",IF($C275=0,"Sarja 2",IF($C275&gt;Data!$CP$2,"",OFFSET(tulossiirtymä,MATCH($D275,Data!$AN$2:$AN$313,0),Tulokset!H$2)))))</f>
        <v/>
      </c>
      <c r="I275" s="78" t="str">
        <f ca="1">IF($B275&gt;keilatut,"",IF($C275=(-1),"",IF($C275=0,"Yhteensä",IF($C275&gt;Data!$CP$2,"",OFFSET(tulossiirtymä,MATCH($D275,Data!$AN$2:$AN$313,0),Tulokset!I$2)))))</f>
        <v/>
      </c>
      <c r="J275" s="78" t="str">
        <f ca="1">IF($B275&gt;keilatut,"",IF($C275=(-1),"",IF($C275=0,"Ero voittajaan",IF($C275&gt;Data!$CP$2,"",OFFSET(tulossiirtymä,MATCH($D275,Data!$AN$2:$AN$313,0),Tulokset!J$2)))))</f>
        <v/>
      </c>
      <c r="K275" s="78" t="str">
        <f ca="1">IF($B275&gt;keilatut,"",IF($C275=(-1),"",IF($C275=0,"Pisteet",IF($C275&gt;Data!$CP$2,"",OFFSET(tulossiirtymä,MATCH($D275,Data!$AN$2:$AN$313,0),Tulokset!K$2)))))</f>
        <v/>
      </c>
      <c r="L275" s="78" t="str">
        <f ca="1">IF($B275&gt;keilatut,"",IF($C275=(-1),"",IF($C275=0,"Pisteet yhteensä",IF($C275&gt;Data!$CP$2,"",OFFSET(tulossiirtymä,MATCH($D275,Data!$AN$2:$AN$313,0),Tulokset!L$2)))))</f>
        <v/>
      </c>
      <c r="M275" s="78" t="str">
        <f ca="1">IF($B275&gt;keilatut,"",IF($C275=(-1),"",IF($C275=0,"Pisteseloste",IF($C275&gt;Data!$CP$2,"",OFFSET(tulossiirtymä,MATCH($D275,Data!$AN$2:$AN$313,0),Tulokset!M$2)))))</f>
        <v/>
      </c>
    </row>
    <row r="276" spans="2:13" x14ac:dyDescent="0.25">
      <c r="B276" s="78">
        <f t="shared" si="4"/>
        <v>11</v>
      </c>
      <c r="C276" s="78">
        <f>COUNTIF($B$6:B276,B276)-2</f>
        <v>-1</v>
      </c>
      <c r="D276" s="79" t="str">
        <f t="array" ref="D276">IF($B276&lt;=keilatut,IF($C276&lt;1,"",IF($C276&gt;Data!$CP$2,"",SMALL(IF(Data!$B$2:$B$313=Tulokset!$B276,Data!$AN$2:$AN$313),Tulokset!$C276))),"")</f>
        <v/>
      </c>
      <c r="E276" s="78" t="str">
        <f>IF($B276&gt;keilatut,"",IF($C276=(-1),"GP"&amp;$B276&amp;", "&amp;DAY(VLOOKUP($B276,kilpailukalenteri,2))&amp;"."&amp;MONTH(VLOOKUP($B276,kilpailukalenteri,2))&amp;"."&amp;YEAR(VLOOKUP($B276,kilpailukalenteri,2))&amp;", "&amp;IF(RIGHT(VLOOKUP($B276,kilpailukalenteri,4),1)="*",LEFT(VLOOKUP($B276,kilpailukalenteri,4),LEN(VLOOKUP($B276,kilpailukalenteri,4))-2)&amp;", Kultainen GP",VLOOKUP($B276,kilpailukalenteri,4)),IF($C276=0,"Sija",IF($C276&gt;Data!$CP$2,"",ROUND(Tulokset!$D276,0)))))</f>
        <v/>
      </c>
    </row>
    <row r="277" spans="2:13" x14ac:dyDescent="0.25">
      <c r="B277" s="78">
        <f t="shared" si="4"/>
        <v>11</v>
      </c>
      <c r="C277" s="78">
        <f>COUNTIF($B$6:B277,B277)-2</f>
        <v>0</v>
      </c>
      <c r="D277" s="79" t="str">
        <f t="array" ref="D277">IF($B277&lt;=keilatut,IF($C277&lt;1,"",IF($C277&gt;Data!$CP$2,"",SMALL(IF(Data!$B$2:$B$313=Tulokset!$B277,Data!$AN$2:$AN$313),Tulokset!$C277))),"")</f>
        <v/>
      </c>
      <c r="E277" s="78" t="str">
        <f>IF($B277&gt;keilatut,"",IF($C277=(-1),"GP"&amp;$B277&amp;", "&amp;DAY(VLOOKUP($B277,kilpailukalenteri,2))&amp;"."&amp;MONTH(VLOOKUP($B277,kilpailukalenteri,2))&amp;"."&amp;YEAR(VLOOKUP($B277,kilpailukalenteri,2))&amp;", "&amp;IF(RIGHT(VLOOKUP($B277,kilpailukalenteri,4),1)="*",LEFT(VLOOKUP($B277,kilpailukalenteri,4),LEN(VLOOKUP($B277,kilpailukalenteri,4))-2)&amp;", Kultainen GP",VLOOKUP($B277,kilpailukalenteri,4)),IF($C277=0,"Sija",IF($C277&gt;Data!$CP$2,"",ROUND(Tulokset!$D277,0)))))</f>
        <v/>
      </c>
      <c r="F277" s="78" t="str">
        <f ca="1">IF($B277&gt;keilatut,"",IF($C277=(-1),"",IF($C277=0,"Nimi",IF($C277&gt;Data!$CP$2,"",OFFSET(tulossiirtymä,MATCH($D277,Data!$AN$2:$AN$313,0),Tulokset!F$2)))))</f>
        <v/>
      </c>
      <c r="G277" s="78" t="str">
        <f ca="1">IF($B277&gt;keilatut,"",IF($C277=(-1),"",IF($C277=0,"Sarja 1",IF($C277&gt;Data!$CP$2,"",OFFSET(tulossiirtymä,MATCH($D277,Data!$AN$2:$AN$313,0),Tulokset!G$2)))))</f>
        <v/>
      </c>
      <c r="H277" s="78" t="str">
        <f ca="1">IF($B277&gt;keilatut,"",IF($C277=(-1),"",IF($C277=0,"Sarja 2",IF($C277&gt;Data!$CP$2,"",OFFSET(tulossiirtymä,MATCH($D277,Data!$AN$2:$AN$313,0),Tulokset!H$2)))))</f>
        <v/>
      </c>
      <c r="I277" s="78" t="str">
        <f ca="1">IF($B277&gt;keilatut,"",IF($C277=(-1),"",IF($C277=0,"Yhteensä",IF($C277&gt;Data!$CP$2,"",OFFSET(tulossiirtymä,MATCH($D277,Data!$AN$2:$AN$313,0),Tulokset!I$2)))))</f>
        <v/>
      </c>
      <c r="J277" s="78" t="str">
        <f ca="1">IF($B277&gt;keilatut,"",IF($C277=(-1),"",IF($C277=0,"Ero voittajaan",IF($C277&gt;Data!$CP$2,"",OFFSET(tulossiirtymä,MATCH($D277,Data!$AN$2:$AN$313,0),Tulokset!J$2)))))</f>
        <v/>
      </c>
      <c r="K277" s="78" t="str">
        <f ca="1">IF($B277&gt;keilatut,"",IF($C277=(-1),"",IF($C277=0,"Pisteet",IF($C277&gt;Data!$CP$2,"",OFFSET(tulossiirtymä,MATCH($D277,Data!$AN$2:$AN$313,0),Tulokset!K$2)))))</f>
        <v/>
      </c>
      <c r="L277" s="78" t="str">
        <f ca="1">IF($B277&gt;keilatut,"",IF($C277=(-1),"",IF($C277=0,"Pisteet yhteensä",IF($C277&gt;Data!$CP$2,"",OFFSET(tulossiirtymä,MATCH($D277,Data!$AN$2:$AN$313,0),Tulokset!L$2)))))</f>
        <v/>
      </c>
      <c r="M277" s="78" t="str">
        <f ca="1">IF($B277&gt;keilatut,"",IF($C277=(-1),"",IF($C277=0,"Pisteseloste",IF($C277&gt;Data!$CP$2,"",OFFSET(tulossiirtymä,MATCH($D277,Data!$AN$2:$AN$313,0),Tulokset!M$2)))))</f>
        <v/>
      </c>
    </row>
    <row r="278" spans="2:13" x14ac:dyDescent="0.25">
      <c r="B278" s="78">
        <f t="shared" si="4"/>
        <v>11</v>
      </c>
      <c r="C278" s="78">
        <f>COUNTIF($B$6:B278,B278)-2</f>
        <v>1</v>
      </c>
      <c r="D278" s="79" t="str">
        <f t="array" ref="D278">IF($B278&lt;=keilatut,IF($C278&lt;1,"",IF($C278&gt;Data!$CP$2,"",SMALL(IF(Data!$B$2:$B$313=Tulokset!$B278,Data!$AN$2:$AN$313),Tulokset!$C278))),"")</f>
        <v/>
      </c>
      <c r="E278" s="78" t="str">
        <f>IF($B278&gt;keilatut,"",IF($C278=(-1),"GP"&amp;$B278&amp;", "&amp;DAY(VLOOKUP($B278,kilpailukalenteri,2))&amp;"."&amp;MONTH(VLOOKUP($B278,kilpailukalenteri,2))&amp;"."&amp;YEAR(VLOOKUP($B278,kilpailukalenteri,2))&amp;", "&amp;IF(RIGHT(VLOOKUP($B278,kilpailukalenteri,4),1)="*",LEFT(VLOOKUP($B278,kilpailukalenteri,4),LEN(VLOOKUP($B278,kilpailukalenteri,4))-2)&amp;", Kultainen GP",VLOOKUP($B278,kilpailukalenteri,4)),IF($C278=0,"Sija",IF($C278&gt;Data!$CP$2,"",ROUND(Tulokset!$D278,0)))))</f>
        <v/>
      </c>
      <c r="F278" s="78" t="str">
        <f ca="1">IF($B278&gt;keilatut,"",IF($C278=(-1),"",IF($C278=0,"Nimi",IF($C278&gt;Data!$CP$2,"",OFFSET(tulossiirtymä,MATCH($D278,Data!$AN$2:$AN$313,0),Tulokset!F$2)))))</f>
        <v/>
      </c>
      <c r="G278" s="78" t="str">
        <f ca="1">IF($B278&gt;keilatut,"",IF($C278=(-1),"",IF($C278=0,"Sarja 1",IF($C278&gt;Data!$CP$2,"",OFFSET(tulossiirtymä,MATCH($D278,Data!$AN$2:$AN$313,0),Tulokset!G$2)))))</f>
        <v/>
      </c>
      <c r="H278" s="78" t="str">
        <f ca="1">IF($B278&gt;keilatut,"",IF($C278=(-1),"",IF($C278=0,"Sarja 2",IF($C278&gt;Data!$CP$2,"",OFFSET(tulossiirtymä,MATCH($D278,Data!$AN$2:$AN$313,0),Tulokset!H$2)))))</f>
        <v/>
      </c>
      <c r="I278" s="78" t="str">
        <f ca="1">IF($B278&gt;keilatut,"",IF($C278=(-1),"",IF($C278=0,"Yhteensä",IF($C278&gt;Data!$CP$2,"",OFFSET(tulossiirtymä,MATCH($D278,Data!$AN$2:$AN$313,0),Tulokset!I$2)))))</f>
        <v/>
      </c>
      <c r="J278" s="78" t="str">
        <f ca="1">IF($B278&gt;keilatut,"",IF($C278=(-1),"",IF($C278=0,"Ero voittajaan",IF($C278&gt;Data!$CP$2,"",OFFSET(tulossiirtymä,MATCH($D278,Data!$AN$2:$AN$313,0),Tulokset!J$2)))))</f>
        <v/>
      </c>
      <c r="K278" s="78" t="str">
        <f ca="1">IF($B278&gt;keilatut,"",IF($C278=(-1),"",IF($C278=0,"Pisteet",IF($C278&gt;Data!$CP$2,"",OFFSET(tulossiirtymä,MATCH($D278,Data!$AN$2:$AN$313,0),Tulokset!K$2)))))</f>
        <v/>
      </c>
      <c r="L278" s="78" t="str">
        <f ca="1">IF($B278&gt;keilatut,"",IF($C278=(-1),"",IF($C278=0,"Pisteet yhteensä",IF($C278&gt;Data!$CP$2,"",OFFSET(tulossiirtymä,MATCH($D278,Data!$AN$2:$AN$313,0),Tulokset!L$2)))))</f>
        <v/>
      </c>
      <c r="M278" s="78" t="str">
        <f ca="1">IF($B278&gt;keilatut,"",IF($C278=(-1),"",IF($C278=0,"Pisteseloste",IF($C278&gt;Data!$CP$2,"",OFFSET(tulossiirtymä,MATCH($D278,Data!$AN$2:$AN$313,0),Tulokset!M$2)))))</f>
        <v/>
      </c>
    </row>
    <row r="279" spans="2:13" x14ac:dyDescent="0.25">
      <c r="B279" s="78">
        <f t="shared" si="4"/>
        <v>11</v>
      </c>
      <c r="C279" s="78">
        <f>COUNTIF($B$6:B279,B279)-2</f>
        <v>2</v>
      </c>
      <c r="D279" s="79" t="str">
        <f t="array" ref="D279">IF($B279&lt;=keilatut,IF($C279&lt;1,"",IF($C279&gt;Data!$CP$2,"",SMALL(IF(Data!$B$2:$B$313=Tulokset!$B279,Data!$AN$2:$AN$313),Tulokset!$C279))),"")</f>
        <v/>
      </c>
      <c r="E279" s="78" t="str">
        <f>IF($B279&gt;keilatut,"",IF($C279=(-1),"GP"&amp;$B279&amp;", "&amp;DAY(VLOOKUP($B279,kilpailukalenteri,2))&amp;"."&amp;MONTH(VLOOKUP($B279,kilpailukalenteri,2))&amp;"."&amp;YEAR(VLOOKUP($B279,kilpailukalenteri,2))&amp;", "&amp;IF(RIGHT(VLOOKUP($B279,kilpailukalenteri,4),1)="*",LEFT(VLOOKUP($B279,kilpailukalenteri,4),LEN(VLOOKUP($B279,kilpailukalenteri,4))-2)&amp;", Kultainen GP",VLOOKUP($B279,kilpailukalenteri,4)),IF($C279=0,"Sija",IF($C279&gt;Data!$CP$2,"",ROUND(Tulokset!$D279,0)))))</f>
        <v/>
      </c>
      <c r="F279" s="78" t="str">
        <f ca="1">IF($B279&gt;keilatut,"",IF($C279=(-1),"",IF($C279=0,"Nimi",IF($C279&gt;Data!$CP$2,"",OFFSET(tulossiirtymä,MATCH($D279,Data!$AN$2:$AN$313,0),Tulokset!F$2)))))</f>
        <v/>
      </c>
      <c r="G279" s="78" t="str">
        <f ca="1">IF($B279&gt;keilatut,"",IF($C279=(-1),"",IF($C279=0,"Sarja 1",IF($C279&gt;Data!$CP$2,"",OFFSET(tulossiirtymä,MATCH($D279,Data!$AN$2:$AN$313,0),Tulokset!G$2)))))</f>
        <v/>
      </c>
      <c r="H279" s="78" t="str">
        <f ca="1">IF($B279&gt;keilatut,"",IF($C279=(-1),"",IF($C279=0,"Sarja 2",IF($C279&gt;Data!$CP$2,"",OFFSET(tulossiirtymä,MATCH($D279,Data!$AN$2:$AN$313,0),Tulokset!H$2)))))</f>
        <v/>
      </c>
      <c r="I279" s="78" t="str">
        <f ca="1">IF($B279&gt;keilatut,"",IF($C279=(-1),"",IF($C279=0,"Yhteensä",IF($C279&gt;Data!$CP$2,"",OFFSET(tulossiirtymä,MATCH($D279,Data!$AN$2:$AN$313,0),Tulokset!I$2)))))</f>
        <v/>
      </c>
      <c r="J279" s="78" t="str">
        <f ca="1">IF($B279&gt;keilatut,"",IF($C279=(-1),"",IF($C279=0,"Ero voittajaan",IF($C279&gt;Data!$CP$2,"",OFFSET(tulossiirtymä,MATCH($D279,Data!$AN$2:$AN$313,0),Tulokset!J$2)))))</f>
        <v/>
      </c>
      <c r="K279" s="78" t="str">
        <f ca="1">IF($B279&gt;keilatut,"",IF($C279=(-1),"",IF($C279=0,"Pisteet",IF($C279&gt;Data!$CP$2,"",OFFSET(tulossiirtymä,MATCH($D279,Data!$AN$2:$AN$313,0),Tulokset!K$2)))))</f>
        <v/>
      </c>
      <c r="L279" s="78" t="str">
        <f ca="1">IF($B279&gt;keilatut,"",IF($C279=(-1),"",IF($C279=0,"Pisteet yhteensä",IF($C279&gt;Data!$CP$2,"",OFFSET(tulossiirtymä,MATCH($D279,Data!$AN$2:$AN$313,0),Tulokset!L$2)))))</f>
        <v/>
      </c>
      <c r="M279" s="78" t="str">
        <f ca="1">IF($B279&gt;keilatut,"",IF($C279=(-1),"",IF($C279=0,"Pisteseloste",IF($C279&gt;Data!$CP$2,"",OFFSET(tulossiirtymä,MATCH($D279,Data!$AN$2:$AN$313,0),Tulokset!M$2)))))</f>
        <v/>
      </c>
    </row>
    <row r="280" spans="2:13" x14ac:dyDescent="0.25">
      <c r="B280" s="78">
        <f t="shared" si="4"/>
        <v>11</v>
      </c>
      <c r="C280" s="78">
        <f>COUNTIF($B$6:B280,B280)-2</f>
        <v>3</v>
      </c>
      <c r="D280" s="79" t="str">
        <f t="array" ref="D280">IF($B280&lt;=keilatut,IF($C280&lt;1,"",IF($C280&gt;Data!$CP$2,"",SMALL(IF(Data!$B$2:$B$313=Tulokset!$B280,Data!$AN$2:$AN$313),Tulokset!$C280))),"")</f>
        <v/>
      </c>
      <c r="E280" s="78" t="str">
        <f>IF($B280&gt;keilatut,"",IF($C280=(-1),"GP"&amp;$B280&amp;", "&amp;DAY(VLOOKUP($B280,kilpailukalenteri,2))&amp;"."&amp;MONTH(VLOOKUP($B280,kilpailukalenteri,2))&amp;"."&amp;YEAR(VLOOKUP($B280,kilpailukalenteri,2))&amp;", "&amp;IF(RIGHT(VLOOKUP($B280,kilpailukalenteri,4),1)="*",LEFT(VLOOKUP($B280,kilpailukalenteri,4),LEN(VLOOKUP($B280,kilpailukalenteri,4))-2)&amp;", Kultainen GP",VLOOKUP($B280,kilpailukalenteri,4)),IF($C280=0,"Sija",IF($C280&gt;Data!$CP$2,"",ROUND(Tulokset!$D280,0)))))</f>
        <v/>
      </c>
      <c r="F280" s="78" t="str">
        <f ca="1">IF($B280&gt;keilatut,"",IF($C280=(-1),"",IF($C280=0,"Nimi",IF($C280&gt;Data!$CP$2,"",OFFSET(tulossiirtymä,MATCH($D280,Data!$AN$2:$AN$313,0),Tulokset!F$2)))))</f>
        <v/>
      </c>
      <c r="G280" s="78" t="str">
        <f ca="1">IF($B280&gt;keilatut,"",IF($C280=(-1),"",IF($C280=0,"Sarja 1",IF($C280&gt;Data!$CP$2,"",OFFSET(tulossiirtymä,MATCH($D280,Data!$AN$2:$AN$313,0),Tulokset!G$2)))))</f>
        <v/>
      </c>
      <c r="H280" s="78" t="str">
        <f ca="1">IF($B280&gt;keilatut,"",IF($C280=(-1),"",IF($C280=0,"Sarja 2",IF($C280&gt;Data!$CP$2,"",OFFSET(tulossiirtymä,MATCH($D280,Data!$AN$2:$AN$313,0),Tulokset!H$2)))))</f>
        <v/>
      </c>
      <c r="I280" s="78" t="str">
        <f ca="1">IF($B280&gt;keilatut,"",IF($C280=(-1),"",IF($C280=0,"Yhteensä",IF($C280&gt;Data!$CP$2,"",OFFSET(tulossiirtymä,MATCH($D280,Data!$AN$2:$AN$313,0),Tulokset!I$2)))))</f>
        <v/>
      </c>
      <c r="J280" s="78" t="str">
        <f ca="1">IF($B280&gt;keilatut,"",IF($C280=(-1),"",IF($C280=0,"Ero voittajaan",IF($C280&gt;Data!$CP$2,"",OFFSET(tulossiirtymä,MATCH($D280,Data!$AN$2:$AN$313,0),Tulokset!J$2)))))</f>
        <v/>
      </c>
      <c r="K280" s="78" t="str">
        <f ca="1">IF($B280&gt;keilatut,"",IF($C280=(-1),"",IF($C280=0,"Pisteet",IF($C280&gt;Data!$CP$2,"",OFFSET(tulossiirtymä,MATCH($D280,Data!$AN$2:$AN$313,0),Tulokset!K$2)))))</f>
        <v/>
      </c>
      <c r="L280" s="78" t="str">
        <f ca="1">IF($B280&gt;keilatut,"",IF($C280=(-1),"",IF($C280=0,"Pisteet yhteensä",IF($C280&gt;Data!$CP$2,"",OFFSET(tulossiirtymä,MATCH($D280,Data!$AN$2:$AN$313,0),Tulokset!L$2)))))</f>
        <v/>
      </c>
      <c r="M280" s="78" t="str">
        <f ca="1">IF($B280&gt;keilatut,"",IF($C280=(-1),"",IF($C280=0,"Pisteseloste",IF($C280&gt;Data!$CP$2,"",OFFSET(tulossiirtymä,MATCH($D280,Data!$AN$2:$AN$313,0),Tulokset!M$2)))))</f>
        <v/>
      </c>
    </row>
    <row r="281" spans="2:13" x14ac:dyDescent="0.25">
      <c r="B281" s="78">
        <f t="shared" si="4"/>
        <v>11</v>
      </c>
      <c r="C281" s="78">
        <f>COUNTIF($B$6:B281,B281)-2</f>
        <v>4</v>
      </c>
      <c r="D281" s="79" t="str">
        <f t="array" ref="D281">IF($B281&lt;=keilatut,IF($C281&lt;1,"",IF($C281&gt;Data!$CP$2,"",SMALL(IF(Data!$B$2:$B$313=Tulokset!$B281,Data!$AN$2:$AN$313),Tulokset!$C281))),"")</f>
        <v/>
      </c>
      <c r="E281" s="78" t="str">
        <f>IF($B281&gt;keilatut,"",IF($C281=(-1),"GP"&amp;$B281&amp;", "&amp;DAY(VLOOKUP($B281,kilpailukalenteri,2))&amp;"."&amp;MONTH(VLOOKUP($B281,kilpailukalenteri,2))&amp;"."&amp;YEAR(VLOOKUP($B281,kilpailukalenteri,2))&amp;", "&amp;IF(RIGHT(VLOOKUP($B281,kilpailukalenteri,4),1)="*",LEFT(VLOOKUP($B281,kilpailukalenteri,4),LEN(VLOOKUP($B281,kilpailukalenteri,4))-2)&amp;", Kultainen GP",VLOOKUP($B281,kilpailukalenteri,4)),IF($C281=0,"Sija",IF($C281&gt;Data!$CP$2,"",ROUND(Tulokset!$D281,0)))))</f>
        <v/>
      </c>
      <c r="F281" s="78" t="str">
        <f ca="1">IF($B281&gt;keilatut,"",IF($C281=(-1),"",IF($C281=0,"Nimi",IF($C281&gt;Data!$CP$2,"",OFFSET(tulossiirtymä,MATCH($D281,Data!$AN$2:$AN$313,0),Tulokset!F$2)))))</f>
        <v/>
      </c>
      <c r="G281" s="78" t="str">
        <f ca="1">IF($B281&gt;keilatut,"",IF($C281=(-1),"",IF($C281=0,"Sarja 1",IF($C281&gt;Data!$CP$2,"",OFFSET(tulossiirtymä,MATCH($D281,Data!$AN$2:$AN$313,0),Tulokset!G$2)))))</f>
        <v/>
      </c>
      <c r="H281" s="78" t="str">
        <f ca="1">IF($B281&gt;keilatut,"",IF($C281=(-1),"",IF($C281=0,"Sarja 2",IF($C281&gt;Data!$CP$2,"",OFFSET(tulossiirtymä,MATCH($D281,Data!$AN$2:$AN$313,0),Tulokset!H$2)))))</f>
        <v/>
      </c>
      <c r="I281" s="78" t="str">
        <f ca="1">IF($B281&gt;keilatut,"",IF($C281=(-1),"",IF($C281=0,"Yhteensä",IF($C281&gt;Data!$CP$2,"",OFFSET(tulossiirtymä,MATCH($D281,Data!$AN$2:$AN$313,0),Tulokset!I$2)))))</f>
        <v/>
      </c>
      <c r="J281" s="78" t="str">
        <f ca="1">IF($B281&gt;keilatut,"",IF($C281=(-1),"",IF($C281=0,"Ero voittajaan",IF($C281&gt;Data!$CP$2,"",OFFSET(tulossiirtymä,MATCH($D281,Data!$AN$2:$AN$313,0),Tulokset!J$2)))))</f>
        <v/>
      </c>
      <c r="K281" s="78" t="str">
        <f ca="1">IF($B281&gt;keilatut,"",IF($C281=(-1),"",IF($C281=0,"Pisteet",IF($C281&gt;Data!$CP$2,"",OFFSET(tulossiirtymä,MATCH($D281,Data!$AN$2:$AN$313,0),Tulokset!K$2)))))</f>
        <v/>
      </c>
      <c r="L281" s="78" t="str">
        <f ca="1">IF($B281&gt;keilatut,"",IF($C281=(-1),"",IF($C281=0,"Pisteet yhteensä",IF($C281&gt;Data!$CP$2,"",OFFSET(tulossiirtymä,MATCH($D281,Data!$AN$2:$AN$313,0),Tulokset!L$2)))))</f>
        <v/>
      </c>
      <c r="M281" s="78" t="str">
        <f ca="1">IF($B281&gt;keilatut,"",IF($C281=(-1),"",IF($C281=0,"Pisteseloste",IF($C281&gt;Data!$CP$2,"",OFFSET(tulossiirtymä,MATCH($D281,Data!$AN$2:$AN$313,0),Tulokset!M$2)))))</f>
        <v/>
      </c>
    </row>
    <row r="282" spans="2:13" x14ac:dyDescent="0.25">
      <c r="B282" s="78">
        <f t="shared" si="4"/>
        <v>11</v>
      </c>
      <c r="C282" s="78">
        <f>COUNTIF($B$6:B282,B282)-2</f>
        <v>5</v>
      </c>
      <c r="D282" s="79" t="str">
        <f t="array" ref="D282">IF($B282&lt;=keilatut,IF($C282&lt;1,"",IF($C282&gt;Data!$CP$2,"",SMALL(IF(Data!$B$2:$B$313=Tulokset!$B282,Data!$AN$2:$AN$313),Tulokset!$C282))),"")</f>
        <v/>
      </c>
      <c r="E282" s="78" t="str">
        <f>IF($B282&gt;keilatut,"",IF($C282=(-1),"GP"&amp;$B282&amp;", "&amp;DAY(VLOOKUP($B282,kilpailukalenteri,2))&amp;"."&amp;MONTH(VLOOKUP($B282,kilpailukalenteri,2))&amp;"."&amp;YEAR(VLOOKUP($B282,kilpailukalenteri,2))&amp;", "&amp;IF(RIGHT(VLOOKUP($B282,kilpailukalenteri,4),1)="*",LEFT(VLOOKUP($B282,kilpailukalenteri,4),LEN(VLOOKUP($B282,kilpailukalenteri,4))-2)&amp;", Kultainen GP",VLOOKUP($B282,kilpailukalenteri,4)),IF($C282=0,"Sija",IF($C282&gt;Data!$CP$2,"",ROUND(Tulokset!$D282,0)))))</f>
        <v/>
      </c>
      <c r="F282" s="78" t="str">
        <f ca="1">IF($B282&gt;keilatut,"",IF($C282=(-1),"",IF($C282=0,"Nimi",IF($C282&gt;Data!$CP$2,"",OFFSET(tulossiirtymä,MATCH($D282,Data!$AN$2:$AN$313,0),Tulokset!F$2)))))</f>
        <v/>
      </c>
      <c r="G282" s="78" t="str">
        <f ca="1">IF($B282&gt;keilatut,"",IF($C282=(-1),"",IF($C282=0,"Sarja 1",IF($C282&gt;Data!$CP$2,"",OFFSET(tulossiirtymä,MATCH($D282,Data!$AN$2:$AN$313,0),Tulokset!G$2)))))</f>
        <v/>
      </c>
      <c r="H282" s="78" t="str">
        <f ca="1">IF($B282&gt;keilatut,"",IF($C282=(-1),"",IF($C282=0,"Sarja 2",IF($C282&gt;Data!$CP$2,"",OFFSET(tulossiirtymä,MATCH($D282,Data!$AN$2:$AN$313,0),Tulokset!H$2)))))</f>
        <v/>
      </c>
      <c r="I282" s="78" t="str">
        <f ca="1">IF($B282&gt;keilatut,"",IF($C282=(-1),"",IF($C282=0,"Yhteensä",IF($C282&gt;Data!$CP$2,"",OFFSET(tulossiirtymä,MATCH($D282,Data!$AN$2:$AN$313,0),Tulokset!I$2)))))</f>
        <v/>
      </c>
      <c r="J282" s="78" t="str">
        <f ca="1">IF($B282&gt;keilatut,"",IF($C282=(-1),"",IF($C282=0,"Ero voittajaan",IF($C282&gt;Data!$CP$2,"",OFFSET(tulossiirtymä,MATCH($D282,Data!$AN$2:$AN$313,0),Tulokset!J$2)))))</f>
        <v/>
      </c>
      <c r="K282" s="78" t="str">
        <f ca="1">IF($B282&gt;keilatut,"",IF($C282=(-1),"",IF($C282=0,"Pisteet",IF($C282&gt;Data!$CP$2,"",OFFSET(tulossiirtymä,MATCH($D282,Data!$AN$2:$AN$313,0),Tulokset!K$2)))))</f>
        <v/>
      </c>
      <c r="L282" s="78" t="str">
        <f ca="1">IF($B282&gt;keilatut,"",IF($C282=(-1),"",IF($C282=0,"Pisteet yhteensä",IF($C282&gt;Data!$CP$2,"",OFFSET(tulossiirtymä,MATCH($D282,Data!$AN$2:$AN$313,0),Tulokset!L$2)))))</f>
        <v/>
      </c>
      <c r="M282" s="78" t="str">
        <f ca="1">IF($B282&gt;keilatut,"",IF($C282=(-1),"",IF($C282=0,"Pisteseloste",IF($C282&gt;Data!$CP$2,"",OFFSET(tulossiirtymä,MATCH($D282,Data!$AN$2:$AN$313,0),Tulokset!M$2)))))</f>
        <v/>
      </c>
    </row>
    <row r="283" spans="2:13" x14ac:dyDescent="0.25">
      <c r="B283" s="78">
        <f t="shared" si="4"/>
        <v>11</v>
      </c>
      <c r="C283" s="78">
        <f>COUNTIF($B$6:B283,B283)-2</f>
        <v>6</v>
      </c>
      <c r="D283" s="79" t="str">
        <f t="array" ref="D283">IF($B283&lt;=keilatut,IF($C283&lt;1,"",IF($C283&gt;Data!$CP$2,"",SMALL(IF(Data!$B$2:$B$313=Tulokset!$B283,Data!$AN$2:$AN$313),Tulokset!$C283))),"")</f>
        <v/>
      </c>
      <c r="E283" s="78" t="str">
        <f>IF($B283&gt;keilatut,"",IF($C283=(-1),"GP"&amp;$B283&amp;", "&amp;DAY(VLOOKUP($B283,kilpailukalenteri,2))&amp;"."&amp;MONTH(VLOOKUP($B283,kilpailukalenteri,2))&amp;"."&amp;YEAR(VLOOKUP($B283,kilpailukalenteri,2))&amp;", "&amp;IF(RIGHT(VLOOKUP($B283,kilpailukalenteri,4),1)="*",LEFT(VLOOKUP($B283,kilpailukalenteri,4),LEN(VLOOKUP($B283,kilpailukalenteri,4))-2)&amp;", Kultainen GP",VLOOKUP($B283,kilpailukalenteri,4)),IF($C283=0,"Sija",IF($C283&gt;Data!$CP$2,"",ROUND(Tulokset!$D283,0)))))</f>
        <v/>
      </c>
      <c r="F283" s="78" t="str">
        <f ca="1">IF($B283&gt;keilatut,"",IF($C283=(-1),"",IF($C283=0,"Nimi",IF($C283&gt;Data!$CP$2,"",OFFSET(tulossiirtymä,MATCH($D283,Data!$AN$2:$AN$313,0),Tulokset!F$2)))))</f>
        <v/>
      </c>
      <c r="G283" s="78" t="str">
        <f ca="1">IF($B283&gt;keilatut,"",IF($C283=(-1),"",IF($C283=0,"Sarja 1",IF($C283&gt;Data!$CP$2,"",OFFSET(tulossiirtymä,MATCH($D283,Data!$AN$2:$AN$313,0),Tulokset!G$2)))))</f>
        <v/>
      </c>
      <c r="H283" s="78" t="str">
        <f ca="1">IF($B283&gt;keilatut,"",IF($C283=(-1),"",IF($C283=0,"Sarja 2",IF($C283&gt;Data!$CP$2,"",OFFSET(tulossiirtymä,MATCH($D283,Data!$AN$2:$AN$313,0),Tulokset!H$2)))))</f>
        <v/>
      </c>
      <c r="I283" s="78" t="str">
        <f ca="1">IF($B283&gt;keilatut,"",IF($C283=(-1),"",IF($C283=0,"Yhteensä",IF($C283&gt;Data!$CP$2,"",OFFSET(tulossiirtymä,MATCH($D283,Data!$AN$2:$AN$313,0),Tulokset!I$2)))))</f>
        <v/>
      </c>
      <c r="J283" s="78" t="str">
        <f ca="1">IF($B283&gt;keilatut,"",IF($C283=(-1),"",IF($C283=0,"Ero voittajaan",IF($C283&gt;Data!$CP$2,"",OFFSET(tulossiirtymä,MATCH($D283,Data!$AN$2:$AN$313,0),Tulokset!J$2)))))</f>
        <v/>
      </c>
      <c r="K283" s="78" t="str">
        <f ca="1">IF($B283&gt;keilatut,"",IF($C283=(-1),"",IF($C283=0,"Pisteet",IF($C283&gt;Data!$CP$2,"",OFFSET(tulossiirtymä,MATCH($D283,Data!$AN$2:$AN$313,0),Tulokset!K$2)))))</f>
        <v/>
      </c>
      <c r="L283" s="78" t="str">
        <f ca="1">IF($B283&gt;keilatut,"",IF($C283=(-1),"",IF($C283=0,"Pisteet yhteensä",IF($C283&gt;Data!$CP$2,"",OFFSET(tulossiirtymä,MATCH($D283,Data!$AN$2:$AN$313,0),Tulokset!L$2)))))</f>
        <v/>
      </c>
      <c r="M283" s="78" t="str">
        <f ca="1">IF($B283&gt;keilatut,"",IF($C283=(-1),"",IF($C283=0,"Pisteseloste",IF($C283&gt;Data!$CP$2,"",OFFSET(tulossiirtymä,MATCH($D283,Data!$AN$2:$AN$313,0),Tulokset!M$2)))))</f>
        <v/>
      </c>
    </row>
    <row r="284" spans="2:13" x14ac:dyDescent="0.25">
      <c r="B284" s="78">
        <f t="shared" si="4"/>
        <v>11</v>
      </c>
      <c r="C284" s="78">
        <f>COUNTIF($B$6:B284,B284)-2</f>
        <v>7</v>
      </c>
      <c r="D284" s="79" t="str">
        <f t="array" ref="D284">IF($B284&lt;=keilatut,IF($C284&lt;1,"",IF($C284&gt;Data!$CP$2,"",SMALL(IF(Data!$B$2:$B$313=Tulokset!$B284,Data!$AN$2:$AN$313),Tulokset!$C284))),"")</f>
        <v/>
      </c>
      <c r="E284" s="78" t="str">
        <f>IF($B284&gt;keilatut,"",IF($C284=(-1),"GP"&amp;$B284&amp;", "&amp;DAY(VLOOKUP($B284,kilpailukalenteri,2))&amp;"."&amp;MONTH(VLOOKUP($B284,kilpailukalenteri,2))&amp;"."&amp;YEAR(VLOOKUP($B284,kilpailukalenteri,2))&amp;", "&amp;IF(RIGHT(VLOOKUP($B284,kilpailukalenteri,4),1)="*",LEFT(VLOOKUP($B284,kilpailukalenteri,4),LEN(VLOOKUP($B284,kilpailukalenteri,4))-2)&amp;", Kultainen GP",VLOOKUP($B284,kilpailukalenteri,4)),IF($C284=0,"Sija",IF($C284&gt;Data!$CP$2,"",ROUND(Tulokset!$D284,0)))))</f>
        <v/>
      </c>
      <c r="F284" s="78" t="str">
        <f ca="1">IF($B284&gt;keilatut,"",IF($C284=(-1),"",IF($C284=0,"Nimi",IF($C284&gt;Data!$CP$2,"",OFFSET(tulossiirtymä,MATCH($D284,Data!$AN$2:$AN$313,0),Tulokset!F$2)))))</f>
        <v/>
      </c>
      <c r="G284" s="78" t="str">
        <f ca="1">IF($B284&gt;keilatut,"",IF($C284=(-1),"",IF($C284=0,"Sarja 1",IF($C284&gt;Data!$CP$2,"",OFFSET(tulossiirtymä,MATCH($D284,Data!$AN$2:$AN$313,0),Tulokset!G$2)))))</f>
        <v/>
      </c>
      <c r="H284" s="78" t="str">
        <f ca="1">IF($B284&gt;keilatut,"",IF($C284=(-1),"",IF($C284=0,"Sarja 2",IF($C284&gt;Data!$CP$2,"",OFFSET(tulossiirtymä,MATCH($D284,Data!$AN$2:$AN$313,0),Tulokset!H$2)))))</f>
        <v/>
      </c>
      <c r="I284" s="78" t="str">
        <f ca="1">IF($B284&gt;keilatut,"",IF($C284=(-1),"",IF($C284=0,"Yhteensä",IF($C284&gt;Data!$CP$2,"",OFFSET(tulossiirtymä,MATCH($D284,Data!$AN$2:$AN$313,0),Tulokset!I$2)))))</f>
        <v/>
      </c>
      <c r="J284" s="78" t="str">
        <f ca="1">IF($B284&gt;keilatut,"",IF($C284=(-1),"",IF($C284=0,"Ero voittajaan",IF($C284&gt;Data!$CP$2,"",OFFSET(tulossiirtymä,MATCH($D284,Data!$AN$2:$AN$313,0),Tulokset!J$2)))))</f>
        <v/>
      </c>
      <c r="K284" s="78" t="str">
        <f ca="1">IF($B284&gt;keilatut,"",IF($C284=(-1),"",IF($C284=0,"Pisteet",IF($C284&gt;Data!$CP$2,"",OFFSET(tulossiirtymä,MATCH($D284,Data!$AN$2:$AN$313,0),Tulokset!K$2)))))</f>
        <v/>
      </c>
      <c r="L284" s="78" t="str">
        <f ca="1">IF($B284&gt;keilatut,"",IF($C284=(-1),"",IF($C284=0,"Pisteet yhteensä",IF($C284&gt;Data!$CP$2,"",OFFSET(tulossiirtymä,MATCH($D284,Data!$AN$2:$AN$313,0),Tulokset!L$2)))))</f>
        <v/>
      </c>
      <c r="M284" s="78" t="str">
        <f ca="1">IF($B284&gt;keilatut,"",IF($C284=(-1),"",IF($C284=0,"Pisteseloste",IF($C284&gt;Data!$CP$2,"",OFFSET(tulossiirtymä,MATCH($D284,Data!$AN$2:$AN$313,0),Tulokset!M$2)))))</f>
        <v/>
      </c>
    </row>
    <row r="285" spans="2:13" x14ac:dyDescent="0.25">
      <c r="B285" s="78">
        <f t="shared" si="4"/>
        <v>11</v>
      </c>
      <c r="C285" s="78">
        <f>COUNTIF($B$6:B285,B285)-2</f>
        <v>8</v>
      </c>
      <c r="D285" s="79" t="str">
        <f t="array" ref="D285">IF($B285&lt;=keilatut,IF($C285&lt;1,"",IF($C285&gt;Data!$CP$2,"",SMALL(IF(Data!$B$2:$B$313=Tulokset!$B285,Data!$AN$2:$AN$313),Tulokset!$C285))),"")</f>
        <v/>
      </c>
      <c r="E285" s="78" t="str">
        <f>IF($B285&gt;keilatut,"",IF($C285=(-1),"GP"&amp;$B285&amp;", "&amp;DAY(VLOOKUP($B285,kilpailukalenteri,2))&amp;"."&amp;MONTH(VLOOKUP($B285,kilpailukalenteri,2))&amp;"."&amp;YEAR(VLOOKUP($B285,kilpailukalenteri,2))&amp;", "&amp;IF(RIGHT(VLOOKUP($B285,kilpailukalenteri,4),1)="*",LEFT(VLOOKUP($B285,kilpailukalenteri,4),LEN(VLOOKUP($B285,kilpailukalenteri,4))-2)&amp;", Kultainen GP",VLOOKUP($B285,kilpailukalenteri,4)),IF($C285=0,"Sija",IF($C285&gt;Data!$CP$2,"",ROUND(Tulokset!$D285,0)))))</f>
        <v/>
      </c>
      <c r="F285" s="78" t="str">
        <f ca="1">IF($B285&gt;keilatut,"",IF($C285=(-1),"",IF($C285=0,"Nimi",IF($C285&gt;Data!$CP$2,"",OFFSET(tulossiirtymä,MATCH($D285,Data!$AN$2:$AN$313,0),Tulokset!F$2)))))</f>
        <v/>
      </c>
      <c r="G285" s="78" t="str">
        <f ca="1">IF($B285&gt;keilatut,"",IF($C285=(-1),"",IF($C285=0,"Sarja 1",IF($C285&gt;Data!$CP$2,"",OFFSET(tulossiirtymä,MATCH($D285,Data!$AN$2:$AN$313,0),Tulokset!G$2)))))</f>
        <v/>
      </c>
      <c r="H285" s="78" t="str">
        <f ca="1">IF($B285&gt;keilatut,"",IF($C285=(-1),"",IF($C285=0,"Sarja 2",IF($C285&gt;Data!$CP$2,"",OFFSET(tulossiirtymä,MATCH($D285,Data!$AN$2:$AN$313,0),Tulokset!H$2)))))</f>
        <v/>
      </c>
      <c r="I285" s="78" t="str">
        <f ca="1">IF($B285&gt;keilatut,"",IF($C285=(-1),"",IF($C285=0,"Yhteensä",IF($C285&gt;Data!$CP$2,"",OFFSET(tulossiirtymä,MATCH($D285,Data!$AN$2:$AN$313,0),Tulokset!I$2)))))</f>
        <v/>
      </c>
      <c r="J285" s="78" t="str">
        <f ca="1">IF($B285&gt;keilatut,"",IF($C285=(-1),"",IF($C285=0,"Ero voittajaan",IF($C285&gt;Data!$CP$2,"",OFFSET(tulossiirtymä,MATCH($D285,Data!$AN$2:$AN$313,0),Tulokset!J$2)))))</f>
        <v/>
      </c>
      <c r="K285" s="78" t="str">
        <f ca="1">IF($B285&gt;keilatut,"",IF($C285=(-1),"",IF($C285=0,"Pisteet",IF($C285&gt;Data!$CP$2,"",OFFSET(tulossiirtymä,MATCH($D285,Data!$AN$2:$AN$313,0),Tulokset!K$2)))))</f>
        <v/>
      </c>
      <c r="L285" s="78" t="str">
        <f ca="1">IF($B285&gt;keilatut,"",IF($C285=(-1),"",IF($C285=0,"Pisteet yhteensä",IF($C285&gt;Data!$CP$2,"",OFFSET(tulossiirtymä,MATCH($D285,Data!$AN$2:$AN$313,0),Tulokset!L$2)))))</f>
        <v/>
      </c>
      <c r="M285" s="78" t="str">
        <f ca="1">IF($B285&gt;keilatut,"",IF($C285=(-1),"",IF($C285=0,"Pisteseloste",IF($C285&gt;Data!$CP$2,"",OFFSET(tulossiirtymä,MATCH($D285,Data!$AN$2:$AN$313,0),Tulokset!M$2)))))</f>
        <v/>
      </c>
    </row>
    <row r="286" spans="2:13" x14ac:dyDescent="0.25">
      <c r="B286" s="78">
        <f t="shared" si="4"/>
        <v>11</v>
      </c>
      <c r="C286" s="78">
        <f>COUNTIF($B$6:B286,B286)-2</f>
        <v>9</v>
      </c>
      <c r="D286" s="79" t="str">
        <f t="array" ref="D286">IF($B286&lt;=keilatut,IF($C286&lt;1,"",IF($C286&gt;Data!$CP$2,"",SMALL(IF(Data!$B$2:$B$313=Tulokset!$B286,Data!$AN$2:$AN$313),Tulokset!$C286))),"")</f>
        <v/>
      </c>
      <c r="E286" s="78" t="str">
        <f>IF($B286&gt;keilatut,"",IF($C286=(-1),"GP"&amp;$B286&amp;", "&amp;DAY(VLOOKUP($B286,kilpailukalenteri,2))&amp;"."&amp;MONTH(VLOOKUP($B286,kilpailukalenteri,2))&amp;"."&amp;YEAR(VLOOKUP($B286,kilpailukalenteri,2))&amp;", "&amp;IF(RIGHT(VLOOKUP($B286,kilpailukalenteri,4),1)="*",LEFT(VLOOKUP($B286,kilpailukalenteri,4),LEN(VLOOKUP($B286,kilpailukalenteri,4))-2)&amp;", Kultainen GP",VLOOKUP($B286,kilpailukalenteri,4)),IF($C286=0,"Sija",IF($C286&gt;Data!$CP$2,"",ROUND(Tulokset!$D286,0)))))</f>
        <v/>
      </c>
      <c r="F286" s="78" t="str">
        <f ca="1">IF($B286&gt;keilatut,"",IF($C286=(-1),"",IF($C286=0,"Nimi",IF($C286&gt;Data!$CP$2,"",OFFSET(tulossiirtymä,MATCH($D286,Data!$AN$2:$AN$313,0),Tulokset!F$2)))))</f>
        <v/>
      </c>
      <c r="G286" s="78" t="str">
        <f ca="1">IF($B286&gt;keilatut,"",IF($C286=(-1),"",IF($C286=0,"Sarja 1",IF($C286&gt;Data!$CP$2,"",OFFSET(tulossiirtymä,MATCH($D286,Data!$AN$2:$AN$313,0),Tulokset!G$2)))))</f>
        <v/>
      </c>
      <c r="H286" s="78" t="str">
        <f ca="1">IF($B286&gt;keilatut,"",IF($C286=(-1),"",IF($C286=0,"Sarja 2",IF($C286&gt;Data!$CP$2,"",OFFSET(tulossiirtymä,MATCH($D286,Data!$AN$2:$AN$313,0),Tulokset!H$2)))))</f>
        <v/>
      </c>
      <c r="I286" s="78" t="str">
        <f ca="1">IF($B286&gt;keilatut,"",IF($C286=(-1),"",IF($C286=0,"Yhteensä",IF($C286&gt;Data!$CP$2,"",OFFSET(tulossiirtymä,MATCH($D286,Data!$AN$2:$AN$313,0),Tulokset!I$2)))))</f>
        <v/>
      </c>
      <c r="J286" s="78" t="str">
        <f ca="1">IF($B286&gt;keilatut,"",IF($C286=(-1),"",IF($C286=0,"Ero voittajaan",IF($C286&gt;Data!$CP$2,"",OFFSET(tulossiirtymä,MATCH($D286,Data!$AN$2:$AN$313,0),Tulokset!J$2)))))</f>
        <v/>
      </c>
      <c r="K286" s="78" t="str">
        <f ca="1">IF($B286&gt;keilatut,"",IF($C286=(-1),"",IF($C286=0,"Pisteet",IF($C286&gt;Data!$CP$2,"",OFFSET(tulossiirtymä,MATCH($D286,Data!$AN$2:$AN$313,0),Tulokset!K$2)))))</f>
        <v/>
      </c>
      <c r="L286" s="78" t="str">
        <f ca="1">IF($B286&gt;keilatut,"",IF($C286=(-1),"",IF($C286=0,"Pisteet yhteensä",IF($C286&gt;Data!$CP$2,"",OFFSET(tulossiirtymä,MATCH($D286,Data!$AN$2:$AN$313,0),Tulokset!L$2)))))</f>
        <v/>
      </c>
      <c r="M286" s="78" t="str">
        <f ca="1">IF($B286&gt;keilatut,"",IF($C286=(-1),"",IF($C286=0,"Pisteseloste",IF($C286&gt;Data!$CP$2,"",OFFSET(tulossiirtymä,MATCH($D286,Data!$AN$2:$AN$313,0),Tulokset!M$2)))))</f>
        <v/>
      </c>
    </row>
    <row r="287" spans="2:13" x14ac:dyDescent="0.25">
      <c r="B287" s="78">
        <f t="shared" si="4"/>
        <v>11</v>
      </c>
      <c r="C287" s="78">
        <f>COUNTIF($B$6:B287,B287)-2</f>
        <v>10</v>
      </c>
      <c r="D287" s="79" t="str">
        <f t="array" ref="D287">IF($B287&lt;=keilatut,IF($C287&lt;1,"",IF($C287&gt;Data!$CP$2,"",SMALL(IF(Data!$B$2:$B$313=Tulokset!$B287,Data!$AN$2:$AN$313),Tulokset!$C287))),"")</f>
        <v/>
      </c>
      <c r="E287" s="78" t="str">
        <f>IF($B287&gt;keilatut,"",IF($C287=(-1),"GP"&amp;$B287&amp;", "&amp;DAY(VLOOKUP($B287,kilpailukalenteri,2))&amp;"."&amp;MONTH(VLOOKUP($B287,kilpailukalenteri,2))&amp;"."&amp;YEAR(VLOOKUP($B287,kilpailukalenteri,2))&amp;", "&amp;IF(RIGHT(VLOOKUP($B287,kilpailukalenteri,4),1)="*",LEFT(VLOOKUP($B287,kilpailukalenteri,4),LEN(VLOOKUP($B287,kilpailukalenteri,4))-2)&amp;", Kultainen GP",VLOOKUP($B287,kilpailukalenteri,4)),IF($C287=0,"Sija",IF($C287&gt;Data!$CP$2,"",ROUND(Tulokset!$D287,0)))))</f>
        <v/>
      </c>
      <c r="F287" s="78" t="str">
        <f ca="1">IF($B287&gt;keilatut,"",IF($C287=(-1),"",IF($C287=0,"Nimi",IF($C287&gt;Data!$CP$2,"",OFFSET(tulossiirtymä,MATCH($D287,Data!$AN$2:$AN$313,0),Tulokset!F$2)))))</f>
        <v/>
      </c>
      <c r="G287" s="78" t="str">
        <f ca="1">IF($B287&gt;keilatut,"",IF($C287=(-1),"",IF($C287=0,"Sarja 1",IF($C287&gt;Data!$CP$2,"",OFFSET(tulossiirtymä,MATCH($D287,Data!$AN$2:$AN$313,0),Tulokset!G$2)))))</f>
        <v/>
      </c>
      <c r="H287" s="78" t="str">
        <f ca="1">IF($B287&gt;keilatut,"",IF($C287=(-1),"",IF($C287=0,"Sarja 2",IF($C287&gt;Data!$CP$2,"",OFFSET(tulossiirtymä,MATCH($D287,Data!$AN$2:$AN$313,0),Tulokset!H$2)))))</f>
        <v/>
      </c>
      <c r="I287" s="78" t="str">
        <f ca="1">IF($B287&gt;keilatut,"",IF($C287=(-1),"",IF($C287=0,"Yhteensä",IF($C287&gt;Data!$CP$2,"",OFFSET(tulossiirtymä,MATCH($D287,Data!$AN$2:$AN$313,0),Tulokset!I$2)))))</f>
        <v/>
      </c>
      <c r="J287" s="78" t="str">
        <f ca="1">IF($B287&gt;keilatut,"",IF($C287=(-1),"",IF($C287=0,"Ero voittajaan",IF($C287&gt;Data!$CP$2,"",OFFSET(tulossiirtymä,MATCH($D287,Data!$AN$2:$AN$313,0),Tulokset!J$2)))))</f>
        <v/>
      </c>
      <c r="K287" s="78" t="str">
        <f ca="1">IF($B287&gt;keilatut,"",IF($C287=(-1),"",IF($C287=0,"Pisteet",IF($C287&gt;Data!$CP$2,"",OFFSET(tulossiirtymä,MATCH($D287,Data!$AN$2:$AN$313,0),Tulokset!K$2)))))</f>
        <v/>
      </c>
      <c r="L287" s="78" t="str">
        <f ca="1">IF($B287&gt;keilatut,"",IF($C287=(-1),"",IF($C287=0,"Pisteet yhteensä",IF($C287&gt;Data!$CP$2,"",OFFSET(tulossiirtymä,MATCH($D287,Data!$AN$2:$AN$313,0),Tulokset!L$2)))))</f>
        <v/>
      </c>
      <c r="M287" s="78" t="str">
        <f ca="1">IF($B287&gt;keilatut,"",IF($C287=(-1),"",IF($C287=0,"Pisteseloste",IF($C287&gt;Data!$CP$2,"",OFFSET(tulossiirtymä,MATCH($D287,Data!$AN$2:$AN$313,0),Tulokset!M$2)))))</f>
        <v/>
      </c>
    </row>
    <row r="288" spans="2:13" x14ac:dyDescent="0.25">
      <c r="B288" s="78">
        <f t="shared" si="4"/>
        <v>11</v>
      </c>
      <c r="C288" s="78">
        <f>COUNTIF($B$6:B288,B288)-2</f>
        <v>11</v>
      </c>
      <c r="D288" s="79" t="str">
        <f t="array" ref="D288">IF($B288&lt;=keilatut,IF($C288&lt;1,"",IF($C288&gt;Data!$CP$2,"",SMALL(IF(Data!$B$2:$B$313=Tulokset!$B288,Data!$AN$2:$AN$313),Tulokset!$C288))),"")</f>
        <v/>
      </c>
      <c r="E288" s="78" t="str">
        <f>IF($B288&gt;keilatut,"",IF($C288=(-1),"GP"&amp;$B288&amp;", "&amp;DAY(VLOOKUP($B288,kilpailukalenteri,2))&amp;"."&amp;MONTH(VLOOKUP($B288,kilpailukalenteri,2))&amp;"."&amp;YEAR(VLOOKUP($B288,kilpailukalenteri,2))&amp;", "&amp;IF(RIGHT(VLOOKUP($B288,kilpailukalenteri,4),1)="*",LEFT(VLOOKUP($B288,kilpailukalenteri,4),LEN(VLOOKUP($B288,kilpailukalenteri,4))-2)&amp;", Kultainen GP",VLOOKUP($B288,kilpailukalenteri,4)),IF($C288=0,"Sija",IF($C288&gt;Data!$CP$2,"",ROUND(Tulokset!$D288,0)))))</f>
        <v/>
      </c>
      <c r="F288" s="78" t="str">
        <f ca="1">IF($B288&gt;keilatut,"",IF($C288=(-1),"",IF($C288=0,"Nimi",IF($C288&gt;Data!$CP$2,"",OFFSET(tulossiirtymä,MATCH($D288,Data!$AN$2:$AN$313,0),Tulokset!F$2)))))</f>
        <v/>
      </c>
      <c r="G288" s="78" t="str">
        <f ca="1">IF($B288&gt;keilatut,"",IF($C288=(-1),"",IF($C288=0,"Sarja 1",IF($C288&gt;Data!$CP$2,"",OFFSET(tulossiirtymä,MATCH($D288,Data!$AN$2:$AN$313,0),Tulokset!G$2)))))</f>
        <v/>
      </c>
      <c r="H288" s="78" t="str">
        <f ca="1">IF($B288&gt;keilatut,"",IF($C288=(-1),"",IF($C288=0,"Sarja 2",IF($C288&gt;Data!$CP$2,"",OFFSET(tulossiirtymä,MATCH($D288,Data!$AN$2:$AN$313,0),Tulokset!H$2)))))</f>
        <v/>
      </c>
      <c r="I288" s="78" t="str">
        <f ca="1">IF($B288&gt;keilatut,"",IF($C288=(-1),"",IF($C288=0,"Yhteensä",IF($C288&gt;Data!$CP$2,"",OFFSET(tulossiirtymä,MATCH($D288,Data!$AN$2:$AN$313,0),Tulokset!I$2)))))</f>
        <v/>
      </c>
      <c r="J288" s="78" t="str">
        <f ca="1">IF($B288&gt;keilatut,"",IF($C288=(-1),"",IF($C288=0,"Ero voittajaan",IF($C288&gt;Data!$CP$2,"",OFFSET(tulossiirtymä,MATCH($D288,Data!$AN$2:$AN$313,0),Tulokset!J$2)))))</f>
        <v/>
      </c>
      <c r="K288" s="78" t="str">
        <f ca="1">IF($B288&gt;keilatut,"",IF($C288=(-1),"",IF($C288=0,"Pisteet",IF($C288&gt;Data!$CP$2,"",OFFSET(tulossiirtymä,MATCH($D288,Data!$AN$2:$AN$313,0),Tulokset!K$2)))))</f>
        <v/>
      </c>
      <c r="L288" s="78" t="str">
        <f ca="1">IF($B288&gt;keilatut,"",IF($C288=(-1),"",IF($C288=0,"Pisteet yhteensä",IF($C288&gt;Data!$CP$2,"",OFFSET(tulossiirtymä,MATCH($D288,Data!$AN$2:$AN$313,0),Tulokset!L$2)))))</f>
        <v/>
      </c>
      <c r="M288" s="78" t="str">
        <f ca="1">IF($B288&gt;keilatut,"",IF($C288=(-1),"",IF($C288=0,"Pisteseloste",IF($C288&gt;Data!$CP$2,"",OFFSET(tulossiirtymä,MATCH($D288,Data!$AN$2:$AN$313,0),Tulokset!M$2)))))</f>
        <v/>
      </c>
    </row>
    <row r="289" spans="2:13" x14ac:dyDescent="0.25">
      <c r="B289" s="78">
        <f t="shared" si="4"/>
        <v>11</v>
      </c>
      <c r="C289" s="78">
        <f>COUNTIF($B$6:B289,B289)-2</f>
        <v>12</v>
      </c>
      <c r="D289" s="79" t="str">
        <f t="array" ref="D289">IF($B289&lt;=keilatut,IF($C289&lt;1,"",IF($C289&gt;Data!$CP$2,"",SMALL(IF(Data!$B$2:$B$313=Tulokset!$B289,Data!$AN$2:$AN$313),Tulokset!$C289))),"")</f>
        <v/>
      </c>
      <c r="E289" s="78" t="str">
        <f>IF($B289&gt;keilatut,"",IF($C289=(-1),"GP"&amp;$B289&amp;", "&amp;DAY(VLOOKUP($B289,kilpailukalenteri,2))&amp;"."&amp;MONTH(VLOOKUP($B289,kilpailukalenteri,2))&amp;"."&amp;YEAR(VLOOKUP($B289,kilpailukalenteri,2))&amp;", "&amp;IF(RIGHT(VLOOKUP($B289,kilpailukalenteri,4),1)="*",LEFT(VLOOKUP($B289,kilpailukalenteri,4),LEN(VLOOKUP($B289,kilpailukalenteri,4))-2)&amp;", Kultainen GP",VLOOKUP($B289,kilpailukalenteri,4)),IF($C289=0,"Sija",IF($C289&gt;Data!$CP$2,"",ROUND(Tulokset!$D289,0)))))</f>
        <v/>
      </c>
      <c r="F289" s="78" t="str">
        <f ca="1">IF($B289&gt;keilatut,"",IF($C289=(-1),"",IF($C289=0,"Nimi",IF($C289&gt;Data!$CP$2,"",OFFSET(tulossiirtymä,MATCH($D289,Data!$AN$2:$AN$313,0),Tulokset!F$2)))))</f>
        <v/>
      </c>
      <c r="G289" s="78" t="str">
        <f ca="1">IF($B289&gt;keilatut,"",IF($C289=(-1),"",IF($C289=0,"Sarja 1",IF($C289&gt;Data!$CP$2,"",OFFSET(tulossiirtymä,MATCH($D289,Data!$AN$2:$AN$313,0),Tulokset!G$2)))))</f>
        <v/>
      </c>
      <c r="H289" s="78" t="str">
        <f ca="1">IF($B289&gt;keilatut,"",IF($C289=(-1),"",IF($C289=0,"Sarja 2",IF($C289&gt;Data!$CP$2,"",OFFSET(tulossiirtymä,MATCH($D289,Data!$AN$2:$AN$313,0),Tulokset!H$2)))))</f>
        <v/>
      </c>
      <c r="I289" s="78" t="str">
        <f ca="1">IF($B289&gt;keilatut,"",IF($C289=(-1),"",IF($C289=0,"Yhteensä",IF($C289&gt;Data!$CP$2,"",OFFSET(tulossiirtymä,MATCH($D289,Data!$AN$2:$AN$313,0),Tulokset!I$2)))))</f>
        <v/>
      </c>
      <c r="J289" s="78" t="str">
        <f ca="1">IF($B289&gt;keilatut,"",IF($C289=(-1),"",IF($C289=0,"Ero voittajaan",IF($C289&gt;Data!$CP$2,"",OFFSET(tulossiirtymä,MATCH($D289,Data!$AN$2:$AN$313,0),Tulokset!J$2)))))</f>
        <v/>
      </c>
      <c r="K289" s="78" t="str">
        <f ca="1">IF($B289&gt;keilatut,"",IF($C289=(-1),"",IF($C289=0,"Pisteet",IF($C289&gt;Data!$CP$2,"",OFFSET(tulossiirtymä,MATCH($D289,Data!$AN$2:$AN$313,0),Tulokset!K$2)))))</f>
        <v/>
      </c>
      <c r="L289" s="78" t="str">
        <f ca="1">IF($B289&gt;keilatut,"",IF($C289=(-1),"",IF($C289=0,"Pisteet yhteensä",IF($C289&gt;Data!$CP$2,"",OFFSET(tulossiirtymä,MATCH($D289,Data!$AN$2:$AN$313,0),Tulokset!L$2)))))</f>
        <v/>
      </c>
      <c r="M289" s="78" t="str">
        <f ca="1">IF($B289&gt;keilatut,"",IF($C289=(-1),"",IF($C289=0,"Pisteseloste",IF($C289&gt;Data!$CP$2,"",OFFSET(tulossiirtymä,MATCH($D289,Data!$AN$2:$AN$313,0),Tulokset!M$2)))))</f>
        <v/>
      </c>
    </row>
    <row r="290" spans="2:13" x14ac:dyDescent="0.25">
      <c r="B290" s="78">
        <f t="shared" si="4"/>
        <v>11</v>
      </c>
      <c r="C290" s="78">
        <f>COUNTIF($B$6:B290,B290)-2</f>
        <v>13</v>
      </c>
      <c r="D290" s="79" t="str">
        <f t="array" ref="D290">IF($B290&lt;=keilatut,IF($C290&lt;1,"",IF($C290&gt;Data!$CP$2,"",SMALL(IF(Data!$B$2:$B$313=Tulokset!$B290,Data!$AN$2:$AN$313),Tulokset!$C290))),"")</f>
        <v/>
      </c>
      <c r="E290" s="78" t="str">
        <f>IF($B290&gt;keilatut,"",IF($C290=(-1),"GP"&amp;$B290&amp;", "&amp;DAY(VLOOKUP($B290,kilpailukalenteri,2))&amp;"."&amp;MONTH(VLOOKUP($B290,kilpailukalenteri,2))&amp;"."&amp;YEAR(VLOOKUP($B290,kilpailukalenteri,2))&amp;", "&amp;IF(RIGHT(VLOOKUP($B290,kilpailukalenteri,4),1)="*",LEFT(VLOOKUP($B290,kilpailukalenteri,4),LEN(VLOOKUP($B290,kilpailukalenteri,4))-2)&amp;", Kultainen GP",VLOOKUP($B290,kilpailukalenteri,4)),IF($C290=0,"Sija",IF($C290&gt;Data!$CP$2,"",ROUND(Tulokset!$D290,0)))))</f>
        <v/>
      </c>
      <c r="F290" s="78" t="str">
        <f ca="1">IF($B290&gt;keilatut,"",IF($C290=(-1),"",IF($C290=0,"Nimi",IF($C290&gt;Data!$CP$2,"",OFFSET(tulossiirtymä,MATCH($D290,Data!$AN$2:$AN$313,0),Tulokset!F$2)))))</f>
        <v/>
      </c>
      <c r="G290" s="78" t="str">
        <f ca="1">IF($B290&gt;keilatut,"",IF($C290=(-1),"",IF($C290=0,"Sarja 1",IF($C290&gt;Data!$CP$2,"",OFFSET(tulossiirtymä,MATCH($D290,Data!$AN$2:$AN$313,0),Tulokset!G$2)))))</f>
        <v/>
      </c>
      <c r="H290" s="78" t="str">
        <f ca="1">IF($B290&gt;keilatut,"",IF($C290=(-1),"",IF($C290=0,"Sarja 2",IF($C290&gt;Data!$CP$2,"",OFFSET(tulossiirtymä,MATCH($D290,Data!$AN$2:$AN$313,0),Tulokset!H$2)))))</f>
        <v/>
      </c>
      <c r="I290" s="78" t="str">
        <f ca="1">IF($B290&gt;keilatut,"",IF($C290=(-1),"",IF($C290=0,"Yhteensä",IF($C290&gt;Data!$CP$2,"",OFFSET(tulossiirtymä,MATCH($D290,Data!$AN$2:$AN$313,0),Tulokset!I$2)))))</f>
        <v/>
      </c>
      <c r="J290" s="78" t="str">
        <f ca="1">IF($B290&gt;keilatut,"",IF($C290=(-1),"",IF($C290=0,"Ero voittajaan",IF($C290&gt;Data!$CP$2,"",OFFSET(tulossiirtymä,MATCH($D290,Data!$AN$2:$AN$313,0),Tulokset!J$2)))))</f>
        <v/>
      </c>
      <c r="K290" s="78" t="str">
        <f ca="1">IF($B290&gt;keilatut,"",IF($C290=(-1),"",IF($C290=0,"Pisteet",IF($C290&gt;Data!$CP$2,"",OFFSET(tulossiirtymä,MATCH($D290,Data!$AN$2:$AN$313,0),Tulokset!K$2)))))</f>
        <v/>
      </c>
      <c r="L290" s="78" t="str">
        <f ca="1">IF($B290&gt;keilatut,"",IF($C290=(-1),"",IF($C290=0,"Pisteet yhteensä",IF($C290&gt;Data!$CP$2,"",OFFSET(tulossiirtymä,MATCH($D290,Data!$AN$2:$AN$313,0),Tulokset!L$2)))))</f>
        <v/>
      </c>
      <c r="M290" s="78" t="str">
        <f ca="1">IF($B290&gt;keilatut,"",IF($C290=(-1),"",IF($C290=0,"Pisteseloste",IF($C290&gt;Data!$CP$2,"",OFFSET(tulossiirtymä,MATCH($D290,Data!$AN$2:$AN$313,0),Tulokset!M$2)))))</f>
        <v/>
      </c>
    </row>
    <row r="291" spans="2:13" x14ac:dyDescent="0.25">
      <c r="B291" s="78">
        <f t="shared" si="4"/>
        <v>11</v>
      </c>
      <c r="C291" s="78">
        <f>COUNTIF($B$6:B291,B291)-2</f>
        <v>14</v>
      </c>
      <c r="D291" s="79" t="str">
        <f t="array" ref="D291">IF($B291&lt;=keilatut,IF($C291&lt;1,"",IF($C291&gt;Data!$CP$2,"",SMALL(IF(Data!$B$2:$B$313=Tulokset!$B291,Data!$AN$2:$AN$313),Tulokset!$C291))),"")</f>
        <v/>
      </c>
      <c r="E291" s="78" t="str">
        <f>IF($B291&gt;keilatut,"",IF($C291=(-1),"GP"&amp;$B291&amp;", "&amp;DAY(VLOOKUP($B291,kilpailukalenteri,2))&amp;"."&amp;MONTH(VLOOKUP($B291,kilpailukalenteri,2))&amp;"."&amp;YEAR(VLOOKUP($B291,kilpailukalenteri,2))&amp;", "&amp;IF(RIGHT(VLOOKUP($B291,kilpailukalenteri,4),1)="*",LEFT(VLOOKUP($B291,kilpailukalenteri,4),LEN(VLOOKUP($B291,kilpailukalenteri,4))-2)&amp;", Kultainen GP",VLOOKUP($B291,kilpailukalenteri,4)),IF($C291=0,"Sija",IF($C291&gt;Data!$CP$2,"",ROUND(Tulokset!$D291,0)))))</f>
        <v/>
      </c>
      <c r="F291" s="78" t="str">
        <f ca="1">IF($B291&gt;keilatut,"",IF($C291=(-1),"",IF($C291=0,"Nimi",IF($C291&gt;Data!$CP$2,"",OFFSET(tulossiirtymä,MATCH($D291,Data!$AN$2:$AN$313,0),Tulokset!F$2)))))</f>
        <v/>
      </c>
      <c r="G291" s="78" t="str">
        <f ca="1">IF($B291&gt;keilatut,"",IF($C291=(-1),"",IF($C291=0,"Sarja 1",IF($C291&gt;Data!$CP$2,"",OFFSET(tulossiirtymä,MATCH($D291,Data!$AN$2:$AN$313,0),Tulokset!G$2)))))</f>
        <v/>
      </c>
      <c r="H291" s="78" t="str">
        <f ca="1">IF($B291&gt;keilatut,"",IF($C291=(-1),"",IF($C291=0,"Sarja 2",IF($C291&gt;Data!$CP$2,"",OFFSET(tulossiirtymä,MATCH($D291,Data!$AN$2:$AN$313,0),Tulokset!H$2)))))</f>
        <v/>
      </c>
      <c r="I291" s="78" t="str">
        <f ca="1">IF($B291&gt;keilatut,"",IF($C291=(-1),"",IF($C291=0,"Yhteensä",IF($C291&gt;Data!$CP$2,"",OFFSET(tulossiirtymä,MATCH($D291,Data!$AN$2:$AN$313,0),Tulokset!I$2)))))</f>
        <v/>
      </c>
      <c r="J291" s="78" t="str">
        <f ca="1">IF($B291&gt;keilatut,"",IF($C291=(-1),"",IF($C291=0,"Ero voittajaan",IF($C291&gt;Data!$CP$2,"",OFFSET(tulossiirtymä,MATCH($D291,Data!$AN$2:$AN$313,0),Tulokset!J$2)))))</f>
        <v/>
      </c>
      <c r="K291" s="78" t="str">
        <f ca="1">IF($B291&gt;keilatut,"",IF($C291=(-1),"",IF($C291=0,"Pisteet",IF($C291&gt;Data!$CP$2,"",OFFSET(tulossiirtymä,MATCH($D291,Data!$AN$2:$AN$313,0),Tulokset!K$2)))))</f>
        <v/>
      </c>
      <c r="L291" s="78" t="str">
        <f ca="1">IF($B291&gt;keilatut,"",IF($C291=(-1),"",IF($C291=0,"Pisteet yhteensä",IF($C291&gt;Data!$CP$2,"",OFFSET(tulossiirtymä,MATCH($D291,Data!$AN$2:$AN$313,0),Tulokset!L$2)))))</f>
        <v/>
      </c>
      <c r="M291" s="78" t="str">
        <f ca="1">IF($B291&gt;keilatut,"",IF($C291=(-1),"",IF($C291=0,"Pisteseloste",IF($C291&gt;Data!$CP$2,"",OFFSET(tulossiirtymä,MATCH($D291,Data!$AN$2:$AN$313,0),Tulokset!M$2)))))</f>
        <v/>
      </c>
    </row>
    <row r="292" spans="2:13" x14ac:dyDescent="0.25">
      <c r="B292" s="78">
        <f t="shared" si="4"/>
        <v>11</v>
      </c>
      <c r="C292" s="78">
        <f>COUNTIF($B$6:B292,B292)-2</f>
        <v>15</v>
      </c>
      <c r="D292" s="79" t="str">
        <f t="array" ref="D292">IF($B292&lt;=keilatut,IF($C292&lt;1,"",IF($C292&gt;Data!$CP$2,"",SMALL(IF(Data!$B$2:$B$313=Tulokset!$B292,Data!$AN$2:$AN$313),Tulokset!$C292))),"")</f>
        <v/>
      </c>
      <c r="E292" s="78" t="str">
        <f>IF($B292&gt;keilatut,"",IF($C292=(-1),"GP"&amp;$B292&amp;", "&amp;DAY(VLOOKUP($B292,kilpailukalenteri,2))&amp;"."&amp;MONTH(VLOOKUP($B292,kilpailukalenteri,2))&amp;"."&amp;YEAR(VLOOKUP($B292,kilpailukalenteri,2))&amp;", "&amp;IF(RIGHT(VLOOKUP($B292,kilpailukalenteri,4),1)="*",LEFT(VLOOKUP($B292,kilpailukalenteri,4),LEN(VLOOKUP($B292,kilpailukalenteri,4))-2)&amp;", Kultainen GP",VLOOKUP($B292,kilpailukalenteri,4)),IF($C292=0,"Sija",IF($C292&gt;Data!$CP$2,"",ROUND(Tulokset!$D292,0)))))</f>
        <v/>
      </c>
      <c r="F292" s="78" t="str">
        <f ca="1">IF($B292&gt;keilatut,"",IF($C292=(-1),"",IF($C292=0,"Nimi",IF($C292&gt;Data!$CP$2,"",OFFSET(tulossiirtymä,MATCH($D292,Data!$AN$2:$AN$313,0),Tulokset!F$2)))))</f>
        <v/>
      </c>
      <c r="G292" s="78" t="str">
        <f ca="1">IF($B292&gt;keilatut,"",IF($C292=(-1),"",IF($C292=0,"Sarja 1",IF($C292&gt;Data!$CP$2,"",OFFSET(tulossiirtymä,MATCH($D292,Data!$AN$2:$AN$313,0),Tulokset!G$2)))))</f>
        <v/>
      </c>
      <c r="H292" s="78" t="str">
        <f ca="1">IF($B292&gt;keilatut,"",IF($C292=(-1),"",IF($C292=0,"Sarja 2",IF($C292&gt;Data!$CP$2,"",OFFSET(tulossiirtymä,MATCH($D292,Data!$AN$2:$AN$313,0),Tulokset!H$2)))))</f>
        <v/>
      </c>
      <c r="I292" s="78" t="str">
        <f ca="1">IF($B292&gt;keilatut,"",IF($C292=(-1),"",IF($C292=0,"Yhteensä",IF($C292&gt;Data!$CP$2,"",OFFSET(tulossiirtymä,MATCH($D292,Data!$AN$2:$AN$313,0),Tulokset!I$2)))))</f>
        <v/>
      </c>
      <c r="J292" s="78" t="str">
        <f ca="1">IF($B292&gt;keilatut,"",IF($C292=(-1),"",IF($C292=0,"Ero voittajaan",IF($C292&gt;Data!$CP$2,"",OFFSET(tulossiirtymä,MATCH($D292,Data!$AN$2:$AN$313,0),Tulokset!J$2)))))</f>
        <v/>
      </c>
      <c r="K292" s="78" t="str">
        <f ca="1">IF($B292&gt;keilatut,"",IF($C292=(-1),"",IF($C292=0,"Pisteet",IF($C292&gt;Data!$CP$2,"",OFFSET(tulossiirtymä,MATCH($D292,Data!$AN$2:$AN$313,0),Tulokset!K$2)))))</f>
        <v/>
      </c>
      <c r="L292" s="78" t="str">
        <f ca="1">IF($B292&gt;keilatut,"",IF($C292=(-1),"",IF($C292=0,"Pisteet yhteensä",IF($C292&gt;Data!$CP$2,"",OFFSET(tulossiirtymä,MATCH($D292,Data!$AN$2:$AN$313,0),Tulokset!L$2)))))</f>
        <v/>
      </c>
      <c r="M292" s="78" t="str">
        <f ca="1">IF($B292&gt;keilatut,"",IF($C292=(-1),"",IF($C292=0,"Pisteseloste",IF($C292&gt;Data!$CP$2,"",OFFSET(tulossiirtymä,MATCH($D292,Data!$AN$2:$AN$313,0),Tulokset!M$2)))))</f>
        <v/>
      </c>
    </row>
    <row r="293" spans="2:13" x14ac:dyDescent="0.25">
      <c r="B293" s="78">
        <f t="shared" si="4"/>
        <v>11</v>
      </c>
      <c r="C293" s="78">
        <f>COUNTIF($B$6:B293,B293)-2</f>
        <v>16</v>
      </c>
      <c r="D293" s="79" t="str">
        <f t="array" ref="D293">IF($B293&lt;=keilatut,IF($C293&lt;1,"",IF($C293&gt;Data!$CP$2,"",SMALL(IF(Data!$B$2:$B$313=Tulokset!$B293,Data!$AN$2:$AN$313),Tulokset!$C293))),"")</f>
        <v/>
      </c>
      <c r="E293" s="78" t="str">
        <f>IF($B293&gt;keilatut,"",IF($C293=(-1),"GP"&amp;$B293&amp;", "&amp;DAY(VLOOKUP($B293,kilpailukalenteri,2))&amp;"."&amp;MONTH(VLOOKUP($B293,kilpailukalenteri,2))&amp;"."&amp;YEAR(VLOOKUP($B293,kilpailukalenteri,2))&amp;", "&amp;IF(RIGHT(VLOOKUP($B293,kilpailukalenteri,4),1)="*",LEFT(VLOOKUP($B293,kilpailukalenteri,4),LEN(VLOOKUP($B293,kilpailukalenteri,4))-2)&amp;", Kultainen GP",VLOOKUP($B293,kilpailukalenteri,4)),IF($C293=0,"Sija",IF($C293&gt;Data!$CP$2,"",ROUND(Tulokset!$D293,0)))))</f>
        <v/>
      </c>
      <c r="F293" s="78" t="str">
        <f ca="1">IF($B293&gt;keilatut,"",IF($C293=(-1),"",IF($C293=0,"Nimi",IF($C293&gt;Data!$CP$2,"",OFFSET(tulossiirtymä,MATCH($D293,Data!$AN$2:$AN$313,0),Tulokset!F$2)))))</f>
        <v/>
      </c>
      <c r="G293" s="78" t="str">
        <f ca="1">IF($B293&gt;keilatut,"",IF($C293=(-1),"",IF($C293=0,"Sarja 1",IF($C293&gt;Data!$CP$2,"",OFFSET(tulossiirtymä,MATCH($D293,Data!$AN$2:$AN$313,0),Tulokset!G$2)))))</f>
        <v/>
      </c>
      <c r="H293" s="78" t="str">
        <f ca="1">IF($B293&gt;keilatut,"",IF($C293=(-1),"",IF($C293=0,"Sarja 2",IF($C293&gt;Data!$CP$2,"",OFFSET(tulossiirtymä,MATCH($D293,Data!$AN$2:$AN$313,0),Tulokset!H$2)))))</f>
        <v/>
      </c>
      <c r="I293" s="78" t="str">
        <f ca="1">IF($B293&gt;keilatut,"",IF($C293=(-1),"",IF($C293=0,"Yhteensä",IF($C293&gt;Data!$CP$2,"",OFFSET(tulossiirtymä,MATCH($D293,Data!$AN$2:$AN$313,0),Tulokset!I$2)))))</f>
        <v/>
      </c>
      <c r="J293" s="78" t="str">
        <f ca="1">IF($B293&gt;keilatut,"",IF($C293=(-1),"",IF($C293=0,"Ero voittajaan",IF($C293&gt;Data!$CP$2,"",OFFSET(tulossiirtymä,MATCH($D293,Data!$AN$2:$AN$313,0),Tulokset!J$2)))))</f>
        <v/>
      </c>
      <c r="K293" s="78" t="str">
        <f ca="1">IF($B293&gt;keilatut,"",IF($C293=(-1),"",IF($C293=0,"Pisteet",IF($C293&gt;Data!$CP$2,"",OFFSET(tulossiirtymä,MATCH($D293,Data!$AN$2:$AN$313,0),Tulokset!K$2)))))</f>
        <v/>
      </c>
      <c r="L293" s="78" t="str">
        <f ca="1">IF($B293&gt;keilatut,"",IF($C293=(-1),"",IF($C293=0,"Pisteet yhteensä",IF($C293&gt;Data!$CP$2,"",OFFSET(tulossiirtymä,MATCH($D293,Data!$AN$2:$AN$313,0),Tulokset!L$2)))))</f>
        <v/>
      </c>
      <c r="M293" s="78" t="str">
        <f ca="1">IF($B293&gt;keilatut,"",IF($C293=(-1),"",IF($C293=0,"Pisteseloste",IF($C293&gt;Data!$CP$2,"",OFFSET(tulossiirtymä,MATCH($D293,Data!$AN$2:$AN$313,0),Tulokset!M$2)))))</f>
        <v/>
      </c>
    </row>
    <row r="294" spans="2:13" x14ac:dyDescent="0.25">
      <c r="B294" s="78">
        <f t="shared" ref="B294:B355" si="5">IF(C293=25,1+B293,B293)</f>
        <v>11</v>
      </c>
      <c r="C294" s="78">
        <f>COUNTIF($B$6:B294,B294)-2</f>
        <v>17</v>
      </c>
      <c r="D294" s="79" t="str">
        <f t="array" ref="D294">IF($B294&lt;=keilatut,IF($C294&lt;1,"",IF($C294&gt;Data!$CP$2,"",SMALL(IF(Data!$B$2:$B$313=Tulokset!$B294,Data!$AN$2:$AN$313),Tulokset!$C294))),"")</f>
        <v/>
      </c>
      <c r="E294" s="78" t="str">
        <f>IF($B294&gt;keilatut,"",IF($C294=(-1),"GP"&amp;$B294&amp;", "&amp;DAY(VLOOKUP($B294,kilpailukalenteri,2))&amp;"."&amp;MONTH(VLOOKUP($B294,kilpailukalenteri,2))&amp;"."&amp;YEAR(VLOOKUP($B294,kilpailukalenteri,2))&amp;", "&amp;IF(RIGHT(VLOOKUP($B294,kilpailukalenteri,4),1)="*",LEFT(VLOOKUP($B294,kilpailukalenteri,4),LEN(VLOOKUP($B294,kilpailukalenteri,4))-2)&amp;", Kultainen GP",VLOOKUP($B294,kilpailukalenteri,4)),IF($C294=0,"Sija",IF($C294&gt;Data!$CP$2,"",ROUND(Tulokset!$D294,0)))))</f>
        <v/>
      </c>
      <c r="F294" s="78" t="str">
        <f ca="1">IF($B294&gt;keilatut,"",IF($C294=(-1),"",IF($C294=0,"Nimi",IF($C294&gt;Data!$CP$2,"",OFFSET(tulossiirtymä,MATCH($D294,Data!$AN$2:$AN$313,0),Tulokset!F$2)))))</f>
        <v/>
      </c>
      <c r="G294" s="78" t="str">
        <f ca="1">IF($B294&gt;keilatut,"",IF($C294=(-1),"",IF($C294=0,"Sarja 1",IF($C294&gt;Data!$CP$2,"",OFFSET(tulossiirtymä,MATCH($D294,Data!$AN$2:$AN$313,0),Tulokset!G$2)))))</f>
        <v/>
      </c>
      <c r="H294" s="78" t="str">
        <f ca="1">IF($B294&gt;keilatut,"",IF($C294=(-1),"",IF($C294=0,"Sarja 2",IF($C294&gt;Data!$CP$2,"",OFFSET(tulossiirtymä,MATCH($D294,Data!$AN$2:$AN$313,0),Tulokset!H$2)))))</f>
        <v/>
      </c>
      <c r="I294" s="78" t="str">
        <f ca="1">IF($B294&gt;keilatut,"",IF($C294=(-1),"",IF($C294=0,"Yhteensä",IF($C294&gt;Data!$CP$2,"",OFFSET(tulossiirtymä,MATCH($D294,Data!$AN$2:$AN$313,0),Tulokset!I$2)))))</f>
        <v/>
      </c>
      <c r="J294" s="78" t="str">
        <f ca="1">IF($B294&gt;keilatut,"",IF($C294=(-1),"",IF($C294=0,"Ero voittajaan",IF($C294&gt;Data!$CP$2,"",OFFSET(tulossiirtymä,MATCH($D294,Data!$AN$2:$AN$313,0),Tulokset!J$2)))))</f>
        <v/>
      </c>
      <c r="K294" s="78" t="str">
        <f ca="1">IF($B294&gt;keilatut,"",IF($C294=(-1),"",IF($C294=0,"Pisteet",IF($C294&gt;Data!$CP$2,"",OFFSET(tulossiirtymä,MATCH($D294,Data!$AN$2:$AN$313,0),Tulokset!K$2)))))</f>
        <v/>
      </c>
      <c r="L294" s="78" t="str">
        <f ca="1">IF($B294&gt;keilatut,"",IF($C294=(-1),"",IF($C294=0,"Pisteet yhteensä",IF($C294&gt;Data!$CP$2,"",OFFSET(tulossiirtymä,MATCH($D294,Data!$AN$2:$AN$313,0),Tulokset!L$2)))))</f>
        <v/>
      </c>
      <c r="M294" s="78" t="str">
        <f ca="1">IF($B294&gt;keilatut,"",IF($C294=(-1),"",IF($C294=0,"Pisteseloste",IF($C294&gt;Data!$CP$2,"",OFFSET(tulossiirtymä,MATCH($D294,Data!$AN$2:$AN$313,0),Tulokset!M$2)))))</f>
        <v/>
      </c>
    </row>
    <row r="295" spans="2:13" x14ac:dyDescent="0.25">
      <c r="B295" s="78">
        <f t="shared" si="5"/>
        <v>11</v>
      </c>
      <c r="C295" s="78">
        <f>COUNTIF($B$6:B295,B295)-2</f>
        <v>18</v>
      </c>
      <c r="D295" s="79" t="str">
        <f t="array" ref="D295">IF($B295&lt;=keilatut,IF($C295&lt;1,"",IF($C295&gt;Data!$CP$2,"",SMALL(IF(Data!$B$2:$B$313=Tulokset!$B295,Data!$AN$2:$AN$313),Tulokset!$C295))),"")</f>
        <v/>
      </c>
      <c r="E295" s="78" t="str">
        <f>IF($B295&gt;keilatut,"",IF($C295=(-1),"GP"&amp;$B295&amp;", "&amp;DAY(VLOOKUP($B295,kilpailukalenteri,2))&amp;"."&amp;MONTH(VLOOKUP($B295,kilpailukalenteri,2))&amp;"."&amp;YEAR(VLOOKUP($B295,kilpailukalenteri,2))&amp;", "&amp;IF(RIGHT(VLOOKUP($B295,kilpailukalenteri,4),1)="*",LEFT(VLOOKUP($B295,kilpailukalenteri,4),LEN(VLOOKUP($B295,kilpailukalenteri,4))-2)&amp;", Kultainen GP",VLOOKUP($B295,kilpailukalenteri,4)),IF($C295=0,"Sija",IF($C295&gt;Data!$CP$2,"",ROUND(Tulokset!$D295,0)))))</f>
        <v/>
      </c>
      <c r="F295" s="78" t="str">
        <f ca="1">IF($B295&gt;keilatut,"",IF($C295=(-1),"",IF($C295=0,"Nimi",IF($C295&gt;Data!$CP$2,"",OFFSET(tulossiirtymä,MATCH($D295,Data!$AN$2:$AN$313,0),Tulokset!F$2)))))</f>
        <v/>
      </c>
      <c r="G295" s="78" t="str">
        <f ca="1">IF($B295&gt;keilatut,"",IF($C295=(-1),"",IF($C295=0,"Sarja 1",IF($C295&gt;Data!$CP$2,"",OFFSET(tulossiirtymä,MATCH($D295,Data!$AN$2:$AN$313,0),Tulokset!G$2)))))</f>
        <v/>
      </c>
      <c r="H295" s="78" t="str">
        <f ca="1">IF($B295&gt;keilatut,"",IF($C295=(-1),"",IF($C295=0,"Sarja 2",IF($C295&gt;Data!$CP$2,"",OFFSET(tulossiirtymä,MATCH($D295,Data!$AN$2:$AN$313,0),Tulokset!H$2)))))</f>
        <v/>
      </c>
      <c r="I295" s="78" t="str">
        <f ca="1">IF($B295&gt;keilatut,"",IF($C295=(-1),"",IF($C295=0,"Yhteensä",IF($C295&gt;Data!$CP$2,"",OFFSET(tulossiirtymä,MATCH($D295,Data!$AN$2:$AN$313,0),Tulokset!I$2)))))</f>
        <v/>
      </c>
      <c r="J295" s="78" t="str">
        <f ca="1">IF($B295&gt;keilatut,"",IF($C295=(-1),"",IF($C295=0,"Ero voittajaan",IF($C295&gt;Data!$CP$2,"",OFFSET(tulossiirtymä,MATCH($D295,Data!$AN$2:$AN$313,0),Tulokset!J$2)))))</f>
        <v/>
      </c>
      <c r="K295" s="78" t="str">
        <f ca="1">IF($B295&gt;keilatut,"",IF($C295=(-1),"",IF($C295=0,"Pisteet",IF($C295&gt;Data!$CP$2,"",OFFSET(tulossiirtymä,MATCH($D295,Data!$AN$2:$AN$313,0),Tulokset!K$2)))))</f>
        <v/>
      </c>
      <c r="L295" s="78" t="str">
        <f ca="1">IF($B295&gt;keilatut,"",IF($C295=(-1),"",IF($C295=0,"Pisteet yhteensä",IF($C295&gt;Data!$CP$2,"",OFFSET(tulossiirtymä,MATCH($D295,Data!$AN$2:$AN$313,0),Tulokset!L$2)))))</f>
        <v/>
      </c>
      <c r="M295" s="78" t="str">
        <f ca="1">IF($B295&gt;keilatut,"",IF($C295=(-1),"",IF($C295=0,"Pisteseloste",IF($C295&gt;Data!$CP$2,"",OFFSET(tulossiirtymä,MATCH($D295,Data!$AN$2:$AN$313,0),Tulokset!M$2)))))</f>
        <v/>
      </c>
    </row>
    <row r="296" spans="2:13" x14ac:dyDescent="0.25">
      <c r="B296" s="78">
        <f t="shared" si="5"/>
        <v>11</v>
      </c>
      <c r="C296" s="78">
        <f>COUNTIF($B$6:B296,B296)-2</f>
        <v>19</v>
      </c>
      <c r="D296" s="79" t="str">
        <f t="array" ref="D296">IF($B296&lt;=keilatut,IF($C296&lt;1,"",IF($C296&gt;Data!$CP$2,"",SMALL(IF(Data!$B$2:$B$313=Tulokset!$B296,Data!$AN$2:$AN$313),Tulokset!$C296))),"")</f>
        <v/>
      </c>
      <c r="E296" s="78" t="str">
        <f>IF($B296&gt;keilatut,"",IF($C296=(-1),"GP"&amp;$B296&amp;", "&amp;DAY(VLOOKUP($B296,kilpailukalenteri,2))&amp;"."&amp;MONTH(VLOOKUP($B296,kilpailukalenteri,2))&amp;"."&amp;YEAR(VLOOKUP($B296,kilpailukalenteri,2))&amp;", "&amp;IF(RIGHT(VLOOKUP($B296,kilpailukalenteri,4),1)="*",LEFT(VLOOKUP($B296,kilpailukalenteri,4),LEN(VLOOKUP($B296,kilpailukalenteri,4))-2)&amp;", Kultainen GP",VLOOKUP($B296,kilpailukalenteri,4)),IF($C296=0,"Sija",IF($C296&gt;Data!$CP$2,"",ROUND(Tulokset!$D296,0)))))</f>
        <v/>
      </c>
      <c r="F296" s="78" t="str">
        <f ca="1">IF($B296&gt;keilatut,"",IF($C296=(-1),"",IF($C296=0,"Nimi",IF($C296&gt;Data!$CP$2,"",OFFSET(tulossiirtymä,MATCH($D296,Data!$AN$2:$AN$313,0),Tulokset!F$2)))))</f>
        <v/>
      </c>
      <c r="G296" s="78" t="str">
        <f ca="1">IF($B296&gt;keilatut,"",IF($C296=(-1),"",IF($C296=0,"Sarja 1",IF($C296&gt;Data!$CP$2,"",OFFSET(tulossiirtymä,MATCH($D296,Data!$AN$2:$AN$313,0),Tulokset!G$2)))))</f>
        <v/>
      </c>
      <c r="H296" s="78" t="str">
        <f ca="1">IF($B296&gt;keilatut,"",IF($C296=(-1),"",IF($C296=0,"Sarja 2",IF($C296&gt;Data!$CP$2,"",OFFSET(tulossiirtymä,MATCH($D296,Data!$AN$2:$AN$313,0),Tulokset!H$2)))))</f>
        <v/>
      </c>
      <c r="I296" s="78" t="str">
        <f ca="1">IF($B296&gt;keilatut,"",IF($C296=(-1),"",IF($C296=0,"Yhteensä",IF($C296&gt;Data!$CP$2,"",OFFSET(tulossiirtymä,MATCH($D296,Data!$AN$2:$AN$313,0),Tulokset!I$2)))))</f>
        <v/>
      </c>
      <c r="J296" s="78" t="str">
        <f ca="1">IF($B296&gt;keilatut,"",IF($C296=(-1),"",IF($C296=0,"Ero voittajaan",IF($C296&gt;Data!$CP$2,"",OFFSET(tulossiirtymä,MATCH($D296,Data!$AN$2:$AN$313,0),Tulokset!J$2)))))</f>
        <v/>
      </c>
      <c r="K296" s="78" t="str">
        <f ca="1">IF($B296&gt;keilatut,"",IF($C296=(-1),"",IF($C296=0,"Pisteet",IF($C296&gt;Data!$CP$2,"",OFFSET(tulossiirtymä,MATCH($D296,Data!$AN$2:$AN$313,0),Tulokset!K$2)))))</f>
        <v/>
      </c>
      <c r="L296" s="78" t="str">
        <f ca="1">IF($B296&gt;keilatut,"",IF($C296=(-1),"",IF($C296=0,"Pisteet yhteensä",IF($C296&gt;Data!$CP$2,"",OFFSET(tulossiirtymä,MATCH($D296,Data!$AN$2:$AN$313,0),Tulokset!L$2)))))</f>
        <v/>
      </c>
      <c r="M296" s="78" t="str">
        <f ca="1">IF($B296&gt;keilatut,"",IF($C296=(-1),"",IF($C296=0,"Pisteseloste",IF($C296&gt;Data!$CP$2,"",OFFSET(tulossiirtymä,MATCH($D296,Data!$AN$2:$AN$313,0),Tulokset!M$2)))))</f>
        <v/>
      </c>
    </row>
    <row r="297" spans="2:13" x14ac:dyDescent="0.25">
      <c r="B297" s="78">
        <f t="shared" si="5"/>
        <v>11</v>
      </c>
      <c r="C297" s="78">
        <f>COUNTIF($B$6:B297,B297)-2</f>
        <v>20</v>
      </c>
      <c r="D297" s="79" t="str">
        <f t="array" ref="D297">IF($B297&lt;=keilatut,IF($C297&lt;1,"",IF($C297&gt;Data!$CP$2,"",SMALL(IF(Data!$B$2:$B$313=Tulokset!$B297,Data!$AN$2:$AN$313),Tulokset!$C297))),"")</f>
        <v/>
      </c>
      <c r="E297" s="78" t="str">
        <f>IF($B297&gt;keilatut,"",IF($C297=(-1),"GP"&amp;$B297&amp;", "&amp;DAY(VLOOKUP($B297,kilpailukalenteri,2))&amp;"."&amp;MONTH(VLOOKUP($B297,kilpailukalenteri,2))&amp;"."&amp;YEAR(VLOOKUP($B297,kilpailukalenteri,2))&amp;", "&amp;IF(RIGHT(VLOOKUP($B297,kilpailukalenteri,4),1)="*",LEFT(VLOOKUP($B297,kilpailukalenteri,4),LEN(VLOOKUP($B297,kilpailukalenteri,4))-2)&amp;", Kultainen GP",VLOOKUP($B297,kilpailukalenteri,4)),IF($C297=0,"Sija",IF($C297&gt;Data!$CP$2,"",ROUND(Tulokset!$D297,0)))))</f>
        <v/>
      </c>
      <c r="F297" s="78" t="str">
        <f ca="1">IF($B297&gt;keilatut,"",IF($C297=(-1),"",IF($C297=0,"Nimi",IF($C297&gt;Data!$CP$2,"",OFFSET(tulossiirtymä,MATCH($D297,Data!$AN$2:$AN$313,0),Tulokset!F$2)))))</f>
        <v/>
      </c>
      <c r="G297" s="78" t="str">
        <f ca="1">IF($B297&gt;keilatut,"",IF($C297=(-1),"",IF($C297=0,"Sarja 1",IF($C297&gt;Data!$CP$2,"",OFFSET(tulossiirtymä,MATCH($D297,Data!$AN$2:$AN$313,0),Tulokset!G$2)))))</f>
        <v/>
      </c>
      <c r="H297" s="78" t="str">
        <f ca="1">IF($B297&gt;keilatut,"",IF($C297=(-1),"",IF($C297=0,"Sarja 2",IF($C297&gt;Data!$CP$2,"",OFFSET(tulossiirtymä,MATCH($D297,Data!$AN$2:$AN$313,0),Tulokset!H$2)))))</f>
        <v/>
      </c>
      <c r="I297" s="78" t="str">
        <f ca="1">IF($B297&gt;keilatut,"",IF($C297=(-1),"",IF($C297=0,"Yhteensä",IF($C297&gt;Data!$CP$2,"",OFFSET(tulossiirtymä,MATCH($D297,Data!$AN$2:$AN$313,0),Tulokset!I$2)))))</f>
        <v/>
      </c>
      <c r="J297" s="78" t="str">
        <f ca="1">IF($B297&gt;keilatut,"",IF($C297=(-1),"",IF($C297=0,"Ero voittajaan",IF($C297&gt;Data!$CP$2,"",OFFSET(tulossiirtymä,MATCH($D297,Data!$AN$2:$AN$313,0),Tulokset!J$2)))))</f>
        <v/>
      </c>
      <c r="K297" s="78" t="str">
        <f ca="1">IF($B297&gt;keilatut,"",IF($C297=(-1),"",IF($C297=0,"Pisteet",IF($C297&gt;Data!$CP$2,"",OFFSET(tulossiirtymä,MATCH($D297,Data!$AN$2:$AN$313,0),Tulokset!K$2)))))</f>
        <v/>
      </c>
      <c r="L297" s="78" t="str">
        <f ca="1">IF($B297&gt;keilatut,"",IF($C297=(-1),"",IF($C297=0,"Pisteet yhteensä",IF($C297&gt;Data!$CP$2,"",OFFSET(tulossiirtymä,MATCH($D297,Data!$AN$2:$AN$313,0),Tulokset!L$2)))))</f>
        <v/>
      </c>
      <c r="M297" s="78" t="str">
        <f ca="1">IF($B297&gt;keilatut,"",IF($C297=(-1),"",IF($C297=0,"Pisteseloste",IF($C297&gt;Data!$CP$2,"",OFFSET(tulossiirtymä,MATCH($D297,Data!$AN$2:$AN$313,0),Tulokset!M$2)))))</f>
        <v/>
      </c>
    </row>
    <row r="298" spans="2:13" x14ac:dyDescent="0.25">
      <c r="B298" s="78">
        <f t="shared" si="5"/>
        <v>11</v>
      </c>
      <c r="C298" s="78">
        <f>COUNTIF($B$6:B298,B298)-2</f>
        <v>21</v>
      </c>
      <c r="D298" s="79" t="str">
        <f t="array" ref="D298">IF($B298&lt;=keilatut,IF($C298&lt;1,"",IF($C298&gt;Data!$CP$2,"",SMALL(IF(Data!$B$2:$B$313=Tulokset!$B298,Data!$AN$2:$AN$313),Tulokset!$C298))),"")</f>
        <v/>
      </c>
      <c r="E298" s="78" t="str">
        <f>IF($B298&gt;keilatut,"",IF($C298=(-1),"GP"&amp;$B298&amp;", "&amp;DAY(VLOOKUP($B298,kilpailukalenteri,2))&amp;"."&amp;MONTH(VLOOKUP($B298,kilpailukalenteri,2))&amp;"."&amp;YEAR(VLOOKUP($B298,kilpailukalenteri,2))&amp;", "&amp;IF(RIGHT(VLOOKUP($B298,kilpailukalenteri,4),1)="*",LEFT(VLOOKUP($B298,kilpailukalenteri,4),LEN(VLOOKUP($B298,kilpailukalenteri,4))-2)&amp;", Kultainen GP",VLOOKUP($B298,kilpailukalenteri,4)),IF($C298=0,"Sija",IF($C298&gt;Data!$CP$2,"",ROUND(Tulokset!$D298,0)))))</f>
        <v/>
      </c>
      <c r="F298" s="78" t="str">
        <f ca="1">IF($B298&gt;keilatut,"",IF($C298=(-1),"",IF($C298=0,"Nimi",IF($C298&gt;Data!$CP$2,"",OFFSET(tulossiirtymä,MATCH($D298,Data!$AN$2:$AN$313,0),Tulokset!F$2)))))</f>
        <v/>
      </c>
      <c r="G298" s="78" t="str">
        <f ca="1">IF($B298&gt;keilatut,"",IF($C298=(-1),"",IF($C298=0,"Sarja 1",IF($C298&gt;Data!$CP$2,"",OFFSET(tulossiirtymä,MATCH($D298,Data!$AN$2:$AN$313,0),Tulokset!G$2)))))</f>
        <v/>
      </c>
      <c r="H298" s="78" t="str">
        <f ca="1">IF($B298&gt;keilatut,"",IF($C298=(-1),"",IF($C298=0,"Sarja 2",IF($C298&gt;Data!$CP$2,"",OFFSET(tulossiirtymä,MATCH($D298,Data!$AN$2:$AN$313,0),Tulokset!H$2)))))</f>
        <v/>
      </c>
      <c r="I298" s="78" t="str">
        <f ca="1">IF($B298&gt;keilatut,"",IF($C298=(-1),"",IF($C298=0,"Yhteensä",IF($C298&gt;Data!$CP$2,"",OFFSET(tulossiirtymä,MATCH($D298,Data!$AN$2:$AN$313,0),Tulokset!I$2)))))</f>
        <v/>
      </c>
      <c r="J298" s="78" t="str">
        <f ca="1">IF($B298&gt;keilatut,"",IF($C298=(-1),"",IF($C298=0,"Ero voittajaan",IF($C298&gt;Data!$CP$2,"",OFFSET(tulossiirtymä,MATCH($D298,Data!$AN$2:$AN$313,0),Tulokset!J$2)))))</f>
        <v/>
      </c>
      <c r="K298" s="78" t="str">
        <f ca="1">IF($B298&gt;keilatut,"",IF($C298=(-1),"",IF($C298=0,"Pisteet",IF($C298&gt;Data!$CP$2,"",OFFSET(tulossiirtymä,MATCH($D298,Data!$AN$2:$AN$313,0),Tulokset!K$2)))))</f>
        <v/>
      </c>
      <c r="L298" s="78" t="str">
        <f ca="1">IF($B298&gt;keilatut,"",IF($C298=(-1),"",IF($C298=0,"Pisteet yhteensä",IF($C298&gt;Data!$CP$2,"",OFFSET(tulossiirtymä,MATCH($D298,Data!$AN$2:$AN$313,0),Tulokset!L$2)))))</f>
        <v/>
      </c>
      <c r="M298" s="78" t="str">
        <f ca="1">IF($B298&gt;keilatut,"",IF($C298=(-1),"",IF($C298=0,"Pisteseloste",IF($C298&gt;Data!$CP$2,"",OFFSET(tulossiirtymä,MATCH($D298,Data!$AN$2:$AN$313,0),Tulokset!M$2)))))</f>
        <v/>
      </c>
    </row>
    <row r="299" spans="2:13" x14ac:dyDescent="0.25">
      <c r="B299" s="78">
        <f t="shared" si="5"/>
        <v>11</v>
      </c>
      <c r="C299" s="78">
        <f>COUNTIF($B$6:B299,B299)-2</f>
        <v>22</v>
      </c>
      <c r="D299" s="79" t="str">
        <f t="array" ref="D299">IF($B299&lt;=keilatut,IF($C299&lt;1,"",IF($C299&gt;Data!$CP$2,"",SMALL(IF(Data!$B$2:$B$313=Tulokset!$B299,Data!$AN$2:$AN$313),Tulokset!$C299))),"")</f>
        <v/>
      </c>
      <c r="E299" s="78" t="str">
        <f>IF($B299&gt;keilatut,"",IF($C299=(-1),"GP"&amp;$B299&amp;", "&amp;DAY(VLOOKUP($B299,kilpailukalenteri,2))&amp;"."&amp;MONTH(VLOOKUP($B299,kilpailukalenteri,2))&amp;"."&amp;YEAR(VLOOKUP($B299,kilpailukalenteri,2))&amp;", "&amp;IF(RIGHT(VLOOKUP($B299,kilpailukalenteri,4),1)="*",LEFT(VLOOKUP($B299,kilpailukalenteri,4),LEN(VLOOKUP($B299,kilpailukalenteri,4))-2)&amp;", Kultainen GP",VLOOKUP($B299,kilpailukalenteri,4)),IF($C299=0,"Sija",IF($C299&gt;Data!$CP$2,"",ROUND(Tulokset!$D299,0)))))</f>
        <v/>
      </c>
      <c r="F299" s="78" t="str">
        <f ca="1">IF($B299&gt;keilatut,"",IF($C299=(-1),"",IF($C299=0,"Nimi",IF($C299&gt;Data!$CP$2,"",OFFSET(tulossiirtymä,MATCH($D299,Data!$AN$2:$AN$313,0),Tulokset!F$2)))))</f>
        <v/>
      </c>
      <c r="G299" s="78" t="str">
        <f ca="1">IF($B299&gt;keilatut,"",IF($C299=(-1),"",IF($C299=0,"Sarja 1",IF($C299&gt;Data!$CP$2,"",OFFSET(tulossiirtymä,MATCH($D299,Data!$AN$2:$AN$313,0),Tulokset!G$2)))))</f>
        <v/>
      </c>
      <c r="H299" s="78" t="str">
        <f ca="1">IF($B299&gt;keilatut,"",IF($C299=(-1),"",IF($C299=0,"Sarja 2",IF($C299&gt;Data!$CP$2,"",OFFSET(tulossiirtymä,MATCH($D299,Data!$AN$2:$AN$313,0),Tulokset!H$2)))))</f>
        <v/>
      </c>
      <c r="I299" s="78" t="str">
        <f ca="1">IF($B299&gt;keilatut,"",IF($C299=(-1),"",IF($C299=0,"Yhteensä",IF($C299&gt;Data!$CP$2,"",OFFSET(tulossiirtymä,MATCH($D299,Data!$AN$2:$AN$313,0),Tulokset!I$2)))))</f>
        <v/>
      </c>
      <c r="J299" s="78" t="str">
        <f ca="1">IF($B299&gt;keilatut,"",IF($C299=(-1),"",IF($C299=0,"Ero voittajaan",IF($C299&gt;Data!$CP$2,"",OFFSET(tulossiirtymä,MATCH($D299,Data!$AN$2:$AN$313,0),Tulokset!J$2)))))</f>
        <v/>
      </c>
      <c r="K299" s="78" t="str">
        <f ca="1">IF($B299&gt;keilatut,"",IF($C299=(-1),"",IF($C299=0,"Pisteet",IF($C299&gt;Data!$CP$2,"",OFFSET(tulossiirtymä,MATCH($D299,Data!$AN$2:$AN$313,0),Tulokset!K$2)))))</f>
        <v/>
      </c>
      <c r="L299" s="78" t="str">
        <f ca="1">IF($B299&gt;keilatut,"",IF($C299=(-1),"",IF($C299=0,"Pisteet yhteensä",IF($C299&gt;Data!$CP$2,"",OFFSET(tulossiirtymä,MATCH($D299,Data!$AN$2:$AN$313,0),Tulokset!L$2)))))</f>
        <v/>
      </c>
      <c r="M299" s="78" t="str">
        <f ca="1">IF($B299&gt;keilatut,"",IF($C299=(-1),"",IF($C299=0,"Pisteseloste",IF($C299&gt;Data!$CP$2,"",OFFSET(tulossiirtymä,MATCH($D299,Data!$AN$2:$AN$313,0),Tulokset!M$2)))))</f>
        <v/>
      </c>
    </row>
    <row r="300" spans="2:13" x14ac:dyDescent="0.25">
      <c r="B300" s="78">
        <f t="shared" si="5"/>
        <v>11</v>
      </c>
      <c r="C300" s="78">
        <f>COUNTIF($B$6:B300,B300)-2</f>
        <v>23</v>
      </c>
      <c r="D300" s="79" t="str">
        <f t="array" ref="D300">IF($B300&lt;=keilatut,IF($C300&lt;1,"",IF($C300&gt;Data!$CP$2,"",SMALL(IF(Data!$B$2:$B$313=Tulokset!$B300,Data!$AN$2:$AN$313),Tulokset!$C300))),"")</f>
        <v/>
      </c>
      <c r="E300" s="78" t="str">
        <f>IF($B300&gt;keilatut,"",IF($C300=(-1),"GP"&amp;$B300&amp;", "&amp;DAY(VLOOKUP($B300,kilpailukalenteri,2))&amp;"."&amp;MONTH(VLOOKUP($B300,kilpailukalenteri,2))&amp;"."&amp;YEAR(VLOOKUP($B300,kilpailukalenteri,2))&amp;", "&amp;IF(RIGHT(VLOOKUP($B300,kilpailukalenteri,4),1)="*",LEFT(VLOOKUP($B300,kilpailukalenteri,4),LEN(VLOOKUP($B300,kilpailukalenteri,4))-2)&amp;", Kultainen GP",VLOOKUP($B300,kilpailukalenteri,4)),IF($C300=0,"Sija",IF($C300&gt;Data!$CP$2,"",ROUND(Tulokset!$D300,0)))))</f>
        <v/>
      </c>
      <c r="F300" s="78" t="str">
        <f ca="1">IF($B300&gt;keilatut,"",IF($C300=(-1),"",IF($C300=0,"Nimi",IF($C300&gt;Data!$CP$2,"",OFFSET(tulossiirtymä,MATCH($D300,Data!$AN$2:$AN$313,0),Tulokset!F$2)))))</f>
        <v/>
      </c>
      <c r="G300" s="78" t="str">
        <f ca="1">IF($B300&gt;keilatut,"",IF($C300=(-1),"",IF($C300=0,"Sarja 1",IF($C300&gt;Data!$CP$2,"",OFFSET(tulossiirtymä,MATCH($D300,Data!$AN$2:$AN$313,0),Tulokset!G$2)))))</f>
        <v/>
      </c>
      <c r="H300" s="78" t="str">
        <f ca="1">IF($B300&gt;keilatut,"",IF($C300=(-1),"",IF($C300=0,"Sarja 2",IF($C300&gt;Data!$CP$2,"",OFFSET(tulossiirtymä,MATCH($D300,Data!$AN$2:$AN$313,0),Tulokset!H$2)))))</f>
        <v/>
      </c>
      <c r="I300" s="78" t="str">
        <f ca="1">IF($B300&gt;keilatut,"",IF($C300=(-1),"",IF($C300=0,"Yhteensä",IF($C300&gt;Data!$CP$2,"",OFFSET(tulossiirtymä,MATCH($D300,Data!$AN$2:$AN$313,0),Tulokset!I$2)))))</f>
        <v/>
      </c>
      <c r="J300" s="78" t="str">
        <f ca="1">IF($B300&gt;keilatut,"",IF($C300=(-1),"",IF($C300=0,"Ero voittajaan",IF($C300&gt;Data!$CP$2,"",OFFSET(tulossiirtymä,MATCH($D300,Data!$AN$2:$AN$313,0),Tulokset!J$2)))))</f>
        <v/>
      </c>
      <c r="K300" s="78" t="str">
        <f ca="1">IF($B300&gt;keilatut,"",IF($C300=(-1),"",IF($C300=0,"Pisteet",IF($C300&gt;Data!$CP$2,"",OFFSET(tulossiirtymä,MATCH($D300,Data!$AN$2:$AN$313,0),Tulokset!K$2)))))</f>
        <v/>
      </c>
      <c r="L300" s="78" t="str">
        <f ca="1">IF($B300&gt;keilatut,"",IF($C300=(-1),"",IF($C300=0,"Pisteet yhteensä",IF($C300&gt;Data!$CP$2,"",OFFSET(tulossiirtymä,MATCH($D300,Data!$AN$2:$AN$313,0),Tulokset!L$2)))))</f>
        <v/>
      </c>
      <c r="M300" s="78" t="str">
        <f ca="1">IF($B300&gt;keilatut,"",IF($C300=(-1),"",IF($C300=0,"Pisteseloste",IF($C300&gt;Data!$CP$2,"",OFFSET(tulossiirtymä,MATCH($D300,Data!$AN$2:$AN$313,0),Tulokset!M$2)))))</f>
        <v/>
      </c>
    </row>
    <row r="301" spans="2:13" x14ac:dyDescent="0.25">
      <c r="B301" s="78">
        <f t="shared" si="5"/>
        <v>11</v>
      </c>
      <c r="C301" s="78">
        <f>COUNTIF($B$6:B301,B301)-2</f>
        <v>24</v>
      </c>
      <c r="D301" s="79" t="str">
        <f t="array" ref="D301">IF($B301&lt;=keilatut,IF($C301&lt;1,"",IF($C301&gt;Data!$CP$2,"",SMALL(IF(Data!$B$2:$B$313=Tulokset!$B301,Data!$AN$2:$AN$313),Tulokset!$C301))),"")</f>
        <v/>
      </c>
      <c r="E301" s="78" t="str">
        <f>IF($B301&gt;keilatut,"",IF($C301=(-1),"GP"&amp;$B301&amp;", "&amp;DAY(VLOOKUP($B301,kilpailukalenteri,2))&amp;"."&amp;MONTH(VLOOKUP($B301,kilpailukalenteri,2))&amp;"."&amp;YEAR(VLOOKUP($B301,kilpailukalenteri,2))&amp;", "&amp;IF(RIGHT(VLOOKUP($B301,kilpailukalenteri,4),1)="*",LEFT(VLOOKUP($B301,kilpailukalenteri,4),LEN(VLOOKUP($B301,kilpailukalenteri,4))-2)&amp;", Kultainen GP",VLOOKUP($B301,kilpailukalenteri,4)),IF($C301=0,"Sija",IF($C301&gt;Data!$CP$2,"",ROUND(Tulokset!$D301,0)))))</f>
        <v/>
      </c>
      <c r="F301" s="78" t="str">
        <f ca="1">IF($B301&gt;keilatut,"",IF($C301=(-1),"",IF($C301=0,"Nimi",IF($C301&gt;Data!$CP$2,"",OFFSET(tulossiirtymä,MATCH($D301,Data!$AN$2:$AN$313,0),Tulokset!F$2)))))</f>
        <v/>
      </c>
      <c r="G301" s="78" t="str">
        <f ca="1">IF($B301&gt;keilatut,"",IF($C301=(-1),"",IF($C301=0,"Sarja 1",IF($C301&gt;Data!$CP$2,"",OFFSET(tulossiirtymä,MATCH($D301,Data!$AN$2:$AN$313,0),Tulokset!G$2)))))</f>
        <v/>
      </c>
      <c r="H301" s="78" t="str">
        <f ca="1">IF($B301&gt;keilatut,"",IF($C301=(-1),"",IF($C301=0,"Sarja 2",IF($C301&gt;Data!$CP$2,"",OFFSET(tulossiirtymä,MATCH($D301,Data!$AN$2:$AN$313,0),Tulokset!H$2)))))</f>
        <v/>
      </c>
      <c r="I301" s="78" t="str">
        <f ca="1">IF($B301&gt;keilatut,"",IF($C301=(-1),"",IF($C301=0,"Yhteensä",IF($C301&gt;Data!$CP$2,"",OFFSET(tulossiirtymä,MATCH($D301,Data!$AN$2:$AN$313,0),Tulokset!I$2)))))</f>
        <v/>
      </c>
      <c r="J301" s="78" t="str">
        <f ca="1">IF($B301&gt;keilatut,"",IF($C301=(-1),"",IF($C301=0,"Ero voittajaan",IF($C301&gt;Data!$CP$2,"",OFFSET(tulossiirtymä,MATCH($D301,Data!$AN$2:$AN$313,0),Tulokset!J$2)))))</f>
        <v/>
      </c>
      <c r="K301" s="78" t="str">
        <f ca="1">IF($B301&gt;keilatut,"",IF($C301=(-1),"",IF($C301=0,"Pisteet",IF($C301&gt;Data!$CP$2,"",OFFSET(tulossiirtymä,MATCH($D301,Data!$AN$2:$AN$313,0),Tulokset!K$2)))))</f>
        <v/>
      </c>
      <c r="L301" s="78" t="str">
        <f ca="1">IF($B301&gt;keilatut,"",IF($C301=(-1),"",IF($C301=0,"Pisteet yhteensä",IF($C301&gt;Data!$CP$2,"",OFFSET(tulossiirtymä,MATCH($D301,Data!$AN$2:$AN$313,0),Tulokset!L$2)))))</f>
        <v/>
      </c>
      <c r="M301" s="78" t="str">
        <f ca="1">IF($B301&gt;keilatut,"",IF($C301=(-1),"",IF($C301=0,"Pisteseloste",IF($C301&gt;Data!$CP$2,"",OFFSET(tulossiirtymä,MATCH($D301,Data!$AN$2:$AN$313,0),Tulokset!M$2)))))</f>
        <v/>
      </c>
    </row>
    <row r="302" spans="2:13" x14ac:dyDescent="0.25">
      <c r="B302" s="78">
        <f t="shared" si="5"/>
        <v>11</v>
      </c>
      <c r="C302" s="78">
        <f>COUNTIF($B$6:B302,B302)-2</f>
        <v>25</v>
      </c>
      <c r="D302" s="79" t="str">
        <f t="array" ref="D302">IF($B302&lt;=keilatut,IF($C302&lt;1,"",IF($C302&gt;Data!$CP$2,"",SMALL(IF(Data!$B$2:$B$313=Tulokset!$B302,Data!$AN$2:$AN$313),Tulokset!$C302))),"")</f>
        <v/>
      </c>
      <c r="E302" s="78" t="str">
        <f>IF($B302&gt;keilatut,"",IF($C302=(-1),"GP"&amp;$B302&amp;", "&amp;DAY(VLOOKUP($B302,kilpailukalenteri,2))&amp;"."&amp;MONTH(VLOOKUP($B302,kilpailukalenteri,2))&amp;"."&amp;YEAR(VLOOKUP($B302,kilpailukalenteri,2))&amp;", "&amp;IF(RIGHT(VLOOKUP($B302,kilpailukalenteri,4),1)="*",LEFT(VLOOKUP($B302,kilpailukalenteri,4),LEN(VLOOKUP($B302,kilpailukalenteri,4))-2)&amp;", Kultainen GP",VLOOKUP($B302,kilpailukalenteri,4)),IF($C302=0,"Sija",IF($C302&gt;Data!$CP$2,"",ROUND(Tulokset!$D302,0)))))</f>
        <v/>
      </c>
      <c r="F302" s="78" t="str">
        <f ca="1">IF($B302&gt;keilatut,"",IF($C302=(-1),"",IF($C302=0,"Nimi",IF($C302&gt;Data!$CP$2,"",OFFSET(tulossiirtymä,MATCH($D302,Data!$AN$2:$AN$313,0),Tulokset!F$2)))))</f>
        <v/>
      </c>
      <c r="G302" s="78" t="str">
        <f ca="1">IF($B302&gt;keilatut,"",IF($C302=(-1),"",IF($C302=0,"Sarja 1",IF($C302&gt;Data!$CP$2,"",OFFSET(tulossiirtymä,MATCH($D302,Data!$AN$2:$AN$313,0),Tulokset!G$2)))))</f>
        <v/>
      </c>
      <c r="H302" s="78" t="str">
        <f ca="1">IF($B302&gt;keilatut,"",IF($C302=(-1),"",IF($C302=0,"Sarja 2",IF($C302&gt;Data!$CP$2,"",OFFSET(tulossiirtymä,MATCH($D302,Data!$AN$2:$AN$313,0),Tulokset!H$2)))))</f>
        <v/>
      </c>
      <c r="I302" s="78" t="str">
        <f ca="1">IF($B302&gt;keilatut,"",IF($C302=(-1),"",IF($C302=0,"Yhteensä",IF($C302&gt;Data!$CP$2,"",OFFSET(tulossiirtymä,MATCH($D302,Data!$AN$2:$AN$313,0),Tulokset!I$2)))))</f>
        <v/>
      </c>
      <c r="J302" s="78" t="str">
        <f ca="1">IF($B302&gt;keilatut,"",IF($C302=(-1),"",IF($C302=0,"Ero voittajaan",IF($C302&gt;Data!$CP$2,"",OFFSET(tulossiirtymä,MATCH($D302,Data!$AN$2:$AN$313,0),Tulokset!J$2)))))</f>
        <v/>
      </c>
      <c r="K302" s="78" t="str">
        <f ca="1">IF($B302&gt;keilatut,"",IF($C302=(-1),"",IF($C302=0,"Pisteet",IF($C302&gt;Data!$CP$2,"",OFFSET(tulossiirtymä,MATCH($D302,Data!$AN$2:$AN$313,0),Tulokset!K$2)))))</f>
        <v/>
      </c>
      <c r="L302" s="78" t="str">
        <f ca="1">IF($B302&gt;keilatut,"",IF($C302=(-1),"",IF($C302=0,"Pisteet yhteensä",IF($C302&gt;Data!$CP$2,"",OFFSET(tulossiirtymä,MATCH($D302,Data!$AN$2:$AN$313,0),Tulokset!L$2)))))</f>
        <v/>
      </c>
      <c r="M302" s="78" t="str">
        <f ca="1">IF($B302&gt;keilatut,"",IF($C302=(-1),"",IF($C302=0,"Pisteseloste",IF($C302&gt;Data!$CP$2,"",OFFSET(tulossiirtymä,MATCH($D302,Data!$AN$2:$AN$313,0),Tulokset!M$2)))))</f>
        <v/>
      </c>
    </row>
    <row r="303" spans="2:13" x14ac:dyDescent="0.25">
      <c r="B303" s="78">
        <f t="shared" si="5"/>
        <v>12</v>
      </c>
      <c r="C303" s="78">
        <f>COUNTIF($B$6:B303,B303)-2</f>
        <v>-1</v>
      </c>
      <c r="D303" s="79" t="str">
        <f t="array" ref="D303">IF($B303&lt;=keilatut,IF($C303&lt;1,"",IF($C303&gt;Data!$CP$2,"",SMALL(IF(Data!$B$2:$B$313=Tulokset!$B303,Data!$AN$2:$AN$313),Tulokset!$C303))),"")</f>
        <v/>
      </c>
      <c r="E303" s="78" t="str">
        <f>IF($B303&gt;keilatut,"",IF($C303=(-1),"GP"&amp;$B303&amp;", "&amp;DAY(VLOOKUP($B303,kilpailukalenteri,2))&amp;"."&amp;MONTH(VLOOKUP($B303,kilpailukalenteri,2))&amp;"."&amp;YEAR(VLOOKUP($B303,kilpailukalenteri,2))&amp;", "&amp;IF(RIGHT(VLOOKUP($B303,kilpailukalenteri,4),1)="*",LEFT(VLOOKUP($B303,kilpailukalenteri,4),LEN(VLOOKUP($B303,kilpailukalenteri,4))-2)&amp;", Kultainen GP",VLOOKUP($B303,kilpailukalenteri,4)),IF($C303=0,"Sija",IF($C303&gt;Data!$CP$2,"",ROUND(Tulokset!$D303,0)))))</f>
        <v/>
      </c>
    </row>
    <row r="304" spans="2:13" x14ac:dyDescent="0.25">
      <c r="B304" s="78">
        <f t="shared" si="5"/>
        <v>12</v>
      </c>
      <c r="C304" s="78">
        <f>COUNTIF($B$6:B304,B304)-2</f>
        <v>0</v>
      </c>
      <c r="D304" s="79" t="str">
        <f t="array" ref="D304">IF($B304&lt;=keilatut,IF($C304&lt;1,"",IF($C304&gt;Data!$CP$2,"",SMALL(IF(Data!$B$2:$B$313=Tulokset!$B304,Data!$AN$2:$AN$313),Tulokset!$C304))),"")</f>
        <v/>
      </c>
      <c r="E304" s="78" t="str">
        <f>IF($B304&gt;keilatut,"",IF($C304=(-1),"GP"&amp;$B304&amp;", "&amp;DAY(VLOOKUP($B304,kilpailukalenteri,2))&amp;"."&amp;MONTH(VLOOKUP($B304,kilpailukalenteri,2))&amp;"."&amp;YEAR(VLOOKUP($B304,kilpailukalenteri,2))&amp;", "&amp;IF(RIGHT(VLOOKUP($B304,kilpailukalenteri,4),1)="*",LEFT(VLOOKUP($B304,kilpailukalenteri,4),LEN(VLOOKUP($B304,kilpailukalenteri,4))-2)&amp;", Kultainen GP",VLOOKUP($B304,kilpailukalenteri,4)),IF($C304=0,"Sija",IF($C304&gt;Data!$CP$2,"",ROUND(Tulokset!$D304,0)))))</f>
        <v/>
      </c>
      <c r="F304" s="78" t="str">
        <f ca="1">IF($B304&gt;keilatut,"",IF($C304=(-1),"",IF($C304=0,"Nimi",IF($C304&gt;Data!$CP$2,"",OFFSET(tulossiirtymä,MATCH($D304,Data!$AN$2:$AN$313,0),Tulokset!F$2)))))</f>
        <v/>
      </c>
      <c r="G304" s="78" t="str">
        <f ca="1">IF($B304&gt;keilatut,"",IF($C304=(-1),"",IF($C304=0,"Sarja 1",IF($C304&gt;Data!$CP$2,"",OFFSET(tulossiirtymä,MATCH($D304,Data!$AN$2:$AN$313,0),Tulokset!G$2)))))</f>
        <v/>
      </c>
      <c r="H304" s="78" t="str">
        <f ca="1">IF($B304&gt;keilatut,"",IF($C304=(-1),"",IF($C304=0,"Sarja 2",IF($C304&gt;Data!$CP$2,"",OFFSET(tulossiirtymä,MATCH($D304,Data!$AN$2:$AN$313,0),Tulokset!H$2)))))</f>
        <v/>
      </c>
      <c r="I304" s="78" t="str">
        <f ca="1">IF($B304&gt;keilatut,"",IF($C304=(-1),"",IF($C304=0,"Yhteensä",IF($C304&gt;Data!$CP$2,"",OFFSET(tulossiirtymä,MATCH($D304,Data!$AN$2:$AN$313,0),Tulokset!I$2)))))</f>
        <v/>
      </c>
      <c r="J304" s="78" t="str">
        <f ca="1">IF($B304&gt;keilatut,"",IF($C304=(-1),"",IF($C304=0,"Ero voittajaan",IF($C304&gt;Data!$CP$2,"",OFFSET(tulossiirtymä,MATCH($D304,Data!$AN$2:$AN$313,0),Tulokset!J$2)))))</f>
        <v/>
      </c>
      <c r="K304" s="78" t="str">
        <f ca="1">IF($B304&gt;keilatut,"",IF($C304=(-1),"",IF($C304=0,"Pisteet",IF($C304&gt;Data!$CP$2,"",OFFSET(tulossiirtymä,MATCH($D304,Data!$AN$2:$AN$313,0),Tulokset!K$2)))))</f>
        <v/>
      </c>
      <c r="L304" s="78" t="str">
        <f ca="1">IF($B304&gt;keilatut,"",IF($C304=(-1),"",IF($C304=0,"Pisteet yhteensä",IF($C304&gt;Data!$CP$2,"",OFFSET(tulossiirtymä,MATCH($D304,Data!$AN$2:$AN$313,0),Tulokset!L$2)))))</f>
        <v/>
      </c>
      <c r="M304" s="78" t="str">
        <f ca="1">IF($B304&gt;keilatut,"",IF($C304=(-1),"",IF($C304=0,"Pisteseloste",IF($C304&gt;Data!$CP$2,"",OFFSET(tulossiirtymä,MATCH($D304,Data!$AN$2:$AN$313,0),Tulokset!M$2)))))</f>
        <v/>
      </c>
    </row>
    <row r="305" spans="2:13" x14ac:dyDescent="0.25">
      <c r="B305" s="78">
        <f t="shared" si="5"/>
        <v>12</v>
      </c>
      <c r="C305" s="78">
        <f>COUNTIF($B$6:B305,B305)-2</f>
        <v>1</v>
      </c>
      <c r="D305" s="79" t="str">
        <f t="array" ref="D305">IF($B305&lt;=keilatut,IF($C305&lt;1,"",IF($C305&gt;Data!$CP$2,"",SMALL(IF(Data!$B$2:$B$313=Tulokset!$B305,Data!$AN$2:$AN$313),Tulokset!$C305))),"")</f>
        <v/>
      </c>
      <c r="E305" s="78" t="str">
        <f>IF($B305&gt;keilatut,"",IF($C305=(-1),"GP"&amp;$B305&amp;", "&amp;DAY(VLOOKUP($B305,kilpailukalenteri,2))&amp;"."&amp;MONTH(VLOOKUP($B305,kilpailukalenteri,2))&amp;"."&amp;YEAR(VLOOKUP($B305,kilpailukalenteri,2))&amp;", "&amp;IF(RIGHT(VLOOKUP($B305,kilpailukalenteri,4),1)="*",LEFT(VLOOKUP($B305,kilpailukalenteri,4),LEN(VLOOKUP($B305,kilpailukalenteri,4))-2)&amp;", Kultainen GP",VLOOKUP($B305,kilpailukalenteri,4)),IF($C305=0,"Sija",IF($C305&gt;Data!$CP$2,"",ROUND(Tulokset!$D305,0)))))</f>
        <v/>
      </c>
      <c r="F305" s="78" t="str">
        <f ca="1">IF($B305&gt;keilatut,"",IF($C305=(-1),"",IF($C305=0,"Nimi",IF($C305&gt;Data!$CP$2,"",OFFSET(tulossiirtymä,MATCH($D305,Data!$AN$2:$AN$313,0),Tulokset!F$2)))))</f>
        <v/>
      </c>
      <c r="G305" s="78" t="str">
        <f ca="1">IF($B305&gt;keilatut,"",IF($C305=(-1),"",IF($C305=0,"Sarja 1",IF($C305&gt;Data!$CP$2,"",OFFSET(tulossiirtymä,MATCH($D305,Data!$AN$2:$AN$313,0),Tulokset!G$2)))))</f>
        <v/>
      </c>
      <c r="H305" s="78" t="str">
        <f ca="1">IF($B305&gt;keilatut,"",IF($C305=(-1),"",IF($C305=0,"Sarja 2",IF($C305&gt;Data!$CP$2,"",OFFSET(tulossiirtymä,MATCH($D305,Data!$AN$2:$AN$313,0),Tulokset!H$2)))))</f>
        <v/>
      </c>
      <c r="I305" s="78" t="str">
        <f ca="1">IF($B305&gt;keilatut,"",IF($C305=(-1),"",IF($C305=0,"Yhteensä",IF($C305&gt;Data!$CP$2,"",OFFSET(tulossiirtymä,MATCH($D305,Data!$AN$2:$AN$313,0),Tulokset!I$2)))))</f>
        <v/>
      </c>
      <c r="J305" s="78" t="str">
        <f ca="1">IF($B305&gt;keilatut,"",IF($C305=(-1),"",IF($C305=0,"Ero voittajaan",IF($C305&gt;Data!$CP$2,"",OFFSET(tulossiirtymä,MATCH($D305,Data!$AN$2:$AN$313,0),Tulokset!J$2)))))</f>
        <v/>
      </c>
      <c r="K305" s="78" t="str">
        <f ca="1">IF($B305&gt;keilatut,"",IF($C305=(-1),"",IF($C305=0,"Pisteet",IF($C305&gt;Data!$CP$2,"",OFFSET(tulossiirtymä,MATCH($D305,Data!$AN$2:$AN$313,0),Tulokset!K$2)))))</f>
        <v/>
      </c>
      <c r="L305" s="78" t="str">
        <f ca="1">IF($B305&gt;keilatut,"",IF($C305=(-1),"",IF($C305=0,"Pisteet yhteensä",IF($C305&gt;Data!$CP$2,"",OFFSET(tulossiirtymä,MATCH($D305,Data!$AN$2:$AN$313,0),Tulokset!L$2)))))</f>
        <v/>
      </c>
      <c r="M305" s="78" t="str">
        <f ca="1">IF($B305&gt;keilatut,"",IF($C305=(-1),"",IF($C305=0,"Pisteseloste",IF($C305&gt;Data!$CP$2,"",OFFSET(tulossiirtymä,MATCH($D305,Data!$AN$2:$AN$313,0),Tulokset!M$2)))))</f>
        <v/>
      </c>
    </row>
    <row r="306" spans="2:13" x14ac:dyDescent="0.25">
      <c r="B306" s="78">
        <f t="shared" si="5"/>
        <v>12</v>
      </c>
      <c r="C306" s="78">
        <f>COUNTIF($B$6:B306,B306)-2</f>
        <v>2</v>
      </c>
      <c r="D306" s="79" t="str">
        <f t="array" ref="D306">IF($B306&lt;=keilatut,IF($C306&lt;1,"",IF($C306&gt;Data!$CP$2,"",SMALL(IF(Data!$B$2:$B$313=Tulokset!$B306,Data!$AN$2:$AN$313),Tulokset!$C306))),"")</f>
        <v/>
      </c>
      <c r="E306" s="78" t="str">
        <f>IF($B306&gt;keilatut,"",IF($C306=(-1),"GP"&amp;$B306&amp;", "&amp;DAY(VLOOKUP($B306,kilpailukalenteri,2))&amp;"."&amp;MONTH(VLOOKUP($B306,kilpailukalenteri,2))&amp;"."&amp;YEAR(VLOOKUP($B306,kilpailukalenteri,2))&amp;", "&amp;IF(RIGHT(VLOOKUP($B306,kilpailukalenteri,4),1)="*",LEFT(VLOOKUP($B306,kilpailukalenteri,4),LEN(VLOOKUP($B306,kilpailukalenteri,4))-2)&amp;", Kultainen GP",VLOOKUP($B306,kilpailukalenteri,4)),IF($C306=0,"Sija",IF($C306&gt;Data!$CP$2,"",ROUND(Tulokset!$D306,0)))))</f>
        <v/>
      </c>
      <c r="F306" s="78" t="str">
        <f ca="1">IF($B306&gt;keilatut,"",IF($C306=(-1),"",IF($C306=0,"Nimi",IF($C306&gt;Data!$CP$2,"",OFFSET(tulossiirtymä,MATCH($D306,Data!$AN$2:$AN$313,0),Tulokset!F$2)))))</f>
        <v/>
      </c>
      <c r="G306" s="78" t="str">
        <f ca="1">IF($B306&gt;keilatut,"",IF($C306=(-1),"",IF($C306=0,"Sarja 1",IF($C306&gt;Data!$CP$2,"",OFFSET(tulossiirtymä,MATCH($D306,Data!$AN$2:$AN$313,0),Tulokset!G$2)))))</f>
        <v/>
      </c>
      <c r="H306" s="78" t="str">
        <f ca="1">IF($B306&gt;keilatut,"",IF($C306=(-1),"",IF($C306=0,"Sarja 2",IF($C306&gt;Data!$CP$2,"",OFFSET(tulossiirtymä,MATCH($D306,Data!$AN$2:$AN$313,0),Tulokset!H$2)))))</f>
        <v/>
      </c>
      <c r="I306" s="78" t="str">
        <f ca="1">IF($B306&gt;keilatut,"",IF($C306=(-1),"",IF($C306=0,"Yhteensä",IF($C306&gt;Data!$CP$2,"",OFFSET(tulossiirtymä,MATCH($D306,Data!$AN$2:$AN$313,0),Tulokset!I$2)))))</f>
        <v/>
      </c>
      <c r="J306" s="78" t="str">
        <f ca="1">IF($B306&gt;keilatut,"",IF($C306=(-1),"",IF($C306=0,"Ero voittajaan",IF($C306&gt;Data!$CP$2,"",OFFSET(tulossiirtymä,MATCH($D306,Data!$AN$2:$AN$313,0),Tulokset!J$2)))))</f>
        <v/>
      </c>
      <c r="K306" s="78" t="str">
        <f ca="1">IF($B306&gt;keilatut,"",IF($C306=(-1),"",IF($C306=0,"Pisteet",IF($C306&gt;Data!$CP$2,"",OFFSET(tulossiirtymä,MATCH($D306,Data!$AN$2:$AN$313,0),Tulokset!K$2)))))</f>
        <v/>
      </c>
      <c r="L306" s="78" t="str">
        <f ca="1">IF($B306&gt;keilatut,"",IF($C306=(-1),"",IF($C306=0,"Pisteet yhteensä",IF($C306&gt;Data!$CP$2,"",OFFSET(tulossiirtymä,MATCH($D306,Data!$AN$2:$AN$313,0),Tulokset!L$2)))))</f>
        <v/>
      </c>
      <c r="M306" s="78" t="str">
        <f ca="1">IF($B306&gt;keilatut,"",IF($C306=(-1),"",IF($C306=0,"Pisteseloste",IF($C306&gt;Data!$CP$2,"",OFFSET(tulossiirtymä,MATCH($D306,Data!$AN$2:$AN$313,0),Tulokset!M$2)))))</f>
        <v/>
      </c>
    </row>
    <row r="307" spans="2:13" x14ac:dyDescent="0.25">
      <c r="B307" s="78">
        <f t="shared" si="5"/>
        <v>12</v>
      </c>
      <c r="C307" s="78">
        <f>COUNTIF($B$6:B307,B307)-2</f>
        <v>3</v>
      </c>
      <c r="D307" s="79" t="str">
        <f t="array" ref="D307">IF($B307&lt;=keilatut,IF($C307&lt;1,"",IF($C307&gt;Data!$CP$2,"",SMALL(IF(Data!$B$2:$B$313=Tulokset!$B307,Data!$AN$2:$AN$313),Tulokset!$C307))),"")</f>
        <v/>
      </c>
      <c r="E307" s="78" t="str">
        <f>IF($B307&gt;keilatut,"",IF($C307=(-1),"GP"&amp;$B307&amp;", "&amp;DAY(VLOOKUP($B307,kilpailukalenteri,2))&amp;"."&amp;MONTH(VLOOKUP($B307,kilpailukalenteri,2))&amp;"."&amp;YEAR(VLOOKUP($B307,kilpailukalenteri,2))&amp;", "&amp;IF(RIGHT(VLOOKUP($B307,kilpailukalenteri,4),1)="*",LEFT(VLOOKUP($B307,kilpailukalenteri,4),LEN(VLOOKUP($B307,kilpailukalenteri,4))-2)&amp;", Kultainen GP",VLOOKUP($B307,kilpailukalenteri,4)),IF($C307=0,"Sija",IF($C307&gt;Data!$CP$2,"",ROUND(Tulokset!$D307,0)))))</f>
        <v/>
      </c>
      <c r="F307" s="78" t="str">
        <f ca="1">IF($B307&gt;keilatut,"",IF($C307=(-1),"",IF($C307=0,"Nimi",IF($C307&gt;Data!$CP$2,"",OFFSET(tulossiirtymä,MATCH($D307,Data!$AN$2:$AN$313,0),Tulokset!F$2)))))</f>
        <v/>
      </c>
      <c r="G307" s="78" t="str">
        <f ca="1">IF($B307&gt;keilatut,"",IF($C307=(-1),"",IF($C307=0,"Sarja 1",IF($C307&gt;Data!$CP$2,"",OFFSET(tulossiirtymä,MATCH($D307,Data!$AN$2:$AN$313,0),Tulokset!G$2)))))</f>
        <v/>
      </c>
      <c r="H307" s="78" t="str">
        <f ca="1">IF($B307&gt;keilatut,"",IF($C307=(-1),"",IF($C307=0,"Sarja 2",IF($C307&gt;Data!$CP$2,"",OFFSET(tulossiirtymä,MATCH($D307,Data!$AN$2:$AN$313,0),Tulokset!H$2)))))</f>
        <v/>
      </c>
      <c r="I307" s="78" t="str">
        <f ca="1">IF($B307&gt;keilatut,"",IF($C307=(-1),"",IF($C307=0,"Yhteensä",IF($C307&gt;Data!$CP$2,"",OFFSET(tulossiirtymä,MATCH($D307,Data!$AN$2:$AN$313,0),Tulokset!I$2)))))</f>
        <v/>
      </c>
      <c r="J307" s="78" t="str">
        <f ca="1">IF($B307&gt;keilatut,"",IF($C307=(-1),"",IF($C307=0,"Ero voittajaan",IF($C307&gt;Data!$CP$2,"",OFFSET(tulossiirtymä,MATCH($D307,Data!$AN$2:$AN$313,0),Tulokset!J$2)))))</f>
        <v/>
      </c>
      <c r="K307" s="78" t="str">
        <f ca="1">IF($B307&gt;keilatut,"",IF($C307=(-1),"",IF($C307=0,"Pisteet",IF($C307&gt;Data!$CP$2,"",OFFSET(tulossiirtymä,MATCH($D307,Data!$AN$2:$AN$313,0),Tulokset!K$2)))))</f>
        <v/>
      </c>
      <c r="L307" s="78" t="str">
        <f ca="1">IF($B307&gt;keilatut,"",IF($C307=(-1),"",IF($C307=0,"Pisteet yhteensä",IF($C307&gt;Data!$CP$2,"",OFFSET(tulossiirtymä,MATCH($D307,Data!$AN$2:$AN$313,0),Tulokset!L$2)))))</f>
        <v/>
      </c>
      <c r="M307" s="78" t="str">
        <f ca="1">IF($B307&gt;keilatut,"",IF($C307=(-1),"",IF($C307=0,"Pisteseloste",IF($C307&gt;Data!$CP$2,"",OFFSET(tulossiirtymä,MATCH($D307,Data!$AN$2:$AN$313,0),Tulokset!M$2)))))</f>
        <v/>
      </c>
    </row>
    <row r="308" spans="2:13" x14ac:dyDescent="0.25">
      <c r="B308" s="78">
        <f t="shared" si="5"/>
        <v>12</v>
      </c>
      <c r="C308" s="78">
        <f>COUNTIF($B$6:B308,B308)-2</f>
        <v>4</v>
      </c>
      <c r="D308" s="79" t="str">
        <f t="array" ref="D308">IF($B308&lt;=keilatut,IF($C308&lt;1,"",IF($C308&gt;Data!$CP$2,"",SMALL(IF(Data!$B$2:$B$313=Tulokset!$B308,Data!$AN$2:$AN$313),Tulokset!$C308))),"")</f>
        <v/>
      </c>
      <c r="E308" s="78" t="str">
        <f>IF($B308&gt;keilatut,"",IF($C308=(-1),"GP"&amp;$B308&amp;", "&amp;DAY(VLOOKUP($B308,kilpailukalenteri,2))&amp;"."&amp;MONTH(VLOOKUP($B308,kilpailukalenteri,2))&amp;"."&amp;YEAR(VLOOKUP($B308,kilpailukalenteri,2))&amp;", "&amp;IF(RIGHT(VLOOKUP($B308,kilpailukalenteri,4),1)="*",LEFT(VLOOKUP($B308,kilpailukalenteri,4),LEN(VLOOKUP($B308,kilpailukalenteri,4))-2)&amp;", Kultainen GP",VLOOKUP($B308,kilpailukalenteri,4)),IF($C308=0,"Sija",IF($C308&gt;Data!$CP$2,"",ROUND(Tulokset!$D308,0)))))</f>
        <v/>
      </c>
      <c r="F308" s="78" t="str">
        <f ca="1">IF($B308&gt;keilatut,"",IF($C308=(-1),"",IF($C308=0,"Nimi",IF($C308&gt;Data!$CP$2,"",OFFSET(tulossiirtymä,MATCH($D308,Data!$AN$2:$AN$313,0),Tulokset!F$2)))))</f>
        <v/>
      </c>
      <c r="G308" s="78" t="str">
        <f ca="1">IF($B308&gt;keilatut,"",IF($C308=(-1),"",IF($C308=0,"Sarja 1",IF($C308&gt;Data!$CP$2,"",OFFSET(tulossiirtymä,MATCH($D308,Data!$AN$2:$AN$313,0),Tulokset!G$2)))))</f>
        <v/>
      </c>
      <c r="H308" s="78" t="str">
        <f ca="1">IF($B308&gt;keilatut,"",IF($C308=(-1),"",IF($C308=0,"Sarja 2",IF($C308&gt;Data!$CP$2,"",OFFSET(tulossiirtymä,MATCH($D308,Data!$AN$2:$AN$313,0),Tulokset!H$2)))))</f>
        <v/>
      </c>
      <c r="I308" s="78" t="str">
        <f ca="1">IF($B308&gt;keilatut,"",IF($C308=(-1),"",IF($C308=0,"Yhteensä",IF($C308&gt;Data!$CP$2,"",OFFSET(tulossiirtymä,MATCH($D308,Data!$AN$2:$AN$313,0),Tulokset!I$2)))))</f>
        <v/>
      </c>
      <c r="J308" s="78" t="str">
        <f ca="1">IF($B308&gt;keilatut,"",IF($C308=(-1),"",IF($C308=0,"Ero voittajaan",IF($C308&gt;Data!$CP$2,"",OFFSET(tulossiirtymä,MATCH($D308,Data!$AN$2:$AN$313,0),Tulokset!J$2)))))</f>
        <v/>
      </c>
      <c r="K308" s="78" t="str">
        <f ca="1">IF($B308&gt;keilatut,"",IF($C308=(-1),"",IF($C308=0,"Pisteet",IF($C308&gt;Data!$CP$2,"",OFFSET(tulossiirtymä,MATCH($D308,Data!$AN$2:$AN$313,0),Tulokset!K$2)))))</f>
        <v/>
      </c>
      <c r="L308" s="78" t="str">
        <f ca="1">IF($B308&gt;keilatut,"",IF($C308=(-1),"",IF($C308=0,"Pisteet yhteensä",IF($C308&gt;Data!$CP$2,"",OFFSET(tulossiirtymä,MATCH($D308,Data!$AN$2:$AN$313,0),Tulokset!L$2)))))</f>
        <v/>
      </c>
      <c r="M308" s="78" t="str">
        <f ca="1">IF($B308&gt;keilatut,"",IF($C308=(-1),"",IF($C308=0,"Pisteseloste",IF($C308&gt;Data!$CP$2,"",OFFSET(tulossiirtymä,MATCH($D308,Data!$AN$2:$AN$313,0),Tulokset!M$2)))))</f>
        <v/>
      </c>
    </row>
    <row r="309" spans="2:13" x14ac:dyDescent="0.25">
      <c r="B309" s="78">
        <f t="shared" si="5"/>
        <v>12</v>
      </c>
      <c r="C309" s="78">
        <f>COUNTIF($B$6:B309,B309)-2</f>
        <v>5</v>
      </c>
      <c r="D309" s="79" t="str">
        <f t="array" ref="D309">IF($B309&lt;=keilatut,IF($C309&lt;1,"",IF($C309&gt;Data!$CP$2,"",SMALL(IF(Data!$B$2:$B$313=Tulokset!$B309,Data!$AN$2:$AN$313),Tulokset!$C309))),"")</f>
        <v/>
      </c>
      <c r="E309" s="78" t="str">
        <f>IF($B309&gt;keilatut,"",IF($C309=(-1),"GP"&amp;$B309&amp;", "&amp;DAY(VLOOKUP($B309,kilpailukalenteri,2))&amp;"."&amp;MONTH(VLOOKUP($B309,kilpailukalenteri,2))&amp;"."&amp;YEAR(VLOOKUP($B309,kilpailukalenteri,2))&amp;", "&amp;IF(RIGHT(VLOOKUP($B309,kilpailukalenteri,4),1)="*",LEFT(VLOOKUP($B309,kilpailukalenteri,4),LEN(VLOOKUP($B309,kilpailukalenteri,4))-2)&amp;", Kultainen GP",VLOOKUP($B309,kilpailukalenteri,4)),IF($C309=0,"Sija",IF($C309&gt;Data!$CP$2,"",ROUND(Tulokset!$D309,0)))))</f>
        <v/>
      </c>
      <c r="F309" s="78" t="str">
        <f ca="1">IF($B309&gt;keilatut,"",IF($C309=(-1),"",IF($C309=0,"Nimi",IF($C309&gt;Data!$CP$2,"",OFFSET(tulossiirtymä,MATCH($D309,Data!$AN$2:$AN$313,0),Tulokset!F$2)))))</f>
        <v/>
      </c>
      <c r="G309" s="78" t="str">
        <f ca="1">IF($B309&gt;keilatut,"",IF($C309=(-1),"",IF($C309=0,"Sarja 1",IF($C309&gt;Data!$CP$2,"",OFFSET(tulossiirtymä,MATCH($D309,Data!$AN$2:$AN$313,0),Tulokset!G$2)))))</f>
        <v/>
      </c>
      <c r="H309" s="78" t="str">
        <f ca="1">IF($B309&gt;keilatut,"",IF($C309=(-1),"",IF($C309=0,"Sarja 2",IF($C309&gt;Data!$CP$2,"",OFFSET(tulossiirtymä,MATCH($D309,Data!$AN$2:$AN$313,0),Tulokset!H$2)))))</f>
        <v/>
      </c>
      <c r="I309" s="78" t="str">
        <f ca="1">IF($B309&gt;keilatut,"",IF($C309=(-1),"",IF($C309=0,"Yhteensä",IF($C309&gt;Data!$CP$2,"",OFFSET(tulossiirtymä,MATCH($D309,Data!$AN$2:$AN$313,0),Tulokset!I$2)))))</f>
        <v/>
      </c>
      <c r="J309" s="78" t="str">
        <f ca="1">IF($B309&gt;keilatut,"",IF($C309=(-1),"",IF($C309=0,"Ero voittajaan",IF($C309&gt;Data!$CP$2,"",OFFSET(tulossiirtymä,MATCH($D309,Data!$AN$2:$AN$313,0),Tulokset!J$2)))))</f>
        <v/>
      </c>
      <c r="K309" s="78" t="str">
        <f ca="1">IF($B309&gt;keilatut,"",IF($C309=(-1),"",IF($C309=0,"Pisteet",IF($C309&gt;Data!$CP$2,"",OFFSET(tulossiirtymä,MATCH($D309,Data!$AN$2:$AN$313,0),Tulokset!K$2)))))</f>
        <v/>
      </c>
      <c r="L309" s="78" t="str">
        <f ca="1">IF($B309&gt;keilatut,"",IF($C309=(-1),"",IF($C309=0,"Pisteet yhteensä",IF($C309&gt;Data!$CP$2,"",OFFSET(tulossiirtymä,MATCH($D309,Data!$AN$2:$AN$313,0),Tulokset!L$2)))))</f>
        <v/>
      </c>
      <c r="M309" s="78" t="str">
        <f ca="1">IF($B309&gt;keilatut,"",IF($C309=(-1),"",IF($C309=0,"Pisteseloste",IF($C309&gt;Data!$CP$2,"",OFFSET(tulossiirtymä,MATCH($D309,Data!$AN$2:$AN$313,0),Tulokset!M$2)))))</f>
        <v/>
      </c>
    </row>
    <row r="310" spans="2:13" x14ac:dyDescent="0.25">
      <c r="B310" s="78">
        <f t="shared" si="5"/>
        <v>12</v>
      </c>
      <c r="C310" s="78">
        <f>COUNTIF($B$6:B310,B310)-2</f>
        <v>6</v>
      </c>
      <c r="D310" s="79" t="str">
        <f t="array" ref="D310">IF($B310&lt;=keilatut,IF($C310&lt;1,"",IF($C310&gt;Data!$CP$2,"",SMALL(IF(Data!$B$2:$B$313=Tulokset!$B310,Data!$AN$2:$AN$313),Tulokset!$C310))),"")</f>
        <v/>
      </c>
      <c r="E310" s="78" t="str">
        <f>IF($B310&gt;keilatut,"",IF($C310=(-1),"GP"&amp;$B310&amp;", "&amp;DAY(VLOOKUP($B310,kilpailukalenteri,2))&amp;"."&amp;MONTH(VLOOKUP($B310,kilpailukalenteri,2))&amp;"."&amp;YEAR(VLOOKUP($B310,kilpailukalenteri,2))&amp;", "&amp;IF(RIGHT(VLOOKUP($B310,kilpailukalenteri,4),1)="*",LEFT(VLOOKUP($B310,kilpailukalenteri,4),LEN(VLOOKUP($B310,kilpailukalenteri,4))-2)&amp;", Kultainen GP",VLOOKUP($B310,kilpailukalenteri,4)),IF($C310=0,"Sija",IF($C310&gt;Data!$CP$2,"",ROUND(Tulokset!$D310,0)))))</f>
        <v/>
      </c>
      <c r="F310" s="78" t="str">
        <f ca="1">IF($B310&gt;keilatut,"",IF($C310=(-1),"",IF($C310=0,"Nimi",IF($C310&gt;Data!$CP$2,"",OFFSET(tulossiirtymä,MATCH($D310,Data!$AN$2:$AN$313,0),Tulokset!F$2)))))</f>
        <v/>
      </c>
      <c r="G310" s="78" t="str">
        <f ca="1">IF($B310&gt;keilatut,"",IF($C310=(-1),"",IF($C310=0,"Sarja 1",IF($C310&gt;Data!$CP$2,"",OFFSET(tulossiirtymä,MATCH($D310,Data!$AN$2:$AN$313,0),Tulokset!G$2)))))</f>
        <v/>
      </c>
      <c r="H310" s="78" t="str">
        <f ca="1">IF($B310&gt;keilatut,"",IF($C310=(-1),"",IF($C310=0,"Sarja 2",IF($C310&gt;Data!$CP$2,"",OFFSET(tulossiirtymä,MATCH($D310,Data!$AN$2:$AN$313,0),Tulokset!H$2)))))</f>
        <v/>
      </c>
      <c r="I310" s="78" t="str">
        <f ca="1">IF($B310&gt;keilatut,"",IF($C310=(-1),"",IF($C310=0,"Yhteensä",IF($C310&gt;Data!$CP$2,"",OFFSET(tulossiirtymä,MATCH($D310,Data!$AN$2:$AN$313,0),Tulokset!I$2)))))</f>
        <v/>
      </c>
      <c r="J310" s="78" t="str">
        <f ca="1">IF($B310&gt;keilatut,"",IF($C310=(-1),"",IF($C310=0,"Ero voittajaan",IF($C310&gt;Data!$CP$2,"",OFFSET(tulossiirtymä,MATCH($D310,Data!$AN$2:$AN$313,0),Tulokset!J$2)))))</f>
        <v/>
      </c>
      <c r="K310" s="78" t="str">
        <f ca="1">IF($B310&gt;keilatut,"",IF($C310=(-1),"",IF($C310=0,"Pisteet",IF($C310&gt;Data!$CP$2,"",OFFSET(tulossiirtymä,MATCH($D310,Data!$AN$2:$AN$313,0),Tulokset!K$2)))))</f>
        <v/>
      </c>
      <c r="L310" s="78" t="str">
        <f ca="1">IF($B310&gt;keilatut,"",IF($C310=(-1),"",IF($C310=0,"Pisteet yhteensä",IF($C310&gt;Data!$CP$2,"",OFFSET(tulossiirtymä,MATCH($D310,Data!$AN$2:$AN$313,0),Tulokset!L$2)))))</f>
        <v/>
      </c>
      <c r="M310" s="78" t="str">
        <f ca="1">IF($B310&gt;keilatut,"",IF($C310=(-1),"",IF($C310=0,"Pisteseloste",IF($C310&gt;Data!$CP$2,"",OFFSET(tulossiirtymä,MATCH($D310,Data!$AN$2:$AN$313,0),Tulokset!M$2)))))</f>
        <v/>
      </c>
    </row>
    <row r="311" spans="2:13" x14ac:dyDescent="0.25">
      <c r="B311" s="78">
        <f t="shared" si="5"/>
        <v>12</v>
      </c>
      <c r="C311" s="78">
        <f>COUNTIF($B$6:B311,B311)-2</f>
        <v>7</v>
      </c>
      <c r="D311" s="79" t="str">
        <f t="array" ref="D311">IF($B311&lt;=keilatut,IF($C311&lt;1,"",IF($C311&gt;Data!$CP$2,"",SMALL(IF(Data!$B$2:$B$313=Tulokset!$B311,Data!$AN$2:$AN$313),Tulokset!$C311))),"")</f>
        <v/>
      </c>
      <c r="E311" s="78" t="str">
        <f>IF($B311&gt;keilatut,"",IF($C311=(-1),"GP"&amp;$B311&amp;", "&amp;DAY(VLOOKUP($B311,kilpailukalenteri,2))&amp;"."&amp;MONTH(VLOOKUP($B311,kilpailukalenteri,2))&amp;"."&amp;YEAR(VLOOKUP($B311,kilpailukalenteri,2))&amp;", "&amp;IF(RIGHT(VLOOKUP($B311,kilpailukalenteri,4),1)="*",LEFT(VLOOKUP($B311,kilpailukalenteri,4),LEN(VLOOKUP($B311,kilpailukalenteri,4))-2)&amp;", Kultainen GP",VLOOKUP($B311,kilpailukalenteri,4)),IF($C311=0,"Sija",IF($C311&gt;Data!$CP$2,"",ROUND(Tulokset!$D311,0)))))</f>
        <v/>
      </c>
      <c r="F311" s="78" t="str">
        <f ca="1">IF($B311&gt;keilatut,"",IF($C311=(-1),"",IF($C311=0,"Nimi",IF($C311&gt;Data!$CP$2,"",OFFSET(tulossiirtymä,MATCH($D311,Data!$AN$2:$AN$313,0),Tulokset!F$2)))))</f>
        <v/>
      </c>
      <c r="G311" s="78" t="str">
        <f ca="1">IF($B311&gt;keilatut,"",IF($C311=(-1),"",IF($C311=0,"Sarja 1",IF($C311&gt;Data!$CP$2,"",OFFSET(tulossiirtymä,MATCH($D311,Data!$AN$2:$AN$313,0),Tulokset!G$2)))))</f>
        <v/>
      </c>
      <c r="H311" s="78" t="str">
        <f ca="1">IF($B311&gt;keilatut,"",IF($C311=(-1),"",IF($C311=0,"Sarja 2",IF($C311&gt;Data!$CP$2,"",OFFSET(tulossiirtymä,MATCH($D311,Data!$AN$2:$AN$313,0),Tulokset!H$2)))))</f>
        <v/>
      </c>
      <c r="I311" s="78" t="str">
        <f ca="1">IF($B311&gt;keilatut,"",IF($C311=(-1),"",IF($C311=0,"Yhteensä",IF($C311&gt;Data!$CP$2,"",OFFSET(tulossiirtymä,MATCH($D311,Data!$AN$2:$AN$313,0),Tulokset!I$2)))))</f>
        <v/>
      </c>
      <c r="J311" s="78" t="str">
        <f ca="1">IF($B311&gt;keilatut,"",IF($C311=(-1),"",IF($C311=0,"Ero voittajaan",IF($C311&gt;Data!$CP$2,"",OFFSET(tulossiirtymä,MATCH($D311,Data!$AN$2:$AN$313,0),Tulokset!J$2)))))</f>
        <v/>
      </c>
      <c r="K311" s="78" t="str">
        <f ca="1">IF($B311&gt;keilatut,"",IF($C311=(-1),"",IF($C311=0,"Pisteet",IF($C311&gt;Data!$CP$2,"",OFFSET(tulossiirtymä,MATCH($D311,Data!$AN$2:$AN$313,0),Tulokset!K$2)))))</f>
        <v/>
      </c>
      <c r="L311" s="78" t="str">
        <f ca="1">IF($B311&gt;keilatut,"",IF($C311=(-1),"",IF($C311=0,"Pisteet yhteensä",IF($C311&gt;Data!$CP$2,"",OFFSET(tulossiirtymä,MATCH($D311,Data!$AN$2:$AN$313,0),Tulokset!L$2)))))</f>
        <v/>
      </c>
      <c r="M311" s="78" t="str">
        <f ca="1">IF($B311&gt;keilatut,"",IF($C311=(-1),"",IF($C311=0,"Pisteseloste",IF($C311&gt;Data!$CP$2,"",OFFSET(tulossiirtymä,MATCH($D311,Data!$AN$2:$AN$313,0),Tulokset!M$2)))))</f>
        <v/>
      </c>
    </row>
    <row r="312" spans="2:13" x14ac:dyDescent="0.25">
      <c r="B312" s="78">
        <f t="shared" si="5"/>
        <v>12</v>
      </c>
      <c r="C312" s="78">
        <f>COUNTIF($B$6:B312,B312)-2</f>
        <v>8</v>
      </c>
      <c r="D312" s="79" t="str">
        <f t="array" ref="D312">IF($B312&lt;=keilatut,IF($C312&lt;1,"",IF($C312&gt;Data!$CP$2,"",SMALL(IF(Data!$B$2:$B$313=Tulokset!$B312,Data!$AN$2:$AN$313),Tulokset!$C312))),"")</f>
        <v/>
      </c>
      <c r="E312" s="78" t="str">
        <f>IF($B312&gt;keilatut,"",IF($C312=(-1),"GP"&amp;$B312&amp;", "&amp;DAY(VLOOKUP($B312,kilpailukalenteri,2))&amp;"."&amp;MONTH(VLOOKUP($B312,kilpailukalenteri,2))&amp;"."&amp;YEAR(VLOOKUP($B312,kilpailukalenteri,2))&amp;", "&amp;IF(RIGHT(VLOOKUP($B312,kilpailukalenteri,4),1)="*",LEFT(VLOOKUP($B312,kilpailukalenteri,4),LEN(VLOOKUP($B312,kilpailukalenteri,4))-2)&amp;", Kultainen GP",VLOOKUP($B312,kilpailukalenteri,4)),IF($C312=0,"Sija",IF($C312&gt;Data!$CP$2,"",ROUND(Tulokset!$D312,0)))))</f>
        <v/>
      </c>
      <c r="F312" s="78" t="str">
        <f ca="1">IF($B312&gt;keilatut,"",IF($C312=(-1),"",IF($C312=0,"Nimi",IF($C312&gt;Data!$CP$2,"",OFFSET(tulossiirtymä,MATCH($D312,Data!$AN$2:$AN$313,0),Tulokset!F$2)))))</f>
        <v/>
      </c>
      <c r="G312" s="78" t="str">
        <f ca="1">IF($B312&gt;keilatut,"",IF($C312=(-1),"",IF($C312=0,"Sarja 1",IF($C312&gt;Data!$CP$2,"",OFFSET(tulossiirtymä,MATCH($D312,Data!$AN$2:$AN$313,0),Tulokset!G$2)))))</f>
        <v/>
      </c>
      <c r="H312" s="78" t="str">
        <f ca="1">IF($B312&gt;keilatut,"",IF($C312=(-1),"",IF($C312=0,"Sarja 2",IF($C312&gt;Data!$CP$2,"",OFFSET(tulossiirtymä,MATCH($D312,Data!$AN$2:$AN$313,0),Tulokset!H$2)))))</f>
        <v/>
      </c>
      <c r="I312" s="78" t="str">
        <f ca="1">IF($B312&gt;keilatut,"",IF($C312=(-1),"",IF($C312=0,"Yhteensä",IF($C312&gt;Data!$CP$2,"",OFFSET(tulossiirtymä,MATCH($D312,Data!$AN$2:$AN$313,0),Tulokset!I$2)))))</f>
        <v/>
      </c>
      <c r="J312" s="78" t="str">
        <f ca="1">IF($B312&gt;keilatut,"",IF($C312=(-1),"",IF($C312=0,"Ero voittajaan",IF($C312&gt;Data!$CP$2,"",OFFSET(tulossiirtymä,MATCH($D312,Data!$AN$2:$AN$313,0),Tulokset!J$2)))))</f>
        <v/>
      </c>
      <c r="K312" s="78" t="str">
        <f ca="1">IF($B312&gt;keilatut,"",IF($C312=(-1),"",IF($C312=0,"Pisteet",IF($C312&gt;Data!$CP$2,"",OFFSET(tulossiirtymä,MATCH($D312,Data!$AN$2:$AN$313,0),Tulokset!K$2)))))</f>
        <v/>
      </c>
      <c r="L312" s="78" t="str">
        <f ca="1">IF($B312&gt;keilatut,"",IF($C312=(-1),"",IF($C312=0,"Pisteet yhteensä",IF($C312&gt;Data!$CP$2,"",OFFSET(tulossiirtymä,MATCH($D312,Data!$AN$2:$AN$313,0),Tulokset!L$2)))))</f>
        <v/>
      </c>
      <c r="M312" s="78" t="str">
        <f ca="1">IF($B312&gt;keilatut,"",IF($C312=(-1),"",IF($C312=0,"Pisteseloste",IF($C312&gt;Data!$CP$2,"",OFFSET(tulossiirtymä,MATCH($D312,Data!$AN$2:$AN$313,0),Tulokset!M$2)))))</f>
        <v/>
      </c>
    </row>
    <row r="313" spans="2:13" x14ac:dyDescent="0.25">
      <c r="B313" s="78">
        <f t="shared" si="5"/>
        <v>12</v>
      </c>
      <c r="C313" s="78">
        <f>COUNTIF($B$6:B313,B313)-2</f>
        <v>9</v>
      </c>
      <c r="D313" s="79" t="str">
        <f t="array" ref="D313">IF($B313&lt;=keilatut,IF($C313&lt;1,"",IF($C313&gt;Data!$CP$2,"",SMALL(IF(Data!$B$2:$B$313=Tulokset!$B313,Data!$AN$2:$AN$313),Tulokset!$C313))),"")</f>
        <v/>
      </c>
      <c r="E313" s="78" t="str">
        <f>IF($B313&gt;keilatut,"",IF($C313=(-1),"GP"&amp;$B313&amp;", "&amp;DAY(VLOOKUP($B313,kilpailukalenteri,2))&amp;"."&amp;MONTH(VLOOKUP($B313,kilpailukalenteri,2))&amp;"."&amp;YEAR(VLOOKUP($B313,kilpailukalenteri,2))&amp;", "&amp;IF(RIGHT(VLOOKUP($B313,kilpailukalenteri,4),1)="*",LEFT(VLOOKUP($B313,kilpailukalenteri,4),LEN(VLOOKUP($B313,kilpailukalenteri,4))-2)&amp;", Kultainen GP",VLOOKUP($B313,kilpailukalenteri,4)),IF($C313=0,"Sija",IF($C313&gt;Data!$CP$2,"",ROUND(Tulokset!$D313,0)))))</f>
        <v/>
      </c>
      <c r="F313" s="78" t="str">
        <f ca="1">IF($B313&gt;keilatut,"",IF($C313=(-1),"",IF($C313=0,"Nimi",IF($C313&gt;Data!$CP$2,"",OFFSET(tulossiirtymä,MATCH($D313,Data!$AN$2:$AN$313,0),Tulokset!F$2)))))</f>
        <v/>
      </c>
      <c r="G313" s="78" t="str">
        <f ca="1">IF($B313&gt;keilatut,"",IF($C313=(-1),"",IF($C313=0,"Sarja 1",IF($C313&gt;Data!$CP$2,"",OFFSET(tulossiirtymä,MATCH($D313,Data!$AN$2:$AN$313,0),Tulokset!G$2)))))</f>
        <v/>
      </c>
      <c r="H313" s="78" t="str">
        <f ca="1">IF($B313&gt;keilatut,"",IF($C313=(-1),"",IF($C313=0,"Sarja 2",IF($C313&gt;Data!$CP$2,"",OFFSET(tulossiirtymä,MATCH($D313,Data!$AN$2:$AN$313,0),Tulokset!H$2)))))</f>
        <v/>
      </c>
      <c r="I313" s="78" t="str">
        <f ca="1">IF($B313&gt;keilatut,"",IF($C313=(-1),"",IF($C313=0,"Yhteensä",IF($C313&gt;Data!$CP$2,"",OFFSET(tulossiirtymä,MATCH($D313,Data!$AN$2:$AN$313,0),Tulokset!I$2)))))</f>
        <v/>
      </c>
      <c r="J313" s="78" t="str">
        <f ca="1">IF($B313&gt;keilatut,"",IF($C313=(-1),"",IF($C313=0,"Ero voittajaan",IF($C313&gt;Data!$CP$2,"",OFFSET(tulossiirtymä,MATCH($D313,Data!$AN$2:$AN$313,0),Tulokset!J$2)))))</f>
        <v/>
      </c>
      <c r="K313" s="78" t="str">
        <f ca="1">IF($B313&gt;keilatut,"",IF($C313=(-1),"",IF($C313=0,"Pisteet",IF($C313&gt;Data!$CP$2,"",OFFSET(tulossiirtymä,MATCH($D313,Data!$AN$2:$AN$313,0),Tulokset!K$2)))))</f>
        <v/>
      </c>
      <c r="L313" s="78" t="str">
        <f ca="1">IF($B313&gt;keilatut,"",IF($C313=(-1),"",IF($C313=0,"Pisteet yhteensä",IF($C313&gt;Data!$CP$2,"",OFFSET(tulossiirtymä,MATCH($D313,Data!$AN$2:$AN$313,0),Tulokset!L$2)))))</f>
        <v/>
      </c>
      <c r="M313" s="78" t="str">
        <f ca="1">IF($B313&gt;keilatut,"",IF($C313=(-1),"",IF($C313=0,"Pisteseloste",IF($C313&gt;Data!$CP$2,"",OFFSET(tulossiirtymä,MATCH($D313,Data!$AN$2:$AN$313,0),Tulokset!M$2)))))</f>
        <v/>
      </c>
    </row>
    <row r="314" spans="2:13" x14ac:dyDescent="0.25">
      <c r="B314" s="78">
        <f t="shared" si="5"/>
        <v>12</v>
      </c>
      <c r="C314" s="78">
        <f>COUNTIF($B$6:B314,B314)-2</f>
        <v>10</v>
      </c>
      <c r="D314" s="79" t="str">
        <f t="array" ref="D314">IF($B314&lt;=keilatut,IF($C314&lt;1,"",IF($C314&gt;Data!$CP$2,"",SMALL(IF(Data!$B$2:$B$313=Tulokset!$B314,Data!$AN$2:$AN$313),Tulokset!$C314))),"")</f>
        <v/>
      </c>
      <c r="E314" s="78" t="str">
        <f>IF($B314&gt;keilatut,"",IF($C314=(-1),"GP"&amp;$B314&amp;", "&amp;DAY(VLOOKUP($B314,kilpailukalenteri,2))&amp;"."&amp;MONTH(VLOOKUP($B314,kilpailukalenteri,2))&amp;"."&amp;YEAR(VLOOKUP($B314,kilpailukalenteri,2))&amp;", "&amp;IF(RIGHT(VLOOKUP($B314,kilpailukalenteri,4),1)="*",LEFT(VLOOKUP($B314,kilpailukalenteri,4),LEN(VLOOKUP($B314,kilpailukalenteri,4))-2)&amp;", Kultainen GP",VLOOKUP($B314,kilpailukalenteri,4)),IF($C314=0,"Sija",IF($C314&gt;Data!$CP$2,"",ROUND(Tulokset!$D314,0)))))</f>
        <v/>
      </c>
      <c r="F314" s="78" t="str">
        <f ca="1">IF($B314&gt;keilatut,"",IF($C314=(-1),"",IF($C314=0,"Nimi",IF($C314&gt;Data!$CP$2,"",OFFSET(tulossiirtymä,MATCH($D314,Data!$AN$2:$AN$313,0),Tulokset!F$2)))))</f>
        <v/>
      </c>
      <c r="G314" s="78" t="str">
        <f ca="1">IF($B314&gt;keilatut,"",IF($C314=(-1),"",IF($C314=0,"Sarja 1",IF($C314&gt;Data!$CP$2,"",OFFSET(tulossiirtymä,MATCH($D314,Data!$AN$2:$AN$313,0),Tulokset!G$2)))))</f>
        <v/>
      </c>
      <c r="H314" s="78" t="str">
        <f ca="1">IF($B314&gt;keilatut,"",IF($C314=(-1),"",IF($C314=0,"Sarja 2",IF($C314&gt;Data!$CP$2,"",OFFSET(tulossiirtymä,MATCH($D314,Data!$AN$2:$AN$313,0),Tulokset!H$2)))))</f>
        <v/>
      </c>
      <c r="I314" s="78" t="str">
        <f ca="1">IF($B314&gt;keilatut,"",IF($C314=(-1),"",IF($C314=0,"Yhteensä",IF($C314&gt;Data!$CP$2,"",OFFSET(tulossiirtymä,MATCH($D314,Data!$AN$2:$AN$313,0),Tulokset!I$2)))))</f>
        <v/>
      </c>
      <c r="J314" s="78" t="str">
        <f ca="1">IF($B314&gt;keilatut,"",IF($C314=(-1),"",IF($C314=0,"Ero voittajaan",IF($C314&gt;Data!$CP$2,"",OFFSET(tulossiirtymä,MATCH($D314,Data!$AN$2:$AN$313,0),Tulokset!J$2)))))</f>
        <v/>
      </c>
      <c r="K314" s="78" t="str">
        <f ca="1">IF($B314&gt;keilatut,"",IF($C314=(-1),"",IF($C314=0,"Pisteet",IF($C314&gt;Data!$CP$2,"",OFFSET(tulossiirtymä,MATCH($D314,Data!$AN$2:$AN$313,0),Tulokset!K$2)))))</f>
        <v/>
      </c>
      <c r="L314" s="78" t="str">
        <f ca="1">IF($B314&gt;keilatut,"",IF($C314=(-1),"",IF($C314=0,"Pisteet yhteensä",IF($C314&gt;Data!$CP$2,"",OFFSET(tulossiirtymä,MATCH($D314,Data!$AN$2:$AN$313,0),Tulokset!L$2)))))</f>
        <v/>
      </c>
      <c r="M314" s="78" t="str">
        <f ca="1">IF($B314&gt;keilatut,"",IF($C314=(-1),"",IF($C314=0,"Pisteseloste",IF($C314&gt;Data!$CP$2,"",OFFSET(tulossiirtymä,MATCH($D314,Data!$AN$2:$AN$313,0),Tulokset!M$2)))))</f>
        <v/>
      </c>
    </row>
    <row r="315" spans="2:13" x14ac:dyDescent="0.25">
      <c r="B315" s="78">
        <f t="shared" si="5"/>
        <v>12</v>
      </c>
      <c r="C315" s="78">
        <f>COUNTIF($B$6:B315,B315)-2</f>
        <v>11</v>
      </c>
      <c r="D315" s="79" t="str">
        <f t="array" ref="D315">IF($B315&lt;=keilatut,IF($C315&lt;1,"",IF($C315&gt;Data!$CP$2,"",SMALL(IF(Data!$B$2:$B$313=Tulokset!$B315,Data!$AN$2:$AN$313),Tulokset!$C315))),"")</f>
        <v/>
      </c>
      <c r="E315" s="78" t="str">
        <f>IF($B315&gt;keilatut,"",IF($C315=(-1),"GP"&amp;$B315&amp;", "&amp;DAY(VLOOKUP($B315,kilpailukalenteri,2))&amp;"."&amp;MONTH(VLOOKUP($B315,kilpailukalenteri,2))&amp;"."&amp;YEAR(VLOOKUP($B315,kilpailukalenteri,2))&amp;", "&amp;IF(RIGHT(VLOOKUP($B315,kilpailukalenteri,4),1)="*",LEFT(VLOOKUP($B315,kilpailukalenteri,4),LEN(VLOOKUP($B315,kilpailukalenteri,4))-2)&amp;", Kultainen GP",VLOOKUP($B315,kilpailukalenteri,4)),IF($C315=0,"Sija",IF($C315&gt;Data!$CP$2,"",ROUND(Tulokset!$D315,0)))))</f>
        <v/>
      </c>
      <c r="F315" s="78" t="str">
        <f ca="1">IF($B315&gt;keilatut,"",IF($C315=(-1),"",IF($C315=0,"Nimi",IF($C315&gt;Data!$CP$2,"",OFFSET(tulossiirtymä,MATCH($D315,Data!$AN$2:$AN$313,0),Tulokset!F$2)))))</f>
        <v/>
      </c>
      <c r="G315" s="78" t="str">
        <f ca="1">IF($B315&gt;keilatut,"",IF($C315=(-1),"",IF($C315=0,"Sarja 1",IF($C315&gt;Data!$CP$2,"",OFFSET(tulossiirtymä,MATCH($D315,Data!$AN$2:$AN$313,0),Tulokset!G$2)))))</f>
        <v/>
      </c>
      <c r="H315" s="78" t="str">
        <f ca="1">IF($B315&gt;keilatut,"",IF($C315=(-1),"",IF($C315=0,"Sarja 2",IF($C315&gt;Data!$CP$2,"",OFFSET(tulossiirtymä,MATCH($D315,Data!$AN$2:$AN$313,0),Tulokset!H$2)))))</f>
        <v/>
      </c>
      <c r="I315" s="78" t="str">
        <f ca="1">IF($B315&gt;keilatut,"",IF($C315=(-1),"",IF($C315=0,"Yhteensä",IF($C315&gt;Data!$CP$2,"",OFFSET(tulossiirtymä,MATCH($D315,Data!$AN$2:$AN$313,0),Tulokset!I$2)))))</f>
        <v/>
      </c>
      <c r="J315" s="78" t="str">
        <f ca="1">IF($B315&gt;keilatut,"",IF($C315=(-1),"",IF($C315=0,"Ero voittajaan",IF($C315&gt;Data!$CP$2,"",OFFSET(tulossiirtymä,MATCH($D315,Data!$AN$2:$AN$313,0),Tulokset!J$2)))))</f>
        <v/>
      </c>
      <c r="K315" s="78" t="str">
        <f ca="1">IF($B315&gt;keilatut,"",IF($C315=(-1),"",IF($C315=0,"Pisteet",IF($C315&gt;Data!$CP$2,"",OFFSET(tulossiirtymä,MATCH($D315,Data!$AN$2:$AN$313,0),Tulokset!K$2)))))</f>
        <v/>
      </c>
      <c r="L315" s="78" t="str">
        <f ca="1">IF($B315&gt;keilatut,"",IF($C315=(-1),"",IF($C315=0,"Pisteet yhteensä",IF($C315&gt;Data!$CP$2,"",OFFSET(tulossiirtymä,MATCH($D315,Data!$AN$2:$AN$313,0),Tulokset!L$2)))))</f>
        <v/>
      </c>
      <c r="M315" s="78" t="str">
        <f ca="1">IF($B315&gt;keilatut,"",IF($C315=(-1),"",IF($C315=0,"Pisteseloste",IF($C315&gt;Data!$CP$2,"",OFFSET(tulossiirtymä,MATCH($D315,Data!$AN$2:$AN$313,0),Tulokset!M$2)))))</f>
        <v/>
      </c>
    </row>
    <row r="316" spans="2:13" x14ac:dyDescent="0.25">
      <c r="B316" s="78">
        <f t="shared" si="5"/>
        <v>12</v>
      </c>
      <c r="C316" s="78">
        <f>COUNTIF($B$6:B316,B316)-2</f>
        <v>12</v>
      </c>
      <c r="D316" s="79" t="str">
        <f t="array" ref="D316">IF($B316&lt;=keilatut,IF($C316&lt;1,"",IF($C316&gt;Data!$CP$2,"",SMALL(IF(Data!$B$2:$B$313=Tulokset!$B316,Data!$AN$2:$AN$313),Tulokset!$C316))),"")</f>
        <v/>
      </c>
      <c r="E316" s="78" t="str">
        <f>IF($B316&gt;keilatut,"",IF($C316=(-1),"GP"&amp;$B316&amp;", "&amp;DAY(VLOOKUP($B316,kilpailukalenteri,2))&amp;"."&amp;MONTH(VLOOKUP($B316,kilpailukalenteri,2))&amp;"."&amp;YEAR(VLOOKUP($B316,kilpailukalenteri,2))&amp;", "&amp;IF(RIGHT(VLOOKUP($B316,kilpailukalenteri,4),1)="*",LEFT(VLOOKUP($B316,kilpailukalenteri,4),LEN(VLOOKUP($B316,kilpailukalenteri,4))-2)&amp;", Kultainen GP",VLOOKUP($B316,kilpailukalenteri,4)),IF($C316=0,"Sija",IF($C316&gt;Data!$CP$2,"",ROUND(Tulokset!$D316,0)))))</f>
        <v/>
      </c>
      <c r="F316" s="78" t="str">
        <f ca="1">IF($B316&gt;keilatut,"",IF($C316=(-1),"",IF($C316=0,"Nimi",IF($C316&gt;Data!$CP$2,"",OFFSET(tulossiirtymä,MATCH($D316,Data!$AN$2:$AN$313,0),Tulokset!F$2)))))</f>
        <v/>
      </c>
      <c r="G316" s="78" t="str">
        <f ca="1">IF($B316&gt;keilatut,"",IF($C316=(-1),"",IF($C316=0,"Sarja 1",IF($C316&gt;Data!$CP$2,"",OFFSET(tulossiirtymä,MATCH($D316,Data!$AN$2:$AN$313,0),Tulokset!G$2)))))</f>
        <v/>
      </c>
      <c r="H316" s="78" t="str">
        <f ca="1">IF($B316&gt;keilatut,"",IF($C316=(-1),"",IF($C316=0,"Sarja 2",IF($C316&gt;Data!$CP$2,"",OFFSET(tulossiirtymä,MATCH($D316,Data!$AN$2:$AN$313,0),Tulokset!H$2)))))</f>
        <v/>
      </c>
      <c r="I316" s="78" t="str">
        <f ca="1">IF($B316&gt;keilatut,"",IF($C316=(-1),"",IF($C316=0,"Yhteensä",IF($C316&gt;Data!$CP$2,"",OFFSET(tulossiirtymä,MATCH($D316,Data!$AN$2:$AN$313,0),Tulokset!I$2)))))</f>
        <v/>
      </c>
      <c r="J316" s="78" t="str">
        <f ca="1">IF($B316&gt;keilatut,"",IF($C316=(-1),"",IF($C316=0,"Ero voittajaan",IF($C316&gt;Data!$CP$2,"",OFFSET(tulossiirtymä,MATCH($D316,Data!$AN$2:$AN$313,0),Tulokset!J$2)))))</f>
        <v/>
      </c>
      <c r="K316" s="78" t="str">
        <f ca="1">IF($B316&gt;keilatut,"",IF($C316=(-1),"",IF($C316=0,"Pisteet",IF($C316&gt;Data!$CP$2,"",OFFSET(tulossiirtymä,MATCH($D316,Data!$AN$2:$AN$313,0),Tulokset!K$2)))))</f>
        <v/>
      </c>
      <c r="L316" s="78" t="str">
        <f ca="1">IF($B316&gt;keilatut,"",IF($C316=(-1),"",IF($C316=0,"Pisteet yhteensä",IF($C316&gt;Data!$CP$2,"",OFFSET(tulossiirtymä,MATCH($D316,Data!$AN$2:$AN$313,0),Tulokset!L$2)))))</f>
        <v/>
      </c>
      <c r="M316" s="78" t="str">
        <f ca="1">IF($B316&gt;keilatut,"",IF($C316=(-1),"",IF($C316=0,"Pisteseloste",IF($C316&gt;Data!$CP$2,"",OFFSET(tulossiirtymä,MATCH($D316,Data!$AN$2:$AN$313,0),Tulokset!M$2)))))</f>
        <v/>
      </c>
    </row>
    <row r="317" spans="2:13" x14ac:dyDescent="0.25">
      <c r="B317" s="78">
        <f t="shared" si="5"/>
        <v>12</v>
      </c>
      <c r="C317" s="78">
        <f>COUNTIF($B$6:B317,B317)-2</f>
        <v>13</v>
      </c>
      <c r="D317" s="79" t="str">
        <f t="array" ref="D317">IF($B317&lt;=keilatut,IF($C317&lt;1,"",IF($C317&gt;Data!$CP$2,"",SMALL(IF(Data!$B$2:$B$313=Tulokset!$B317,Data!$AN$2:$AN$313),Tulokset!$C317))),"")</f>
        <v/>
      </c>
      <c r="E317" s="78" t="str">
        <f>IF($B317&gt;keilatut,"",IF($C317=(-1),"GP"&amp;$B317&amp;", "&amp;DAY(VLOOKUP($B317,kilpailukalenteri,2))&amp;"."&amp;MONTH(VLOOKUP($B317,kilpailukalenteri,2))&amp;"."&amp;YEAR(VLOOKUP($B317,kilpailukalenteri,2))&amp;", "&amp;IF(RIGHT(VLOOKUP($B317,kilpailukalenteri,4),1)="*",LEFT(VLOOKUP($B317,kilpailukalenteri,4),LEN(VLOOKUP($B317,kilpailukalenteri,4))-2)&amp;", Kultainen GP",VLOOKUP($B317,kilpailukalenteri,4)),IF($C317=0,"Sija",IF($C317&gt;Data!$CP$2,"",ROUND(Tulokset!$D317,0)))))</f>
        <v/>
      </c>
      <c r="F317" s="78" t="str">
        <f ca="1">IF($B317&gt;keilatut,"",IF($C317=(-1),"",IF($C317=0,"Nimi",IF($C317&gt;Data!$CP$2,"",OFFSET(tulossiirtymä,MATCH($D317,Data!$AN$2:$AN$313,0),Tulokset!F$2)))))</f>
        <v/>
      </c>
      <c r="G317" s="78" t="str">
        <f ca="1">IF($B317&gt;keilatut,"",IF($C317=(-1),"",IF($C317=0,"Sarja 1",IF($C317&gt;Data!$CP$2,"",OFFSET(tulossiirtymä,MATCH($D317,Data!$AN$2:$AN$313,0),Tulokset!G$2)))))</f>
        <v/>
      </c>
      <c r="H317" s="78" t="str">
        <f ca="1">IF($B317&gt;keilatut,"",IF($C317=(-1),"",IF($C317=0,"Sarja 2",IF($C317&gt;Data!$CP$2,"",OFFSET(tulossiirtymä,MATCH($D317,Data!$AN$2:$AN$313,0),Tulokset!H$2)))))</f>
        <v/>
      </c>
      <c r="I317" s="78" t="str">
        <f ca="1">IF($B317&gt;keilatut,"",IF($C317=(-1),"",IF($C317=0,"Yhteensä",IF($C317&gt;Data!$CP$2,"",OFFSET(tulossiirtymä,MATCH($D317,Data!$AN$2:$AN$313,0),Tulokset!I$2)))))</f>
        <v/>
      </c>
      <c r="J317" s="78" t="str">
        <f ca="1">IF($B317&gt;keilatut,"",IF($C317=(-1),"",IF($C317=0,"Ero voittajaan",IF($C317&gt;Data!$CP$2,"",OFFSET(tulossiirtymä,MATCH($D317,Data!$AN$2:$AN$313,0),Tulokset!J$2)))))</f>
        <v/>
      </c>
      <c r="K317" s="78" t="str">
        <f ca="1">IF($B317&gt;keilatut,"",IF($C317=(-1),"",IF($C317=0,"Pisteet",IF($C317&gt;Data!$CP$2,"",OFFSET(tulossiirtymä,MATCH($D317,Data!$AN$2:$AN$313,0),Tulokset!K$2)))))</f>
        <v/>
      </c>
      <c r="L317" s="78" t="str">
        <f ca="1">IF($B317&gt;keilatut,"",IF($C317=(-1),"",IF($C317=0,"Pisteet yhteensä",IF($C317&gt;Data!$CP$2,"",OFFSET(tulossiirtymä,MATCH($D317,Data!$AN$2:$AN$313,0),Tulokset!L$2)))))</f>
        <v/>
      </c>
      <c r="M317" s="78" t="str">
        <f ca="1">IF($B317&gt;keilatut,"",IF($C317=(-1),"",IF($C317=0,"Pisteseloste",IF($C317&gt;Data!$CP$2,"",OFFSET(tulossiirtymä,MATCH($D317,Data!$AN$2:$AN$313,0),Tulokset!M$2)))))</f>
        <v/>
      </c>
    </row>
    <row r="318" spans="2:13" x14ac:dyDescent="0.25">
      <c r="B318" s="78">
        <f t="shared" si="5"/>
        <v>12</v>
      </c>
      <c r="C318" s="78">
        <f>COUNTIF($B$6:B318,B318)-2</f>
        <v>14</v>
      </c>
      <c r="D318" s="79" t="str">
        <f t="array" ref="D318">IF($B318&lt;=keilatut,IF($C318&lt;1,"",IF($C318&gt;Data!$CP$2,"",SMALL(IF(Data!$B$2:$B$313=Tulokset!$B318,Data!$AN$2:$AN$313),Tulokset!$C318))),"")</f>
        <v/>
      </c>
      <c r="E318" s="78" t="str">
        <f>IF($B318&gt;keilatut,"",IF($C318=(-1),"GP"&amp;$B318&amp;", "&amp;DAY(VLOOKUP($B318,kilpailukalenteri,2))&amp;"."&amp;MONTH(VLOOKUP($B318,kilpailukalenteri,2))&amp;"."&amp;YEAR(VLOOKUP($B318,kilpailukalenteri,2))&amp;", "&amp;IF(RIGHT(VLOOKUP($B318,kilpailukalenteri,4),1)="*",LEFT(VLOOKUP($B318,kilpailukalenteri,4),LEN(VLOOKUP($B318,kilpailukalenteri,4))-2)&amp;", Kultainen GP",VLOOKUP($B318,kilpailukalenteri,4)),IF($C318=0,"Sija",IF($C318&gt;Data!$CP$2,"",ROUND(Tulokset!$D318,0)))))</f>
        <v/>
      </c>
      <c r="F318" s="78" t="str">
        <f ca="1">IF($B318&gt;keilatut,"",IF($C318=(-1),"",IF($C318=0,"Nimi",IF($C318&gt;Data!$CP$2,"",OFFSET(tulossiirtymä,MATCH($D318,Data!$AN$2:$AN$313,0),Tulokset!F$2)))))</f>
        <v/>
      </c>
      <c r="G318" s="78" t="str">
        <f ca="1">IF($B318&gt;keilatut,"",IF($C318=(-1),"",IF($C318=0,"Sarja 1",IF($C318&gt;Data!$CP$2,"",OFFSET(tulossiirtymä,MATCH($D318,Data!$AN$2:$AN$313,0),Tulokset!G$2)))))</f>
        <v/>
      </c>
      <c r="H318" s="78" t="str">
        <f ca="1">IF($B318&gt;keilatut,"",IF($C318=(-1),"",IF($C318=0,"Sarja 2",IF($C318&gt;Data!$CP$2,"",OFFSET(tulossiirtymä,MATCH($D318,Data!$AN$2:$AN$313,0),Tulokset!H$2)))))</f>
        <v/>
      </c>
      <c r="I318" s="78" t="str">
        <f ca="1">IF($B318&gt;keilatut,"",IF($C318=(-1),"",IF($C318=0,"Yhteensä",IF($C318&gt;Data!$CP$2,"",OFFSET(tulossiirtymä,MATCH($D318,Data!$AN$2:$AN$313,0),Tulokset!I$2)))))</f>
        <v/>
      </c>
      <c r="J318" s="78" t="str">
        <f ca="1">IF($B318&gt;keilatut,"",IF($C318=(-1),"",IF($C318=0,"Ero voittajaan",IF($C318&gt;Data!$CP$2,"",OFFSET(tulossiirtymä,MATCH($D318,Data!$AN$2:$AN$313,0),Tulokset!J$2)))))</f>
        <v/>
      </c>
      <c r="K318" s="78" t="str">
        <f ca="1">IF($B318&gt;keilatut,"",IF($C318=(-1),"",IF($C318=0,"Pisteet",IF($C318&gt;Data!$CP$2,"",OFFSET(tulossiirtymä,MATCH($D318,Data!$AN$2:$AN$313,0),Tulokset!K$2)))))</f>
        <v/>
      </c>
      <c r="L318" s="78" t="str">
        <f ca="1">IF($B318&gt;keilatut,"",IF($C318=(-1),"",IF($C318=0,"Pisteet yhteensä",IF($C318&gt;Data!$CP$2,"",OFFSET(tulossiirtymä,MATCH($D318,Data!$AN$2:$AN$313,0),Tulokset!L$2)))))</f>
        <v/>
      </c>
      <c r="M318" s="78" t="str">
        <f ca="1">IF($B318&gt;keilatut,"",IF($C318=(-1),"",IF($C318=0,"Pisteseloste",IF($C318&gt;Data!$CP$2,"",OFFSET(tulossiirtymä,MATCH($D318,Data!$AN$2:$AN$313,0),Tulokset!M$2)))))</f>
        <v/>
      </c>
    </row>
    <row r="319" spans="2:13" x14ac:dyDescent="0.25">
      <c r="B319" s="78">
        <f t="shared" si="5"/>
        <v>12</v>
      </c>
      <c r="C319" s="78">
        <f>COUNTIF($B$6:B319,B319)-2</f>
        <v>15</v>
      </c>
      <c r="D319" s="79" t="str">
        <f t="array" ref="D319">IF($B319&lt;=keilatut,IF($C319&lt;1,"",IF($C319&gt;Data!$CP$2,"",SMALL(IF(Data!$B$2:$B$313=Tulokset!$B319,Data!$AN$2:$AN$313),Tulokset!$C319))),"")</f>
        <v/>
      </c>
      <c r="E319" s="78" t="str">
        <f>IF($B319&gt;keilatut,"",IF($C319=(-1),"GP"&amp;$B319&amp;", "&amp;DAY(VLOOKUP($B319,kilpailukalenteri,2))&amp;"."&amp;MONTH(VLOOKUP($B319,kilpailukalenteri,2))&amp;"."&amp;YEAR(VLOOKUP($B319,kilpailukalenteri,2))&amp;", "&amp;IF(RIGHT(VLOOKUP($B319,kilpailukalenteri,4),1)="*",LEFT(VLOOKUP($B319,kilpailukalenteri,4),LEN(VLOOKUP($B319,kilpailukalenteri,4))-2)&amp;", Kultainen GP",VLOOKUP($B319,kilpailukalenteri,4)),IF($C319=0,"Sija",IF($C319&gt;Data!$CP$2,"",ROUND(Tulokset!$D319,0)))))</f>
        <v/>
      </c>
      <c r="F319" s="78" t="str">
        <f ca="1">IF($B319&gt;keilatut,"",IF($C319=(-1),"",IF($C319=0,"Nimi",IF($C319&gt;Data!$CP$2,"",OFFSET(tulossiirtymä,MATCH($D319,Data!$AN$2:$AN$313,0),Tulokset!F$2)))))</f>
        <v/>
      </c>
      <c r="G319" s="78" t="str">
        <f ca="1">IF($B319&gt;keilatut,"",IF($C319=(-1),"",IF($C319=0,"Sarja 1",IF($C319&gt;Data!$CP$2,"",OFFSET(tulossiirtymä,MATCH($D319,Data!$AN$2:$AN$313,0),Tulokset!G$2)))))</f>
        <v/>
      </c>
      <c r="H319" s="78" t="str">
        <f ca="1">IF($B319&gt;keilatut,"",IF($C319=(-1),"",IF($C319=0,"Sarja 2",IF($C319&gt;Data!$CP$2,"",OFFSET(tulossiirtymä,MATCH($D319,Data!$AN$2:$AN$313,0),Tulokset!H$2)))))</f>
        <v/>
      </c>
      <c r="I319" s="78" t="str">
        <f ca="1">IF($B319&gt;keilatut,"",IF($C319=(-1),"",IF($C319=0,"Yhteensä",IF($C319&gt;Data!$CP$2,"",OFFSET(tulossiirtymä,MATCH($D319,Data!$AN$2:$AN$313,0),Tulokset!I$2)))))</f>
        <v/>
      </c>
      <c r="J319" s="78" t="str">
        <f ca="1">IF($B319&gt;keilatut,"",IF($C319=(-1),"",IF($C319=0,"Ero voittajaan",IF($C319&gt;Data!$CP$2,"",OFFSET(tulossiirtymä,MATCH($D319,Data!$AN$2:$AN$313,0),Tulokset!J$2)))))</f>
        <v/>
      </c>
      <c r="K319" s="78" t="str">
        <f ca="1">IF($B319&gt;keilatut,"",IF($C319=(-1),"",IF($C319=0,"Pisteet",IF($C319&gt;Data!$CP$2,"",OFFSET(tulossiirtymä,MATCH($D319,Data!$AN$2:$AN$313,0),Tulokset!K$2)))))</f>
        <v/>
      </c>
      <c r="L319" s="78" t="str">
        <f ca="1">IF($B319&gt;keilatut,"",IF($C319=(-1),"",IF($C319=0,"Pisteet yhteensä",IF($C319&gt;Data!$CP$2,"",OFFSET(tulossiirtymä,MATCH($D319,Data!$AN$2:$AN$313,0),Tulokset!L$2)))))</f>
        <v/>
      </c>
      <c r="M319" s="78" t="str">
        <f ca="1">IF($B319&gt;keilatut,"",IF($C319=(-1),"",IF($C319=0,"Pisteseloste",IF($C319&gt;Data!$CP$2,"",OFFSET(tulossiirtymä,MATCH($D319,Data!$AN$2:$AN$313,0),Tulokset!M$2)))))</f>
        <v/>
      </c>
    </row>
    <row r="320" spans="2:13" x14ac:dyDescent="0.25">
      <c r="B320" s="78">
        <f t="shared" si="5"/>
        <v>12</v>
      </c>
      <c r="C320" s="78">
        <f>COUNTIF($B$6:B320,B320)-2</f>
        <v>16</v>
      </c>
      <c r="D320" s="79" t="str">
        <f t="array" ref="D320">IF($B320&lt;=keilatut,IF($C320&lt;1,"",IF($C320&gt;Data!$CP$2,"",SMALL(IF(Data!$B$2:$B$313=Tulokset!$B320,Data!$AN$2:$AN$313),Tulokset!$C320))),"")</f>
        <v/>
      </c>
      <c r="E320" s="78" t="str">
        <f>IF($B320&gt;keilatut,"",IF($C320=(-1),"GP"&amp;$B320&amp;", "&amp;DAY(VLOOKUP($B320,kilpailukalenteri,2))&amp;"."&amp;MONTH(VLOOKUP($B320,kilpailukalenteri,2))&amp;"."&amp;YEAR(VLOOKUP($B320,kilpailukalenteri,2))&amp;", "&amp;IF(RIGHT(VLOOKUP($B320,kilpailukalenteri,4),1)="*",LEFT(VLOOKUP($B320,kilpailukalenteri,4),LEN(VLOOKUP($B320,kilpailukalenteri,4))-2)&amp;", Kultainen GP",VLOOKUP($B320,kilpailukalenteri,4)),IF($C320=0,"Sija",IF($C320&gt;Data!$CP$2,"",ROUND(Tulokset!$D320,0)))))</f>
        <v/>
      </c>
      <c r="F320" s="78" t="str">
        <f ca="1">IF($B320&gt;keilatut,"",IF($C320=(-1),"",IF($C320=0,"Nimi",IF($C320&gt;Data!$CP$2,"",OFFSET(tulossiirtymä,MATCH($D320,Data!$AN$2:$AN$313,0),Tulokset!F$2)))))</f>
        <v/>
      </c>
      <c r="G320" s="78" t="str">
        <f ca="1">IF($B320&gt;keilatut,"",IF($C320=(-1),"",IF($C320=0,"Sarja 1",IF($C320&gt;Data!$CP$2,"",OFFSET(tulossiirtymä,MATCH($D320,Data!$AN$2:$AN$313,0),Tulokset!G$2)))))</f>
        <v/>
      </c>
      <c r="H320" s="78" t="str">
        <f ca="1">IF($B320&gt;keilatut,"",IF($C320=(-1),"",IF($C320=0,"Sarja 2",IF($C320&gt;Data!$CP$2,"",OFFSET(tulossiirtymä,MATCH($D320,Data!$AN$2:$AN$313,0),Tulokset!H$2)))))</f>
        <v/>
      </c>
      <c r="I320" s="78" t="str">
        <f ca="1">IF($B320&gt;keilatut,"",IF($C320=(-1),"",IF($C320=0,"Yhteensä",IF($C320&gt;Data!$CP$2,"",OFFSET(tulossiirtymä,MATCH($D320,Data!$AN$2:$AN$313,0),Tulokset!I$2)))))</f>
        <v/>
      </c>
      <c r="J320" s="78" t="str">
        <f ca="1">IF($B320&gt;keilatut,"",IF($C320=(-1),"",IF($C320=0,"Ero voittajaan",IF($C320&gt;Data!$CP$2,"",OFFSET(tulossiirtymä,MATCH($D320,Data!$AN$2:$AN$313,0),Tulokset!J$2)))))</f>
        <v/>
      </c>
      <c r="K320" s="78" t="str">
        <f ca="1">IF($B320&gt;keilatut,"",IF($C320=(-1),"",IF($C320=0,"Pisteet",IF($C320&gt;Data!$CP$2,"",OFFSET(tulossiirtymä,MATCH($D320,Data!$AN$2:$AN$313,0),Tulokset!K$2)))))</f>
        <v/>
      </c>
      <c r="L320" s="78" t="str">
        <f ca="1">IF($B320&gt;keilatut,"",IF($C320=(-1),"",IF($C320=0,"Pisteet yhteensä",IF($C320&gt;Data!$CP$2,"",OFFSET(tulossiirtymä,MATCH($D320,Data!$AN$2:$AN$313,0),Tulokset!L$2)))))</f>
        <v/>
      </c>
      <c r="M320" s="78" t="str">
        <f ca="1">IF($B320&gt;keilatut,"",IF($C320=(-1),"",IF($C320=0,"Pisteseloste",IF($C320&gt;Data!$CP$2,"",OFFSET(tulossiirtymä,MATCH($D320,Data!$AN$2:$AN$313,0),Tulokset!M$2)))))</f>
        <v/>
      </c>
    </row>
    <row r="321" spans="2:13" x14ac:dyDescent="0.25">
      <c r="B321" s="78">
        <f t="shared" si="5"/>
        <v>12</v>
      </c>
      <c r="C321" s="78">
        <f>COUNTIF($B$6:B321,B321)-2</f>
        <v>17</v>
      </c>
      <c r="D321" s="79" t="str">
        <f t="array" ref="D321">IF($B321&lt;=keilatut,IF($C321&lt;1,"",IF($C321&gt;Data!$CP$2,"",SMALL(IF(Data!$B$2:$B$313=Tulokset!$B321,Data!$AN$2:$AN$313),Tulokset!$C321))),"")</f>
        <v/>
      </c>
      <c r="E321" s="78" t="str">
        <f>IF($B321&gt;keilatut,"",IF($C321=(-1),"GP"&amp;$B321&amp;", "&amp;DAY(VLOOKUP($B321,kilpailukalenteri,2))&amp;"."&amp;MONTH(VLOOKUP($B321,kilpailukalenteri,2))&amp;"."&amp;YEAR(VLOOKUP($B321,kilpailukalenteri,2))&amp;", "&amp;IF(RIGHT(VLOOKUP($B321,kilpailukalenteri,4),1)="*",LEFT(VLOOKUP($B321,kilpailukalenteri,4),LEN(VLOOKUP($B321,kilpailukalenteri,4))-2)&amp;", Kultainen GP",VLOOKUP($B321,kilpailukalenteri,4)),IF($C321=0,"Sija",IF($C321&gt;Data!$CP$2,"",ROUND(Tulokset!$D321,0)))))</f>
        <v/>
      </c>
      <c r="F321" s="78" t="str">
        <f ca="1">IF($B321&gt;keilatut,"",IF($C321=(-1),"",IF($C321=0,"Nimi",IF($C321&gt;Data!$CP$2,"",OFFSET(tulossiirtymä,MATCH($D321,Data!$AN$2:$AN$313,0),Tulokset!F$2)))))</f>
        <v/>
      </c>
      <c r="G321" s="78" t="str">
        <f ca="1">IF($B321&gt;keilatut,"",IF($C321=(-1),"",IF($C321=0,"Sarja 1",IF($C321&gt;Data!$CP$2,"",OFFSET(tulossiirtymä,MATCH($D321,Data!$AN$2:$AN$313,0),Tulokset!G$2)))))</f>
        <v/>
      </c>
      <c r="H321" s="78" t="str">
        <f ca="1">IF($B321&gt;keilatut,"",IF($C321=(-1),"",IF($C321=0,"Sarja 2",IF($C321&gt;Data!$CP$2,"",OFFSET(tulossiirtymä,MATCH($D321,Data!$AN$2:$AN$313,0),Tulokset!H$2)))))</f>
        <v/>
      </c>
      <c r="I321" s="78" t="str">
        <f ca="1">IF($B321&gt;keilatut,"",IF($C321=(-1),"",IF($C321=0,"Yhteensä",IF($C321&gt;Data!$CP$2,"",OFFSET(tulossiirtymä,MATCH($D321,Data!$AN$2:$AN$313,0),Tulokset!I$2)))))</f>
        <v/>
      </c>
      <c r="J321" s="78" t="str">
        <f ca="1">IF($B321&gt;keilatut,"",IF($C321=(-1),"",IF($C321=0,"Ero voittajaan",IF($C321&gt;Data!$CP$2,"",OFFSET(tulossiirtymä,MATCH($D321,Data!$AN$2:$AN$313,0),Tulokset!J$2)))))</f>
        <v/>
      </c>
      <c r="K321" s="78" t="str">
        <f ca="1">IF($B321&gt;keilatut,"",IF($C321=(-1),"",IF($C321=0,"Pisteet",IF($C321&gt;Data!$CP$2,"",OFFSET(tulossiirtymä,MATCH($D321,Data!$AN$2:$AN$313,0),Tulokset!K$2)))))</f>
        <v/>
      </c>
      <c r="L321" s="78" t="str">
        <f ca="1">IF($B321&gt;keilatut,"",IF($C321=(-1),"",IF($C321=0,"Pisteet yhteensä",IF($C321&gt;Data!$CP$2,"",OFFSET(tulossiirtymä,MATCH($D321,Data!$AN$2:$AN$313,0),Tulokset!L$2)))))</f>
        <v/>
      </c>
      <c r="M321" s="78" t="str">
        <f ca="1">IF($B321&gt;keilatut,"",IF($C321=(-1),"",IF($C321=0,"Pisteseloste",IF($C321&gt;Data!$CP$2,"",OFFSET(tulossiirtymä,MATCH($D321,Data!$AN$2:$AN$313,0),Tulokset!M$2)))))</f>
        <v/>
      </c>
    </row>
    <row r="322" spans="2:13" x14ac:dyDescent="0.25">
      <c r="B322" s="78">
        <f t="shared" si="5"/>
        <v>12</v>
      </c>
      <c r="C322" s="78">
        <f>COUNTIF($B$6:B322,B322)-2</f>
        <v>18</v>
      </c>
      <c r="D322" s="79" t="str">
        <f t="array" ref="D322">IF($B322&lt;=keilatut,IF($C322&lt;1,"",IF($C322&gt;Data!$CP$2,"",SMALL(IF(Data!$B$2:$B$313=Tulokset!$B322,Data!$AN$2:$AN$313),Tulokset!$C322))),"")</f>
        <v/>
      </c>
      <c r="E322" s="78" t="str">
        <f>IF($B322&gt;keilatut,"",IF($C322=(-1),"GP"&amp;$B322&amp;", "&amp;DAY(VLOOKUP($B322,kilpailukalenteri,2))&amp;"."&amp;MONTH(VLOOKUP($B322,kilpailukalenteri,2))&amp;"."&amp;YEAR(VLOOKUP($B322,kilpailukalenteri,2))&amp;", "&amp;IF(RIGHT(VLOOKUP($B322,kilpailukalenteri,4),1)="*",LEFT(VLOOKUP($B322,kilpailukalenteri,4),LEN(VLOOKUP($B322,kilpailukalenteri,4))-2)&amp;", Kultainen GP",VLOOKUP($B322,kilpailukalenteri,4)),IF($C322=0,"Sija",IF($C322&gt;Data!$CP$2,"",ROUND(Tulokset!$D322,0)))))</f>
        <v/>
      </c>
      <c r="F322" s="78" t="str">
        <f ca="1">IF($B322&gt;keilatut,"",IF($C322=(-1),"",IF($C322=0,"Nimi",IF($C322&gt;Data!$CP$2,"",OFFSET(tulossiirtymä,MATCH($D322,Data!$AN$2:$AN$313,0),Tulokset!F$2)))))</f>
        <v/>
      </c>
      <c r="G322" s="78" t="str">
        <f ca="1">IF($B322&gt;keilatut,"",IF($C322=(-1),"",IF($C322=0,"Sarja 1",IF($C322&gt;Data!$CP$2,"",OFFSET(tulossiirtymä,MATCH($D322,Data!$AN$2:$AN$313,0),Tulokset!G$2)))))</f>
        <v/>
      </c>
      <c r="H322" s="78" t="str">
        <f ca="1">IF($B322&gt;keilatut,"",IF($C322=(-1),"",IF($C322=0,"Sarja 2",IF($C322&gt;Data!$CP$2,"",OFFSET(tulossiirtymä,MATCH($D322,Data!$AN$2:$AN$313,0),Tulokset!H$2)))))</f>
        <v/>
      </c>
      <c r="I322" s="78" t="str">
        <f ca="1">IF($B322&gt;keilatut,"",IF($C322=(-1),"",IF($C322=0,"Yhteensä",IF($C322&gt;Data!$CP$2,"",OFFSET(tulossiirtymä,MATCH($D322,Data!$AN$2:$AN$313,0),Tulokset!I$2)))))</f>
        <v/>
      </c>
      <c r="J322" s="78" t="str">
        <f ca="1">IF($B322&gt;keilatut,"",IF($C322=(-1),"",IF($C322=0,"Ero voittajaan",IF($C322&gt;Data!$CP$2,"",OFFSET(tulossiirtymä,MATCH($D322,Data!$AN$2:$AN$313,0),Tulokset!J$2)))))</f>
        <v/>
      </c>
      <c r="K322" s="78" t="str">
        <f ca="1">IF($B322&gt;keilatut,"",IF($C322=(-1),"",IF($C322=0,"Pisteet",IF($C322&gt;Data!$CP$2,"",OFFSET(tulossiirtymä,MATCH($D322,Data!$AN$2:$AN$313,0),Tulokset!K$2)))))</f>
        <v/>
      </c>
      <c r="L322" s="78" t="str">
        <f ca="1">IF($B322&gt;keilatut,"",IF($C322=(-1),"",IF($C322=0,"Pisteet yhteensä",IF($C322&gt;Data!$CP$2,"",OFFSET(tulossiirtymä,MATCH($D322,Data!$AN$2:$AN$313,0),Tulokset!L$2)))))</f>
        <v/>
      </c>
      <c r="M322" s="78" t="str">
        <f ca="1">IF($B322&gt;keilatut,"",IF($C322=(-1),"",IF($C322=0,"Pisteseloste",IF($C322&gt;Data!$CP$2,"",OFFSET(tulossiirtymä,MATCH($D322,Data!$AN$2:$AN$313,0),Tulokset!M$2)))))</f>
        <v/>
      </c>
    </row>
    <row r="323" spans="2:13" x14ac:dyDescent="0.25">
      <c r="B323" s="78">
        <f t="shared" si="5"/>
        <v>12</v>
      </c>
      <c r="C323" s="78">
        <f>COUNTIF($B$6:B323,B323)-2</f>
        <v>19</v>
      </c>
      <c r="D323" s="79" t="str">
        <f t="array" ref="D323">IF($B323&lt;=keilatut,IF($C323&lt;1,"",IF($C323&gt;Data!$CP$2,"",SMALL(IF(Data!$B$2:$B$313=Tulokset!$B323,Data!$AN$2:$AN$313),Tulokset!$C323))),"")</f>
        <v/>
      </c>
      <c r="E323" s="78" t="str">
        <f>IF($B323&gt;keilatut,"",IF($C323=(-1),"GP"&amp;$B323&amp;", "&amp;DAY(VLOOKUP($B323,kilpailukalenteri,2))&amp;"."&amp;MONTH(VLOOKUP($B323,kilpailukalenteri,2))&amp;"."&amp;YEAR(VLOOKUP($B323,kilpailukalenteri,2))&amp;", "&amp;IF(RIGHT(VLOOKUP($B323,kilpailukalenteri,4),1)="*",LEFT(VLOOKUP($B323,kilpailukalenteri,4),LEN(VLOOKUP($B323,kilpailukalenteri,4))-2)&amp;", Kultainen GP",VLOOKUP($B323,kilpailukalenteri,4)),IF($C323=0,"Sija",IF($C323&gt;Data!$CP$2,"",ROUND(Tulokset!$D323,0)))))</f>
        <v/>
      </c>
      <c r="F323" s="78" t="str">
        <f ca="1">IF($B323&gt;keilatut,"",IF($C323=(-1),"",IF($C323=0,"Nimi",IF($C323&gt;Data!$CP$2,"",OFFSET(tulossiirtymä,MATCH($D323,Data!$AN$2:$AN$313,0),Tulokset!F$2)))))</f>
        <v/>
      </c>
      <c r="G323" s="78" t="str">
        <f ca="1">IF($B323&gt;keilatut,"",IF($C323=(-1),"",IF($C323=0,"Sarja 1",IF($C323&gt;Data!$CP$2,"",OFFSET(tulossiirtymä,MATCH($D323,Data!$AN$2:$AN$313,0),Tulokset!G$2)))))</f>
        <v/>
      </c>
      <c r="H323" s="78" t="str">
        <f ca="1">IF($B323&gt;keilatut,"",IF($C323=(-1),"",IF($C323=0,"Sarja 2",IF($C323&gt;Data!$CP$2,"",OFFSET(tulossiirtymä,MATCH($D323,Data!$AN$2:$AN$313,0),Tulokset!H$2)))))</f>
        <v/>
      </c>
      <c r="I323" s="78" t="str">
        <f ca="1">IF($B323&gt;keilatut,"",IF($C323=(-1),"",IF($C323=0,"Yhteensä",IF($C323&gt;Data!$CP$2,"",OFFSET(tulossiirtymä,MATCH($D323,Data!$AN$2:$AN$313,0),Tulokset!I$2)))))</f>
        <v/>
      </c>
      <c r="J323" s="78" t="str">
        <f ca="1">IF($B323&gt;keilatut,"",IF($C323=(-1),"",IF($C323=0,"Ero voittajaan",IF($C323&gt;Data!$CP$2,"",OFFSET(tulossiirtymä,MATCH($D323,Data!$AN$2:$AN$313,0),Tulokset!J$2)))))</f>
        <v/>
      </c>
      <c r="K323" s="78" t="str">
        <f ca="1">IF($B323&gt;keilatut,"",IF($C323=(-1),"",IF($C323=0,"Pisteet",IF($C323&gt;Data!$CP$2,"",OFFSET(tulossiirtymä,MATCH($D323,Data!$AN$2:$AN$313,0),Tulokset!K$2)))))</f>
        <v/>
      </c>
      <c r="L323" s="78" t="str">
        <f ca="1">IF($B323&gt;keilatut,"",IF($C323=(-1),"",IF($C323=0,"Pisteet yhteensä",IF($C323&gt;Data!$CP$2,"",OFFSET(tulossiirtymä,MATCH($D323,Data!$AN$2:$AN$313,0),Tulokset!L$2)))))</f>
        <v/>
      </c>
      <c r="M323" s="78" t="str">
        <f ca="1">IF($B323&gt;keilatut,"",IF($C323=(-1),"",IF($C323=0,"Pisteseloste",IF($C323&gt;Data!$CP$2,"",OFFSET(tulossiirtymä,MATCH($D323,Data!$AN$2:$AN$313,0),Tulokset!M$2)))))</f>
        <v/>
      </c>
    </row>
    <row r="324" spans="2:13" x14ac:dyDescent="0.25">
      <c r="B324" s="78">
        <f t="shared" si="5"/>
        <v>12</v>
      </c>
      <c r="C324" s="78">
        <f>COUNTIF($B$6:B324,B324)-2</f>
        <v>20</v>
      </c>
      <c r="D324" s="79" t="str">
        <f t="array" ref="D324">IF($B324&lt;=keilatut,IF($C324&lt;1,"",IF($C324&gt;Data!$CP$2,"",SMALL(IF(Data!$B$2:$B$313=Tulokset!$B324,Data!$AN$2:$AN$313),Tulokset!$C324))),"")</f>
        <v/>
      </c>
      <c r="E324" s="78" t="str">
        <f>IF($B324&gt;keilatut,"",IF($C324=(-1),"GP"&amp;$B324&amp;", "&amp;DAY(VLOOKUP($B324,kilpailukalenteri,2))&amp;"."&amp;MONTH(VLOOKUP($B324,kilpailukalenteri,2))&amp;"."&amp;YEAR(VLOOKUP($B324,kilpailukalenteri,2))&amp;", "&amp;IF(RIGHT(VLOOKUP($B324,kilpailukalenteri,4),1)="*",LEFT(VLOOKUP($B324,kilpailukalenteri,4),LEN(VLOOKUP($B324,kilpailukalenteri,4))-2)&amp;", Kultainen GP",VLOOKUP($B324,kilpailukalenteri,4)),IF($C324=0,"Sija",IF($C324&gt;Data!$CP$2,"",ROUND(Tulokset!$D324,0)))))</f>
        <v/>
      </c>
      <c r="F324" s="78" t="str">
        <f ca="1">IF($B324&gt;keilatut,"",IF($C324=(-1),"",IF($C324=0,"Nimi",IF($C324&gt;Data!$CP$2,"",OFFSET(tulossiirtymä,MATCH($D324,Data!$AN$2:$AN$313,0),Tulokset!F$2)))))</f>
        <v/>
      </c>
      <c r="G324" s="78" t="str">
        <f ca="1">IF($B324&gt;keilatut,"",IF($C324=(-1),"",IF($C324=0,"Sarja 1",IF($C324&gt;Data!$CP$2,"",OFFSET(tulossiirtymä,MATCH($D324,Data!$AN$2:$AN$313,0),Tulokset!G$2)))))</f>
        <v/>
      </c>
      <c r="H324" s="78" t="str">
        <f ca="1">IF($B324&gt;keilatut,"",IF($C324=(-1),"",IF($C324=0,"Sarja 2",IF($C324&gt;Data!$CP$2,"",OFFSET(tulossiirtymä,MATCH($D324,Data!$AN$2:$AN$313,0),Tulokset!H$2)))))</f>
        <v/>
      </c>
      <c r="I324" s="78" t="str">
        <f ca="1">IF($B324&gt;keilatut,"",IF($C324=(-1),"",IF($C324=0,"Yhteensä",IF($C324&gt;Data!$CP$2,"",OFFSET(tulossiirtymä,MATCH($D324,Data!$AN$2:$AN$313,0),Tulokset!I$2)))))</f>
        <v/>
      </c>
      <c r="J324" s="78" t="str">
        <f ca="1">IF($B324&gt;keilatut,"",IF($C324=(-1),"",IF($C324=0,"Ero voittajaan",IF($C324&gt;Data!$CP$2,"",OFFSET(tulossiirtymä,MATCH($D324,Data!$AN$2:$AN$313,0),Tulokset!J$2)))))</f>
        <v/>
      </c>
      <c r="K324" s="78" t="str">
        <f ca="1">IF($B324&gt;keilatut,"",IF($C324=(-1),"",IF($C324=0,"Pisteet",IF($C324&gt;Data!$CP$2,"",OFFSET(tulossiirtymä,MATCH($D324,Data!$AN$2:$AN$313,0),Tulokset!K$2)))))</f>
        <v/>
      </c>
      <c r="L324" s="78" t="str">
        <f ca="1">IF($B324&gt;keilatut,"",IF($C324=(-1),"",IF($C324=0,"Pisteet yhteensä",IF($C324&gt;Data!$CP$2,"",OFFSET(tulossiirtymä,MATCH($D324,Data!$AN$2:$AN$313,0),Tulokset!L$2)))))</f>
        <v/>
      </c>
      <c r="M324" s="78" t="str">
        <f ca="1">IF($B324&gt;keilatut,"",IF($C324=(-1),"",IF($C324=0,"Pisteseloste",IF($C324&gt;Data!$CP$2,"",OFFSET(tulossiirtymä,MATCH($D324,Data!$AN$2:$AN$313,0),Tulokset!M$2)))))</f>
        <v/>
      </c>
    </row>
    <row r="325" spans="2:13" x14ac:dyDescent="0.25">
      <c r="B325" s="78">
        <f t="shared" si="5"/>
        <v>12</v>
      </c>
      <c r="C325" s="78">
        <f>COUNTIF($B$6:B325,B325)-2</f>
        <v>21</v>
      </c>
      <c r="D325" s="79" t="str">
        <f t="array" ref="D325">IF($B325&lt;=keilatut,IF($C325&lt;1,"",IF($C325&gt;Data!$CP$2,"",SMALL(IF(Data!$B$2:$B$313=Tulokset!$B325,Data!$AN$2:$AN$313),Tulokset!$C325))),"")</f>
        <v/>
      </c>
      <c r="E325" s="78" t="str">
        <f>IF($B325&gt;keilatut,"",IF($C325=(-1),"GP"&amp;$B325&amp;", "&amp;DAY(VLOOKUP($B325,kilpailukalenteri,2))&amp;"."&amp;MONTH(VLOOKUP($B325,kilpailukalenteri,2))&amp;"."&amp;YEAR(VLOOKUP($B325,kilpailukalenteri,2))&amp;", "&amp;IF(RIGHT(VLOOKUP($B325,kilpailukalenteri,4),1)="*",LEFT(VLOOKUP($B325,kilpailukalenteri,4),LEN(VLOOKUP($B325,kilpailukalenteri,4))-2)&amp;", Kultainen GP",VLOOKUP($B325,kilpailukalenteri,4)),IF($C325=0,"Sija",IF($C325&gt;Data!$CP$2,"",ROUND(Tulokset!$D325,0)))))</f>
        <v/>
      </c>
      <c r="F325" s="78" t="str">
        <f ca="1">IF($B325&gt;keilatut,"",IF($C325=(-1),"",IF($C325=0,"Nimi",IF($C325&gt;Data!$CP$2,"",OFFSET(tulossiirtymä,MATCH($D325,Data!$AN$2:$AN$313,0),Tulokset!F$2)))))</f>
        <v/>
      </c>
      <c r="G325" s="78" t="str">
        <f ca="1">IF($B325&gt;keilatut,"",IF($C325=(-1),"",IF($C325=0,"Sarja 1",IF($C325&gt;Data!$CP$2,"",OFFSET(tulossiirtymä,MATCH($D325,Data!$AN$2:$AN$313,0),Tulokset!G$2)))))</f>
        <v/>
      </c>
      <c r="H325" s="78" t="str">
        <f ca="1">IF($B325&gt;keilatut,"",IF($C325=(-1),"",IF($C325=0,"Sarja 2",IF($C325&gt;Data!$CP$2,"",OFFSET(tulossiirtymä,MATCH($D325,Data!$AN$2:$AN$313,0),Tulokset!H$2)))))</f>
        <v/>
      </c>
      <c r="I325" s="78" t="str">
        <f ca="1">IF($B325&gt;keilatut,"",IF($C325=(-1),"",IF($C325=0,"Yhteensä",IF($C325&gt;Data!$CP$2,"",OFFSET(tulossiirtymä,MATCH($D325,Data!$AN$2:$AN$313,0),Tulokset!I$2)))))</f>
        <v/>
      </c>
      <c r="J325" s="78" t="str">
        <f ca="1">IF($B325&gt;keilatut,"",IF($C325=(-1),"",IF($C325=0,"Ero voittajaan",IF($C325&gt;Data!$CP$2,"",OFFSET(tulossiirtymä,MATCH($D325,Data!$AN$2:$AN$313,0),Tulokset!J$2)))))</f>
        <v/>
      </c>
      <c r="K325" s="78" t="str">
        <f ca="1">IF($B325&gt;keilatut,"",IF($C325=(-1),"",IF($C325=0,"Pisteet",IF($C325&gt;Data!$CP$2,"",OFFSET(tulossiirtymä,MATCH($D325,Data!$AN$2:$AN$313,0),Tulokset!K$2)))))</f>
        <v/>
      </c>
      <c r="L325" s="78" t="str">
        <f ca="1">IF($B325&gt;keilatut,"",IF($C325=(-1),"",IF($C325=0,"Pisteet yhteensä",IF($C325&gt;Data!$CP$2,"",OFFSET(tulossiirtymä,MATCH($D325,Data!$AN$2:$AN$313,0),Tulokset!L$2)))))</f>
        <v/>
      </c>
      <c r="M325" s="78" t="str">
        <f ca="1">IF($B325&gt;keilatut,"",IF($C325=(-1),"",IF($C325=0,"Pisteseloste",IF($C325&gt;Data!$CP$2,"",OFFSET(tulossiirtymä,MATCH($D325,Data!$AN$2:$AN$313,0),Tulokset!M$2)))))</f>
        <v/>
      </c>
    </row>
    <row r="326" spans="2:13" x14ac:dyDescent="0.25">
      <c r="B326" s="78">
        <f t="shared" si="5"/>
        <v>12</v>
      </c>
      <c r="C326" s="78">
        <f>COUNTIF($B$6:B326,B326)-2</f>
        <v>22</v>
      </c>
      <c r="D326" s="79" t="str">
        <f t="array" ref="D326">IF($B326&lt;=keilatut,IF($C326&lt;1,"",IF($C326&gt;Data!$CP$2,"",SMALL(IF(Data!$B$2:$B$313=Tulokset!$B326,Data!$AN$2:$AN$313),Tulokset!$C326))),"")</f>
        <v/>
      </c>
      <c r="E326" s="78" t="str">
        <f>IF($B326&gt;keilatut,"",IF($C326=(-1),"GP"&amp;$B326&amp;", "&amp;DAY(VLOOKUP($B326,kilpailukalenteri,2))&amp;"."&amp;MONTH(VLOOKUP($B326,kilpailukalenteri,2))&amp;"."&amp;YEAR(VLOOKUP($B326,kilpailukalenteri,2))&amp;", "&amp;IF(RIGHT(VLOOKUP($B326,kilpailukalenteri,4),1)="*",LEFT(VLOOKUP($B326,kilpailukalenteri,4),LEN(VLOOKUP($B326,kilpailukalenteri,4))-2)&amp;", Kultainen GP",VLOOKUP($B326,kilpailukalenteri,4)),IF($C326=0,"Sija",IF($C326&gt;Data!$CP$2,"",ROUND(Tulokset!$D326,0)))))</f>
        <v/>
      </c>
      <c r="F326" s="78" t="str">
        <f ca="1">IF($B326&gt;keilatut,"",IF($C326=(-1),"",IF($C326=0,"Nimi",IF($C326&gt;Data!$CP$2,"",OFFSET(tulossiirtymä,MATCH($D326,Data!$AN$2:$AN$313,0),Tulokset!F$2)))))</f>
        <v/>
      </c>
      <c r="G326" s="78" t="str">
        <f ca="1">IF($B326&gt;keilatut,"",IF($C326=(-1),"",IF($C326=0,"Sarja 1",IF($C326&gt;Data!$CP$2,"",OFFSET(tulossiirtymä,MATCH($D326,Data!$AN$2:$AN$313,0),Tulokset!G$2)))))</f>
        <v/>
      </c>
      <c r="H326" s="78" t="str">
        <f ca="1">IF($B326&gt;keilatut,"",IF($C326=(-1),"",IF($C326=0,"Sarja 2",IF($C326&gt;Data!$CP$2,"",OFFSET(tulossiirtymä,MATCH($D326,Data!$AN$2:$AN$313,0),Tulokset!H$2)))))</f>
        <v/>
      </c>
      <c r="I326" s="78" t="str">
        <f ca="1">IF($B326&gt;keilatut,"",IF($C326=(-1),"",IF($C326=0,"Yhteensä",IF($C326&gt;Data!$CP$2,"",OFFSET(tulossiirtymä,MATCH($D326,Data!$AN$2:$AN$313,0),Tulokset!I$2)))))</f>
        <v/>
      </c>
      <c r="J326" s="78" t="str">
        <f ca="1">IF($B326&gt;keilatut,"",IF($C326=(-1),"",IF($C326=0,"Ero voittajaan",IF($C326&gt;Data!$CP$2,"",OFFSET(tulossiirtymä,MATCH($D326,Data!$AN$2:$AN$313,0),Tulokset!J$2)))))</f>
        <v/>
      </c>
      <c r="K326" s="78" t="str">
        <f ca="1">IF($B326&gt;keilatut,"",IF($C326=(-1),"",IF($C326=0,"Pisteet",IF($C326&gt;Data!$CP$2,"",OFFSET(tulossiirtymä,MATCH($D326,Data!$AN$2:$AN$313,0),Tulokset!K$2)))))</f>
        <v/>
      </c>
      <c r="L326" s="78" t="str">
        <f ca="1">IF($B326&gt;keilatut,"",IF($C326=(-1),"",IF($C326=0,"Pisteet yhteensä",IF($C326&gt;Data!$CP$2,"",OFFSET(tulossiirtymä,MATCH($D326,Data!$AN$2:$AN$313,0),Tulokset!L$2)))))</f>
        <v/>
      </c>
      <c r="M326" s="78" t="str">
        <f ca="1">IF($B326&gt;keilatut,"",IF($C326=(-1),"",IF($C326=0,"Pisteseloste",IF($C326&gt;Data!$CP$2,"",OFFSET(tulossiirtymä,MATCH($D326,Data!$AN$2:$AN$313,0),Tulokset!M$2)))))</f>
        <v/>
      </c>
    </row>
    <row r="327" spans="2:13" x14ac:dyDescent="0.25">
      <c r="B327" s="78">
        <f t="shared" si="5"/>
        <v>12</v>
      </c>
      <c r="C327" s="78">
        <f>COUNTIF($B$6:B327,B327)-2</f>
        <v>23</v>
      </c>
      <c r="D327" s="79" t="str">
        <f t="array" ref="D327">IF($B327&lt;=keilatut,IF($C327&lt;1,"",IF($C327&gt;Data!$CP$2,"",SMALL(IF(Data!$B$2:$B$313=Tulokset!$B327,Data!$AN$2:$AN$313),Tulokset!$C327))),"")</f>
        <v/>
      </c>
      <c r="E327" s="78" t="str">
        <f>IF($B327&gt;keilatut,"",IF($C327=(-1),"GP"&amp;$B327&amp;", "&amp;DAY(VLOOKUP($B327,kilpailukalenteri,2))&amp;"."&amp;MONTH(VLOOKUP($B327,kilpailukalenteri,2))&amp;"."&amp;YEAR(VLOOKUP($B327,kilpailukalenteri,2))&amp;", "&amp;IF(RIGHT(VLOOKUP($B327,kilpailukalenteri,4),1)="*",LEFT(VLOOKUP($B327,kilpailukalenteri,4),LEN(VLOOKUP($B327,kilpailukalenteri,4))-2)&amp;", Kultainen GP",VLOOKUP($B327,kilpailukalenteri,4)),IF($C327=0,"Sija",IF($C327&gt;Data!$CP$2,"",ROUND(Tulokset!$D327,0)))))</f>
        <v/>
      </c>
      <c r="F327" s="78" t="str">
        <f ca="1">IF($B327&gt;keilatut,"",IF($C327=(-1),"",IF($C327=0,"Nimi",IF($C327&gt;Data!$CP$2,"",OFFSET(tulossiirtymä,MATCH($D327,Data!$AN$2:$AN$313,0),Tulokset!F$2)))))</f>
        <v/>
      </c>
      <c r="G327" s="78" t="str">
        <f ca="1">IF($B327&gt;keilatut,"",IF($C327=(-1),"",IF($C327=0,"Sarja 1",IF($C327&gt;Data!$CP$2,"",OFFSET(tulossiirtymä,MATCH($D327,Data!$AN$2:$AN$313,0),Tulokset!G$2)))))</f>
        <v/>
      </c>
      <c r="H327" s="78" t="str">
        <f ca="1">IF($B327&gt;keilatut,"",IF($C327=(-1),"",IF($C327=0,"Sarja 2",IF($C327&gt;Data!$CP$2,"",OFFSET(tulossiirtymä,MATCH($D327,Data!$AN$2:$AN$313,0),Tulokset!H$2)))))</f>
        <v/>
      </c>
      <c r="I327" s="78" t="str">
        <f ca="1">IF($B327&gt;keilatut,"",IF($C327=(-1),"",IF($C327=0,"Yhteensä",IF($C327&gt;Data!$CP$2,"",OFFSET(tulossiirtymä,MATCH($D327,Data!$AN$2:$AN$313,0),Tulokset!I$2)))))</f>
        <v/>
      </c>
      <c r="J327" s="78" t="str">
        <f ca="1">IF($B327&gt;keilatut,"",IF($C327=(-1),"",IF($C327=0,"Ero voittajaan",IF($C327&gt;Data!$CP$2,"",OFFSET(tulossiirtymä,MATCH($D327,Data!$AN$2:$AN$313,0),Tulokset!J$2)))))</f>
        <v/>
      </c>
      <c r="K327" s="78" t="str">
        <f ca="1">IF($B327&gt;keilatut,"",IF($C327=(-1),"",IF($C327=0,"Pisteet",IF($C327&gt;Data!$CP$2,"",OFFSET(tulossiirtymä,MATCH($D327,Data!$AN$2:$AN$313,0),Tulokset!K$2)))))</f>
        <v/>
      </c>
      <c r="L327" s="78" t="str">
        <f ca="1">IF($B327&gt;keilatut,"",IF($C327=(-1),"",IF($C327=0,"Pisteet yhteensä",IF($C327&gt;Data!$CP$2,"",OFFSET(tulossiirtymä,MATCH($D327,Data!$AN$2:$AN$313,0),Tulokset!L$2)))))</f>
        <v/>
      </c>
      <c r="M327" s="78" t="str">
        <f ca="1">IF($B327&gt;keilatut,"",IF($C327=(-1),"",IF($C327=0,"Pisteseloste",IF($C327&gt;Data!$CP$2,"",OFFSET(tulossiirtymä,MATCH($D327,Data!$AN$2:$AN$313,0),Tulokset!M$2)))))</f>
        <v/>
      </c>
    </row>
    <row r="328" spans="2:13" x14ac:dyDescent="0.25">
      <c r="B328" s="78">
        <f t="shared" si="5"/>
        <v>12</v>
      </c>
      <c r="C328" s="78">
        <f>COUNTIF($B$6:B328,B328)-2</f>
        <v>24</v>
      </c>
      <c r="D328" s="79" t="str">
        <f t="array" ref="D328">IF($B328&lt;=keilatut,IF($C328&lt;1,"",IF($C328&gt;Data!$CP$2,"",SMALL(IF(Data!$B$2:$B$313=Tulokset!$B328,Data!$AN$2:$AN$313),Tulokset!$C328))),"")</f>
        <v/>
      </c>
      <c r="E328" s="78" t="str">
        <f>IF($B328&gt;keilatut,"",IF($C328=(-1),"GP"&amp;$B328&amp;", "&amp;DAY(VLOOKUP($B328,kilpailukalenteri,2))&amp;"."&amp;MONTH(VLOOKUP($B328,kilpailukalenteri,2))&amp;"."&amp;YEAR(VLOOKUP($B328,kilpailukalenteri,2))&amp;", "&amp;IF(RIGHT(VLOOKUP($B328,kilpailukalenteri,4),1)="*",LEFT(VLOOKUP($B328,kilpailukalenteri,4),LEN(VLOOKUP($B328,kilpailukalenteri,4))-2)&amp;", Kultainen GP",VLOOKUP($B328,kilpailukalenteri,4)),IF($C328=0,"Sija",IF($C328&gt;Data!$CP$2,"",ROUND(Tulokset!$D328,0)))))</f>
        <v/>
      </c>
      <c r="F328" s="78" t="str">
        <f ca="1">IF($B328&gt;keilatut,"",IF($C328=(-1),"",IF($C328=0,"Nimi",IF($C328&gt;Data!$CP$2,"",OFFSET(tulossiirtymä,MATCH($D328,Data!$AN$2:$AN$313,0),Tulokset!F$2)))))</f>
        <v/>
      </c>
      <c r="G328" s="78" t="str">
        <f ca="1">IF($B328&gt;keilatut,"",IF($C328=(-1),"",IF($C328=0,"Sarja 1",IF($C328&gt;Data!$CP$2,"",OFFSET(tulossiirtymä,MATCH($D328,Data!$AN$2:$AN$313,0),Tulokset!G$2)))))</f>
        <v/>
      </c>
      <c r="H328" s="78" t="str">
        <f ca="1">IF($B328&gt;keilatut,"",IF($C328=(-1),"",IF($C328=0,"Sarja 2",IF($C328&gt;Data!$CP$2,"",OFFSET(tulossiirtymä,MATCH($D328,Data!$AN$2:$AN$313,0),Tulokset!H$2)))))</f>
        <v/>
      </c>
      <c r="I328" s="78" t="str">
        <f ca="1">IF($B328&gt;keilatut,"",IF($C328=(-1),"",IF($C328=0,"Yhteensä",IF($C328&gt;Data!$CP$2,"",OFFSET(tulossiirtymä,MATCH($D328,Data!$AN$2:$AN$313,0),Tulokset!I$2)))))</f>
        <v/>
      </c>
      <c r="J328" s="78" t="str">
        <f ca="1">IF($B328&gt;keilatut,"",IF($C328=(-1),"",IF($C328=0,"Ero voittajaan",IF($C328&gt;Data!$CP$2,"",OFFSET(tulossiirtymä,MATCH($D328,Data!$AN$2:$AN$313,0),Tulokset!J$2)))))</f>
        <v/>
      </c>
      <c r="K328" s="78" t="str">
        <f ca="1">IF($B328&gt;keilatut,"",IF($C328=(-1),"",IF($C328=0,"Pisteet",IF($C328&gt;Data!$CP$2,"",OFFSET(tulossiirtymä,MATCH($D328,Data!$AN$2:$AN$313,0),Tulokset!K$2)))))</f>
        <v/>
      </c>
      <c r="L328" s="78" t="str">
        <f ca="1">IF($B328&gt;keilatut,"",IF($C328=(-1),"",IF($C328=0,"Pisteet yhteensä",IF($C328&gt;Data!$CP$2,"",OFFSET(tulossiirtymä,MATCH($D328,Data!$AN$2:$AN$313,0),Tulokset!L$2)))))</f>
        <v/>
      </c>
      <c r="M328" s="78" t="str">
        <f ca="1">IF($B328&gt;keilatut,"",IF($C328=(-1),"",IF($C328=0,"Pisteseloste",IF($C328&gt;Data!$CP$2,"",OFFSET(tulossiirtymä,MATCH($D328,Data!$AN$2:$AN$313,0),Tulokset!M$2)))))</f>
        <v/>
      </c>
    </row>
    <row r="329" spans="2:13" x14ac:dyDescent="0.25">
      <c r="B329" s="78">
        <f t="shared" si="5"/>
        <v>12</v>
      </c>
      <c r="C329" s="78">
        <f>COUNTIF($B$6:B329,B329)-2</f>
        <v>25</v>
      </c>
      <c r="D329" s="79" t="str">
        <f t="array" ref="D329">IF($B329&lt;=keilatut,IF($C329&lt;1,"",IF($C329&gt;Data!$CP$2,"",SMALL(IF(Data!$B$2:$B$313=Tulokset!$B329,Data!$AN$2:$AN$313),Tulokset!$C329))),"")</f>
        <v/>
      </c>
      <c r="E329" s="78" t="str">
        <f>IF($B329&gt;keilatut,"",IF($C329=(-1),"GP"&amp;$B329&amp;", "&amp;DAY(VLOOKUP($B329,kilpailukalenteri,2))&amp;"."&amp;MONTH(VLOOKUP($B329,kilpailukalenteri,2))&amp;"."&amp;YEAR(VLOOKUP($B329,kilpailukalenteri,2))&amp;", "&amp;IF(RIGHT(VLOOKUP($B329,kilpailukalenteri,4),1)="*",LEFT(VLOOKUP($B329,kilpailukalenteri,4),LEN(VLOOKUP($B329,kilpailukalenteri,4))-2)&amp;", Kultainen GP",VLOOKUP($B329,kilpailukalenteri,4)),IF($C329=0,"Sija",IF($C329&gt;Data!$CP$2,"",ROUND(Tulokset!$D329,0)))))</f>
        <v/>
      </c>
      <c r="F329" s="78" t="str">
        <f ca="1">IF($B329&gt;keilatut,"",IF($C329=(-1),"",IF($C329=0,"Nimi",IF($C329&gt;Data!$CP$2,"",OFFSET(tulossiirtymä,MATCH($D329,Data!$AN$2:$AN$313,0),Tulokset!F$2)))))</f>
        <v/>
      </c>
      <c r="G329" s="78" t="str">
        <f ca="1">IF($B329&gt;keilatut,"",IF($C329=(-1),"",IF($C329=0,"Sarja 1",IF($C329&gt;Data!$CP$2,"",OFFSET(tulossiirtymä,MATCH($D329,Data!$AN$2:$AN$313,0),Tulokset!G$2)))))</f>
        <v/>
      </c>
      <c r="H329" s="78" t="str">
        <f ca="1">IF($B329&gt;keilatut,"",IF($C329=(-1),"",IF($C329=0,"Sarja 2",IF($C329&gt;Data!$CP$2,"",OFFSET(tulossiirtymä,MATCH($D329,Data!$AN$2:$AN$313,0),Tulokset!H$2)))))</f>
        <v/>
      </c>
      <c r="I329" s="78" t="str">
        <f ca="1">IF($B329&gt;keilatut,"",IF($C329=(-1),"",IF($C329=0,"Yhteensä",IF($C329&gt;Data!$CP$2,"",OFFSET(tulossiirtymä,MATCH($D329,Data!$AN$2:$AN$313,0),Tulokset!I$2)))))</f>
        <v/>
      </c>
      <c r="J329" s="78" t="str">
        <f ca="1">IF($B329&gt;keilatut,"",IF($C329=(-1),"",IF($C329=0,"Ero voittajaan",IF($C329&gt;Data!$CP$2,"",OFFSET(tulossiirtymä,MATCH($D329,Data!$AN$2:$AN$313,0),Tulokset!J$2)))))</f>
        <v/>
      </c>
      <c r="K329" s="78" t="str">
        <f ca="1">IF($B329&gt;keilatut,"",IF($C329=(-1),"",IF($C329=0,"Pisteet",IF($C329&gt;Data!$CP$2,"",OFFSET(tulossiirtymä,MATCH($D329,Data!$AN$2:$AN$313,0),Tulokset!K$2)))))</f>
        <v/>
      </c>
      <c r="L329" s="78" t="str">
        <f ca="1">IF($B329&gt;keilatut,"",IF($C329=(-1),"",IF($C329=0,"Pisteet yhteensä",IF($C329&gt;Data!$CP$2,"",OFFSET(tulossiirtymä,MATCH($D329,Data!$AN$2:$AN$313,0),Tulokset!L$2)))))</f>
        <v/>
      </c>
      <c r="M329" s="78" t="str">
        <f ca="1">IF($B329&gt;keilatut,"",IF($C329=(-1),"",IF($C329=0,"Pisteseloste",IF($C329&gt;Data!$CP$2,"",OFFSET(tulossiirtymä,MATCH($D329,Data!$AN$2:$AN$313,0),Tulokset!M$2)))))</f>
        <v/>
      </c>
    </row>
    <row r="330" spans="2:13" x14ac:dyDescent="0.25">
      <c r="B330" s="78">
        <f t="shared" si="5"/>
        <v>13</v>
      </c>
      <c r="C330" s="78">
        <f>COUNTIF($B$6:B330,B330)-2</f>
        <v>-1</v>
      </c>
      <c r="D330" s="79" t="str">
        <f t="array" ref="D330">IF($B330&lt;=keilatut,IF($C330&lt;1,"",IF($C330&gt;Data!$CP$2,"",SMALL(IF(Data!$B$2:$B$313=Tulokset!$B330,Data!$AN$2:$AN$313),Tulokset!$C330))),"")</f>
        <v/>
      </c>
      <c r="E330" s="78" t="str">
        <f>IF($B330&gt;keilatut,"",IF($C330=(-1),"GP"&amp;$B330&amp;", "&amp;DAY(VLOOKUP($B330,kilpailukalenteri,2))&amp;"."&amp;MONTH(VLOOKUP($B330,kilpailukalenteri,2))&amp;"."&amp;YEAR(VLOOKUP($B330,kilpailukalenteri,2))&amp;", "&amp;IF(RIGHT(VLOOKUP($B330,kilpailukalenteri,4),1)="*",LEFT(VLOOKUP($B330,kilpailukalenteri,4),LEN(VLOOKUP($B330,kilpailukalenteri,4))-2)&amp;", Kultainen GP",VLOOKUP($B330,kilpailukalenteri,4)),IF($C330=0,"Sija",IF($C330&gt;Data!$CP$2,"",ROUND(Tulokset!$D330,0)))))</f>
        <v/>
      </c>
    </row>
    <row r="331" spans="2:13" x14ac:dyDescent="0.25">
      <c r="B331" s="78">
        <f t="shared" si="5"/>
        <v>13</v>
      </c>
      <c r="C331" s="78">
        <f>COUNTIF($B$6:B331,B331)-2</f>
        <v>0</v>
      </c>
      <c r="D331" s="79" t="str">
        <f t="array" ref="D331">IF($B331&lt;=keilatut,IF($C331&lt;1,"",IF($C331&gt;Data!$CP$2,"",SMALL(IF(Data!$B$2:$B$313=Tulokset!$B331,Data!$AN$2:$AN$313),Tulokset!$C331))),"")</f>
        <v/>
      </c>
      <c r="E331" s="78" t="str">
        <f>IF($B331&gt;keilatut,"",IF($C331=(-1),"GP"&amp;$B331&amp;", "&amp;DAY(VLOOKUP($B331,kilpailukalenteri,2))&amp;"."&amp;MONTH(VLOOKUP($B331,kilpailukalenteri,2))&amp;"."&amp;YEAR(VLOOKUP($B331,kilpailukalenteri,2))&amp;", "&amp;IF(RIGHT(VLOOKUP($B331,kilpailukalenteri,4),1)="*",LEFT(VLOOKUP($B331,kilpailukalenteri,4),LEN(VLOOKUP($B331,kilpailukalenteri,4))-2)&amp;", Kultainen GP",VLOOKUP($B331,kilpailukalenteri,4)),IF($C331=0,"Sija",IF($C331&gt;Data!$CP$2,"",ROUND(Tulokset!$D331,0)))))</f>
        <v/>
      </c>
      <c r="F331" s="78" t="str">
        <f ca="1">IF($B331&gt;keilatut,"",IF($C331=(-1),"",IF($C331=0,"Nimi",IF($C331&gt;Data!$CP$2,"",OFFSET(tulossiirtymä,MATCH($D331,Data!$AN$2:$AN$313,0),Tulokset!F$2)))))</f>
        <v/>
      </c>
      <c r="G331" s="78" t="str">
        <f ca="1">IF($B331&gt;keilatut,"",IF($C331=(-1),"",IF($C331=0,"Sarja 1",IF($C331&gt;Data!$CP$2,"",OFFSET(tulossiirtymä,MATCH($D331,Data!$AN$2:$AN$313,0),Tulokset!G$2)))))</f>
        <v/>
      </c>
      <c r="H331" s="78" t="str">
        <f ca="1">IF($B331&gt;keilatut,"",IF($C331=(-1),"",IF($C331=0,"Sarja 2",IF($C331&gt;Data!$CP$2,"",OFFSET(tulossiirtymä,MATCH($D331,Data!$AN$2:$AN$313,0),Tulokset!H$2)))))</f>
        <v/>
      </c>
      <c r="I331" s="78" t="str">
        <f ca="1">IF($B331&gt;keilatut,"",IF($C331=(-1),"",IF($C331=0,"Yhteensä",IF($C331&gt;Data!$CP$2,"",OFFSET(tulossiirtymä,MATCH($D331,Data!$AN$2:$AN$313,0),Tulokset!I$2)))))</f>
        <v/>
      </c>
      <c r="J331" s="78" t="str">
        <f ca="1">IF($B331&gt;keilatut,"",IF($C331=(-1),"",IF($C331=0,"Ero voittajaan",IF($C331&gt;Data!$CP$2,"",OFFSET(tulossiirtymä,MATCH($D331,Data!$AN$2:$AN$313,0),Tulokset!J$2)))))</f>
        <v/>
      </c>
      <c r="K331" s="78" t="str">
        <f ca="1">IF($B331&gt;keilatut,"",IF($C331=(-1),"",IF($C331=0,"Pisteet",IF($C331&gt;Data!$CP$2,"",OFFSET(tulossiirtymä,MATCH($D331,Data!$AN$2:$AN$313,0),Tulokset!K$2)))))</f>
        <v/>
      </c>
      <c r="L331" s="78" t="str">
        <f ca="1">IF($B331&gt;keilatut,"",IF($C331=(-1),"",IF($C331=0,"Pisteet yhteensä",IF($C331&gt;Data!$CP$2,"",OFFSET(tulossiirtymä,MATCH($D331,Data!$AN$2:$AN$313,0),Tulokset!L$2)))))</f>
        <v/>
      </c>
      <c r="M331" s="78" t="str">
        <f ca="1">IF($B331&gt;keilatut,"",IF($C331=(-1),"",IF($C331=0,"Pisteseloste",IF($C331&gt;Data!$CP$2,"",OFFSET(tulossiirtymä,MATCH($D331,Data!$AN$2:$AN$313,0),Tulokset!M$2)))))</f>
        <v/>
      </c>
    </row>
    <row r="332" spans="2:13" x14ac:dyDescent="0.25">
      <c r="B332" s="78">
        <f t="shared" si="5"/>
        <v>13</v>
      </c>
      <c r="C332" s="78">
        <f>COUNTIF($B$6:B332,B332)-2</f>
        <v>1</v>
      </c>
      <c r="D332" s="79" t="str">
        <f t="array" ref="D332">IF($B332&lt;=keilatut,IF($C332&lt;1,"",IF($C332&gt;Data!$CP$2,"",SMALL(IF(Data!$B$2:$B$313=Tulokset!$B332,Data!$AN$2:$AN$313),Tulokset!$C332))),"")</f>
        <v/>
      </c>
      <c r="E332" s="78" t="str">
        <f>IF($B332&gt;keilatut,"",IF($C332=(-1),"GP"&amp;$B332&amp;", "&amp;DAY(VLOOKUP($B332,kilpailukalenteri,2))&amp;"."&amp;MONTH(VLOOKUP($B332,kilpailukalenteri,2))&amp;"."&amp;YEAR(VLOOKUP($B332,kilpailukalenteri,2))&amp;", "&amp;IF(RIGHT(VLOOKUP($B332,kilpailukalenteri,4),1)="*",LEFT(VLOOKUP($B332,kilpailukalenteri,4),LEN(VLOOKUP($B332,kilpailukalenteri,4))-2)&amp;", Kultainen GP",VLOOKUP($B332,kilpailukalenteri,4)),IF($C332=0,"Sija",IF($C332&gt;Data!$CP$2,"",ROUND(Tulokset!$D332,0)))))</f>
        <v/>
      </c>
      <c r="F332" s="78" t="str">
        <f ca="1">IF($B332&gt;keilatut,"",IF($C332=(-1),"",IF($C332=0,"Nimi",IF($C332&gt;Data!$CP$2,"",OFFSET(tulossiirtymä,MATCH($D332,Data!$AN$2:$AN$313,0),Tulokset!F$2)))))</f>
        <v/>
      </c>
      <c r="G332" s="78" t="str">
        <f ca="1">IF($B332&gt;keilatut,"",IF($C332=(-1),"",IF($C332=0,"Sarja 1",IF($C332&gt;Data!$CP$2,"",OFFSET(tulossiirtymä,MATCH($D332,Data!$AN$2:$AN$313,0),Tulokset!G$2)))))</f>
        <v/>
      </c>
      <c r="H332" s="78" t="str">
        <f ca="1">IF($B332&gt;keilatut,"",IF($C332=(-1),"",IF($C332=0,"Sarja 2",IF($C332&gt;Data!$CP$2,"",OFFSET(tulossiirtymä,MATCH($D332,Data!$AN$2:$AN$313,0),Tulokset!H$2)))))</f>
        <v/>
      </c>
      <c r="I332" s="78" t="str">
        <f ca="1">IF($B332&gt;keilatut,"",IF($C332=(-1),"",IF($C332=0,"Yhteensä",IF($C332&gt;Data!$CP$2,"",OFFSET(tulossiirtymä,MATCH($D332,Data!$AN$2:$AN$313,0),Tulokset!I$2)))))</f>
        <v/>
      </c>
      <c r="J332" s="78" t="str">
        <f ca="1">IF($B332&gt;keilatut,"",IF($C332=(-1),"",IF($C332=0,"Ero voittajaan",IF($C332&gt;Data!$CP$2,"",OFFSET(tulossiirtymä,MATCH($D332,Data!$AN$2:$AN$313,0),Tulokset!J$2)))))</f>
        <v/>
      </c>
      <c r="K332" s="78" t="str">
        <f ca="1">IF($B332&gt;keilatut,"",IF($C332=(-1),"",IF($C332=0,"Pisteet",IF($C332&gt;Data!$CP$2,"",OFFSET(tulossiirtymä,MATCH($D332,Data!$AN$2:$AN$313,0),Tulokset!K$2)))))</f>
        <v/>
      </c>
      <c r="L332" s="78" t="str">
        <f ca="1">IF($B332&gt;keilatut,"",IF($C332=(-1),"",IF($C332=0,"Pisteet yhteensä",IF($C332&gt;Data!$CP$2,"",OFFSET(tulossiirtymä,MATCH($D332,Data!$AN$2:$AN$313,0),Tulokset!L$2)))))</f>
        <v/>
      </c>
      <c r="M332" s="78" t="str">
        <f ca="1">IF($B332&gt;keilatut,"",IF($C332=(-1),"",IF($C332=0,"Pisteseloste",IF($C332&gt;Data!$CP$2,"",OFFSET(tulossiirtymä,MATCH($D332,Data!$AN$2:$AN$313,0),Tulokset!M$2)))))</f>
        <v/>
      </c>
    </row>
    <row r="333" spans="2:13" x14ac:dyDescent="0.25">
      <c r="B333" s="78">
        <f t="shared" si="5"/>
        <v>13</v>
      </c>
      <c r="C333" s="78">
        <f>COUNTIF($B$6:B333,B333)-2</f>
        <v>2</v>
      </c>
      <c r="D333" s="79" t="str">
        <f t="array" ref="D333">IF($B333&lt;=keilatut,IF($C333&lt;1,"",IF($C333&gt;Data!$CP$2,"",SMALL(IF(Data!$B$2:$B$313=Tulokset!$B333,Data!$AN$2:$AN$313),Tulokset!$C333))),"")</f>
        <v/>
      </c>
      <c r="E333" s="78" t="str">
        <f>IF($B333&gt;keilatut,"",IF($C333=(-1),"GP"&amp;$B333&amp;", "&amp;DAY(VLOOKUP($B333,kilpailukalenteri,2))&amp;"."&amp;MONTH(VLOOKUP($B333,kilpailukalenteri,2))&amp;"."&amp;YEAR(VLOOKUP($B333,kilpailukalenteri,2))&amp;", "&amp;IF(RIGHT(VLOOKUP($B333,kilpailukalenteri,4),1)="*",LEFT(VLOOKUP($B333,kilpailukalenteri,4),LEN(VLOOKUP($B333,kilpailukalenteri,4))-2)&amp;", Kultainen GP",VLOOKUP($B333,kilpailukalenteri,4)),IF($C333=0,"Sija",IF($C333&gt;Data!$CP$2,"",ROUND(Tulokset!$D333,0)))))</f>
        <v/>
      </c>
      <c r="F333" s="78" t="str">
        <f ca="1">IF($B333&gt;keilatut,"",IF($C333=(-1),"",IF($C333=0,"Nimi",IF($C333&gt;Data!$CP$2,"",OFFSET(tulossiirtymä,MATCH($D333,Data!$AN$2:$AN$313,0),Tulokset!F$2)))))</f>
        <v/>
      </c>
      <c r="G333" s="78" t="str">
        <f ca="1">IF($B333&gt;keilatut,"",IF($C333=(-1),"",IF($C333=0,"Sarja 1",IF($C333&gt;Data!$CP$2,"",OFFSET(tulossiirtymä,MATCH($D333,Data!$AN$2:$AN$313,0),Tulokset!G$2)))))</f>
        <v/>
      </c>
      <c r="H333" s="78" t="str">
        <f ca="1">IF($B333&gt;keilatut,"",IF($C333=(-1),"",IF($C333=0,"Sarja 2",IF($C333&gt;Data!$CP$2,"",OFFSET(tulossiirtymä,MATCH($D333,Data!$AN$2:$AN$313,0),Tulokset!H$2)))))</f>
        <v/>
      </c>
      <c r="I333" s="78" t="str">
        <f ca="1">IF($B333&gt;keilatut,"",IF($C333=(-1),"",IF($C333=0,"Yhteensä",IF($C333&gt;Data!$CP$2,"",OFFSET(tulossiirtymä,MATCH($D333,Data!$AN$2:$AN$313,0),Tulokset!I$2)))))</f>
        <v/>
      </c>
      <c r="J333" s="78" t="str">
        <f ca="1">IF($B333&gt;keilatut,"",IF($C333=(-1),"",IF($C333=0,"Ero voittajaan",IF($C333&gt;Data!$CP$2,"",OFFSET(tulossiirtymä,MATCH($D333,Data!$AN$2:$AN$313,0),Tulokset!J$2)))))</f>
        <v/>
      </c>
      <c r="K333" s="78" t="str">
        <f ca="1">IF($B333&gt;keilatut,"",IF($C333=(-1),"",IF($C333=0,"Pisteet",IF($C333&gt;Data!$CP$2,"",OFFSET(tulossiirtymä,MATCH($D333,Data!$AN$2:$AN$313,0),Tulokset!K$2)))))</f>
        <v/>
      </c>
      <c r="L333" s="78" t="str">
        <f ca="1">IF($B333&gt;keilatut,"",IF($C333=(-1),"",IF($C333=0,"Pisteet yhteensä",IF($C333&gt;Data!$CP$2,"",OFFSET(tulossiirtymä,MATCH($D333,Data!$AN$2:$AN$313,0),Tulokset!L$2)))))</f>
        <v/>
      </c>
      <c r="M333" s="78" t="str">
        <f ca="1">IF($B333&gt;keilatut,"",IF($C333=(-1),"",IF($C333=0,"Pisteseloste",IF($C333&gt;Data!$CP$2,"",OFFSET(tulossiirtymä,MATCH($D333,Data!$AN$2:$AN$313,0),Tulokset!M$2)))))</f>
        <v/>
      </c>
    </row>
    <row r="334" spans="2:13" x14ac:dyDescent="0.25">
      <c r="B334" s="78">
        <f t="shared" si="5"/>
        <v>13</v>
      </c>
      <c r="C334" s="78">
        <f>COUNTIF($B$6:B334,B334)-2</f>
        <v>3</v>
      </c>
      <c r="D334" s="79" t="str">
        <f t="array" ref="D334">IF($B334&lt;=keilatut,IF($C334&lt;1,"",IF($C334&gt;Data!$CP$2,"",SMALL(IF(Data!$B$2:$B$313=Tulokset!$B334,Data!$AN$2:$AN$313),Tulokset!$C334))),"")</f>
        <v/>
      </c>
      <c r="E334" s="78" t="str">
        <f>IF($B334&gt;keilatut,"",IF($C334=(-1),"GP"&amp;$B334&amp;", "&amp;DAY(VLOOKUP($B334,kilpailukalenteri,2))&amp;"."&amp;MONTH(VLOOKUP($B334,kilpailukalenteri,2))&amp;"."&amp;YEAR(VLOOKUP($B334,kilpailukalenteri,2))&amp;", "&amp;IF(RIGHT(VLOOKUP($B334,kilpailukalenteri,4),1)="*",LEFT(VLOOKUP($B334,kilpailukalenteri,4),LEN(VLOOKUP($B334,kilpailukalenteri,4))-2)&amp;", Kultainen GP",VLOOKUP($B334,kilpailukalenteri,4)),IF($C334=0,"Sija",IF($C334&gt;Data!$CP$2,"",ROUND(Tulokset!$D334,0)))))</f>
        <v/>
      </c>
      <c r="F334" s="78" t="str">
        <f ca="1">IF($B334&gt;keilatut,"",IF($C334=(-1),"",IF($C334=0,"Nimi",IF($C334&gt;Data!$CP$2,"",OFFSET(tulossiirtymä,MATCH($D334,Data!$AN$2:$AN$313,0),Tulokset!F$2)))))</f>
        <v/>
      </c>
      <c r="G334" s="78" t="str">
        <f ca="1">IF($B334&gt;keilatut,"",IF($C334=(-1),"",IF($C334=0,"Sarja 1",IF($C334&gt;Data!$CP$2,"",OFFSET(tulossiirtymä,MATCH($D334,Data!$AN$2:$AN$313,0),Tulokset!G$2)))))</f>
        <v/>
      </c>
      <c r="H334" s="78" t="str">
        <f ca="1">IF($B334&gt;keilatut,"",IF($C334=(-1),"",IF($C334=0,"Sarja 2",IF($C334&gt;Data!$CP$2,"",OFFSET(tulossiirtymä,MATCH($D334,Data!$AN$2:$AN$313,0),Tulokset!H$2)))))</f>
        <v/>
      </c>
      <c r="I334" s="78" t="str">
        <f ca="1">IF($B334&gt;keilatut,"",IF($C334=(-1),"",IF($C334=0,"Yhteensä",IF($C334&gt;Data!$CP$2,"",OFFSET(tulossiirtymä,MATCH($D334,Data!$AN$2:$AN$313,0),Tulokset!I$2)))))</f>
        <v/>
      </c>
      <c r="J334" s="78" t="str">
        <f ca="1">IF($B334&gt;keilatut,"",IF($C334=(-1),"",IF($C334=0,"Ero voittajaan",IF($C334&gt;Data!$CP$2,"",OFFSET(tulossiirtymä,MATCH($D334,Data!$AN$2:$AN$313,0),Tulokset!J$2)))))</f>
        <v/>
      </c>
      <c r="K334" s="78" t="str">
        <f ca="1">IF($B334&gt;keilatut,"",IF($C334=(-1),"",IF($C334=0,"Pisteet",IF($C334&gt;Data!$CP$2,"",OFFSET(tulossiirtymä,MATCH($D334,Data!$AN$2:$AN$313,0),Tulokset!K$2)))))</f>
        <v/>
      </c>
      <c r="L334" s="78" t="str">
        <f ca="1">IF($B334&gt;keilatut,"",IF($C334=(-1),"",IF($C334=0,"Pisteet yhteensä",IF($C334&gt;Data!$CP$2,"",OFFSET(tulossiirtymä,MATCH($D334,Data!$AN$2:$AN$313,0),Tulokset!L$2)))))</f>
        <v/>
      </c>
      <c r="M334" s="78" t="str">
        <f ca="1">IF($B334&gt;keilatut,"",IF($C334=(-1),"",IF($C334=0,"Pisteseloste",IF($C334&gt;Data!$CP$2,"",OFFSET(tulossiirtymä,MATCH($D334,Data!$AN$2:$AN$313,0),Tulokset!M$2)))))</f>
        <v/>
      </c>
    </row>
    <row r="335" spans="2:13" x14ac:dyDescent="0.25">
      <c r="B335" s="78">
        <f t="shared" si="5"/>
        <v>13</v>
      </c>
      <c r="C335" s="78">
        <f>COUNTIF($B$6:B335,B335)-2</f>
        <v>4</v>
      </c>
      <c r="D335" s="79" t="str">
        <f t="array" ref="D335">IF($B335&lt;=keilatut,IF($C335&lt;1,"",IF($C335&gt;Data!$CP$2,"",SMALL(IF(Data!$B$2:$B$313=Tulokset!$B335,Data!$AN$2:$AN$313),Tulokset!$C335))),"")</f>
        <v/>
      </c>
      <c r="E335" s="78" t="str">
        <f>IF($B335&gt;keilatut,"",IF($C335=(-1),"GP"&amp;$B335&amp;", "&amp;DAY(VLOOKUP($B335,kilpailukalenteri,2))&amp;"."&amp;MONTH(VLOOKUP($B335,kilpailukalenteri,2))&amp;"."&amp;YEAR(VLOOKUP($B335,kilpailukalenteri,2))&amp;", "&amp;IF(RIGHT(VLOOKUP($B335,kilpailukalenteri,4),1)="*",LEFT(VLOOKUP($B335,kilpailukalenteri,4),LEN(VLOOKUP($B335,kilpailukalenteri,4))-2)&amp;", Kultainen GP",VLOOKUP($B335,kilpailukalenteri,4)),IF($C335=0,"Sija",IF($C335&gt;Data!$CP$2,"",ROUND(Tulokset!$D335,0)))))</f>
        <v/>
      </c>
      <c r="F335" s="78" t="str">
        <f ca="1">IF($B335&gt;keilatut,"",IF($C335=(-1),"",IF($C335=0,"Nimi",IF($C335&gt;Data!$CP$2,"",OFFSET(tulossiirtymä,MATCH($D335,Data!$AN$2:$AN$313,0),Tulokset!F$2)))))</f>
        <v/>
      </c>
      <c r="G335" s="78" t="str">
        <f ca="1">IF($B335&gt;keilatut,"",IF($C335=(-1),"",IF($C335=0,"Sarja 1",IF($C335&gt;Data!$CP$2,"",OFFSET(tulossiirtymä,MATCH($D335,Data!$AN$2:$AN$313,0),Tulokset!G$2)))))</f>
        <v/>
      </c>
      <c r="H335" s="78" t="str">
        <f ca="1">IF($B335&gt;keilatut,"",IF($C335=(-1),"",IF($C335=0,"Sarja 2",IF($C335&gt;Data!$CP$2,"",OFFSET(tulossiirtymä,MATCH($D335,Data!$AN$2:$AN$313,0),Tulokset!H$2)))))</f>
        <v/>
      </c>
      <c r="I335" s="78" t="str">
        <f ca="1">IF($B335&gt;keilatut,"",IF($C335=(-1),"",IF($C335=0,"Yhteensä",IF($C335&gt;Data!$CP$2,"",OFFSET(tulossiirtymä,MATCH($D335,Data!$AN$2:$AN$313,0),Tulokset!I$2)))))</f>
        <v/>
      </c>
      <c r="J335" s="78" t="str">
        <f ca="1">IF($B335&gt;keilatut,"",IF($C335=(-1),"",IF($C335=0,"Ero voittajaan",IF($C335&gt;Data!$CP$2,"",OFFSET(tulossiirtymä,MATCH($D335,Data!$AN$2:$AN$313,0),Tulokset!J$2)))))</f>
        <v/>
      </c>
      <c r="K335" s="78" t="str">
        <f ca="1">IF($B335&gt;keilatut,"",IF($C335=(-1),"",IF($C335=0,"Pisteet",IF($C335&gt;Data!$CP$2,"",OFFSET(tulossiirtymä,MATCH($D335,Data!$AN$2:$AN$313,0),Tulokset!K$2)))))</f>
        <v/>
      </c>
      <c r="L335" s="78" t="str">
        <f ca="1">IF($B335&gt;keilatut,"",IF($C335=(-1),"",IF($C335=0,"Pisteet yhteensä",IF($C335&gt;Data!$CP$2,"",OFFSET(tulossiirtymä,MATCH($D335,Data!$AN$2:$AN$313,0),Tulokset!L$2)))))</f>
        <v/>
      </c>
      <c r="M335" s="78" t="str">
        <f ca="1">IF($B335&gt;keilatut,"",IF($C335=(-1),"",IF($C335=0,"Pisteseloste",IF($C335&gt;Data!$CP$2,"",OFFSET(tulossiirtymä,MATCH($D335,Data!$AN$2:$AN$313,0),Tulokset!M$2)))))</f>
        <v/>
      </c>
    </row>
    <row r="336" spans="2:13" x14ac:dyDescent="0.25">
      <c r="B336" s="78">
        <f t="shared" si="5"/>
        <v>13</v>
      </c>
      <c r="C336" s="78">
        <f>COUNTIF($B$6:B336,B336)-2</f>
        <v>5</v>
      </c>
      <c r="D336" s="79" t="str">
        <f t="array" ref="D336">IF($B336&lt;=keilatut,IF($C336&lt;1,"",IF($C336&gt;Data!$CP$2,"",SMALL(IF(Data!$B$2:$B$313=Tulokset!$B336,Data!$AN$2:$AN$313),Tulokset!$C336))),"")</f>
        <v/>
      </c>
      <c r="E336" s="78" t="str">
        <f>IF($B336&gt;keilatut,"",IF($C336=(-1),"GP"&amp;$B336&amp;", "&amp;DAY(VLOOKUP($B336,kilpailukalenteri,2))&amp;"."&amp;MONTH(VLOOKUP($B336,kilpailukalenteri,2))&amp;"."&amp;YEAR(VLOOKUP($B336,kilpailukalenteri,2))&amp;", "&amp;IF(RIGHT(VLOOKUP($B336,kilpailukalenteri,4),1)="*",LEFT(VLOOKUP($B336,kilpailukalenteri,4),LEN(VLOOKUP($B336,kilpailukalenteri,4))-2)&amp;", Kultainen GP",VLOOKUP($B336,kilpailukalenteri,4)),IF($C336=0,"Sija",IF($C336&gt;Data!$CP$2,"",ROUND(Tulokset!$D336,0)))))</f>
        <v/>
      </c>
      <c r="F336" s="78" t="str">
        <f ca="1">IF($B336&gt;keilatut,"",IF($C336=(-1),"",IF($C336=0,"Nimi",IF($C336&gt;Data!$CP$2,"",OFFSET(tulossiirtymä,MATCH($D336,Data!$AN$2:$AN$313,0),Tulokset!F$2)))))</f>
        <v/>
      </c>
      <c r="G336" s="78" t="str">
        <f ca="1">IF($B336&gt;keilatut,"",IF($C336=(-1),"",IF($C336=0,"Sarja 1",IF($C336&gt;Data!$CP$2,"",OFFSET(tulossiirtymä,MATCH($D336,Data!$AN$2:$AN$313,0),Tulokset!G$2)))))</f>
        <v/>
      </c>
      <c r="H336" s="78" t="str">
        <f ca="1">IF($B336&gt;keilatut,"",IF($C336=(-1),"",IF($C336=0,"Sarja 2",IF($C336&gt;Data!$CP$2,"",OFFSET(tulossiirtymä,MATCH($D336,Data!$AN$2:$AN$313,0),Tulokset!H$2)))))</f>
        <v/>
      </c>
      <c r="I336" s="78" t="str">
        <f ca="1">IF($B336&gt;keilatut,"",IF($C336=(-1),"",IF($C336=0,"Yhteensä",IF($C336&gt;Data!$CP$2,"",OFFSET(tulossiirtymä,MATCH($D336,Data!$AN$2:$AN$313,0),Tulokset!I$2)))))</f>
        <v/>
      </c>
      <c r="J336" s="78" t="str">
        <f ca="1">IF($B336&gt;keilatut,"",IF($C336=(-1),"",IF($C336=0,"Ero voittajaan",IF($C336&gt;Data!$CP$2,"",OFFSET(tulossiirtymä,MATCH($D336,Data!$AN$2:$AN$313,0),Tulokset!J$2)))))</f>
        <v/>
      </c>
      <c r="K336" s="78" t="str">
        <f ca="1">IF($B336&gt;keilatut,"",IF($C336=(-1),"",IF($C336=0,"Pisteet",IF($C336&gt;Data!$CP$2,"",OFFSET(tulossiirtymä,MATCH($D336,Data!$AN$2:$AN$313,0),Tulokset!K$2)))))</f>
        <v/>
      </c>
      <c r="L336" s="78" t="str">
        <f ca="1">IF($B336&gt;keilatut,"",IF($C336=(-1),"",IF($C336=0,"Pisteet yhteensä",IF($C336&gt;Data!$CP$2,"",OFFSET(tulossiirtymä,MATCH($D336,Data!$AN$2:$AN$313,0),Tulokset!L$2)))))</f>
        <v/>
      </c>
      <c r="M336" s="78" t="str">
        <f ca="1">IF($B336&gt;keilatut,"",IF($C336=(-1),"",IF($C336=0,"Pisteseloste",IF($C336&gt;Data!$CP$2,"",OFFSET(tulossiirtymä,MATCH($D336,Data!$AN$2:$AN$313,0),Tulokset!M$2)))))</f>
        <v/>
      </c>
    </row>
    <row r="337" spans="2:13" x14ac:dyDescent="0.25">
      <c r="B337" s="78">
        <f t="shared" si="5"/>
        <v>13</v>
      </c>
      <c r="C337" s="78">
        <f>COUNTIF($B$6:B337,B337)-2</f>
        <v>6</v>
      </c>
      <c r="D337" s="79" t="str">
        <f t="array" ref="D337">IF($B337&lt;=keilatut,IF($C337&lt;1,"",IF($C337&gt;Data!$CP$2,"",SMALL(IF(Data!$B$2:$B$313=Tulokset!$B337,Data!$AN$2:$AN$313),Tulokset!$C337))),"")</f>
        <v/>
      </c>
      <c r="E337" s="78" t="str">
        <f>IF($B337&gt;keilatut,"",IF($C337=(-1),"GP"&amp;$B337&amp;", "&amp;DAY(VLOOKUP($B337,kilpailukalenteri,2))&amp;"."&amp;MONTH(VLOOKUP($B337,kilpailukalenteri,2))&amp;"."&amp;YEAR(VLOOKUP($B337,kilpailukalenteri,2))&amp;", "&amp;IF(RIGHT(VLOOKUP($B337,kilpailukalenteri,4),1)="*",LEFT(VLOOKUP($B337,kilpailukalenteri,4),LEN(VLOOKUP($B337,kilpailukalenteri,4))-2)&amp;", Kultainen GP",VLOOKUP($B337,kilpailukalenteri,4)),IF($C337=0,"Sija",IF($C337&gt;Data!$CP$2,"",ROUND(Tulokset!$D337,0)))))</f>
        <v/>
      </c>
      <c r="F337" s="78" t="str">
        <f ca="1">IF($B337&gt;keilatut,"",IF($C337=(-1),"",IF($C337=0,"Nimi",IF($C337&gt;Data!$CP$2,"",OFFSET(tulossiirtymä,MATCH($D337,Data!$AN$2:$AN$313,0),Tulokset!F$2)))))</f>
        <v/>
      </c>
      <c r="G337" s="78" t="str">
        <f ca="1">IF($B337&gt;keilatut,"",IF($C337=(-1),"",IF($C337=0,"Sarja 1",IF($C337&gt;Data!$CP$2,"",OFFSET(tulossiirtymä,MATCH($D337,Data!$AN$2:$AN$313,0),Tulokset!G$2)))))</f>
        <v/>
      </c>
      <c r="H337" s="78" t="str">
        <f ca="1">IF($B337&gt;keilatut,"",IF($C337=(-1),"",IF($C337=0,"Sarja 2",IF($C337&gt;Data!$CP$2,"",OFFSET(tulossiirtymä,MATCH($D337,Data!$AN$2:$AN$313,0),Tulokset!H$2)))))</f>
        <v/>
      </c>
      <c r="I337" s="78" t="str">
        <f ca="1">IF($B337&gt;keilatut,"",IF($C337=(-1),"",IF($C337=0,"Yhteensä",IF($C337&gt;Data!$CP$2,"",OFFSET(tulossiirtymä,MATCH($D337,Data!$AN$2:$AN$313,0),Tulokset!I$2)))))</f>
        <v/>
      </c>
      <c r="J337" s="78" t="str">
        <f ca="1">IF($B337&gt;keilatut,"",IF($C337=(-1),"",IF($C337=0,"Ero voittajaan",IF($C337&gt;Data!$CP$2,"",OFFSET(tulossiirtymä,MATCH($D337,Data!$AN$2:$AN$313,0),Tulokset!J$2)))))</f>
        <v/>
      </c>
      <c r="K337" s="78" t="str">
        <f ca="1">IF($B337&gt;keilatut,"",IF($C337=(-1),"",IF($C337=0,"Pisteet",IF($C337&gt;Data!$CP$2,"",OFFSET(tulossiirtymä,MATCH($D337,Data!$AN$2:$AN$313,0),Tulokset!K$2)))))</f>
        <v/>
      </c>
      <c r="L337" s="78" t="str">
        <f ca="1">IF($B337&gt;keilatut,"",IF($C337=(-1),"",IF($C337=0,"Pisteet yhteensä",IF($C337&gt;Data!$CP$2,"",OFFSET(tulossiirtymä,MATCH($D337,Data!$AN$2:$AN$313,0),Tulokset!L$2)))))</f>
        <v/>
      </c>
      <c r="M337" s="78" t="str">
        <f ca="1">IF($B337&gt;keilatut,"",IF($C337=(-1),"",IF($C337=0,"Pisteseloste",IF($C337&gt;Data!$CP$2,"",OFFSET(tulossiirtymä,MATCH($D337,Data!$AN$2:$AN$313,0),Tulokset!M$2)))))</f>
        <v/>
      </c>
    </row>
    <row r="338" spans="2:13" x14ac:dyDescent="0.25">
      <c r="B338" s="78">
        <f t="shared" si="5"/>
        <v>13</v>
      </c>
      <c r="C338" s="78">
        <f>COUNTIF($B$6:B338,B338)-2</f>
        <v>7</v>
      </c>
      <c r="D338" s="79" t="str">
        <f t="array" ref="D338">IF($B338&lt;=keilatut,IF($C338&lt;1,"",IF($C338&gt;Data!$CP$2,"",SMALL(IF(Data!$B$2:$B$313=Tulokset!$B338,Data!$AN$2:$AN$313),Tulokset!$C338))),"")</f>
        <v/>
      </c>
      <c r="E338" s="78" t="str">
        <f>IF($B338&gt;keilatut,"",IF($C338=(-1),"GP"&amp;$B338&amp;", "&amp;DAY(VLOOKUP($B338,kilpailukalenteri,2))&amp;"."&amp;MONTH(VLOOKUP($B338,kilpailukalenteri,2))&amp;"."&amp;YEAR(VLOOKUP($B338,kilpailukalenteri,2))&amp;", "&amp;IF(RIGHT(VLOOKUP($B338,kilpailukalenteri,4),1)="*",LEFT(VLOOKUP($B338,kilpailukalenteri,4),LEN(VLOOKUP($B338,kilpailukalenteri,4))-2)&amp;", Kultainen GP",VLOOKUP($B338,kilpailukalenteri,4)),IF($C338=0,"Sija",IF($C338&gt;Data!$CP$2,"",ROUND(Tulokset!$D338,0)))))</f>
        <v/>
      </c>
      <c r="F338" s="78" t="str">
        <f ca="1">IF($B338&gt;keilatut,"",IF($C338=(-1),"",IF($C338=0,"Nimi",IF($C338&gt;Data!$CP$2,"",OFFSET(tulossiirtymä,MATCH($D338,Data!$AN$2:$AN$313,0),Tulokset!F$2)))))</f>
        <v/>
      </c>
      <c r="G338" s="78" t="str">
        <f ca="1">IF($B338&gt;keilatut,"",IF($C338=(-1),"",IF($C338=0,"Sarja 1",IF($C338&gt;Data!$CP$2,"",OFFSET(tulossiirtymä,MATCH($D338,Data!$AN$2:$AN$313,0),Tulokset!G$2)))))</f>
        <v/>
      </c>
      <c r="H338" s="78" t="str">
        <f ca="1">IF($B338&gt;keilatut,"",IF($C338=(-1),"",IF($C338=0,"Sarja 2",IF($C338&gt;Data!$CP$2,"",OFFSET(tulossiirtymä,MATCH($D338,Data!$AN$2:$AN$313,0),Tulokset!H$2)))))</f>
        <v/>
      </c>
      <c r="I338" s="78" t="str">
        <f ca="1">IF($B338&gt;keilatut,"",IF($C338=(-1),"",IF($C338=0,"Yhteensä",IF($C338&gt;Data!$CP$2,"",OFFSET(tulossiirtymä,MATCH($D338,Data!$AN$2:$AN$313,0),Tulokset!I$2)))))</f>
        <v/>
      </c>
      <c r="J338" s="78" t="str">
        <f ca="1">IF($B338&gt;keilatut,"",IF($C338=(-1),"",IF($C338=0,"Ero voittajaan",IF($C338&gt;Data!$CP$2,"",OFFSET(tulossiirtymä,MATCH($D338,Data!$AN$2:$AN$313,0),Tulokset!J$2)))))</f>
        <v/>
      </c>
      <c r="K338" s="78" t="str">
        <f ca="1">IF($B338&gt;keilatut,"",IF($C338=(-1),"",IF($C338=0,"Pisteet",IF($C338&gt;Data!$CP$2,"",OFFSET(tulossiirtymä,MATCH($D338,Data!$AN$2:$AN$313,0),Tulokset!K$2)))))</f>
        <v/>
      </c>
      <c r="L338" s="78" t="str">
        <f ca="1">IF($B338&gt;keilatut,"",IF($C338=(-1),"",IF($C338=0,"Pisteet yhteensä",IF($C338&gt;Data!$CP$2,"",OFFSET(tulossiirtymä,MATCH($D338,Data!$AN$2:$AN$313,0),Tulokset!L$2)))))</f>
        <v/>
      </c>
      <c r="M338" s="78" t="str">
        <f ca="1">IF($B338&gt;keilatut,"",IF($C338=(-1),"",IF($C338=0,"Pisteseloste",IF($C338&gt;Data!$CP$2,"",OFFSET(tulossiirtymä,MATCH($D338,Data!$AN$2:$AN$313,0),Tulokset!M$2)))))</f>
        <v/>
      </c>
    </row>
    <row r="339" spans="2:13" x14ac:dyDescent="0.25">
      <c r="B339" s="78">
        <f t="shared" si="5"/>
        <v>13</v>
      </c>
      <c r="C339" s="78">
        <f>COUNTIF($B$6:B339,B339)-2</f>
        <v>8</v>
      </c>
      <c r="D339" s="79" t="str">
        <f t="array" ref="D339">IF($B339&lt;=keilatut,IF($C339&lt;1,"",IF($C339&gt;Data!$CP$2,"",SMALL(IF(Data!$B$2:$B$313=Tulokset!$B339,Data!$AN$2:$AN$313),Tulokset!$C339))),"")</f>
        <v/>
      </c>
      <c r="E339" s="78" t="str">
        <f>IF($B339&gt;keilatut,"",IF($C339=(-1),"GP"&amp;$B339&amp;", "&amp;DAY(VLOOKUP($B339,kilpailukalenteri,2))&amp;"."&amp;MONTH(VLOOKUP($B339,kilpailukalenteri,2))&amp;"."&amp;YEAR(VLOOKUP($B339,kilpailukalenteri,2))&amp;", "&amp;IF(RIGHT(VLOOKUP($B339,kilpailukalenteri,4),1)="*",LEFT(VLOOKUP($B339,kilpailukalenteri,4),LEN(VLOOKUP($B339,kilpailukalenteri,4))-2)&amp;", Kultainen GP",VLOOKUP($B339,kilpailukalenteri,4)),IF($C339=0,"Sija",IF($C339&gt;Data!$CP$2,"",ROUND(Tulokset!$D339,0)))))</f>
        <v/>
      </c>
      <c r="F339" s="78" t="str">
        <f ca="1">IF($B339&gt;keilatut,"",IF($C339=(-1),"",IF($C339=0,"Nimi",IF($C339&gt;Data!$CP$2,"",OFFSET(tulossiirtymä,MATCH($D339,Data!$AN$2:$AN$313,0),Tulokset!F$2)))))</f>
        <v/>
      </c>
      <c r="G339" s="78" t="str">
        <f ca="1">IF($B339&gt;keilatut,"",IF($C339=(-1),"",IF($C339=0,"Sarja 1",IF($C339&gt;Data!$CP$2,"",OFFSET(tulossiirtymä,MATCH($D339,Data!$AN$2:$AN$313,0),Tulokset!G$2)))))</f>
        <v/>
      </c>
      <c r="H339" s="78" t="str">
        <f ca="1">IF($B339&gt;keilatut,"",IF($C339=(-1),"",IF($C339=0,"Sarja 2",IF($C339&gt;Data!$CP$2,"",OFFSET(tulossiirtymä,MATCH($D339,Data!$AN$2:$AN$313,0),Tulokset!H$2)))))</f>
        <v/>
      </c>
      <c r="I339" s="78" t="str">
        <f ca="1">IF($B339&gt;keilatut,"",IF($C339=(-1),"",IF($C339=0,"Yhteensä",IF($C339&gt;Data!$CP$2,"",OFFSET(tulossiirtymä,MATCH($D339,Data!$AN$2:$AN$313,0),Tulokset!I$2)))))</f>
        <v/>
      </c>
      <c r="J339" s="78" t="str">
        <f ca="1">IF($B339&gt;keilatut,"",IF($C339=(-1),"",IF($C339=0,"Ero voittajaan",IF($C339&gt;Data!$CP$2,"",OFFSET(tulossiirtymä,MATCH($D339,Data!$AN$2:$AN$313,0),Tulokset!J$2)))))</f>
        <v/>
      </c>
      <c r="K339" s="78" t="str">
        <f ca="1">IF($B339&gt;keilatut,"",IF($C339=(-1),"",IF($C339=0,"Pisteet",IF($C339&gt;Data!$CP$2,"",OFFSET(tulossiirtymä,MATCH($D339,Data!$AN$2:$AN$313,0),Tulokset!K$2)))))</f>
        <v/>
      </c>
      <c r="L339" s="78" t="str">
        <f ca="1">IF($B339&gt;keilatut,"",IF($C339=(-1),"",IF($C339=0,"Pisteet yhteensä",IF($C339&gt;Data!$CP$2,"",OFFSET(tulossiirtymä,MATCH($D339,Data!$AN$2:$AN$313,0),Tulokset!L$2)))))</f>
        <v/>
      </c>
      <c r="M339" s="78" t="str">
        <f ca="1">IF($B339&gt;keilatut,"",IF($C339=(-1),"",IF($C339=0,"Pisteseloste",IF($C339&gt;Data!$CP$2,"",OFFSET(tulossiirtymä,MATCH($D339,Data!$AN$2:$AN$313,0),Tulokset!M$2)))))</f>
        <v/>
      </c>
    </row>
    <row r="340" spans="2:13" x14ac:dyDescent="0.25">
      <c r="B340" s="78">
        <f t="shared" si="5"/>
        <v>13</v>
      </c>
      <c r="C340" s="78">
        <f>COUNTIF($B$6:B340,B340)-2</f>
        <v>9</v>
      </c>
      <c r="D340" s="79" t="str">
        <f t="array" ref="D340">IF($B340&lt;=keilatut,IF($C340&lt;1,"",IF($C340&gt;Data!$CP$2,"",SMALL(IF(Data!$B$2:$B$313=Tulokset!$B340,Data!$AN$2:$AN$313),Tulokset!$C340))),"")</f>
        <v/>
      </c>
      <c r="E340" s="78" t="str">
        <f>IF($B340&gt;keilatut,"",IF($C340=(-1),"GP"&amp;$B340&amp;", "&amp;DAY(VLOOKUP($B340,kilpailukalenteri,2))&amp;"."&amp;MONTH(VLOOKUP($B340,kilpailukalenteri,2))&amp;"."&amp;YEAR(VLOOKUP($B340,kilpailukalenteri,2))&amp;", "&amp;IF(RIGHT(VLOOKUP($B340,kilpailukalenteri,4),1)="*",LEFT(VLOOKUP($B340,kilpailukalenteri,4),LEN(VLOOKUP($B340,kilpailukalenteri,4))-2)&amp;", Kultainen GP",VLOOKUP($B340,kilpailukalenteri,4)),IF($C340=0,"Sija",IF($C340&gt;Data!$CP$2,"",ROUND(Tulokset!$D340,0)))))</f>
        <v/>
      </c>
      <c r="F340" s="78" t="str">
        <f ca="1">IF($B340&gt;keilatut,"",IF($C340=(-1),"",IF($C340=0,"Nimi",IF($C340&gt;Data!$CP$2,"",OFFSET(tulossiirtymä,MATCH($D340,Data!$AN$2:$AN$313,0),Tulokset!F$2)))))</f>
        <v/>
      </c>
      <c r="G340" s="78" t="str">
        <f ca="1">IF($B340&gt;keilatut,"",IF($C340=(-1),"",IF($C340=0,"Sarja 1",IF($C340&gt;Data!$CP$2,"",OFFSET(tulossiirtymä,MATCH($D340,Data!$AN$2:$AN$313,0),Tulokset!G$2)))))</f>
        <v/>
      </c>
      <c r="H340" s="78" t="str">
        <f ca="1">IF($B340&gt;keilatut,"",IF($C340=(-1),"",IF($C340=0,"Sarja 2",IF($C340&gt;Data!$CP$2,"",OFFSET(tulossiirtymä,MATCH($D340,Data!$AN$2:$AN$313,0),Tulokset!H$2)))))</f>
        <v/>
      </c>
      <c r="I340" s="78" t="str">
        <f ca="1">IF($B340&gt;keilatut,"",IF($C340=(-1),"",IF($C340=0,"Yhteensä",IF($C340&gt;Data!$CP$2,"",OFFSET(tulossiirtymä,MATCH($D340,Data!$AN$2:$AN$313,0),Tulokset!I$2)))))</f>
        <v/>
      </c>
      <c r="J340" s="78" t="str">
        <f ca="1">IF($B340&gt;keilatut,"",IF($C340=(-1),"",IF($C340=0,"Ero voittajaan",IF($C340&gt;Data!$CP$2,"",OFFSET(tulossiirtymä,MATCH($D340,Data!$AN$2:$AN$313,0),Tulokset!J$2)))))</f>
        <v/>
      </c>
      <c r="K340" s="78" t="str">
        <f ca="1">IF($B340&gt;keilatut,"",IF($C340=(-1),"",IF($C340=0,"Pisteet",IF($C340&gt;Data!$CP$2,"",OFFSET(tulossiirtymä,MATCH($D340,Data!$AN$2:$AN$313,0),Tulokset!K$2)))))</f>
        <v/>
      </c>
      <c r="L340" s="78" t="str">
        <f ca="1">IF($B340&gt;keilatut,"",IF($C340=(-1),"",IF($C340=0,"Pisteet yhteensä",IF($C340&gt;Data!$CP$2,"",OFFSET(tulossiirtymä,MATCH($D340,Data!$AN$2:$AN$313,0),Tulokset!L$2)))))</f>
        <v/>
      </c>
      <c r="M340" s="78" t="str">
        <f ca="1">IF($B340&gt;keilatut,"",IF($C340=(-1),"",IF($C340=0,"Pisteseloste",IF($C340&gt;Data!$CP$2,"",OFFSET(tulossiirtymä,MATCH($D340,Data!$AN$2:$AN$313,0),Tulokset!M$2)))))</f>
        <v/>
      </c>
    </row>
    <row r="341" spans="2:13" x14ac:dyDescent="0.25">
      <c r="B341" s="78">
        <f t="shared" si="5"/>
        <v>13</v>
      </c>
      <c r="C341" s="78">
        <f>COUNTIF($B$6:B341,B341)-2</f>
        <v>10</v>
      </c>
      <c r="D341" s="79" t="str">
        <f t="array" ref="D341">IF($B341&lt;=keilatut,IF($C341&lt;1,"",IF($C341&gt;Data!$CP$2,"",SMALL(IF(Data!$B$2:$B$313=Tulokset!$B341,Data!$AN$2:$AN$313),Tulokset!$C341))),"")</f>
        <v/>
      </c>
      <c r="E341" s="78" t="str">
        <f>IF($B341&gt;keilatut,"",IF($C341=(-1),"GP"&amp;$B341&amp;", "&amp;DAY(VLOOKUP($B341,kilpailukalenteri,2))&amp;"."&amp;MONTH(VLOOKUP($B341,kilpailukalenteri,2))&amp;"."&amp;YEAR(VLOOKUP($B341,kilpailukalenteri,2))&amp;", "&amp;IF(RIGHT(VLOOKUP($B341,kilpailukalenteri,4),1)="*",LEFT(VLOOKUP($B341,kilpailukalenteri,4),LEN(VLOOKUP($B341,kilpailukalenteri,4))-2)&amp;", Kultainen GP",VLOOKUP($B341,kilpailukalenteri,4)),IF($C341=0,"Sija",IF($C341&gt;Data!$CP$2,"",ROUND(Tulokset!$D341,0)))))</f>
        <v/>
      </c>
      <c r="F341" s="78" t="str">
        <f ca="1">IF($B341&gt;keilatut,"",IF($C341=(-1),"",IF($C341=0,"Nimi",IF($C341&gt;Data!$CP$2,"",OFFSET(tulossiirtymä,MATCH($D341,Data!$AN$2:$AN$313,0),Tulokset!F$2)))))</f>
        <v/>
      </c>
      <c r="G341" s="78" t="str">
        <f ca="1">IF($B341&gt;keilatut,"",IF($C341=(-1),"",IF($C341=0,"Sarja 1",IF($C341&gt;Data!$CP$2,"",OFFSET(tulossiirtymä,MATCH($D341,Data!$AN$2:$AN$313,0),Tulokset!G$2)))))</f>
        <v/>
      </c>
      <c r="H341" s="78" t="str">
        <f ca="1">IF($B341&gt;keilatut,"",IF($C341=(-1),"",IF($C341=0,"Sarja 2",IF($C341&gt;Data!$CP$2,"",OFFSET(tulossiirtymä,MATCH($D341,Data!$AN$2:$AN$313,0),Tulokset!H$2)))))</f>
        <v/>
      </c>
      <c r="I341" s="78" t="str">
        <f ca="1">IF($B341&gt;keilatut,"",IF($C341=(-1),"",IF($C341=0,"Yhteensä",IF($C341&gt;Data!$CP$2,"",OFFSET(tulossiirtymä,MATCH($D341,Data!$AN$2:$AN$313,0),Tulokset!I$2)))))</f>
        <v/>
      </c>
      <c r="J341" s="78" t="str">
        <f ca="1">IF($B341&gt;keilatut,"",IF($C341=(-1),"",IF($C341=0,"Ero voittajaan",IF($C341&gt;Data!$CP$2,"",OFFSET(tulossiirtymä,MATCH($D341,Data!$AN$2:$AN$313,0),Tulokset!J$2)))))</f>
        <v/>
      </c>
      <c r="K341" s="78" t="str">
        <f ca="1">IF($B341&gt;keilatut,"",IF($C341=(-1),"",IF($C341=0,"Pisteet",IF($C341&gt;Data!$CP$2,"",OFFSET(tulossiirtymä,MATCH($D341,Data!$AN$2:$AN$313,0),Tulokset!K$2)))))</f>
        <v/>
      </c>
      <c r="L341" s="78" t="str">
        <f ca="1">IF($B341&gt;keilatut,"",IF($C341=(-1),"",IF($C341=0,"Pisteet yhteensä",IF($C341&gt;Data!$CP$2,"",OFFSET(tulossiirtymä,MATCH($D341,Data!$AN$2:$AN$313,0),Tulokset!L$2)))))</f>
        <v/>
      </c>
      <c r="M341" s="78" t="str">
        <f ca="1">IF($B341&gt;keilatut,"",IF($C341=(-1),"",IF($C341=0,"Pisteseloste",IF($C341&gt;Data!$CP$2,"",OFFSET(tulossiirtymä,MATCH($D341,Data!$AN$2:$AN$313,0),Tulokset!M$2)))))</f>
        <v/>
      </c>
    </row>
    <row r="342" spans="2:13" x14ac:dyDescent="0.25">
      <c r="B342" s="78">
        <f t="shared" si="5"/>
        <v>13</v>
      </c>
      <c r="C342" s="78">
        <f>COUNTIF($B$6:B342,B342)-2</f>
        <v>11</v>
      </c>
      <c r="D342" s="79" t="str">
        <f t="array" ref="D342">IF($B342&lt;=keilatut,IF($C342&lt;1,"",IF($C342&gt;Data!$CP$2,"",SMALL(IF(Data!$B$2:$B$313=Tulokset!$B342,Data!$AN$2:$AN$313),Tulokset!$C342))),"")</f>
        <v/>
      </c>
      <c r="E342" s="78" t="str">
        <f>IF($B342&gt;keilatut,"",IF($C342=(-1),"GP"&amp;$B342&amp;", "&amp;DAY(VLOOKUP($B342,kilpailukalenteri,2))&amp;"."&amp;MONTH(VLOOKUP($B342,kilpailukalenteri,2))&amp;"."&amp;YEAR(VLOOKUP($B342,kilpailukalenteri,2))&amp;", "&amp;IF(RIGHT(VLOOKUP($B342,kilpailukalenteri,4),1)="*",LEFT(VLOOKUP($B342,kilpailukalenteri,4),LEN(VLOOKUP($B342,kilpailukalenteri,4))-2)&amp;", Kultainen GP",VLOOKUP($B342,kilpailukalenteri,4)),IF($C342=0,"Sija",IF($C342&gt;Data!$CP$2,"",ROUND(Tulokset!$D342,0)))))</f>
        <v/>
      </c>
      <c r="F342" s="78" t="str">
        <f ca="1">IF($B342&gt;keilatut,"",IF($C342=(-1),"",IF($C342=0,"Nimi",IF($C342&gt;Data!$CP$2,"",OFFSET(tulossiirtymä,MATCH($D342,Data!$AN$2:$AN$313,0),Tulokset!F$2)))))</f>
        <v/>
      </c>
      <c r="G342" s="78" t="str">
        <f ca="1">IF($B342&gt;keilatut,"",IF($C342=(-1),"",IF($C342=0,"Sarja 1",IF($C342&gt;Data!$CP$2,"",OFFSET(tulossiirtymä,MATCH($D342,Data!$AN$2:$AN$313,0),Tulokset!G$2)))))</f>
        <v/>
      </c>
      <c r="H342" s="78" t="str">
        <f ca="1">IF($B342&gt;keilatut,"",IF($C342=(-1),"",IF($C342=0,"Sarja 2",IF($C342&gt;Data!$CP$2,"",OFFSET(tulossiirtymä,MATCH($D342,Data!$AN$2:$AN$313,0),Tulokset!H$2)))))</f>
        <v/>
      </c>
      <c r="I342" s="78" t="str">
        <f ca="1">IF($B342&gt;keilatut,"",IF($C342=(-1),"",IF($C342=0,"Yhteensä",IF($C342&gt;Data!$CP$2,"",OFFSET(tulossiirtymä,MATCH($D342,Data!$AN$2:$AN$313,0),Tulokset!I$2)))))</f>
        <v/>
      </c>
      <c r="J342" s="78" t="str">
        <f ca="1">IF($B342&gt;keilatut,"",IF($C342=(-1),"",IF($C342=0,"Ero voittajaan",IF($C342&gt;Data!$CP$2,"",OFFSET(tulossiirtymä,MATCH($D342,Data!$AN$2:$AN$313,0),Tulokset!J$2)))))</f>
        <v/>
      </c>
      <c r="K342" s="78" t="str">
        <f ca="1">IF($B342&gt;keilatut,"",IF($C342=(-1),"",IF($C342=0,"Pisteet",IF($C342&gt;Data!$CP$2,"",OFFSET(tulossiirtymä,MATCH($D342,Data!$AN$2:$AN$313,0),Tulokset!K$2)))))</f>
        <v/>
      </c>
      <c r="L342" s="78" t="str">
        <f ca="1">IF($B342&gt;keilatut,"",IF($C342=(-1),"",IF($C342=0,"Pisteet yhteensä",IF($C342&gt;Data!$CP$2,"",OFFSET(tulossiirtymä,MATCH($D342,Data!$AN$2:$AN$313,0),Tulokset!L$2)))))</f>
        <v/>
      </c>
      <c r="M342" s="78" t="str">
        <f ca="1">IF($B342&gt;keilatut,"",IF($C342=(-1),"",IF($C342=0,"Pisteseloste",IF($C342&gt;Data!$CP$2,"",OFFSET(tulossiirtymä,MATCH($D342,Data!$AN$2:$AN$313,0),Tulokset!M$2)))))</f>
        <v/>
      </c>
    </row>
    <row r="343" spans="2:13" x14ac:dyDescent="0.25">
      <c r="B343" s="78">
        <f t="shared" si="5"/>
        <v>13</v>
      </c>
      <c r="C343" s="78">
        <f>COUNTIF($B$6:B343,B343)-2</f>
        <v>12</v>
      </c>
      <c r="D343" s="79" t="str">
        <f t="array" ref="D343">IF($B343&lt;=keilatut,IF($C343&lt;1,"",IF($C343&gt;Data!$CP$2,"",SMALL(IF(Data!$B$2:$B$313=Tulokset!$B343,Data!$AN$2:$AN$313),Tulokset!$C343))),"")</f>
        <v/>
      </c>
      <c r="E343" s="78" t="str">
        <f>IF($B343&gt;keilatut,"",IF($C343=(-1),"GP"&amp;$B343&amp;", "&amp;DAY(VLOOKUP($B343,kilpailukalenteri,2))&amp;"."&amp;MONTH(VLOOKUP($B343,kilpailukalenteri,2))&amp;"."&amp;YEAR(VLOOKUP($B343,kilpailukalenteri,2))&amp;", "&amp;IF(RIGHT(VLOOKUP($B343,kilpailukalenteri,4),1)="*",LEFT(VLOOKUP($B343,kilpailukalenteri,4),LEN(VLOOKUP($B343,kilpailukalenteri,4))-2)&amp;", Kultainen GP",VLOOKUP($B343,kilpailukalenteri,4)),IF($C343=0,"Sija",IF($C343&gt;Data!$CP$2,"",ROUND(Tulokset!$D343,0)))))</f>
        <v/>
      </c>
      <c r="F343" s="78" t="str">
        <f ca="1">IF($B343&gt;keilatut,"",IF($C343=(-1),"",IF($C343=0,"Nimi",IF($C343&gt;Data!$CP$2,"",OFFSET(tulossiirtymä,MATCH($D343,Data!$AN$2:$AN$313,0),Tulokset!F$2)))))</f>
        <v/>
      </c>
      <c r="G343" s="78" t="str">
        <f ca="1">IF($B343&gt;keilatut,"",IF($C343=(-1),"",IF($C343=0,"Sarja 1",IF($C343&gt;Data!$CP$2,"",OFFSET(tulossiirtymä,MATCH($D343,Data!$AN$2:$AN$313,0),Tulokset!G$2)))))</f>
        <v/>
      </c>
      <c r="H343" s="78" t="str">
        <f ca="1">IF($B343&gt;keilatut,"",IF($C343=(-1),"",IF($C343=0,"Sarja 2",IF($C343&gt;Data!$CP$2,"",OFFSET(tulossiirtymä,MATCH($D343,Data!$AN$2:$AN$313,0),Tulokset!H$2)))))</f>
        <v/>
      </c>
      <c r="I343" s="78" t="str">
        <f ca="1">IF($B343&gt;keilatut,"",IF($C343=(-1),"",IF($C343=0,"Yhteensä",IF($C343&gt;Data!$CP$2,"",OFFSET(tulossiirtymä,MATCH($D343,Data!$AN$2:$AN$313,0),Tulokset!I$2)))))</f>
        <v/>
      </c>
      <c r="J343" s="78" t="str">
        <f ca="1">IF($B343&gt;keilatut,"",IF($C343=(-1),"",IF($C343=0,"Ero voittajaan",IF($C343&gt;Data!$CP$2,"",OFFSET(tulossiirtymä,MATCH($D343,Data!$AN$2:$AN$313,0),Tulokset!J$2)))))</f>
        <v/>
      </c>
      <c r="K343" s="78" t="str">
        <f ca="1">IF($B343&gt;keilatut,"",IF($C343=(-1),"",IF($C343=0,"Pisteet",IF($C343&gt;Data!$CP$2,"",OFFSET(tulossiirtymä,MATCH($D343,Data!$AN$2:$AN$313,0),Tulokset!K$2)))))</f>
        <v/>
      </c>
      <c r="L343" s="78" t="str">
        <f ca="1">IF($B343&gt;keilatut,"",IF($C343=(-1),"",IF($C343=0,"Pisteet yhteensä",IF($C343&gt;Data!$CP$2,"",OFFSET(tulossiirtymä,MATCH($D343,Data!$AN$2:$AN$313,0),Tulokset!L$2)))))</f>
        <v/>
      </c>
      <c r="M343" s="78" t="str">
        <f ca="1">IF($B343&gt;keilatut,"",IF($C343=(-1),"",IF($C343=0,"Pisteseloste",IF($C343&gt;Data!$CP$2,"",OFFSET(tulossiirtymä,MATCH($D343,Data!$AN$2:$AN$313,0),Tulokset!M$2)))))</f>
        <v/>
      </c>
    </row>
    <row r="344" spans="2:13" x14ac:dyDescent="0.25">
      <c r="B344" s="78">
        <f t="shared" si="5"/>
        <v>13</v>
      </c>
      <c r="C344" s="78">
        <f>COUNTIF($B$6:B344,B344)-2</f>
        <v>13</v>
      </c>
      <c r="D344" s="79" t="str">
        <f t="array" ref="D344">IF($B344&lt;=keilatut,IF($C344&lt;1,"",IF($C344&gt;Data!$CP$2,"",SMALL(IF(Data!$B$2:$B$313=Tulokset!$B344,Data!$AN$2:$AN$313),Tulokset!$C344))),"")</f>
        <v/>
      </c>
      <c r="E344" s="78" t="str">
        <f>IF($B344&gt;keilatut,"",IF($C344=(-1),"GP"&amp;$B344&amp;", "&amp;DAY(VLOOKUP($B344,kilpailukalenteri,2))&amp;"."&amp;MONTH(VLOOKUP($B344,kilpailukalenteri,2))&amp;"."&amp;YEAR(VLOOKUP($B344,kilpailukalenteri,2))&amp;", "&amp;IF(RIGHT(VLOOKUP($B344,kilpailukalenteri,4),1)="*",LEFT(VLOOKUP($B344,kilpailukalenteri,4),LEN(VLOOKUP($B344,kilpailukalenteri,4))-2)&amp;", Kultainen GP",VLOOKUP($B344,kilpailukalenteri,4)),IF($C344=0,"Sija",IF($C344&gt;Data!$CP$2,"",ROUND(Tulokset!$D344,0)))))</f>
        <v/>
      </c>
      <c r="F344" s="78" t="str">
        <f ca="1">IF($B344&gt;keilatut,"",IF($C344=(-1),"",IF($C344=0,"Nimi",IF($C344&gt;Data!$CP$2,"",OFFSET(tulossiirtymä,MATCH($D344,Data!$AN$2:$AN$313,0),Tulokset!F$2)))))</f>
        <v/>
      </c>
      <c r="G344" s="78" t="str">
        <f ca="1">IF($B344&gt;keilatut,"",IF($C344=(-1),"",IF($C344=0,"Sarja 1",IF($C344&gt;Data!$CP$2,"",OFFSET(tulossiirtymä,MATCH($D344,Data!$AN$2:$AN$313,0),Tulokset!G$2)))))</f>
        <v/>
      </c>
      <c r="H344" s="78" t="str">
        <f ca="1">IF($B344&gt;keilatut,"",IF($C344=(-1),"",IF($C344=0,"Sarja 2",IF($C344&gt;Data!$CP$2,"",OFFSET(tulossiirtymä,MATCH($D344,Data!$AN$2:$AN$313,0),Tulokset!H$2)))))</f>
        <v/>
      </c>
      <c r="I344" s="78" t="str">
        <f ca="1">IF($B344&gt;keilatut,"",IF($C344=(-1),"",IF($C344=0,"Yhteensä",IF($C344&gt;Data!$CP$2,"",OFFSET(tulossiirtymä,MATCH($D344,Data!$AN$2:$AN$313,0),Tulokset!I$2)))))</f>
        <v/>
      </c>
      <c r="J344" s="78" t="str">
        <f ca="1">IF($B344&gt;keilatut,"",IF($C344=(-1),"",IF($C344=0,"Ero voittajaan",IF($C344&gt;Data!$CP$2,"",OFFSET(tulossiirtymä,MATCH($D344,Data!$AN$2:$AN$313,0),Tulokset!J$2)))))</f>
        <v/>
      </c>
      <c r="K344" s="78" t="str">
        <f ca="1">IF($B344&gt;keilatut,"",IF($C344=(-1),"",IF($C344=0,"Pisteet",IF($C344&gt;Data!$CP$2,"",OFFSET(tulossiirtymä,MATCH($D344,Data!$AN$2:$AN$313,0),Tulokset!K$2)))))</f>
        <v/>
      </c>
      <c r="L344" s="78" t="str">
        <f ca="1">IF($B344&gt;keilatut,"",IF($C344=(-1),"",IF($C344=0,"Pisteet yhteensä",IF($C344&gt;Data!$CP$2,"",OFFSET(tulossiirtymä,MATCH($D344,Data!$AN$2:$AN$313,0),Tulokset!L$2)))))</f>
        <v/>
      </c>
      <c r="M344" s="78" t="str">
        <f ca="1">IF($B344&gt;keilatut,"",IF($C344=(-1),"",IF($C344=0,"Pisteseloste",IF($C344&gt;Data!$CP$2,"",OFFSET(tulossiirtymä,MATCH($D344,Data!$AN$2:$AN$313,0),Tulokset!M$2)))))</f>
        <v/>
      </c>
    </row>
    <row r="345" spans="2:13" x14ac:dyDescent="0.25">
      <c r="B345" s="78">
        <f t="shared" si="5"/>
        <v>13</v>
      </c>
      <c r="C345" s="78">
        <f>COUNTIF($B$6:B345,B345)-2</f>
        <v>14</v>
      </c>
      <c r="D345" s="79" t="str">
        <f t="array" ref="D345">IF($B345&lt;=keilatut,IF($C345&lt;1,"",IF($C345&gt;Data!$CP$2,"",SMALL(IF(Data!$B$2:$B$313=Tulokset!$B345,Data!$AN$2:$AN$313),Tulokset!$C345))),"")</f>
        <v/>
      </c>
      <c r="E345" s="78" t="str">
        <f>IF($B345&gt;keilatut,"",IF($C345=(-1),"GP"&amp;$B345&amp;", "&amp;DAY(VLOOKUP($B345,kilpailukalenteri,2))&amp;"."&amp;MONTH(VLOOKUP($B345,kilpailukalenteri,2))&amp;"."&amp;YEAR(VLOOKUP($B345,kilpailukalenteri,2))&amp;", "&amp;IF(RIGHT(VLOOKUP($B345,kilpailukalenteri,4),1)="*",LEFT(VLOOKUP($B345,kilpailukalenteri,4),LEN(VLOOKUP($B345,kilpailukalenteri,4))-2)&amp;", Kultainen GP",VLOOKUP($B345,kilpailukalenteri,4)),IF($C345=0,"Sija",IF($C345&gt;Data!$CP$2,"",ROUND(Tulokset!$D345,0)))))</f>
        <v/>
      </c>
      <c r="F345" s="78" t="str">
        <f ca="1">IF($B345&gt;keilatut,"",IF($C345=(-1),"",IF($C345=0,"Nimi",IF($C345&gt;Data!$CP$2,"",OFFSET(tulossiirtymä,MATCH($D345,Data!$AN$2:$AN$313,0),Tulokset!F$2)))))</f>
        <v/>
      </c>
      <c r="G345" s="78" t="str">
        <f ca="1">IF($B345&gt;keilatut,"",IF($C345=(-1),"",IF($C345=0,"Sarja 1",IF($C345&gt;Data!$CP$2,"",OFFSET(tulossiirtymä,MATCH($D345,Data!$AN$2:$AN$313,0),Tulokset!G$2)))))</f>
        <v/>
      </c>
      <c r="H345" s="78" t="str">
        <f ca="1">IF($B345&gt;keilatut,"",IF($C345=(-1),"",IF($C345=0,"Sarja 2",IF($C345&gt;Data!$CP$2,"",OFFSET(tulossiirtymä,MATCH($D345,Data!$AN$2:$AN$313,0),Tulokset!H$2)))))</f>
        <v/>
      </c>
      <c r="I345" s="78" t="str">
        <f ca="1">IF($B345&gt;keilatut,"",IF($C345=(-1),"",IF($C345=0,"Yhteensä",IF($C345&gt;Data!$CP$2,"",OFFSET(tulossiirtymä,MATCH($D345,Data!$AN$2:$AN$313,0),Tulokset!I$2)))))</f>
        <v/>
      </c>
      <c r="J345" s="78" t="str">
        <f ca="1">IF($B345&gt;keilatut,"",IF($C345=(-1),"",IF($C345=0,"Ero voittajaan",IF($C345&gt;Data!$CP$2,"",OFFSET(tulossiirtymä,MATCH($D345,Data!$AN$2:$AN$313,0),Tulokset!J$2)))))</f>
        <v/>
      </c>
      <c r="K345" s="78" t="str">
        <f ca="1">IF($B345&gt;keilatut,"",IF($C345=(-1),"",IF($C345=0,"Pisteet",IF($C345&gt;Data!$CP$2,"",OFFSET(tulossiirtymä,MATCH($D345,Data!$AN$2:$AN$313,0),Tulokset!K$2)))))</f>
        <v/>
      </c>
      <c r="L345" s="78" t="str">
        <f ca="1">IF($B345&gt;keilatut,"",IF($C345=(-1),"",IF($C345=0,"Pisteet yhteensä",IF($C345&gt;Data!$CP$2,"",OFFSET(tulossiirtymä,MATCH($D345,Data!$AN$2:$AN$313,0),Tulokset!L$2)))))</f>
        <v/>
      </c>
      <c r="M345" s="78" t="str">
        <f ca="1">IF($B345&gt;keilatut,"",IF($C345=(-1),"",IF($C345=0,"Pisteseloste",IF($C345&gt;Data!$CP$2,"",OFFSET(tulossiirtymä,MATCH($D345,Data!$AN$2:$AN$313,0),Tulokset!M$2)))))</f>
        <v/>
      </c>
    </row>
    <row r="346" spans="2:13" x14ac:dyDescent="0.25">
      <c r="B346" s="78">
        <f t="shared" si="5"/>
        <v>13</v>
      </c>
      <c r="C346" s="78">
        <f>COUNTIF($B$6:B346,B346)-2</f>
        <v>15</v>
      </c>
      <c r="D346" s="79" t="str">
        <f t="array" ref="D346">IF($B346&lt;=keilatut,IF($C346&lt;1,"",IF($C346&gt;Data!$CP$2,"",SMALL(IF(Data!$B$2:$B$313=Tulokset!$B346,Data!$AN$2:$AN$313),Tulokset!$C346))),"")</f>
        <v/>
      </c>
      <c r="E346" s="78" t="str">
        <f>IF($B346&gt;keilatut,"",IF($C346=(-1),"GP"&amp;$B346&amp;", "&amp;DAY(VLOOKUP($B346,kilpailukalenteri,2))&amp;"."&amp;MONTH(VLOOKUP($B346,kilpailukalenteri,2))&amp;"."&amp;YEAR(VLOOKUP($B346,kilpailukalenteri,2))&amp;", "&amp;IF(RIGHT(VLOOKUP($B346,kilpailukalenteri,4),1)="*",LEFT(VLOOKUP($B346,kilpailukalenteri,4),LEN(VLOOKUP($B346,kilpailukalenteri,4))-2)&amp;", Kultainen GP",VLOOKUP($B346,kilpailukalenteri,4)),IF($C346=0,"Sija",IF($C346&gt;Data!$CP$2,"",ROUND(Tulokset!$D346,0)))))</f>
        <v/>
      </c>
      <c r="F346" s="78" t="str">
        <f ca="1">IF($B346&gt;keilatut,"",IF($C346=(-1),"",IF($C346=0,"Nimi",IF($C346&gt;Data!$CP$2,"",OFFSET(tulossiirtymä,MATCH($D346,Data!$AN$2:$AN$313,0),Tulokset!F$2)))))</f>
        <v/>
      </c>
      <c r="G346" s="78" t="str">
        <f ca="1">IF($B346&gt;keilatut,"",IF($C346=(-1),"",IF($C346=0,"Sarja 1",IF($C346&gt;Data!$CP$2,"",OFFSET(tulossiirtymä,MATCH($D346,Data!$AN$2:$AN$313,0),Tulokset!G$2)))))</f>
        <v/>
      </c>
      <c r="H346" s="78" t="str">
        <f ca="1">IF($B346&gt;keilatut,"",IF($C346=(-1),"",IF($C346=0,"Sarja 2",IF($C346&gt;Data!$CP$2,"",OFFSET(tulossiirtymä,MATCH($D346,Data!$AN$2:$AN$313,0),Tulokset!H$2)))))</f>
        <v/>
      </c>
      <c r="I346" s="78" t="str">
        <f ca="1">IF($B346&gt;keilatut,"",IF($C346=(-1),"",IF($C346=0,"Yhteensä",IF($C346&gt;Data!$CP$2,"",OFFSET(tulossiirtymä,MATCH($D346,Data!$AN$2:$AN$313,0),Tulokset!I$2)))))</f>
        <v/>
      </c>
      <c r="J346" s="78" t="str">
        <f ca="1">IF($B346&gt;keilatut,"",IF($C346=(-1),"",IF($C346=0,"Ero voittajaan",IF($C346&gt;Data!$CP$2,"",OFFSET(tulossiirtymä,MATCH($D346,Data!$AN$2:$AN$313,0),Tulokset!J$2)))))</f>
        <v/>
      </c>
      <c r="K346" s="78" t="str">
        <f ca="1">IF($B346&gt;keilatut,"",IF($C346=(-1),"",IF($C346=0,"Pisteet",IF($C346&gt;Data!$CP$2,"",OFFSET(tulossiirtymä,MATCH($D346,Data!$AN$2:$AN$313,0),Tulokset!K$2)))))</f>
        <v/>
      </c>
      <c r="L346" s="78" t="str">
        <f ca="1">IF($B346&gt;keilatut,"",IF($C346=(-1),"",IF($C346=0,"Pisteet yhteensä",IF($C346&gt;Data!$CP$2,"",OFFSET(tulossiirtymä,MATCH($D346,Data!$AN$2:$AN$313,0),Tulokset!L$2)))))</f>
        <v/>
      </c>
      <c r="M346" s="78" t="str">
        <f ca="1">IF($B346&gt;keilatut,"",IF($C346=(-1),"",IF($C346=0,"Pisteseloste",IF($C346&gt;Data!$CP$2,"",OFFSET(tulossiirtymä,MATCH($D346,Data!$AN$2:$AN$313,0),Tulokset!M$2)))))</f>
        <v/>
      </c>
    </row>
    <row r="347" spans="2:13" x14ac:dyDescent="0.25">
      <c r="B347" s="78">
        <f t="shared" si="5"/>
        <v>13</v>
      </c>
      <c r="C347" s="78">
        <f>COUNTIF($B$6:B347,B347)-2</f>
        <v>16</v>
      </c>
      <c r="D347" s="79" t="str">
        <f t="array" ref="D347">IF($B347&lt;=keilatut,IF($C347&lt;1,"",IF($C347&gt;Data!$CP$2,"",SMALL(IF(Data!$B$2:$B$313=Tulokset!$B347,Data!$AN$2:$AN$313),Tulokset!$C347))),"")</f>
        <v/>
      </c>
      <c r="E347" s="78" t="str">
        <f>IF($B347&gt;keilatut,"",IF($C347=(-1),"GP"&amp;$B347&amp;", "&amp;DAY(VLOOKUP($B347,kilpailukalenteri,2))&amp;"."&amp;MONTH(VLOOKUP($B347,kilpailukalenteri,2))&amp;"."&amp;YEAR(VLOOKUP($B347,kilpailukalenteri,2))&amp;", "&amp;IF(RIGHT(VLOOKUP($B347,kilpailukalenteri,4),1)="*",LEFT(VLOOKUP($B347,kilpailukalenteri,4),LEN(VLOOKUP($B347,kilpailukalenteri,4))-2)&amp;", Kultainen GP",VLOOKUP($B347,kilpailukalenteri,4)),IF($C347=0,"Sija",IF($C347&gt;Data!$CP$2,"",ROUND(Tulokset!$D347,0)))))</f>
        <v/>
      </c>
      <c r="F347" s="78" t="str">
        <f ca="1">IF($B347&gt;keilatut,"",IF($C347=(-1),"",IF($C347=0,"Nimi",IF($C347&gt;Data!$CP$2,"",OFFSET(tulossiirtymä,MATCH($D347,Data!$AN$2:$AN$313,0),Tulokset!F$2)))))</f>
        <v/>
      </c>
      <c r="G347" s="78" t="str">
        <f ca="1">IF($B347&gt;keilatut,"",IF($C347=(-1),"",IF($C347=0,"Sarja 1",IF($C347&gt;Data!$CP$2,"",OFFSET(tulossiirtymä,MATCH($D347,Data!$AN$2:$AN$313,0),Tulokset!G$2)))))</f>
        <v/>
      </c>
      <c r="H347" s="78" t="str">
        <f ca="1">IF($B347&gt;keilatut,"",IF($C347=(-1),"",IF($C347=0,"Sarja 2",IF($C347&gt;Data!$CP$2,"",OFFSET(tulossiirtymä,MATCH($D347,Data!$AN$2:$AN$313,0),Tulokset!H$2)))))</f>
        <v/>
      </c>
      <c r="I347" s="78" t="str">
        <f ca="1">IF($B347&gt;keilatut,"",IF($C347=(-1),"",IF($C347=0,"Yhteensä",IF($C347&gt;Data!$CP$2,"",OFFSET(tulossiirtymä,MATCH($D347,Data!$AN$2:$AN$313,0),Tulokset!I$2)))))</f>
        <v/>
      </c>
      <c r="J347" s="78" t="str">
        <f ca="1">IF($B347&gt;keilatut,"",IF($C347=(-1),"",IF($C347=0,"Ero voittajaan",IF($C347&gt;Data!$CP$2,"",OFFSET(tulossiirtymä,MATCH($D347,Data!$AN$2:$AN$313,0),Tulokset!J$2)))))</f>
        <v/>
      </c>
      <c r="K347" s="78" t="str">
        <f ca="1">IF($B347&gt;keilatut,"",IF($C347=(-1),"",IF($C347=0,"Pisteet",IF($C347&gt;Data!$CP$2,"",OFFSET(tulossiirtymä,MATCH($D347,Data!$AN$2:$AN$313,0),Tulokset!K$2)))))</f>
        <v/>
      </c>
      <c r="L347" s="78" t="str">
        <f ca="1">IF($B347&gt;keilatut,"",IF($C347=(-1),"",IF($C347=0,"Pisteet yhteensä",IF($C347&gt;Data!$CP$2,"",OFFSET(tulossiirtymä,MATCH($D347,Data!$AN$2:$AN$313,0),Tulokset!L$2)))))</f>
        <v/>
      </c>
      <c r="M347" s="78" t="str">
        <f ca="1">IF($B347&gt;keilatut,"",IF($C347=(-1),"",IF($C347=0,"Pisteseloste",IF($C347&gt;Data!$CP$2,"",OFFSET(tulossiirtymä,MATCH($D347,Data!$AN$2:$AN$313,0),Tulokset!M$2)))))</f>
        <v/>
      </c>
    </row>
    <row r="348" spans="2:13" x14ac:dyDescent="0.25">
      <c r="B348" s="78">
        <f t="shared" si="5"/>
        <v>13</v>
      </c>
      <c r="C348" s="78">
        <f>COUNTIF($B$6:B348,B348)-2</f>
        <v>17</v>
      </c>
      <c r="D348" s="79" t="str">
        <f t="array" ref="D348">IF($B348&lt;=keilatut,IF($C348&lt;1,"",IF($C348&gt;Data!$CP$2,"",SMALL(IF(Data!$B$2:$B$313=Tulokset!$B348,Data!$AN$2:$AN$313),Tulokset!$C348))),"")</f>
        <v/>
      </c>
      <c r="E348" s="78" t="str">
        <f>IF($B348&gt;keilatut,"",IF($C348=(-1),"GP"&amp;$B348&amp;", "&amp;DAY(VLOOKUP($B348,kilpailukalenteri,2))&amp;"."&amp;MONTH(VLOOKUP($B348,kilpailukalenteri,2))&amp;"."&amp;YEAR(VLOOKUP($B348,kilpailukalenteri,2))&amp;", "&amp;IF(RIGHT(VLOOKUP($B348,kilpailukalenteri,4),1)="*",LEFT(VLOOKUP($B348,kilpailukalenteri,4),LEN(VLOOKUP($B348,kilpailukalenteri,4))-2)&amp;", Kultainen GP",VLOOKUP($B348,kilpailukalenteri,4)),IF($C348=0,"Sija",IF($C348&gt;Data!$CP$2,"",ROUND(Tulokset!$D348,0)))))</f>
        <v/>
      </c>
      <c r="F348" s="78" t="str">
        <f ca="1">IF($B348&gt;keilatut,"",IF($C348=(-1),"",IF($C348=0,"Nimi",IF($C348&gt;Data!$CP$2,"",OFFSET(tulossiirtymä,MATCH($D348,Data!$AN$2:$AN$313,0),Tulokset!F$2)))))</f>
        <v/>
      </c>
      <c r="G348" s="78" t="str">
        <f ca="1">IF($B348&gt;keilatut,"",IF($C348=(-1),"",IF($C348=0,"Sarja 1",IF($C348&gt;Data!$CP$2,"",OFFSET(tulossiirtymä,MATCH($D348,Data!$AN$2:$AN$313,0),Tulokset!G$2)))))</f>
        <v/>
      </c>
      <c r="H348" s="78" t="str">
        <f ca="1">IF($B348&gt;keilatut,"",IF($C348=(-1),"",IF($C348=0,"Sarja 2",IF($C348&gt;Data!$CP$2,"",OFFSET(tulossiirtymä,MATCH($D348,Data!$AN$2:$AN$313,0),Tulokset!H$2)))))</f>
        <v/>
      </c>
      <c r="I348" s="78" t="str">
        <f ca="1">IF($B348&gt;keilatut,"",IF($C348=(-1),"",IF($C348=0,"Yhteensä",IF($C348&gt;Data!$CP$2,"",OFFSET(tulossiirtymä,MATCH($D348,Data!$AN$2:$AN$313,0),Tulokset!I$2)))))</f>
        <v/>
      </c>
      <c r="J348" s="78" t="str">
        <f ca="1">IF($B348&gt;keilatut,"",IF($C348=(-1),"",IF($C348=0,"Ero voittajaan",IF($C348&gt;Data!$CP$2,"",OFFSET(tulossiirtymä,MATCH($D348,Data!$AN$2:$AN$313,0),Tulokset!J$2)))))</f>
        <v/>
      </c>
      <c r="K348" s="78" t="str">
        <f ca="1">IF($B348&gt;keilatut,"",IF($C348=(-1),"",IF($C348=0,"Pisteet",IF($C348&gt;Data!$CP$2,"",OFFSET(tulossiirtymä,MATCH($D348,Data!$AN$2:$AN$313,0),Tulokset!K$2)))))</f>
        <v/>
      </c>
      <c r="L348" s="78" t="str">
        <f ca="1">IF($B348&gt;keilatut,"",IF($C348=(-1),"",IF($C348=0,"Pisteet yhteensä",IF($C348&gt;Data!$CP$2,"",OFFSET(tulossiirtymä,MATCH($D348,Data!$AN$2:$AN$313,0),Tulokset!L$2)))))</f>
        <v/>
      </c>
      <c r="M348" s="78" t="str">
        <f ca="1">IF($B348&gt;keilatut,"",IF($C348=(-1),"",IF($C348=0,"Pisteseloste",IF($C348&gt;Data!$CP$2,"",OFFSET(tulossiirtymä,MATCH($D348,Data!$AN$2:$AN$313,0),Tulokset!M$2)))))</f>
        <v/>
      </c>
    </row>
    <row r="349" spans="2:13" x14ac:dyDescent="0.25">
      <c r="B349" s="78">
        <f t="shared" si="5"/>
        <v>13</v>
      </c>
      <c r="C349" s="78">
        <f>COUNTIF($B$6:B349,B349)-2</f>
        <v>18</v>
      </c>
      <c r="D349" s="79" t="str">
        <f t="array" ref="D349">IF($B349&lt;=keilatut,IF($C349&lt;1,"",IF($C349&gt;Data!$CP$2,"",SMALL(IF(Data!$B$2:$B$313=Tulokset!$B349,Data!$AN$2:$AN$313),Tulokset!$C349))),"")</f>
        <v/>
      </c>
      <c r="E349" s="78" t="str">
        <f>IF($B349&gt;keilatut,"",IF($C349=(-1),"GP"&amp;$B349&amp;", "&amp;DAY(VLOOKUP($B349,kilpailukalenteri,2))&amp;"."&amp;MONTH(VLOOKUP($B349,kilpailukalenteri,2))&amp;"."&amp;YEAR(VLOOKUP($B349,kilpailukalenteri,2))&amp;", "&amp;IF(RIGHT(VLOOKUP($B349,kilpailukalenteri,4),1)="*",LEFT(VLOOKUP($B349,kilpailukalenteri,4),LEN(VLOOKUP($B349,kilpailukalenteri,4))-2)&amp;", Kultainen GP",VLOOKUP($B349,kilpailukalenteri,4)),IF($C349=0,"Sija",IF($C349&gt;Data!$CP$2,"",ROUND(Tulokset!$D349,0)))))</f>
        <v/>
      </c>
      <c r="F349" s="78" t="str">
        <f ca="1">IF($B349&gt;keilatut,"",IF($C349=(-1),"",IF($C349=0,"Nimi",IF($C349&gt;Data!$CP$2,"",OFFSET(tulossiirtymä,MATCH($D349,Data!$AN$2:$AN$313,0),Tulokset!F$2)))))</f>
        <v/>
      </c>
      <c r="G349" s="78" t="str">
        <f ca="1">IF($B349&gt;keilatut,"",IF($C349=(-1),"",IF($C349=0,"Sarja 1",IF($C349&gt;Data!$CP$2,"",OFFSET(tulossiirtymä,MATCH($D349,Data!$AN$2:$AN$313,0),Tulokset!G$2)))))</f>
        <v/>
      </c>
      <c r="H349" s="78" t="str">
        <f ca="1">IF($B349&gt;keilatut,"",IF($C349=(-1),"",IF($C349=0,"Sarja 2",IF($C349&gt;Data!$CP$2,"",OFFSET(tulossiirtymä,MATCH($D349,Data!$AN$2:$AN$313,0),Tulokset!H$2)))))</f>
        <v/>
      </c>
      <c r="I349" s="78" t="str">
        <f ca="1">IF($B349&gt;keilatut,"",IF($C349=(-1),"",IF($C349=0,"Yhteensä",IF($C349&gt;Data!$CP$2,"",OFFSET(tulossiirtymä,MATCH($D349,Data!$AN$2:$AN$313,0),Tulokset!I$2)))))</f>
        <v/>
      </c>
      <c r="J349" s="78" t="str">
        <f ca="1">IF($B349&gt;keilatut,"",IF($C349=(-1),"",IF($C349=0,"Ero voittajaan",IF($C349&gt;Data!$CP$2,"",OFFSET(tulossiirtymä,MATCH($D349,Data!$AN$2:$AN$313,0),Tulokset!J$2)))))</f>
        <v/>
      </c>
      <c r="K349" s="78" t="str">
        <f ca="1">IF($B349&gt;keilatut,"",IF($C349=(-1),"",IF($C349=0,"Pisteet",IF($C349&gt;Data!$CP$2,"",OFFSET(tulossiirtymä,MATCH($D349,Data!$AN$2:$AN$313,0),Tulokset!K$2)))))</f>
        <v/>
      </c>
      <c r="L349" s="78" t="str">
        <f ca="1">IF($B349&gt;keilatut,"",IF($C349=(-1),"",IF($C349=0,"Pisteet yhteensä",IF($C349&gt;Data!$CP$2,"",OFFSET(tulossiirtymä,MATCH($D349,Data!$AN$2:$AN$313,0),Tulokset!L$2)))))</f>
        <v/>
      </c>
      <c r="M349" s="78" t="str">
        <f ca="1">IF($B349&gt;keilatut,"",IF($C349=(-1),"",IF($C349=0,"Pisteseloste",IF($C349&gt;Data!$CP$2,"",OFFSET(tulossiirtymä,MATCH($D349,Data!$AN$2:$AN$313,0),Tulokset!M$2)))))</f>
        <v/>
      </c>
    </row>
    <row r="350" spans="2:13" x14ac:dyDescent="0.25">
      <c r="B350" s="78">
        <f t="shared" si="5"/>
        <v>13</v>
      </c>
      <c r="C350" s="78">
        <f>COUNTIF($B$6:B350,B350)-2</f>
        <v>19</v>
      </c>
      <c r="D350" s="79" t="str">
        <f t="array" ref="D350">IF($B350&lt;=keilatut,IF($C350&lt;1,"",IF($C350&gt;Data!$CP$2,"",SMALL(IF(Data!$B$2:$B$313=Tulokset!$B350,Data!$AN$2:$AN$313),Tulokset!$C350))),"")</f>
        <v/>
      </c>
      <c r="E350" s="78" t="str">
        <f>IF($B350&gt;keilatut,"",IF($C350=(-1),"GP"&amp;$B350&amp;", "&amp;DAY(VLOOKUP($B350,kilpailukalenteri,2))&amp;"."&amp;MONTH(VLOOKUP($B350,kilpailukalenteri,2))&amp;"."&amp;YEAR(VLOOKUP($B350,kilpailukalenteri,2))&amp;", "&amp;IF(RIGHT(VLOOKUP($B350,kilpailukalenteri,4),1)="*",LEFT(VLOOKUP($B350,kilpailukalenteri,4),LEN(VLOOKUP($B350,kilpailukalenteri,4))-2)&amp;", Kultainen GP",VLOOKUP($B350,kilpailukalenteri,4)),IF($C350=0,"Sija",IF($C350&gt;Data!$CP$2,"",ROUND(Tulokset!$D350,0)))))</f>
        <v/>
      </c>
      <c r="F350" s="78" t="str">
        <f ca="1">IF($B350&gt;keilatut,"",IF($C350=(-1),"",IF($C350=0,"Nimi",IF($C350&gt;Data!$CP$2,"",OFFSET(tulossiirtymä,MATCH($D350,Data!$AN$2:$AN$313,0),Tulokset!F$2)))))</f>
        <v/>
      </c>
      <c r="G350" s="78" t="str">
        <f ca="1">IF($B350&gt;keilatut,"",IF($C350=(-1),"",IF($C350=0,"Sarja 1",IF($C350&gt;Data!$CP$2,"",OFFSET(tulossiirtymä,MATCH($D350,Data!$AN$2:$AN$313,0),Tulokset!G$2)))))</f>
        <v/>
      </c>
      <c r="H350" s="78" t="str">
        <f ca="1">IF($B350&gt;keilatut,"",IF($C350=(-1),"",IF($C350=0,"Sarja 2",IF($C350&gt;Data!$CP$2,"",OFFSET(tulossiirtymä,MATCH($D350,Data!$AN$2:$AN$313,0),Tulokset!H$2)))))</f>
        <v/>
      </c>
      <c r="I350" s="78" t="str">
        <f ca="1">IF($B350&gt;keilatut,"",IF($C350=(-1),"",IF($C350=0,"Yhteensä",IF($C350&gt;Data!$CP$2,"",OFFSET(tulossiirtymä,MATCH($D350,Data!$AN$2:$AN$313,0),Tulokset!I$2)))))</f>
        <v/>
      </c>
      <c r="J350" s="78" t="str">
        <f ca="1">IF($B350&gt;keilatut,"",IF($C350=(-1),"",IF($C350=0,"Ero voittajaan",IF($C350&gt;Data!$CP$2,"",OFFSET(tulossiirtymä,MATCH($D350,Data!$AN$2:$AN$313,0),Tulokset!J$2)))))</f>
        <v/>
      </c>
      <c r="K350" s="78" t="str">
        <f ca="1">IF($B350&gt;keilatut,"",IF($C350=(-1),"",IF($C350=0,"Pisteet",IF($C350&gt;Data!$CP$2,"",OFFSET(tulossiirtymä,MATCH($D350,Data!$AN$2:$AN$313,0),Tulokset!K$2)))))</f>
        <v/>
      </c>
      <c r="L350" s="78" t="str">
        <f ca="1">IF($B350&gt;keilatut,"",IF($C350=(-1),"",IF($C350=0,"Pisteet yhteensä",IF($C350&gt;Data!$CP$2,"",OFFSET(tulossiirtymä,MATCH($D350,Data!$AN$2:$AN$313,0),Tulokset!L$2)))))</f>
        <v/>
      </c>
      <c r="M350" s="78" t="str">
        <f ca="1">IF($B350&gt;keilatut,"",IF($C350=(-1),"",IF($C350=0,"Pisteseloste",IF($C350&gt;Data!$CP$2,"",OFFSET(tulossiirtymä,MATCH($D350,Data!$AN$2:$AN$313,0),Tulokset!M$2)))))</f>
        <v/>
      </c>
    </row>
    <row r="351" spans="2:13" x14ac:dyDescent="0.25">
      <c r="B351" s="78">
        <f t="shared" si="5"/>
        <v>13</v>
      </c>
      <c r="C351" s="78">
        <f>COUNTIF($B$6:B351,B351)-2</f>
        <v>20</v>
      </c>
      <c r="D351" s="79" t="str">
        <f t="array" ref="D351">IF($B351&lt;=keilatut,IF($C351&lt;1,"",IF($C351&gt;Data!$CP$2,"",SMALL(IF(Data!$B$2:$B$313=Tulokset!$B351,Data!$AN$2:$AN$313),Tulokset!$C351))),"")</f>
        <v/>
      </c>
      <c r="E351" s="78" t="str">
        <f>IF($B351&gt;keilatut,"",IF($C351=(-1),"GP"&amp;$B351&amp;", "&amp;DAY(VLOOKUP($B351,kilpailukalenteri,2))&amp;"."&amp;MONTH(VLOOKUP($B351,kilpailukalenteri,2))&amp;"."&amp;YEAR(VLOOKUP($B351,kilpailukalenteri,2))&amp;", "&amp;IF(RIGHT(VLOOKUP($B351,kilpailukalenteri,4),1)="*",LEFT(VLOOKUP($B351,kilpailukalenteri,4),LEN(VLOOKUP($B351,kilpailukalenteri,4))-2)&amp;", Kultainen GP",VLOOKUP($B351,kilpailukalenteri,4)),IF($C351=0,"Sija",IF($C351&gt;Data!$CP$2,"",ROUND(Tulokset!$D351,0)))))</f>
        <v/>
      </c>
      <c r="F351" s="78" t="str">
        <f ca="1">IF($B351&gt;keilatut,"",IF($C351=(-1),"",IF($C351=0,"Nimi",IF($C351&gt;Data!$CP$2,"",OFFSET(tulossiirtymä,MATCH($D351,Data!$AN$2:$AN$313,0),Tulokset!F$2)))))</f>
        <v/>
      </c>
      <c r="G351" s="78" t="str">
        <f ca="1">IF($B351&gt;keilatut,"",IF($C351=(-1),"",IF($C351=0,"Sarja 1",IF($C351&gt;Data!$CP$2,"",OFFSET(tulossiirtymä,MATCH($D351,Data!$AN$2:$AN$313,0),Tulokset!G$2)))))</f>
        <v/>
      </c>
      <c r="H351" s="78" t="str">
        <f ca="1">IF($B351&gt;keilatut,"",IF($C351=(-1),"",IF($C351=0,"Sarja 2",IF($C351&gt;Data!$CP$2,"",OFFSET(tulossiirtymä,MATCH($D351,Data!$AN$2:$AN$313,0),Tulokset!H$2)))))</f>
        <v/>
      </c>
      <c r="I351" s="78" t="str">
        <f ca="1">IF($B351&gt;keilatut,"",IF($C351=(-1),"",IF($C351=0,"Yhteensä",IF($C351&gt;Data!$CP$2,"",OFFSET(tulossiirtymä,MATCH($D351,Data!$AN$2:$AN$313,0),Tulokset!I$2)))))</f>
        <v/>
      </c>
      <c r="J351" s="78" t="str">
        <f ca="1">IF($B351&gt;keilatut,"",IF($C351=(-1),"",IF($C351=0,"Ero voittajaan",IF($C351&gt;Data!$CP$2,"",OFFSET(tulossiirtymä,MATCH($D351,Data!$AN$2:$AN$313,0),Tulokset!J$2)))))</f>
        <v/>
      </c>
      <c r="K351" s="78" t="str">
        <f ca="1">IF($B351&gt;keilatut,"",IF($C351=(-1),"",IF($C351=0,"Pisteet",IF($C351&gt;Data!$CP$2,"",OFFSET(tulossiirtymä,MATCH($D351,Data!$AN$2:$AN$313,0),Tulokset!K$2)))))</f>
        <v/>
      </c>
      <c r="L351" s="78" t="str">
        <f ca="1">IF($B351&gt;keilatut,"",IF($C351=(-1),"",IF($C351=0,"Pisteet yhteensä",IF($C351&gt;Data!$CP$2,"",OFFSET(tulossiirtymä,MATCH($D351,Data!$AN$2:$AN$313,0),Tulokset!L$2)))))</f>
        <v/>
      </c>
      <c r="M351" s="78" t="str">
        <f ca="1">IF($B351&gt;keilatut,"",IF($C351=(-1),"",IF($C351=0,"Pisteseloste",IF($C351&gt;Data!$CP$2,"",OFFSET(tulossiirtymä,MATCH($D351,Data!$AN$2:$AN$313,0),Tulokset!M$2)))))</f>
        <v/>
      </c>
    </row>
    <row r="352" spans="2:13" x14ac:dyDescent="0.25">
      <c r="B352" s="78">
        <f t="shared" si="5"/>
        <v>13</v>
      </c>
      <c r="C352" s="78">
        <f>COUNTIF($B$6:B352,B352)-2</f>
        <v>21</v>
      </c>
      <c r="D352" s="79" t="str">
        <f t="array" ref="D352">IF($B352&lt;=keilatut,IF($C352&lt;1,"",IF($C352&gt;Data!$CP$2,"",SMALL(IF(Data!$B$2:$B$313=Tulokset!$B352,Data!$AN$2:$AN$313),Tulokset!$C352))),"")</f>
        <v/>
      </c>
      <c r="E352" s="78" t="str">
        <f>IF($B352&gt;keilatut,"",IF($C352=(-1),"GP"&amp;$B352&amp;", "&amp;DAY(VLOOKUP($B352,kilpailukalenteri,2))&amp;"."&amp;MONTH(VLOOKUP($B352,kilpailukalenteri,2))&amp;"."&amp;YEAR(VLOOKUP($B352,kilpailukalenteri,2))&amp;", "&amp;IF(RIGHT(VLOOKUP($B352,kilpailukalenteri,4),1)="*",LEFT(VLOOKUP($B352,kilpailukalenteri,4),LEN(VLOOKUP($B352,kilpailukalenteri,4))-2)&amp;", Kultainen GP",VLOOKUP($B352,kilpailukalenteri,4)),IF($C352=0,"Sija",IF($C352&gt;Data!$CP$2,"",ROUND(Tulokset!$D352,0)))))</f>
        <v/>
      </c>
      <c r="F352" s="78" t="str">
        <f ca="1">IF($B352&gt;keilatut,"",IF($C352=(-1),"",IF($C352=0,"Nimi",IF($C352&gt;Data!$CP$2,"",OFFSET(tulossiirtymä,MATCH($D352,Data!$AN$2:$AN$313,0),Tulokset!F$2)))))</f>
        <v/>
      </c>
      <c r="G352" s="78" t="str">
        <f ca="1">IF($B352&gt;keilatut,"",IF($C352=(-1),"",IF($C352=0,"Sarja 1",IF($C352&gt;Data!$CP$2,"",OFFSET(tulossiirtymä,MATCH($D352,Data!$AN$2:$AN$313,0),Tulokset!G$2)))))</f>
        <v/>
      </c>
      <c r="H352" s="78" t="str">
        <f ca="1">IF($B352&gt;keilatut,"",IF($C352=(-1),"",IF($C352=0,"Sarja 2",IF($C352&gt;Data!$CP$2,"",OFFSET(tulossiirtymä,MATCH($D352,Data!$AN$2:$AN$313,0),Tulokset!H$2)))))</f>
        <v/>
      </c>
      <c r="I352" s="78" t="str">
        <f ca="1">IF($B352&gt;keilatut,"",IF($C352=(-1),"",IF($C352=0,"Yhteensä",IF($C352&gt;Data!$CP$2,"",OFFSET(tulossiirtymä,MATCH($D352,Data!$AN$2:$AN$313,0),Tulokset!I$2)))))</f>
        <v/>
      </c>
      <c r="J352" s="78" t="str">
        <f ca="1">IF($B352&gt;keilatut,"",IF($C352=(-1),"",IF($C352=0,"Ero voittajaan",IF($C352&gt;Data!$CP$2,"",OFFSET(tulossiirtymä,MATCH($D352,Data!$AN$2:$AN$313,0),Tulokset!J$2)))))</f>
        <v/>
      </c>
      <c r="K352" s="78" t="str">
        <f ca="1">IF($B352&gt;keilatut,"",IF($C352=(-1),"",IF($C352=0,"Pisteet",IF($C352&gt;Data!$CP$2,"",OFFSET(tulossiirtymä,MATCH($D352,Data!$AN$2:$AN$313,0),Tulokset!K$2)))))</f>
        <v/>
      </c>
      <c r="L352" s="78" t="str">
        <f ca="1">IF($B352&gt;keilatut,"",IF($C352=(-1),"",IF($C352=0,"Pisteet yhteensä",IF($C352&gt;Data!$CP$2,"",OFFSET(tulossiirtymä,MATCH($D352,Data!$AN$2:$AN$313,0),Tulokset!L$2)))))</f>
        <v/>
      </c>
      <c r="M352" s="78" t="str">
        <f ca="1">IF($B352&gt;keilatut,"",IF($C352=(-1),"",IF($C352=0,"Pisteseloste",IF($C352&gt;Data!$CP$2,"",OFFSET(tulossiirtymä,MATCH($D352,Data!$AN$2:$AN$313,0),Tulokset!M$2)))))</f>
        <v/>
      </c>
    </row>
    <row r="353" spans="2:13" x14ac:dyDescent="0.25">
      <c r="B353" s="78">
        <f t="shared" si="5"/>
        <v>13</v>
      </c>
      <c r="C353" s="78">
        <f>COUNTIF($B$6:B353,B353)-2</f>
        <v>22</v>
      </c>
      <c r="D353" s="79" t="str">
        <f t="array" ref="D353">IF($B353&lt;=keilatut,IF($C353&lt;1,"",IF($C353&gt;Data!$CP$2,"",SMALL(IF(Data!$B$2:$B$313=Tulokset!$B353,Data!$AN$2:$AN$313),Tulokset!$C353))),"")</f>
        <v/>
      </c>
      <c r="E353" s="78" t="str">
        <f>IF($B353&gt;keilatut,"",IF($C353=(-1),"GP"&amp;$B353&amp;", "&amp;DAY(VLOOKUP($B353,kilpailukalenteri,2))&amp;"."&amp;MONTH(VLOOKUP($B353,kilpailukalenteri,2))&amp;"."&amp;YEAR(VLOOKUP($B353,kilpailukalenteri,2))&amp;", "&amp;IF(RIGHT(VLOOKUP($B353,kilpailukalenteri,4),1)="*",LEFT(VLOOKUP($B353,kilpailukalenteri,4),LEN(VLOOKUP($B353,kilpailukalenteri,4))-2)&amp;", Kultainen GP",VLOOKUP($B353,kilpailukalenteri,4)),IF($C353=0,"Sija",IF($C353&gt;Data!$CP$2,"",ROUND(Tulokset!$D353,0)))))</f>
        <v/>
      </c>
      <c r="F353" s="78" t="str">
        <f ca="1">IF($B353&gt;keilatut,"",IF($C353=(-1),"",IF($C353=0,"Nimi",IF($C353&gt;Data!$CP$2,"",OFFSET(tulossiirtymä,MATCH($D353,Data!$AN$2:$AN$313,0),Tulokset!F$2)))))</f>
        <v/>
      </c>
      <c r="G353" s="78" t="str">
        <f ca="1">IF($B353&gt;keilatut,"",IF($C353=(-1),"",IF($C353=0,"Sarja 1",IF($C353&gt;Data!$CP$2,"",OFFSET(tulossiirtymä,MATCH($D353,Data!$AN$2:$AN$313,0),Tulokset!G$2)))))</f>
        <v/>
      </c>
      <c r="H353" s="78" t="str">
        <f ca="1">IF($B353&gt;keilatut,"",IF($C353=(-1),"",IF($C353=0,"Sarja 2",IF($C353&gt;Data!$CP$2,"",OFFSET(tulossiirtymä,MATCH($D353,Data!$AN$2:$AN$313,0),Tulokset!H$2)))))</f>
        <v/>
      </c>
      <c r="I353" s="78" t="str">
        <f ca="1">IF($B353&gt;keilatut,"",IF($C353=(-1),"",IF($C353=0,"Yhteensä",IF($C353&gt;Data!$CP$2,"",OFFSET(tulossiirtymä,MATCH($D353,Data!$AN$2:$AN$313,0),Tulokset!I$2)))))</f>
        <v/>
      </c>
      <c r="J353" s="78" t="str">
        <f ca="1">IF($B353&gt;keilatut,"",IF($C353=(-1),"",IF($C353=0,"Ero voittajaan",IF($C353&gt;Data!$CP$2,"",OFFSET(tulossiirtymä,MATCH($D353,Data!$AN$2:$AN$313,0),Tulokset!J$2)))))</f>
        <v/>
      </c>
      <c r="K353" s="78" t="str">
        <f ca="1">IF($B353&gt;keilatut,"",IF($C353=(-1),"",IF($C353=0,"Pisteet",IF($C353&gt;Data!$CP$2,"",OFFSET(tulossiirtymä,MATCH($D353,Data!$AN$2:$AN$313,0),Tulokset!K$2)))))</f>
        <v/>
      </c>
      <c r="L353" s="78" t="str">
        <f ca="1">IF($B353&gt;keilatut,"",IF($C353=(-1),"",IF($C353=0,"Pisteet yhteensä",IF($C353&gt;Data!$CP$2,"",OFFSET(tulossiirtymä,MATCH($D353,Data!$AN$2:$AN$313,0),Tulokset!L$2)))))</f>
        <v/>
      </c>
      <c r="M353" s="78" t="str">
        <f ca="1">IF($B353&gt;keilatut,"",IF($C353=(-1),"",IF($C353=0,"Pisteseloste",IF($C353&gt;Data!$CP$2,"",OFFSET(tulossiirtymä,MATCH($D353,Data!$AN$2:$AN$313,0),Tulokset!M$2)))))</f>
        <v/>
      </c>
    </row>
    <row r="354" spans="2:13" x14ac:dyDescent="0.25">
      <c r="B354" s="78">
        <f t="shared" si="5"/>
        <v>13</v>
      </c>
      <c r="C354" s="78">
        <f>COUNTIF($B$6:B354,B354)-2</f>
        <v>23</v>
      </c>
      <c r="D354" s="79" t="str">
        <f t="array" ref="D354">IF($B354&lt;=keilatut,IF($C354&lt;1,"",IF($C354&gt;Data!$CP$2,"",SMALL(IF(Data!$B$2:$B$313=Tulokset!$B354,Data!$AN$2:$AN$313),Tulokset!$C354))),"")</f>
        <v/>
      </c>
      <c r="E354" s="78" t="str">
        <f>IF($B354&gt;keilatut,"",IF($C354=(-1),"GP"&amp;$B354&amp;", "&amp;DAY(VLOOKUP($B354,kilpailukalenteri,2))&amp;"."&amp;MONTH(VLOOKUP($B354,kilpailukalenteri,2))&amp;"."&amp;YEAR(VLOOKUP($B354,kilpailukalenteri,2))&amp;", "&amp;IF(RIGHT(VLOOKUP($B354,kilpailukalenteri,4),1)="*",LEFT(VLOOKUP($B354,kilpailukalenteri,4),LEN(VLOOKUP($B354,kilpailukalenteri,4))-2)&amp;", Kultainen GP",VLOOKUP($B354,kilpailukalenteri,4)),IF($C354=0,"Sija",IF($C354&gt;Data!$CP$2,"",ROUND(Tulokset!$D354,0)))))</f>
        <v/>
      </c>
      <c r="F354" s="78" t="str">
        <f ca="1">IF($B354&gt;keilatut,"",IF($C354=(-1),"",IF($C354=0,"Nimi",IF($C354&gt;Data!$CP$2,"",OFFSET(tulossiirtymä,MATCH($D354,Data!$AN$2:$AN$313,0),Tulokset!F$2)))))</f>
        <v/>
      </c>
      <c r="G354" s="78" t="str">
        <f ca="1">IF($B354&gt;keilatut,"",IF($C354=(-1),"",IF($C354=0,"Sarja 1",IF($C354&gt;Data!$CP$2,"",OFFSET(tulossiirtymä,MATCH($D354,Data!$AN$2:$AN$313,0),Tulokset!G$2)))))</f>
        <v/>
      </c>
      <c r="H354" s="78" t="str">
        <f ca="1">IF($B354&gt;keilatut,"",IF($C354=(-1),"",IF($C354=0,"Sarja 2",IF($C354&gt;Data!$CP$2,"",OFFSET(tulossiirtymä,MATCH($D354,Data!$AN$2:$AN$313,0),Tulokset!H$2)))))</f>
        <v/>
      </c>
      <c r="I354" s="78" t="str">
        <f ca="1">IF($B354&gt;keilatut,"",IF($C354=(-1),"",IF($C354=0,"Yhteensä",IF($C354&gt;Data!$CP$2,"",OFFSET(tulossiirtymä,MATCH($D354,Data!$AN$2:$AN$313,0),Tulokset!I$2)))))</f>
        <v/>
      </c>
      <c r="J354" s="78" t="str">
        <f ca="1">IF($B354&gt;keilatut,"",IF($C354=(-1),"",IF($C354=0,"Ero voittajaan",IF($C354&gt;Data!$CP$2,"",OFFSET(tulossiirtymä,MATCH($D354,Data!$AN$2:$AN$313,0),Tulokset!J$2)))))</f>
        <v/>
      </c>
      <c r="K354" s="78" t="str">
        <f ca="1">IF($B354&gt;keilatut,"",IF($C354=(-1),"",IF($C354=0,"Pisteet",IF($C354&gt;Data!$CP$2,"",OFFSET(tulossiirtymä,MATCH($D354,Data!$AN$2:$AN$313,0),Tulokset!K$2)))))</f>
        <v/>
      </c>
      <c r="L354" s="78" t="str">
        <f ca="1">IF($B354&gt;keilatut,"",IF($C354=(-1),"",IF($C354=0,"Pisteet yhteensä",IF($C354&gt;Data!$CP$2,"",OFFSET(tulossiirtymä,MATCH($D354,Data!$AN$2:$AN$313,0),Tulokset!L$2)))))</f>
        <v/>
      </c>
      <c r="M354" s="78" t="str">
        <f ca="1">IF($B354&gt;keilatut,"",IF($C354=(-1),"",IF($C354=0,"Pisteseloste",IF($C354&gt;Data!$CP$2,"",OFFSET(tulossiirtymä,MATCH($D354,Data!$AN$2:$AN$313,0),Tulokset!M$2)))))</f>
        <v/>
      </c>
    </row>
    <row r="355" spans="2:13" x14ac:dyDescent="0.25">
      <c r="B355" s="78">
        <f t="shared" si="5"/>
        <v>13</v>
      </c>
      <c r="C355" s="78">
        <f>COUNTIF($B$6:B355,B355)-2</f>
        <v>24</v>
      </c>
      <c r="D355" s="79" t="str">
        <f t="array" ref="D355">IF($B355&lt;=keilatut,IF($C355&lt;1,"",IF($C355&gt;Data!$CP$2,"",SMALL(IF(Data!$B$2:$B$313=Tulokset!$B355,Data!$AN$2:$AN$313),Tulokset!$C355))),"")</f>
        <v/>
      </c>
      <c r="E355" s="78" t="str">
        <f>IF($B355&gt;keilatut,"",IF($C355=(-1),"GP"&amp;$B355&amp;", "&amp;DAY(VLOOKUP($B355,kilpailukalenteri,2))&amp;"."&amp;MONTH(VLOOKUP($B355,kilpailukalenteri,2))&amp;"."&amp;YEAR(VLOOKUP($B355,kilpailukalenteri,2))&amp;", "&amp;IF(RIGHT(VLOOKUP($B355,kilpailukalenteri,4),1)="*",LEFT(VLOOKUP($B355,kilpailukalenteri,4),LEN(VLOOKUP($B355,kilpailukalenteri,4))-2)&amp;", Kultainen GP",VLOOKUP($B355,kilpailukalenteri,4)),IF($C355=0,"Sija",IF($C355&gt;Data!$CP$2,"",ROUND(Tulokset!$D355,0)))))</f>
        <v/>
      </c>
      <c r="F355" s="78" t="str">
        <f ca="1">IF($B355&gt;keilatut,"",IF($C355=(-1),"",IF($C355=0,"Nimi",IF($C355&gt;Data!$CP$2,"",OFFSET(tulossiirtymä,MATCH($D355,Data!$AN$2:$AN$313,0),Tulokset!F$2)))))</f>
        <v/>
      </c>
      <c r="G355" s="78" t="str">
        <f ca="1">IF($B355&gt;keilatut,"",IF($C355=(-1),"",IF($C355=0,"Sarja 1",IF($C355&gt;Data!$CP$2,"",OFFSET(tulossiirtymä,MATCH($D355,Data!$AN$2:$AN$313,0),Tulokset!G$2)))))</f>
        <v/>
      </c>
      <c r="H355" s="78" t="str">
        <f ca="1">IF($B355&gt;keilatut,"",IF($C355=(-1),"",IF($C355=0,"Sarja 2",IF($C355&gt;Data!$CP$2,"",OFFSET(tulossiirtymä,MATCH($D355,Data!$AN$2:$AN$313,0),Tulokset!H$2)))))</f>
        <v/>
      </c>
      <c r="I355" s="78" t="str">
        <f ca="1">IF($B355&gt;keilatut,"",IF($C355=(-1),"",IF($C355=0,"Yhteensä",IF($C355&gt;Data!$CP$2,"",OFFSET(tulossiirtymä,MATCH($D355,Data!$AN$2:$AN$313,0),Tulokset!I$2)))))</f>
        <v/>
      </c>
      <c r="J355" s="78" t="str">
        <f ca="1">IF($B355&gt;keilatut,"",IF($C355=(-1),"",IF($C355=0,"Ero voittajaan",IF($C355&gt;Data!$CP$2,"",OFFSET(tulossiirtymä,MATCH($D355,Data!$AN$2:$AN$313,0),Tulokset!J$2)))))</f>
        <v/>
      </c>
      <c r="K355" s="78" t="str">
        <f ca="1">IF($B355&gt;keilatut,"",IF($C355=(-1),"",IF($C355=0,"Pisteet",IF($C355&gt;Data!$CP$2,"",OFFSET(tulossiirtymä,MATCH($D355,Data!$AN$2:$AN$313,0),Tulokset!K$2)))))</f>
        <v/>
      </c>
      <c r="L355" s="78" t="str">
        <f ca="1">IF($B355&gt;keilatut,"",IF($C355=(-1),"",IF($C355=0,"Pisteet yhteensä",IF($C355&gt;Data!$CP$2,"",OFFSET(tulossiirtymä,MATCH($D355,Data!$AN$2:$AN$313,0),Tulokset!L$2)))))</f>
        <v/>
      </c>
      <c r="M355" s="78" t="str">
        <f ca="1">IF($B355&gt;keilatut,"",IF($C355=(-1),"",IF($C355=0,"Pisteseloste",IF($C355&gt;Data!$CP$2,"",OFFSET(tulossiirtymä,MATCH($D355,Data!$AN$2:$AN$313,0),Tulokset!M$2)))))</f>
        <v/>
      </c>
    </row>
    <row r="356" spans="2:13" x14ac:dyDescent="0.25">
      <c r="B356" s="78">
        <v>13</v>
      </c>
      <c r="C356" s="78">
        <f>COUNTIF($B$6:B356,B356)-2</f>
        <v>25</v>
      </c>
      <c r="D356" s="79"/>
    </row>
    <row r="358" spans="2:13" x14ac:dyDescent="0.25">
      <c r="G358" s="144" t="s">
        <v>181</v>
      </c>
    </row>
    <row r="359" spans="2:13" x14ac:dyDescent="0.25">
      <c r="G359" s="143" t="s">
        <v>182</v>
      </c>
      <c r="H359" s="78" t="s">
        <v>188</v>
      </c>
    </row>
    <row r="360" spans="2:13" x14ac:dyDescent="0.25">
      <c r="G360" s="143" t="s">
        <v>183</v>
      </c>
      <c r="H360" s="78" t="s">
        <v>189</v>
      </c>
    </row>
    <row r="361" spans="2:13" x14ac:dyDescent="0.25">
      <c r="G361" s="143" t="s">
        <v>184</v>
      </c>
      <c r="H361" s="78" t="s">
        <v>190</v>
      </c>
    </row>
    <row r="362" spans="2:13" x14ac:dyDescent="0.25">
      <c r="G362" s="143" t="s">
        <v>185</v>
      </c>
      <c r="H362" s="78" t="s">
        <v>191</v>
      </c>
    </row>
    <row r="363" spans="2:13" x14ac:dyDescent="0.25">
      <c r="G363" s="143" t="s">
        <v>186</v>
      </c>
      <c r="H363" s="78" t="s">
        <v>192</v>
      </c>
    </row>
    <row r="364" spans="2:13" x14ac:dyDescent="0.25">
      <c r="G364" s="143" t="s">
        <v>187</v>
      </c>
      <c r="H364" s="78" t="s">
        <v>193</v>
      </c>
    </row>
  </sheetData>
  <conditionalFormatting sqref="E2:M356">
    <cfRule type="expression" dxfId="229" priority="2">
      <formula>IF($E2="Sija",TRUE,FALSE)</formula>
    </cfRule>
    <cfRule type="expression" dxfId="228" priority="3">
      <formula>IF(LEFT($E2,2)="GP",TRUE,FALSE)</formula>
    </cfRule>
  </conditionalFormatting>
  <conditionalFormatting sqref="K6:M356">
    <cfRule type="expression" dxfId="227" priority="4">
      <formula>IF(K6=TRUNC(K6),FALSE,TRUE)</formula>
    </cfRule>
  </conditionalFormatting>
  <pageMargins left="0.7" right="0.7" top="0.75" bottom="0.75" header="0.3" footer="0.3"/>
  <pageSetup paperSize="9" scale="75" orientation="portrait" r:id="rId1"/>
  <rowBreaks count="6" manualBreakCount="6">
    <brk id="59" min="4" max="12" man="1"/>
    <brk id="113" min="4" max="12" man="1"/>
    <brk id="167" min="4" max="12" man="1"/>
    <brk id="221" min="4" max="12" man="1"/>
    <brk id="275" min="4" max="12" man="1"/>
    <brk id="329" min="4" max="12" man="1"/>
  </row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DM314"/>
  <sheetViews>
    <sheetView tabSelected="1" zoomScaleNormal="100" workbookViewId="0">
      <pane ySplit="1" topLeftCell="A176" activePane="bottomLeft" state="frozen"/>
      <selection activeCell="L2" sqref="L2"/>
      <selection pane="bottomLeft" activeCell="I182" sqref="I182"/>
    </sheetView>
  </sheetViews>
  <sheetFormatPr defaultColWidth="8.85546875" defaultRowHeight="15" x14ac:dyDescent="0.25"/>
  <cols>
    <col min="1" max="2" width="7.28515625" style="1" bestFit="1" customWidth="1"/>
    <col min="3" max="3" width="10.140625" style="1" customWidth="1"/>
    <col min="4" max="4" width="16.42578125" style="1" customWidth="1"/>
    <col min="5" max="5" width="7.28515625" style="1" customWidth="1"/>
    <col min="6" max="6" width="10.5703125" style="1" customWidth="1"/>
    <col min="7" max="7" width="14.7109375" style="1" customWidth="1"/>
    <col min="8" max="8" width="7.28515625" style="1" customWidth="1"/>
    <col min="9" max="9" width="17.7109375" style="1" bestFit="1" customWidth="1"/>
    <col min="10" max="11" width="6.28515625" style="1" bestFit="1" customWidth="1"/>
    <col min="12" max="12" width="8.28515625" style="1" bestFit="1" customWidth="1"/>
    <col min="13" max="16" width="12.7109375" style="1" customWidth="1"/>
    <col min="17" max="17" width="12.42578125" style="1" customWidth="1"/>
    <col min="18" max="24" width="7.28515625" style="1" customWidth="1"/>
    <col min="25" max="28" width="13.5703125" style="1" customWidth="1"/>
    <col min="29" max="37" width="9.85546875" style="1" customWidth="1"/>
    <col min="38" max="40" width="12" style="1" customWidth="1"/>
    <col min="41" max="41" width="12.140625" style="1" customWidth="1"/>
    <col min="42" max="43" width="7.28515625" style="1" customWidth="1"/>
    <col min="44" max="45" width="8.85546875" style="1" customWidth="1"/>
    <col min="46" max="49" width="12.42578125" style="1" customWidth="1"/>
    <col min="50" max="50" width="8.85546875" style="1" customWidth="1"/>
    <col min="51" max="51" width="10.28515625" style="1" customWidth="1"/>
    <col min="52" max="64" width="8.85546875" style="1" customWidth="1"/>
    <col min="65" max="65" width="10.7109375" style="1" customWidth="1"/>
    <col min="66" max="66" width="8.85546875" style="1" customWidth="1"/>
    <col min="67" max="67" width="15.42578125" style="1" bestFit="1" customWidth="1"/>
    <col min="68" max="68" width="8.85546875" style="1" customWidth="1"/>
    <col min="69" max="87" width="16.28515625" style="1" customWidth="1"/>
    <col min="88" max="88" width="17.42578125" style="1" bestFit="1" customWidth="1"/>
    <col min="89" max="93" width="8.85546875" style="1"/>
    <col min="94" max="94" width="12.42578125" style="1" bestFit="1" customWidth="1"/>
    <col min="95" max="96" width="8.85546875" style="1"/>
    <col min="97" max="97" width="9.85546875" style="1" customWidth="1"/>
    <col min="98" max="98" width="8.85546875" style="1" customWidth="1"/>
    <col min="99" max="99" width="8.85546875" style="1"/>
    <col min="100" max="101" width="11" style="1" bestFit="1" customWidth="1"/>
    <col min="102" max="103" width="8.85546875" style="1"/>
    <col min="104" max="104" width="8.85546875" style="1" customWidth="1"/>
    <col min="105" max="105" width="11" style="1" bestFit="1" customWidth="1"/>
    <col min="106" max="118" width="8.85546875" style="1"/>
    <col min="119" max="119" width="3.7109375" style="1" customWidth="1"/>
    <col min="120" max="120" width="20.7109375" style="1" customWidth="1"/>
    <col min="121" max="16384" width="8.85546875" style="1"/>
  </cols>
  <sheetData>
    <row r="1" spans="1:111" ht="15" customHeight="1" x14ac:dyDescent="0.25">
      <c r="A1" s="2" t="s">
        <v>65</v>
      </c>
      <c r="B1" s="82" t="s">
        <v>36</v>
      </c>
      <c r="C1" s="2" t="s">
        <v>66</v>
      </c>
      <c r="D1" s="2" t="s">
        <v>67</v>
      </c>
      <c r="E1" s="2" t="s">
        <v>68</v>
      </c>
      <c r="F1" s="2" t="s">
        <v>69</v>
      </c>
      <c r="G1" s="2" t="s">
        <v>70</v>
      </c>
      <c r="H1" s="2" t="s">
        <v>71</v>
      </c>
      <c r="I1" s="2" t="s">
        <v>7</v>
      </c>
      <c r="J1" s="2" t="s">
        <v>58</v>
      </c>
      <c r="K1" s="2" t="s">
        <v>59</v>
      </c>
      <c r="L1" s="2" t="s">
        <v>12</v>
      </c>
      <c r="M1" s="2" t="s">
        <v>72</v>
      </c>
      <c r="N1" s="2" t="s">
        <v>73</v>
      </c>
      <c r="O1" s="2" t="s">
        <v>74</v>
      </c>
      <c r="P1" s="2" t="s">
        <v>75</v>
      </c>
      <c r="Q1" s="2" t="s">
        <v>76</v>
      </c>
      <c r="R1" s="2" t="s">
        <v>77</v>
      </c>
      <c r="S1" s="2" t="s">
        <v>78</v>
      </c>
      <c r="T1" s="2" t="s">
        <v>79</v>
      </c>
      <c r="U1" s="2" t="s">
        <v>80</v>
      </c>
      <c r="V1" s="2" t="s">
        <v>81</v>
      </c>
      <c r="W1" s="2" t="s">
        <v>82</v>
      </c>
      <c r="X1" s="2" t="s">
        <v>83</v>
      </c>
      <c r="Y1" s="81" t="s">
        <v>84</v>
      </c>
      <c r="Z1" s="82" t="s">
        <v>85</v>
      </c>
      <c r="AA1" s="83" t="s">
        <v>86</v>
      </c>
      <c r="AB1" s="84" t="s">
        <v>87</v>
      </c>
      <c r="AC1" s="85" t="s">
        <v>88</v>
      </c>
      <c r="AD1" s="81" t="s">
        <v>89</v>
      </c>
      <c r="AE1" s="82" t="s">
        <v>90</v>
      </c>
      <c r="AF1" s="83" t="s">
        <v>91</v>
      </c>
      <c r="AG1" s="84" t="s">
        <v>92</v>
      </c>
      <c r="AH1" s="85" t="s">
        <v>93</v>
      </c>
      <c r="AI1" s="100" t="s">
        <v>94</v>
      </c>
      <c r="AJ1" s="99" t="s">
        <v>95</v>
      </c>
      <c r="AK1" s="98" t="s">
        <v>96</v>
      </c>
      <c r="AL1" s="2" t="s">
        <v>9</v>
      </c>
      <c r="AM1" s="2" t="s">
        <v>97</v>
      </c>
      <c r="AN1" s="2" t="s">
        <v>98</v>
      </c>
      <c r="AO1" s="2" t="s">
        <v>99</v>
      </c>
      <c r="AP1" s="2" t="s">
        <v>100</v>
      </c>
      <c r="AQ1" s="2" t="s">
        <v>11</v>
      </c>
      <c r="AR1" s="2" t="s">
        <v>101</v>
      </c>
      <c r="AS1" s="2" t="s">
        <v>102</v>
      </c>
      <c r="AT1" s="2" t="s">
        <v>103</v>
      </c>
      <c r="AU1" s="2" t="s">
        <v>104</v>
      </c>
      <c r="AV1" s="2" t="s">
        <v>105</v>
      </c>
      <c r="AW1" s="2" t="s">
        <v>106</v>
      </c>
      <c r="AX1" s="2" t="s">
        <v>107</v>
      </c>
      <c r="AY1" s="2" t="s">
        <v>108</v>
      </c>
      <c r="AZ1" s="2" t="s">
        <v>109</v>
      </c>
      <c r="BA1" s="2" t="s">
        <v>110</v>
      </c>
      <c r="BB1" s="2" t="s">
        <v>111</v>
      </c>
      <c r="BC1" s="2" t="s">
        <v>112</v>
      </c>
      <c r="BD1" s="2" t="s">
        <v>113</v>
      </c>
      <c r="BE1" s="186" t="s">
        <v>262</v>
      </c>
      <c r="BF1" s="2" t="s">
        <v>147</v>
      </c>
      <c r="BG1" s="2" t="s">
        <v>148</v>
      </c>
      <c r="BH1" s="2" t="s">
        <v>149</v>
      </c>
      <c r="BI1" s="2" t="s">
        <v>150</v>
      </c>
      <c r="BJ1" s="2" t="s">
        <v>155</v>
      </c>
      <c r="BK1" s="2" t="s">
        <v>156</v>
      </c>
      <c r="BL1" s="101" t="s">
        <v>153</v>
      </c>
      <c r="BM1" s="2" t="s">
        <v>151</v>
      </c>
      <c r="BN1" s="2" t="s">
        <v>157</v>
      </c>
      <c r="BO1" s="2" t="s">
        <v>152</v>
      </c>
      <c r="BP1" s="101" t="s">
        <v>154</v>
      </c>
      <c r="BQ1" s="2" t="s">
        <v>247</v>
      </c>
      <c r="BR1" s="2" t="s">
        <v>248</v>
      </c>
      <c r="BS1" s="2" t="s">
        <v>249</v>
      </c>
      <c r="BT1" s="2" t="s">
        <v>250</v>
      </c>
      <c r="BU1" s="2" t="s">
        <v>251</v>
      </c>
      <c r="BV1" s="2" t="s">
        <v>252</v>
      </c>
      <c r="BW1" s="2" t="s">
        <v>261</v>
      </c>
      <c r="BX1" s="2" t="s">
        <v>253</v>
      </c>
      <c r="BY1" s="2" t="s">
        <v>254</v>
      </c>
      <c r="BZ1" s="2" t="s">
        <v>255</v>
      </c>
      <c r="CA1" s="2" t="s">
        <v>256</v>
      </c>
      <c r="CB1" s="2" t="s">
        <v>257</v>
      </c>
      <c r="CC1" s="2" t="s">
        <v>258</v>
      </c>
      <c r="CD1" s="2" t="s">
        <v>259</v>
      </c>
      <c r="CE1" s="2" t="s">
        <v>260</v>
      </c>
      <c r="CF1" s="2" t="s">
        <v>267</v>
      </c>
      <c r="CG1" s="2" t="s">
        <v>268</v>
      </c>
      <c r="CH1" s="185" t="s">
        <v>265</v>
      </c>
      <c r="CI1" s="187" t="s">
        <v>266</v>
      </c>
      <c r="CJ1" s="2" t="s">
        <v>180</v>
      </c>
      <c r="CO1" s="2" t="s">
        <v>114</v>
      </c>
      <c r="CP1" s="3">
        <v>13</v>
      </c>
      <c r="CR1" s="207" t="s">
        <v>115</v>
      </c>
      <c r="CS1" s="207"/>
      <c r="CT1" s="207"/>
      <c r="CU1" s="207"/>
      <c r="CY1" s="1">
        <f>YEAR(CS3)</f>
        <v>2024</v>
      </c>
      <c r="CZ1" s="7">
        <f>YEAR(MAX($CS$3:$CS$15))-1</f>
        <v>2024</v>
      </c>
      <c r="DB1" s="1" t="s">
        <v>116</v>
      </c>
      <c r="DC1" s="80" t="s">
        <v>116</v>
      </c>
      <c r="DD1" s="1" t="s">
        <v>116</v>
      </c>
    </row>
    <row r="2" spans="1:111" ht="15" customHeight="1" x14ac:dyDescent="0.25">
      <c r="A2" s="1">
        <f>IFERROR(IF(ROW(A1)=1,1,IF(1+A1&lt;=$CP$1*$CP$2,1+A1,"")),"")</f>
        <v>1</v>
      </c>
      <c r="B2" s="1">
        <f>IF($I2="","",IF(ROW(B1)=1,1,ROUNDUP(A2/$CP$2,0)))</f>
        <v>1</v>
      </c>
      <c r="C2" s="4">
        <f>IF($B2="","",VLOOKUP($B2,kilpailukalenteri,2))</f>
        <v>45556</v>
      </c>
      <c r="D2" s="4" t="str">
        <f t="shared" ref="D2:D65" si="0">IF($B2="","",VLOOKUP($B2,kilpailukalenteri,4))</f>
        <v>U7 Gdansk, Puola</v>
      </c>
      <c r="E2" s="1">
        <f>IF($B2="","",COUNTIF($B$2:B2,B2))</f>
        <v>1</v>
      </c>
      <c r="F2" s="1" t="str">
        <f t="shared" ref="F2:F65" si="1">IF($B2="","","K"&amp;kausi_id_nro&amp;"GP"&amp;IF(B2&lt;10,0,"")&amp;B2)</f>
        <v>K2024GP01</v>
      </c>
      <c r="G2" s="1" t="str">
        <f>IF(F2="","",F2&amp;"_"&amp;E2)</f>
        <v>K2024GP01_1</v>
      </c>
      <c r="H2" s="1">
        <f>COUNTIFS($I$2:$I$313,I2,$B$2:$B$313,B2)</f>
        <v>1</v>
      </c>
      <c r="I2" s="3" t="s">
        <v>131</v>
      </c>
      <c r="J2" s="3">
        <v>102</v>
      </c>
      <c r="K2" s="3">
        <v>111</v>
      </c>
      <c r="L2" s="1">
        <f>IF($B2="","",J2+K2)</f>
        <v>213</v>
      </c>
      <c r="M2" s="1">
        <f>IF($B2="","",IF($K2="",0,1))</f>
        <v>1</v>
      </c>
      <c r="N2" s="1">
        <f>IF(B2="","",IF(M2=0,"",R2))</f>
        <v>6</v>
      </c>
      <c r="O2" s="1">
        <f>IF(B2="","",IF(M2=0,"",L2))</f>
        <v>213</v>
      </c>
      <c r="P2" s="1">
        <f>IF(B2="","",IF(M2=0,"",Q2))</f>
        <v>46</v>
      </c>
      <c r="Q2" s="1">
        <f t="array" ref="Q2">IF($B2="","",IF(MAX(IF(B2=$B$2:$B$313,$L$2:$L$313))-L2=0,"",MAX(IF(B2=$B$2:$B$313,$L$2:$L$313))-L2))</f>
        <v>46</v>
      </c>
      <c r="R2" s="1">
        <f t="array" ref="R2">IF($B2="","",SUMPRODUCT(--($B$2:$B$313=B2),--(L2&lt;$L$2:$L$313))+1)</f>
        <v>6</v>
      </c>
      <c r="S2" s="1">
        <f>IF(B2="","",2*M2)</f>
        <v>2</v>
      </c>
      <c r="T2" s="1" cm="1">
        <f t="array" ref="T2">IF($B2="","",IF(M2=0,"",SUMPRODUCT(--($B$2:$B$313=B2),--(J2&lt;$J$2:$J$313))+1))</f>
        <v>7</v>
      </c>
      <c r="U2" s="1">
        <f>IF(T2="","",N2-T2)</f>
        <v>-1</v>
      </c>
      <c r="V2" s="1" t="str">
        <f>IF($B2="","",IF(B2&lt;10,0,"")&amp;B2&amp;IF(R2&lt;10,0,"")&amp;R2)</f>
        <v>0106</v>
      </c>
      <c r="W2" s="1">
        <f>IF($B2="","",COUNTIFS($L$2:$L$313,L2,$B$2:$B$313,B2))</f>
        <v>1</v>
      </c>
      <c r="X2" s="1">
        <f t="shared" ref="X2:X65" si="2">IF($B2="","",IF(RIGHT(VLOOKUP(B2,kilpailukalenteri,4),1)="*",1,0))</f>
        <v>0</v>
      </c>
      <c r="Y2" s="1">
        <f>IF($B2="","",MAX(_xlfn.MAXIFS($J$2:J2,$I$2:I2,$I2),_xlfn.MAXIFS($K$2:K2,$I$2:I2,$I2)))</f>
        <v>111</v>
      </c>
      <c r="Z2" s="1">
        <f t="shared" ref="Z2:Z66" si="3">IF($B2="","",MAX(_xlfn.MAXIFS($J$2:$J$313,$B$2:$B$313,$B2),_xlfn.MAXIFS($K$2:$K$313,$B$2:$B$313,$B2)))</f>
        <v>141</v>
      </c>
      <c r="AA2" s="1">
        <f>IF($B2="","",IF($X2=0,0,IF(MAX($J2:$K2)&gt;=$Z2,1,0)))</f>
        <v>0</v>
      </c>
      <c r="AB2" s="1">
        <f>IF($B2="","",IF($AA2=0,0,1/SUMIFS($AA$2:$AA$313,$B$2:$B$313,$B2)))</f>
        <v>0</v>
      </c>
      <c r="AC2" s="1">
        <f>IF($B2="","",IF(MAX($J2:$K2)&gt;=$Y2,1,0)*$X2*$BE2)</f>
        <v>0</v>
      </c>
      <c r="AD2" s="1">
        <f>IF($B2="","",MIN(_xlfn.MINIFS($J$2:J2,$I$2:I2,$I2),_xlfn.MINIFS($K$2:K2,$I$2:I2,$I2)))</f>
        <v>102</v>
      </c>
      <c r="AE2" s="1">
        <f>IF($B2="","",MIN(_xlfn.MINIFS($J$2:$J$313,$B$2:$B$313,$B2),_xlfn.MINIFS($K$2:$K$313,$B$2:$B$313,$B2)))</f>
        <v>73</v>
      </c>
      <c r="AF2" s="1">
        <f>IF($B2="","",IF(M2=0,0,IF($X2=0,0,IF(MIN($J2:$K2)&lt;=$AE2,1,0))))</f>
        <v>0</v>
      </c>
      <c r="AG2" s="1">
        <f>IF($B2="","",IF($AF2=0,0,-1/SUMIFS($AF$2:$AF$313,$B$2:$B$313,$B2)))</f>
        <v>0</v>
      </c>
      <c r="AH2" s="1">
        <f>IF($B2="","",IF(M2=0,0,IF(MIN($J2:$K2)&lt;=$AD2,-1,0)*$X2*$BE2))</f>
        <v>0</v>
      </c>
      <c r="AI2" s="1">
        <f ca="1">IF($B2="","",IF($K2="",0,OFFSET($CO$17,R2,W2)))</f>
        <v>5</v>
      </c>
      <c r="AJ2" s="1">
        <f ca="1">IF(AI2="","",IF(N2=_xlfn.MAXIFS($N$2:$N$313,$B$2:$B$313,$B2),-AI2,0))</f>
        <v>0</v>
      </c>
      <c r="AK2" s="1">
        <f ca="1">IF(AJ2="","",IF(AJ2=0,0,IF(W2=1,0,SUM(OFFSET($CO$17,N2,1):OFFSET($CO$17,N2+W2-2,1))/W2)))</f>
        <v>0</v>
      </c>
      <c r="AL2" s="1">
        <f ca="1">IF($B2="","",IF($K2="",0,SUM(AI2:AK2)+SUM(AB2:AC2)+SUM(AG2:AH2)+CI2))</f>
        <v>5</v>
      </c>
      <c r="AM2" s="1">
        <f ca="1">IF($B2="","",SUMIFS($AL$2:AL2,$I$2:I2,$I2))</f>
        <v>5</v>
      </c>
      <c r="AN2" s="1">
        <f>IF($B2="","",$R2+$A2/1000000)</f>
        <v>6.0000010000000001</v>
      </c>
      <c r="AO2" s="1">
        <f>IFERROR(IF($B2="","",AVERAGEIFS($L$2:L2,$I$2:I2,I2,$L$2:L2,"&lt;&gt;0")),0)</f>
        <v>213</v>
      </c>
      <c r="AP2" s="1">
        <f>IF($B2="","",AO2/2)</f>
        <v>106.5</v>
      </c>
      <c r="AQ2" s="1">
        <f>IF($B2="","",COUNTIFS($R$2:R2,1,$I$2:I2,$I2))</f>
        <v>0</v>
      </c>
      <c r="AR2" s="1">
        <f t="array" aca="1" ref="AR2" ca="1">IF($B2="","",SUMPRODUCT(--($B$2:$B$313=B2),--(AM2&lt;$AM$2:$AM$313))+1)</f>
        <v>6</v>
      </c>
      <c r="AS2" s="1">
        <f t="array" ref="AS2">IF($B2="","",SUMPRODUCT(--($B$2:$B$313=B2),--(AP2&lt;$AP$2:$AP$313))+1)</f>
        <v>6</v>
      </c>
      <c r="AT2" s="1">
        <f t="array" ref="AT2">IF($B2="","",SUMPRODUCT(--($B$2:$B$313=B2),--(AQ2&lt;$AQ$2:$AQ$313))+1)</f>
        <v>2</v>
      </c>
      <c r="AU2" s="1">
        <f>IF($B2="","",$A2/1000000000)</f>
        <v>1.0000000000000001E-9</v>
      </c>
      <c r="AV2" s="1">
        <f ca="1">IF($B2="","",AR2/100+AS2/10000+AT2/1000000+AU2)</f>
        <v>6.0602001000000003E-2</v>
      </c>
      <c r="AW2" s="1" t="str">
        <f t="shared" ref="AW2:AW65" si="4">IF($B2="","",IF($B2=keilatut,$AV2,""))</f>
        <v/>
      </c>
      <c r="AX2" s="1" t="str">
        <f>IF($AW2="","",_xlfn.RANK.EQ($AW2,$AW$2:$AW$313,1))</f>
        <v/>
      </c>
      <c r="AY2" s="8">
        <f ca="1">IF($B2="","",AR2/100+AS2/10000+AT2/1000000+AU2)</f>
        <v>6.0602001000000003E-2</v>
      </c>
      <c r="AZ2" s="1" cm="1">
        <f t="array" aca="1" ref="AZ2" ca="1">IF($B2="","",SUMPRODUCT(--($B$2:$B$313=B2),--(AY2&gt;$AY$2:$AY$313))+1)</f>
        <v>6</v>
      </c>
      <c r="BA2" s="1" t="str">
        <f>IF(G2="","",G2&amp;"_"&amp;1)</f>
        <v>K2024GP01_1_1</v>
      </c>
      <c r="BB2" s="1" t="str">
        <f>IF(G2="","",G2&amp;"_"&amp;2)</f>
        <v>K2024GP01_1_2</v>
      </c>
      <c r="BC2" s="1">
        <f>IF(B2="","",IF(N2=1,1,0))</f>
        <v>0</v>
      </c>
      <c r="BD2" s="1">
        <f>IF(B2="","",IF(N2&lt;=3,1,0))</f>
        <v>0</v>
      </c>
      <c r="BE2" s="1">
        <f>IF(I2="","",IF(AND(COUNTIFS($A$2:$A$313,"&lt;"&amp;A2,$I$2:$I$313,$I2,$M$2:$M$313,1)=0,X2=1),0,1))</f>
        <v>1</v>
      </c>
      <c r="BF2" s="1">
        <f>IF(I2="","",MAX(J2:K2))</f>
        <v>111</v>
      </c>
      <c r="BG2" s="1">
        <f>IF(I2="","",MIN(J2:K2))</f>
        <v>102</v>
      </c>
      <c r="BH2" s="1">
        <f>IF(I2="","",COUNTIFS($B$2:$B$313,$B2,BF$2:BF$313,"&gt;"&amp;BF2)+1)</f>
        <v>8</v>
      </c>
      <c r="BI2" s="1">
        <f>IF(I2="","",COUNTIFS($B$2:$B$313,$B2,BG$2:BG$313,"&gt;"&amp;BG2)+1)</f>
        <v>5</v>
      </c>
      <c r="BJ2" s="1">
        <f>IF(I2="","",BH2/100+BI2/10000)</f>
        <v>8.0500000000000002E-2</v>
      </c>
      <c r="BK2" s="1">
        <f>IF(I2="","",IF(L2=0,"",COUNTIFS($B$2:$B$313,B2,$BJ$2:$BJ$313,BJ2)-1))</f>
        <v>0</v>
      </c>
      <c r="BL2" s="1">
        <f>IF(I2="","",0.000099)</f>
        <v>9.8999999999999994E-5</v>
      </c>
      <c r="BM2" s="1">
        <f>IF(I2="","",BH2/100+BI2/10000+BL2+IF(L2=0,ROW()/10000000,0))</f>
        <v>8.0599000000000004E-2</v>
      </c>
      <c r="BN2" s="1">
        <f>IF(I2="","",IF(L2=0,"",COUNTIFS($B$2:$B$313,B2,$BM$2:$BM$313,BM2)-1))</f>
        <v>0</v>
      </c>
      <c r="BO2" s="1">
        <f t="shared" ref="BO2:BO65" si="5">IF(I2="","",COUNTIFS($B$2:$B$313,$B2,$BM$2:$BM$313,"&lt;"&amp;BM2)+1)</f>
        <v>8</v>
      </c>
      <c r="BP2" s="1">
        <f t="shared" ref="BP2:BP65" si="6">IF(I2="","",0)</f>
        <v>0</v>
      </c>
      <c r="BQ2" s="1" t="str" cm="1">
        <f t="array" ref="BQ2">IF(I2="","",IF(BP2=1,"",IF(L2=0,"",IF(B2=1,"",_xlfn.XLOOKUP(1,($I$2:$I$313=$I2)*($B$2:$B$313=($B2-1)),$BO$2:$BO$313)))))</f>
        <v/>
      </c>
      <c r="BR2" s="1">
        <f>IF(I2="","",IF($B2=1,_xlfn.MINIFS($BO$2:$BO$313,$B$2:$B$313,$B2),_xlfn.MINIFS(BQ$2:$BQ$313,$B$2:$B$313,$B2)))</f>
        <v>1</v>
      </c>
      <c r="BS2" s="1">
        <f>IF($I2="","",IF($B2=1,_xlfn.MINIFS($BO$2:$BO$313,$B$2:$B$313,$B2,$BO$2:$BO$313,"&lt;&gt;"&amp;$BR2),_xlfn.MINIFS($BQ$2:$BQ$313,$B$2:$B$313,$B2,$BQ$2:$BQ$313,"&lt;&gt;"&amp;$BR2)))</f>
        <v>2</v>
      </c>
      <c r="BT2" s="1" t="str" cm="1">
        <f t="array" ref="BT2">IF($I2="","",IF($B2=1,_xlfn.XLOOKUP(1,($B$2:$B$313=$B2)*($BO$2:$BO$313=BR2),Data!$I$2:$I$313,,0),_xlfn.XLOOKUP(1,($B$2:$B$313=$B2)*($BQ$2:$BQ$313=$BR2),$I$2:$I$313,,0)))</f>
        <v>Kaleva Latvala</v>
      </c>
      <c r="BU2" s="1" t="str" cm="1">
        <f t="array" ref="BU2">IF(I2="","",IF($B2=1,_xlfn.XLOOKUP(1,($B$2:$B$313=$B2)*($BO$2:$BO$313=$BS2),$I$2:$I$313,,0),_xlfn.XLOOKUP(1,($B$2:$B$313=$B2)*($BQ$2:$BQ$313=$BS2),$I$2:$I$313,,0)))</f>
        <v>Roope Warro</v>
      </c>
      <c r="BV2" s="1" t="str" cm="1">
        <f t="array" ref="BV2">IF($I2="","",IF($B2=1,"",IF($B2=2,_xlfn.XLOOKUP(1,($B$2:$B$313=1)*($BO$2:$BO$313=1),$I$2:$I$313,,0),_xlfn.XLOOKUP($B2-1,$B$2:$B$313,$CH$2:$CH$313,,0))))</f>
        <v/>
      </c>
      <c r="BW2" s="1" t="str" cm="1">
        <f t="array" ref="BW2">IF($I2="","",IF($B2=1,"",IF(_xlfn.XLOOKUP(1,($B$2:$B$313=$B2)*($I$2:$I$313=$BV2),$BQ$2:$BQ$313,,0)="","NOK","OK")))</f>
        <v/>
      </c>
      <c r="BX2" s="1" t="str">
        <f>IF(I2="","",IF($B2=1,"",IF(BW2="OK",BV2,IF(OR(BV2=BT2,BV2=BU2),BV2,BT2))))</f>
        <v/>
      </c>
      <c r="BY2" s="1" t="str">
        <f>IF($I2="","",IF($B2=1,"",IF(BX2=BT2,BU2,BT2)))</f>
        <v/>
      </c>
      <c r="BZ2" s="1" t="str">
        <f>IF($I2="","",IF($B2=1,"",SUMIFS($BF$2:$BF$313,$B$2:$B$313,$B2,$I$2:$I$313,$BX2)))</f>
        <v/>
      </c>
      <c r="CA2" s="1" t="str">
        <f>IF($I2="","",IF($B2=1,"",SUMIFS($BG$2:$BG$313,$B$2:$B$313,$B2,$I$2:$I$313,$BX2)))</f>
        <v/>
      </c>
      <c r="CB2" s="1" t="str">
        <f>IF($I2="","",IF($B2=1,"",SUMIFS($BL$2:$BL$313,$B$2:$B$313,$B2,$I$2:$I$313,$BX2)))</f>
        <v/>
      </c>
      <c r="CC2" s="1" t="str">
        <f>IF($I2="","",IF($B2=1,"",SUMIFS($BF$2:$BF$313,$B$2:$B$313,$B2,$I$2:$I$313,$BY2)))</f>
        <v/>
      </c>
      <c r="CD2" s="1" t="str">
        <f>IF($I2="","",IF($B2=1,"",SUMIFS($BG$2:$BG$313,$B$2:$B$313,$B2,$I$2:$I$313,$BY2)))</f>
        <v/>
      </c>
      <c r="CE2" s="1" t="str">
        <f>IF($I2="","",IF($B2=1,"",SUMIFS($BL$2:$BL$313,$B$2:$B$313,$B2,$I$2:$I$313,$BY2)))</f>
        <v/>
      </c>
      <c r="CF2" s="1" t="str">
        <f>IF(I2="","",BX2&amp;IF(B2=1,"",IF(BX2=BV2," (P)"," ("&amp;BR2&amp;")")))</f>
        <v/>
      </c>
      <c r="CG2" s="1" t="str">
        <f>IF(I2="","",IF(B2=1,"",BY2&amp;" ("&amp;IF(BY2=BT2,BR2,BS2)&amp;")"))</f>
        <v/>
      </c>
      <c r="CH2" s="1" t="str">
        <f>IF($I2="","",IF($B2=1,BT2,IF(BZ2=CC2,IF(CA2=CD2,IF(CB2&lt;CE2,BX2,BY2),IF(CA2&gt;CD2,BX2,BY2)),IF(BZ2&gt;CC2,BX2,BY2))))</f>
        <v>Kaleva Latvala</v>
      </c>
      <c r="CI2" s="1">
        <f>IF($I2="","",IF(I2=CH2,1,0))</f>
        <v>0</v>
      </c>
      <c r="CJ2" s="1" t="str">
        <f ca="1">IF(B2="","",IF(SUM(AI2:AK2)&gt;0,"+SP","")&amp;IF(CI2&gt;0,"+KK","")&amp;IF(AB2&gt;0,"+KGP1","")&amp;IF(AC2&gt;0,"+KGP2","")&amp;IF(AG2&lt;0,"-KGP1","")&amp;IF(AH2&lt;0,"-KGP2",""))</f>
        <v>+SP</v>
      </c>
      <c r="CO2" s="2" t="s">
        <v>118</v>
      </c>
      <c r="CP2" s="3">
        <v>18</v>
      </c>
      <c r="CR2" s="2" t="s">
        <v>36</v>
      </c>
      <c r="CS2" s="2" t="s">
        <v>37</v>
      </c>
      <c r="CT2" s="2" t="s">
        <v>38</v>
      </c>
      <c r="CU2" s="2" t="s">
        <v>39</v>
      </c>
      <c r="CV2" s="2" t="s">
        <v>40</v>
      </c>
      <c r="CW2" s="2" t="s">
        <v>119</v>
      </c>
      <c r="CX2" s="2" t="s">
        <v>120</v>
      </c>
      <c r="CY2" s="1" t="str">
        <f>"Kaatokerho, "&amp;CY1&amp;"-"&amp;RIGHT(CY1+1,2)</f>
        <v>Kaatokerho, 2024-25</v>
      </c>
      <c r="DA2" s="1" t="s">
        <v>121</v>
      </c>
      <c r="DB2" s="1" t="s">
        <v>41</v>
      </c>
      <c r="DC2" s="1" t="s">
        <v>122</v>
      </c>
      <c r="DD2" s="1" t="s">
        <v>123</v>
      </c>
      <c r="DE2" s="1" t="s">
        <v>7</v>
      </c>
      <c r="DF2" s="1" t="s">
        <v>124</v>
      </c>
      <c r="DG2" s="1" t="s">
        <v>245</v>
      </c>
    </row>
    <row r="3" spans="1:111" x14ac:dyDescent="0.25">
      <c r="A3" s="1">
        <f>IFERROR(IF(ROW(A2)=1,1,IF(1+A2&lt;=$CP$1*$CP$2,1+A2,"")),"")</f>
        <v>2</v>
      </c>
      <c r="B3" s="1">
        <f>IF($I3="","",IF(ROW(B2)=1,1,ROUNDUP(A3/$CP$2,0)))</f>
        <v>1</v>
      </c>
      <c r="C3" s="4">
        <f t="shared" ref="C3:C66" si="7">IF(B3="","",VLOOKUP($B3,kilpailukalenteri,2))</f>
        <v>45556</v>
      </c>
      <c r="D3" s="4" t="str">
        <f t="shared" si="0"/>
        <v>U7 Gdansk, Puola</v>
      </c>
      <c r="E3" s="1">
        <f>IF($B3="","",COUNTIF($B$2:B3,B3))</f>
        <v>2</v>
      </c>
      <c r="F3" s="1" t="str">
        <f t="shared" si="1"/>
        <v>K2024GP01</v>
      </c>
      <c r="G3" s="1" t="str">
        <f t="shared" ref="G3:G66" si="8">IF(F3="","",F3&amp;"_"&amp;E3)</f>
        <v>K2024GP01_2</v>
      </c>
      <c r="H3" s="1">
        <f t="shared" ref="H3:H66" si="9">COUNTIFS($I$2:$I$313,I3,$B$2:$B$313,B3)</f>
        <v>1</v>
      </c>
      <c r="I3" s="3" t="s">
        <v>138</v>
      </c>
      <c r="J3" s="3">
        <v>114</v>
      </c>
      <c r="K3" s="3">
        <v>87</v>
      </c>
      <c r="L3" s="1">
        <f t="shared" ref="L3:L66" si="10">IF($B3="","",J3+K3)</f>
        <v>201</v>
      </c>
      <c r="M3" s="1">
        <f t="shared" ref="M3:M66" si="11">IF($B3="","",IF($K3="",0,1))</f>
        <v>1</v>
      </c>
      <c r="N3" s="1">
        <f t="shared" ref="N3:N66" si="12">IF(B3="","",IF(M3=0,"",R3))</f>
        <v>8</v>
      </c>
      <c r="O3" s="1">
        <f t="shared" ref="O3:O66" si="13">IF(B3="","",IF(M3=0,"",L3))</f>
        <v>201</v>
      </c>
      <c r="P3" s="1">
        <f t="shared" ref="P3:P66" si="14">IF(B3="","",IF(M3=0,"",Q3))</f>
        <v>58</v>
      </c>
      <c r="Q3" s="1">
        <f t="array" ref="Q3">IF($B3="","",IF(MAX(IF(B3=$B$2:$B$313,$L$2:$L$313))-L3=0,"",MAX(IF(B3=$B$2:$B$313,$L$2:$L$313))-L3))</f>
        <v>58</v>
      </c>
      <c r="R3" s="1">
        <f t="array" ref="R3">IF($B3="","",SUMPRODUCT(--($B$2:$B$313=B3),--(L3&lt;$L$2:$L$313))+1)</f>
        <v>8</v>
      </c>
      <c r="S3" s="1">
        <f t="shared" ref="S3:S66" si="15">IF(B3="","",2*M3)</f>
        <v>2</v>
      </c>
      <c r="T3" s="1" cm="1">
        <f t="array" ref="T3">IF($B3="","",IF(M3=0,"",SUMPRODUCT(--($B$2:$B$313=B3),--(J3&lt;$J$2:$J$313))+1))</f>
        <v>5</v>
      </c>
      <c r="U3" s="1">
        <f t="shared" ref="U3:U66" si="16">IF(T3="","",N3-T3)</f>
        <v>3</v>
      </c>
      <c r="V3" s="1" t="str">
        <f t="shared" ref="V3:V66" si="17">IF($B3="","",IF(B3&lt;10,0,"")&amp;B3&amp;IF(R3&lt;10,0,"")&amp;R3)</f>
        <v>0108</v>
      </c>
      <c r="W3" s="1">
        <f t="shared" ref="W3:W66" si="18">IF($B3="","",COUNTIFS($L$2:$L$313,L3,$B$2:$B$313,B3))</f>
        <v>1</v>
      </c>
      <c r="X3" s="1">
        <f t="shared" si="2"/>
        <v>0</v>
      </c>
      <c r="Y3" s="1">
        <f>IF($B3="","",MAX(_xlfn.MAXIFS($J$2:J3,$I$2:I3,$I3),_xlfn.MAXIFS($K$2:K3,$I$2:I3,$I3)))</f>
        <v>114</v>
      </c>
      <c r="Z3" s="1">
        <f t="shared" si="3"/>
        <v>141</v>
      </c>
      <c r="AA3" s="1">
        <f t="shared" ref="AA3:AA66" si="19">IF($B3="","",IF($X3=0,0,IF(MAX($J3:$K3)&gt;=$Z3,1,0)))</f>
        <v>0</v>
      </c>
      <c r="AB3" s="1">
        <f t="shared" ref="AB3:AB66" si="20">IF($B3="","",IF($AA3=0,0,1/SUMIFS($AA$2:$AA$313,$B$2:$B$313,$B3)))</f>
        <v>0</v>
      </c>
      <c r="AC3" s="1">
        <f t="shared" ref="AC3:AC66" si="21">IF($B3="","",IF(MAX($J3:$K3)&gt;=$Y3,1,0)*$X3*$BE3)</f>
        <v>0</v>
      </c>
      <c r="AD3" s="1">
        <f>IF($B3="","",MIN(_xlfn.MINIFS($J$2:J3,$I$2:I3,$I3),_xlfn.MINIFS($K$2:K3,$I$2:I3,$I3)))</f>
        <v>87</v>
      </c>
      <c r="AE3" s="1">
        <f t="shared" ref="AE3:AE66" si="22">IF($B3="","",MIN(_xlfn.MINIFS($J$2:$J$313,$B$2:$B$313,$B3),_xlfn.MINIFS($K$2:$K$313,$B$2:$B$313,$B3)))</f>
        <v>73</v>
      </c>
      <c r="AF3" s="1">
        <f t="shared" ref="AF3:AF66" si="23">IF($B3="","",IF(M3=0,0,IF($X3=0,0,IF(MIN($J3:$K3)&lt;=$AE3,1,0))))</f>
        <v>0</v>
      </c>
      <c r="AG3" s="1">
        <f t="shared" ref="AG3:AG66" si="24">IF($B3="","",IF($AF3=0,0,-1/SUMIFS($AF$2:$AF$313,$B$2:$B$313,$B3)))</f>
        <v>0</v>
      </c>
      <c r="AH3" s="1">
        <f t="shared" ref="AH3:AH66" si="25">IF($B3="","",IF(M3=0,0,IF(MIN($J3:$K3)&lt;=$AD3,-1,0)*$X3*$BE3))</f>
        <v>0</v>
      </c>
      <c r="AI3" s="1">
        <f ca="1">IF($B3="","",IF($K3="",0,OFFSET($CO$17,R3,W3)))</f>
        <v>3</v>
      </c>
      <c r="AJ3" s="1">
        <f t="shared" ref="AJ3:AJ66" ca="1" si="26">IF(AI3="","",IF(N3=_xlfn.MAXIFS($N$2:$N$313,$B$2:$B$313,$B3),-AI3,0))</f>
        <v>0</v>
      </c>
      <c r="AK3" s="1">
        <f ca="1">IF(AJ3="","",IF(AJ3=0,0,IF(W3=1,0,SUM(OFFSET($CO$17,N3,1):OFFSET($CO$17,N3+W3-2,1))/W3)))</f>
        <v>0</v>
      </c>
      <c r="AL3" s="1">
        <f t="shared" ref="AL3:AL66" ca="1" si="27">IF($B3="","",IF($K3="",0,SUM(AI3:AK3)+SUM(AB3:AC3)+SUM(AG3:AH3)+CI3))</f>
        <v>3</v>
      </c>
      <c r="AM3" s="1">
        <f ca="1">IF($B3="","",SUMIFS($AL$2:AL3,$I$2:I3,$I3))</f>
        <v>3</v>
      </c>
      <c r="AN3" s="1">
        <f t="shared" ref="AN3:AN66" si="28">IF($B3="","",$R3+$A3/1000000)</f>
        <v>8.0000020000000003</v>
      </c>
      <c r="AO3" s="1">
        <f>IFERROR(IF($B3="","",AVERAGEIFS($L$2:L3,$I$2:I3,I3,$L$2:L3,"&lt;&gt;0")),0)</f>
        <v>201</v>
      </c>
      <c r="AP3" s="1">
        <f t="shared" ref="AP3:AP66" si="29">IF($B3="","",AO3/2)</f>
        <v>100.5</v>
      </c>
      <c r="AQ3" s="1">
        <f>IF($B3="","",COUNTIFS($R$2:R3,1,$I$2:I3,$I3))</f>
        <v>0</v>
      </c>
      <c r="AR3" s="1">
        <f t="array" aca="1" ref="AR3" ca="1">IF($B3="","",SUMPRODUCT(--($B$2:$B$313=B3),--(AM3&lt;$AM$2:$AM$313))+1)</f>
        <v>8</v>
      </c>
      <c r="AS3" s="1">
        <f t="array" ref="AS3">IF($B3="","",SUMPRODUCT(--($B$2:$B$313=B3),--(AP3&lt;$AP$2:$AP$313))+1)</f>
        <v>8</v>
      </c>
      <c r="AT3" s="1">
        <f t="array" ref="AT3">IF($B3="","",SUMPRODUCT(--($B$2:$B$313=B3),--(AQ3&lt;$AQ$2:$AQ$313))+1)</f>
        <v>2</v>
      </c>
      <c r="AU3" s="1">
        <f t="shared" ref="AU3:AU66" si="30">IF($B3="","",$A3/1000000000)</f>
        <v>2.0000000000000001E-9</v>
      </c>
      <c r="AV3" s="1">
        <f t="shared" ref="AV3:AV66" ca="1" si="31">IF($B3="","",AR3/100+AS3/10000+AT3/1000000+AU3)</f>
        <v>8.0802001999999998E-2</v>
      </c>
      <c r="AW3" s="1" t="str">
        <f t="shared" si="4"/>
        <v/>
      </c>
      <c r="AX3" s="1" t="str">
        <f t="shared" ref="AX3:AX66" si="32">IF($AW3="","",_xlfn.RANK.EQ($AW3,$AW$2:$AW$313,1))</f>
        <v/>
      </c>
      <c r="AY3" s="8">
        <f t="shared" ref="AY3:AY66" ca="1" si="33">IF($B3="","",AR3/100+AS3/10000+AT3/1000000+AU3)</f>
        <v>8.0802001999999998E-2</v>
      </c>
      <c r="AZ3" s="1" cm="1">
        <f t="array" aca="1" ref="AZ3" ca="1">IF($B3="","",SUMPRODUCT(--($B$2:$B$313=B3),--(AY3&gt;$AY$2:$AY$313))+1)</f>
        <v>8</v>
      </c>
      <c r="BA3" s="1" t="str">
        <f t="shared" ref="BA3:BA66" si="34">IF(G3="","",G3&amp;"_"&amp;1)</f>
        <v>K2024GP01_2_1</v>
      </c>
      <c r="BB3" s="1" t="str">
        <f t="shared" ref="BB3:BB66" si="35">IF(G3="","",G3&amp;"_"&amp;2)</f>
        <v>K2024GP01_2_2</v>
      </c>
      <c r="BC3" s="1">
        <f t="shared" ref="BC3:BC66" si="36">IF(B3="","",IF(N3=1,1,0))</f>
        <v>0</v>
      </c>
      <c r="BD3" s="1">
        <f t="shared" ref="BD3:BD66" si="37">IF(B3="","",IF(N3&lt;=3,1,0))</f>
        <v>0</v>
      </c>
      <c r="BE3" s="1">
        <f t="shared" ref="BE3:BE66" si="38">IF(I3="","",IF(AND(COUNTIFS($A$2:$A$313,"&lt;"&amp;A3,$I$2:$I$313,$I3,$M$2:$M$313,1)=0,X3=1),0,1))</f>
        <v>1</v>
      </c>
      <c r="BF3" s="1">
        <f t="shared" ref="BF3:BF66" si="39">IF(I3="","",MAX(J3:K3))</f>
        <v>114</v>
      </c>
      <c r="BG3" s="1">
        <f t="shared" ref="BG3:BG66" si="40">IF(I3="","",MIN(J3:K3))</f>
        <v>87</v>
      </c>
      <c r="BH3" s="1">
        <f t="shared" ref="BH3:BH66" si="41">IF(I3="","",COUNTIFS($B$2:$B$313,$B3,BF$2:BF$313,"&gt;"&amp;BF3)+1)</f>
        <v>7</v>
      </c>
      <c r="BI3" s="1">
        <f t="shared" ref="BI3:BI66" si="42">IF(I3="","",COUNTIFS($B$2:$B$313,$B3,BG$2:BG$313,"&gt;"&amp;BG3)+1)</f>
        <v>8</v>
      </c>
      <c r="BJ3" s="1">
        <f t="shared" ref="BJ3:BJ66" si="43">IF(I3="","",BH3/100+BI3/10000)</f>
        <v>7.0800000000000002E-2</v>
      </c>
      <c r="BK3" s="1">
        <f t="shared" ref="BK3:BK66" si="44">IF(I3="","",IF(L3=0,"",COUNTIFS($B$2:$B$313,B3,$BJ$2:$BJ$313,BJ3)-1))</f>
        <v>0</v>
      </c>
      <c r="BL3" s="1">
        <f t="shared" ref="BL3:BL66" si="45">IF(I3="","",0.000099)</f>
        <v>9.8999999999999994E-5</v>
      </c>
      <c r="BM3" s="1">
        <f t="shared" ref="BM3:BM66" si="46">IF(I3="","",BH3/100+BI3/10000+BL3+IF(L3=0,ROW()/10000000,0))</f>
        <v>7.0899000000000004E-2</v>
      </c>
      <c r="BN3" s="1">
        <f t="shared" ref="BN3:BN66" si="47">IF(I3="","",IF(L3=0,"",COUNTIFS($B$2:$B$313,B3,$BM$2:$BM$313,BM3)-1))</f>
        <v>0</v>
      </c>
      <c r="BO3" s="1">
        <f t="shared" si="5"/>
        <v>7</v>
      </c>
      <c r="BP3" s="1">
        <f t="shared" si="6"/>
        <v>0</v>
      </c>
      <c r="BQ3" s="1" t="str" cm="1">
        <f t="array" ref="BQ3">IF(I3="","",IF(BP3=1,"",IF(L3=0,"",IF(B3=1,"",_xlfn.XLOOKUP(1,($I$2:$I$313=$I3)*($B$2:$B$313=($B3-1)),$BO$2:$BO$313)))))</f>
        <v/>
      </c>
      <c r="BR3" s="1">
        <f>IF(I3="","",IF($B3=1,_xlfn.MINIFS($BO$2:$BO$313,$B$2:$B$313,$B3),_xlfn.MINIFS(BQ$2:$BQ$313,$B$2:$B$313,$B3)))</f>
        <v>1</v>
      </c>
      <c r="BS3" s="1">
        <f t="shared" ref="BS3:BS66" si="48">IF($I3="","",IF($B3=1,_xlfn.MINIFS($BO$2:$BO$313,$B$2:$B$313,$B3,$BO$2:$BO$313,"&lt;&gt;"&amp;$BR3),_xlfn.MINIFS($BQ$2:$BQ$313,$B$2:$B$313,$B3,$BQ$2:$BQ$313,"&lt;&gt;"&amp;$BR3)))</f>
        <v>2</v>
      </c>
      <c r="BT3" s="1" t="str" cm="1">
        <f t="array" ref="BT3">IF($I3="","",IF($B3=1,_xlfn.XLOOKUP(1,($B$2:$B$313=$B3)*($BO$2:$BO$313=BR3),Data!$I$2:$I$313,,0),_xlfn.XLOOKUP(1,($B$2:$B$313=$B3)*($BQ$2:$BQ$313=$BR3),$I$2:$I$313,,0)))</f>
        <v>Kaleva Latvala</v>
      </c>
      <c r="BU3" s="1" t="str" cm="1">
        <f t="array" ref="BU3">IF(I3="","",IF($B3=1,_xlfn.XLOOKUP(1,($B$2:$B$313=$B3)*($BO$2:$BO$313=$BS3),$I$2:$I$313,,0),_xlfn.XLOOKUP(1,($B$2:$B$313=$B3)*($BQ$2:$BQ$313=$BS3),$I$2:$I$313,,0)))</f>
        <v>Roope Warro</v>
      </c>
      <c r="BV3" s="1" t="str" cm="1">
        <f t="array" ref="BV3">IF($I3="","",IF($B3=1,"",IF($B3=2,_xlfn.XLOOKUP(1,($B$2:$B$313=1)*($BO$2:$BO$313=1),$I$2:$I$313,,0),_xlfn.XLOOKUP($B3-1,$B$2:$B$313,$CH$2:$CH$313,,0))))</f>
        <v/>
      </c>
      <c r="BW3" s="1" t="str" cm="1">
        <f t="array" ref="BW3">IF($I3="","",IF($B3=1,"",IF(_xlfn.XLOOKUP(1,($B$2:$B$313=$B3)*($I$2:$I$313=$BV3),$BQ$2:$BQ$313,,0)="","NOK","OK")))</f>
        <v/>
      </c>
      <c r="BX3" s="1" t="str">
        <f t="shared" ref="BX3:BX66" si="49">IF(I3="","",IF($B3=1,"",IF(BW3="OK",BV3,IF(OR(BV3=BT3,BV3=BU3),BV3,BT3))))</f>
        <v/>
      </c>
      <c r="BY3" s="1" t="str">
        <f t="shared" ref="BY3:BY66" si="50">IF($I3="","",IF($B3=1,"",IF(BX3=BT3,BU3,BT3)))</f>
        <v/>
      </c>
      <c r="BZ3" s="1" t="str">
        <f t="shared" ref="BZ3:BZ66" si="51">IF($I3="","",IF($B3=1,"",SUMIFS($BF$2:$BF$313,$B$2:$B$313,$B3,$I$2:$I$313,$BX3)))</f>
        <v/>
      </c>
      <c r="CA3" s="1" t="str">
        <f t="shared" ref="CA3:CA66" si="52">IF($I3="","",IF($B3=1,"",SUMIFS($BG$2:$BG$313,$B$2:$B$313,$B3,$I$2:$I$313,$BX3)))</f>
        <v/>
      </c>
      <c r="CB3" s="1" t="str">
        <f t="shared" ref="CB3:CB66" si="53">IF($I3="","",IF($B3=1,"",SUMIFS($BL$2:$BL$313,$B$2:$B$313,$B3,$I$2:$I$313,$BX3)))</f>
        <v/>
      </c>
      <c r="CC3" s="1" t="str">
        <f t="shared" ref="CC3:CC66" si="54">IF($I3="","",IF($B3=1,"",SUMIFS($BF$2:$BF$313,$B$2:$B$313,$B3,$I$2:$I$313,$BY3)))</f>
        <v/>
      </c>
      <c r="CD3" s="1" t="str">
        <f t="shared" ref="CD3:CD66" si="55">IF($I3="","",IF($B3=1,"",SUMIFS($BG$2:$BG$313,$B$2:$B$313,$B3,$I$2:$I$313,$BY3)))</f>
        <v/>
      </c>
      <c r="CE3" s="1" t="str">
        <f t="shared" ref="CE3:CE66" si="56">IF($I3="","",IF($B3=1,"",SUMIFS($BL$2:$BL$313,$B$2:$B$313,$B3,$I$2:$I$313,$BY3)))</f>
        <v/>
      </c>
      <c r="CF3" s="1" t="str">
        <f t="shared" ref="CF3:CF66" si="57">IF(I3="","",BX3&amp;IF(B3=1,"",IF(BX3=BV3," (P)"," ("&amp;BR3&amp;")")))</f>
        <v/>
      </c>
      <c r="CG3" s="1" t="str">
        <f t="shared" ref="CG3:CG66" si="58">IF(I3="","",IF(B3=1,"",BY3&amp;" ("&amp;IF(BY3=BT3,BR3,BS3)&amp;")"))</f>
        <v/>
      </c>
      <c r="CH3" s="1" t="str">
        <f t="shared" ref="CH3:CH66" si="59">IF($I3="","",IF($B3=1,BT3,IF(BZ3=CC3,IF(CA3=CD3,IF(CB3&lt;CE3,BX3,BY3),IF(CA3&gt;CD3,BX3,BY3)),IF(BZ3&gt;CC3,BX3,BY3))))</f>
        <v>Kaleva Latvala</v>
      </c>
      <c r="CI3" s="1">
        <f t="shared" ref="CI3:CI66" si="60">IF($I3="","",IF(I3=CH3,1,0))</f>
        <v>0</v>
      </c>
      <c r="CJ3" s="1" t="str">
        <f ca="1">IF(B3="","",IF(SUM(AI3:AK3)&gt;0,"+SP","")&amp;IF(CI3&gt;0,"+KK","")&amp;IF(AB3&gt;0,"+KGP1","")&amp;IF(AC3&gt;0,"+KGP2","")&amp;IF(AG3&lt;0,"-KGP1","")&amp;IF(AH3&lt;0,"-KGP2",""))</f>
        <v>+SP</v>
      </c>
      <c r="CO3" s="1">
        <v>1</v>
      </c>
      <c r="CP3" s="5">
        <f>IF(COUNTIF($B$2:$B$313,$CO3)&gt;0,$CO3,"")</f>
        <v>1</v>
      </c>
      <c r="CR3" s="3">
        <v>1</v>
      </c>
      <c r="CS3" s="86">
        <v>45556</v>
      </c>
      <c r="CT3" s="142">
        <v>0.54166666666666663</v>
      </c>
      <c r="CU3" s="3" t="s">
        <v>237</v>
      </c>
      <c r="CV3" s="1" t="str">
        <f ca="1">IF($CR3&gt;keilatut,"",OFFSET(tulossiirtymä,MATCH($CX3,$V$2:$V$313,0),0))</f>
        <v>Kaleva Latvala</v>
      </c>
      <c r="CW3" s="1">
        <f ca="1">IF($CR3&gt;keilatut,"",OFFSET(tulossiirtymä,MATCH($CX3,$V$2:$V$313,0),3))</f>
        <v>259</v>
      </c>
      <c r="CX3" s="1" t="str">
        <f t="shared" ref="CX3:CX15" si="61">IF(CR3&gt;keilatut,"",IF(CR3&lt;10,0,"")&amp;CR3&amp;"01")</f>
        <v>0101</v>
      </c>
      <c r="CY3" s="1">
        <f t="shared" ref="CY3:CY15" si="62">IF(RIGHT(CU3,1)="*",1,0)</f>
        <v>0</v>
      </c>
      <c r="CZ3" s="1">
        <f>IF(CY3=0,0,SUM($CY$3:CY3))</f>
        <v>0</v>
      </c>
      <c r="DA3" s="1">
        <f>IF($CR3&gt;keilatut,"",SUMIFS($M$2:$M$313,$B$2:$B$313,$CR3))</f>
        <v>11</v>
      </c>
      <c r="DB3" s="1">
        <f t="shared" ref="DB3:DB15" ca="1" si="63">IF($CW3="",NA(),$CW3)</f>
        <v>259</v>
      </c>
      <c r="DC3" s="1">
        <f ca="1">IF(CP3="",NA(),SUMIFS($L$2:$L$313,$AL$2:$AL$313,_xlfn.MINIFS($AL$2:$AL$313,$B$2:$B$313,$CR3,$AL$2:$AL$313,"&gt;0"),$B$2:$B$313,$CR3)/COUNTIFS($B$2:$B$313,$CR3,$AL$2:$AL$313,_xlfn.MINIFS($AL$2:$AL$313,$B$2:$B$313,$CR3,$AL$2:$AL$313,"&gt;0")))</f>
        <v>192</v>
      </c>
      <c r="DD3" s="1">
        <f ca="1">IF(CW3="",NA(),SUMIFS($L$2:$L$313,$B$2:$B$313,$CR3)/SUMIFS($M$2:$M$313,$B$2:$B$313,$CR3))</f>
        <v>218.90909090909091</v>
      </c>
      <c r="DE3" s="1" t="str">
        <f t="array" aca="1" ref="DE3" ca="1">IF($CV3="","",INDEX($CV$3:$CV$15,MATCH(0,COUNTIF($DE$2:DE2,$CV$3:$CV$15),0)))</f>
        <v>Kaleva Latvala</v>
      </c>
      <c r="DF3" s="1">
        <f t="shared" ref="DF3:DF15" ca="1" si="64">IF($DE3="","",COUNTIF($CV$3:$CV$15,$DE3))</f>
        <v>1</v>
      </c>
    </row>
    <row r="4" spans="1:111" x14ac:dyDescent="0.25">
      <c r="A4" s="1">
        <f>IFERROR(IF(ROW(A3)=1,1,IF(1+A3&lt;=$CP$1*$CP$2,1+A3,"")),"")</f>
        <v>3</v>
      </c>
      <c r="B4" s="1">
        <f>IF($I4="","",IF(ROW(B3)=1,1,ROUNDUP(A4/$CP$2,0)))</f>
        <v>1</v>
      </c>
      <c r="C4" s="4">
        <f t="shared" si="7"/>
        <v>45556</v>
      </c>
      <c r="D4" s="4" t="str">
        <f t="shared" si="0"/>
        <v>U7 Gdansk, Puola</v>
      </c>
      <c r="E4" s="1">
        <f>IF($B4="","",COUNTIF($B$2:B4,B4))</f>
        <v>3</v>
      </c>
      <c r="F4" s="1" t="str">
        <f t="shared" si="1"/>
        <v>K2024GP01</v>
      </c>
      <c r="G4" s="1" t="str">
        <f t="shared" si="8"/>
        <v>K2024GP01_3</v>
      </c>
      <c r="H4" s="1">
        <f t="shared" si="9"/>
        <v>1</v>
      </c>
      <c r="I4" s="3" t="s">
        <v>135</v>
      </c>
      <c r="J4" s="3">
        <v>101</v>
      </c>
      <c r="K4" s="3">
        <v>129</v>
      </c>
      <c r="L4" s="1">
        <f t="shared" si="10"/>
        <v>230</v>
      </c>
      <c r="M4" s="1">
        <f t="shared" si="11"/>
        <v>1</v>
      </c>
      <c r="N4" s="1">
        <f t="shared" si="12"/>
        <v>5</v>
      </c>
      <c r="O4" s="1">
        <f t="shared" si="13"/>
        <v>230</v>
      </c>
      <c r="P4" s="1">
        <f t="shared" si="14"/>
        <v>29</v>
      </c>
      <c r="Q4" s="1">
        <f t="array" ref="Q4">IF($B4="","",IF(MAX(IF(B4=$B$2:$B$313,$L$2:$L$313))-L4=0,"",MAX(IF(B4=$B$2:$B$313,$L$2:$L$313))-L4))</f>
        <v>29</v>
      </c>
      <c r="R4" s="1">
        <f t="array" ref="R4">IF($B4="","",SUMPRODUCT(--($B$2:$B$313=B4),--(L4&lt;$L$2:$L$313))+1)</f>
        <v>5</v>
      </c>
      <c r="S4" s="1">
        <f t="shared" si="15"/>
        <v>2</v>
      </c>
      <c r="T4" s="1" cm="1">
        <f t="array" ref="T4">IF($B4="","",IF(M4=0,"",SUMPRODUCT(--($B$2:$B$313=B4),--(J4&lt;$J$2:$J$313))+1))</f>
        <v>9</v>
      </c>
      <c r="U4" s="1">
        <f t="shared" si="16"/>
        <v>-4</v>
      </c>
      <c r="V4" s="1" t="str">
        <f t="shared" si="17"/>
        <v>0105</v>
      </c>
      <c r="W4" s="1">
        <f t="shared" si="18"/>
        <v>1</v>
      </c>
      <c r="X4" s="1">
        <f t="shared" si="2"/>
        <v>0</v>
      </c>
      <c r="Y4" s="1">
        <f>IF($B4="","",MAX(_xlfn.MAXIFS($J$2:J4,$I$2:I4,$I4),_xlfn.MAXIFS($K$2:K4,$I$2:I4,$I4)))</f>
        <v>129</v>
      </c>
      <c r="Z4" s="1">
        <f t="shared" si="3"/>
        <v>141</v>
      </c>
      <c r="AA4" s="1">
        <f t="shared" si="19"/>
        <v>0</v>
      </c>
      <c r="AB4" s="1">
        <f t="shared" si="20"/>
        <v>0</v>
      </c>
      <c r="AC4" s="1">
        <f t="shared" si="21"/>
        <v>0</v>
      </c>
      <c r="AD4" s="1">
        <f>IF($B4="","",MIN(_xlfn.MINIFS($J$2:J4,$I$2:I4,$I4),_xlfn.MINIFS($K$2:K4,$I$2:I4,$I4)))</f>
        <v>101</v>
      </c>
      <c r="AE4" s="1">
        <f t="shared" si="22"/>
        <v>73</v>
      </c>
      <c r="AF4" s="1">
        <f t="shared" si="23"/>
        <v>0</v>
      </c>
      <c r="AG4" s="1">
        <f t="shared" si="24"/>
        <v>0</v>
      </c>
      <c r="AH4" s="1">
        <f t="shared" si="25"/>
        <v>0</v>
      </c>
      <c r="AI4" s="1">
        <f ca="1">IF($B4="","",IF($K4="",0,OFFSET($CO$17,R4,W4)))</f>
        <v>6</v>
      </c>
      <c r="AJ4" s="1">
        <f t="shared" ca="1" si="26"/>
        <v>0</v>
      </c>
      <c r="AK4" s="1">
        <f ca="1">IF(AJ4="","",IF(AJ4=0,0,IF(W4=1,0,SUM(OFFSET($CO$17,N4,1):OFFSET($CO$17,N4+W4-2,1))/W4)))</f>
        <v>0</v>
      </c>
      <c r="AL4" s="1">
        <f t="shared" ca="1" si="27"/>
        <v>6</v>
      </c>
      <c r="AM4" s="1">
        <f ca="1">IF($B4="","",SUMIFS($AL$2:AL4,$I$2:I4,$I4))</f>
        <v>6</v>
      </c>
      <c r="AN4" s="1">
        <f t="shared" si="28"/>
        <v>5.0000030000000004</v>
      </c>
      <c r="AO4" s="1">
        <f>IFERROR(IF($B4="","",AVERAGEIFS($L$2:L4,$I$2:I4,I4,$L$2:L4,"&lt;&gt;0")),0)</f>
        <v>230</v>
      </c>
      <c r="AP4" s="1">
        <f t="shared" si="29"/>
        <v>115</v>
      </c>
      <c r="AQ4" s="1">
        <f>IF($B4="","",COUNTIFS($R$2:R4,1,$I$2:I4,$I4))</f>
        <v>0</v>
      </c>
      <c r="AR4" s="1">
        <f t="array" aca="1" ref="AR4" ca="1">IF($B4="","",SUMPRODUCT(--($B$2:$B$313=B4),--(AM4&lt;$AM$2:$AM$313))+1)</f>
        <v>5</v>
      </c>
      <c r="AS4" s="1">
        <f t="array" ref="AS4">IF($B4="","",SUMPRODUCT(--($B$2:$B$313=B4),--(AP4&lt;$AP$2:$AP$313))+1)</f>
        <v>5</v>
      </c>
      <c r="AT4" s="1">
        <f t="array" ref="AT4">IF($B4="","",SUMPRODUCT(--($B$2:$B$313=B4),--(AQ4&lt;$AQ$2:$AQ$313))+1)</f>
        <v>2</v>
      </c>
      <c r="AU4" s="1">
        <f t="shared" si="30"/>
        <v>3E-9</v>
      </c>
      <c r="AV4" s="1">
        <f t="shared" ca="1" si="31"/>
        <v>5.0502003000000004E-2</v>
      </c>
      <c r="AW4" s="1" t="str">
        <f t="shared" si="4"/>
        <v/>
      </c>
      <c r="AX4" s="1" t="str">
        <f t="shared" si="32"/>
        <v/>
      </c>
      <c r="AY4" s="8">
        <f t="shared" ca="1" si="33"/>
        <v>5.0502003000000004E-2</v>
      </c>
      <c r="AZ4" s="1" cm="1">
        <f t="array" aca="1" ref="AZ4" ca="1">IF($B4="","",SUMPRODUCT(--($B$2:$B$313=B4),--(AY4&gt;$AY$2:$AY$313))+1)</f>
        <v>5</v>
      </c>
      <c r="BA4" s="1" t="str">
        <f t="shared" si="34"/>
        <v>K2024GP01_3_1</v>
      </c>
      <c r="BB4" s="1" t="str">
        <f t="shared" si="35"/>
        <v>K2024GP01_3_2</v>
      </c>
      <c r="BC4" s="1">
        <f t="shared" si="36"/>
        <v>0</v>
      </c>
      <c r="BD4" s="1">
        <f t="shared" si="37"/>
        <v>0</v>
      </c>
      <c r="BE4" s="1">
        <f t="shared" si="38"/>
        <v>1</v>
      </c>
      <c r="BF4" s="1">
        <f t="shared" si="39"/>
        <v>129</v>
      </c>
      <c r="BG4" s="1">
        <f t="shared" si="40"/>
        <v>101</v>
      </c>
      <c r="BH4" s="1">
        <f t="shared" si="41"/>
        <v>5</v>
      </c>
      <c r="BI4" s="1">
        <f t="shared" si="42"/>
        <v>6</v>
      </c>
      <c r="BJ4" s="1">
        <f t="shared" si="43"/>
        <v>5.0600000000000006E-2</v>
      </c>
      <c r="BK4" s="1">
        <f t="shared" si="44"/>
        <v>0</v>
      </c>
      <c r="BL4" s="1">
        <f t="shared" si="45"/>
        <v>9.8999999999999994E-5</v>
      </c>
      <c r="BM4" s="1">
        <f t="shared" si="46"/>
        <v>5.0699000000000008E-2</v>
      </c>
      <c r="BN4" s="1">
        <f t="shared" si="47"/>
        <v>0</v>
      </c>
      <c r="BO4" s="1">
        <f t="shared" si="5"/>
        <v>5</v>
      </c>
      <c r="BP4" s="1">
        <f t="shared" si="6"/>
        <v>0</v>
      </c>
      <c r="BQ4" s="1" t="str" cm="1">
        <f t="array" ref="BQ4">IF(I4="","",IF(BP4=1,"",IF(L4=0,"",IF(B4=1,"",_xlfn.XLOOKUP(1,($I$2:$I$313=$I4)*($B$2:$B$313=($B4-1)),$BO$2:$BO$313)))))</f>
        <v/>
      </c>
      <c r="BR4" s="1">
        <f>IF(I4="","",IF($B4=1,_xlfn.MINIFS($BO$2:$BO$313,$B$2:$B$313,$B4),_xlfn.MINIFS(BQ$2:$BQ$313,$B$2:$B$313,$B4)))</f>
        <v>1</v>
      </c>
      <c r="BS4" s="1">
        <f t="shared" si="48"/>
        <v>2</v>
      </c>
      <c r="BT4" s="1" t="str" cm="1">
        <f t="array" ref="BT4">IF($I4="","",IF($B4=1,_xlfn.XLOOKUP(1,($B$2:$B$313=$B4)*($BO$2:$BO$313=BR4),Data!$I$2:$I$313,,0),_xlfn.XLOOKUP(1,($B$2:$B$313=$B4)*($BQ$2:$BQ$313=$BR4),$I$2:$I$313,,0)))</f>
        <v>Kaleva Latvala</v>
      </c>
      <c r="BU4" s="1" t="str" cm="1">
        <f t="array" ref="BU4">IF(I4="","",IF($B4=1,_xlfn.XLOOKUP(1,($B$2:$B$313=$B4)*($BO$2:$BO$313=$BS4),$I$2:$I$313,,0),_xlfn.XLOOKUP(1,($B$2:$B$313=$B4)*($BQ$2:$BQ$313=$BS4),$I$2:$I$313,,0)))</f>
        <v>Roope Warro</v>
      </c>
      <c r="BV4" s="1" t="str" cm="1">
        <f t="array" ref="BV4">IF($I4="","",IF($B4=1,"",IF($B4=2,_xlfn.XLOOKUP(1,($B$2:$B$313=1)*($BO$2:$BO$313=1),$I$2:$I$313,,0),_xlfn.XLOOKUP($B4-1,$B$2:$B$313,$CH$2:$CH$313,,0))))</f>
        <v/>
      </c>
      <c r="BW4" s="1" t="str" cm="1">
        <f t="array" ref="BW4">IF($I4="","",IF($B4=1,"",IF(_xlfn.XLOOKUP(1,($B$2:$B$313=$B4)*($I$2:$I$313=$BV4),$BQ$2:$BQ$313,,0)="","NOK","OK")))</f>
        <v/>
      </c>
      <c r="BX4" s="1" t="str">
        <f t="shared" si="49"/>
        <v/>
      </c>
      <c r="BY4" s="1" t="str">
        <f t="shared" si="50"/>
        <v/>
      </c>
      <c r="BZ4" s="1" t="str">
        <f t="shared" si="51"/>
        <v/>
      </c>
      <c r="CA4" s="1" t="str">
        <f t="shared" si="52"/>
        <v/>
      </c>
      <c r="CB4" s="1" t="str">
        <f t="shared" si="53"/>
        <v/>
      </c>
      <c r="CC4" s="1" t="str">
        <f t="shared" si="54"/>
        <v/>
      </c>
      <c r="CD4" s="1" t="str">
        <f t="shared" si="55"/>
        <v/>
      </c>
      <c r="CE4" s="1" t="str">
        <f t="shared" si="56"/>
        <v/>
      </c>
      <c r="CF4" s="1" t="str">
        <f t="shared" si="57"/>
        <v/>
      </c>
      <c r="CG4" s="1" t="str">
        <f t="shared" si="58"/>
        <v/>
      </c>
      <c r="CH4" s="1" t="str">
        <f t="shared" si="59"/>
        <v>Kaleva Latvala</v>
      </c>
      <c r="CI4" s="1">
        <f t="shared" si="60"/>
        <v>0</v>
      </c>
      <c r="CJ4" s="1" t="str">
        <f ca="1">IF(B4="","",IF(SUM(AI4:AK4)&gt;0,"+SP","")&amp;IF(CI4&gt;0,"+KK","")&amp;IF(AB4&gt;0,"+KGP1","")&amp;IF(AC4&gt;0,"+KGP2","")&amp;IF(AG4&lt;0,"-KGP1","")&amp;IF(AH4&lt;0,"-KGP2",""))</f>
        <v>+SP</v>
      </c>
      <c r="CO4" s="1">
        <v>2</v>
      </c>
      <c r="CP4" s="5">
        <f>IF(COUNTIF($B$2:$B$313,$CO4)&gt;0,$CO4,"")</f>
        <v>2</v>
      </c>
      <c r="CR4" s="3">
        <v>2</v>
      </c>
      <c r="CS4" s="86">
        <v>45585</v>
      </c>
      <c r="CT4" s="142">
        <v>0.58333333333333337</v>
      </c>
      <c r="CU4" s="3" t="s">
        <v>240</v>
      </c>
      <c r="CV4" s="1" t="str">
        <f ca="1">IF($CR4&gt;keilatut,"",OFFSET(tulossiirtymä,MATCH($CX4,$V$2:$V$313,0),0))</f>
        <v>Frans Hartman</v>
      </c>
      <c r="CW4" s="1">
        <f ca="1">IF($CR4&gt;keilatut,"",OFFSET(tulossiirtymä,MATCH($CX4,$V$2:$V$313,0),3))</f>
        <v>333</v>
      </c>
      <c r="CX4" s="1" t="str">
        <f t="shared" si="61"/>
        <v>0201</v>
      </c>
      <c r="CY4" s="1">
        <f t="shared" si="62"/>
        <v>0</v>
      </c>
      <c r="CZ4" s="1">
        <f>IF(CY4=0,0,SUM($CY$3:CY4))</f>
        <v>0</v>
      </c>
      <c r="DA4" s="1">
        <f>IF($CR4&gt;keilatut,"",SUMIFS($M$2:$M$313,$B$2:$B$313,$CR4))</f>
        <v>15</v>
      </c>
      <c r="DB4" s="1">
        <f t="shared" ca="1" si="63"/>
        <v>333</v>
      </c>
      <c r="DC4" s="1">
        <f ca="1">IF(CP4="",NA(),SUMIFS($L$2:$L$313,$AL$2:$AL$313,_xlfn.MINIFS($AL$2:$AL$313,$B$2:$B$313,$CR4,$AL$2:$AL$313,"&gt;0"),$B$2:$B$313,$CR4)/COUNTIFS($B$2:$B$313,$CR4,$AL$2:$AL$313,_xlfn.MINIFS($AL$2:$AL$313,$B$2:$B$313,$CR4,$AL$2:$AL$313,"&gt;0")))</f>
        <v>253</v>
      </c>
      <c r="DD4" s="1">
        <f ca="1">IF(CW4="",NA(),SUMIFS($L$2:$L$313,$B$2:$B$313,$CR4)/SUMIFS($M$2:$M$313,$B$2:$B$313,$CR4))</f>
        <v>281.66666666666669</v>
      </c>
      <c r="DE4" s="1" t="str">
        <f t="array" aca="1" ref="DE4" ca="1">IF($CV4="","",INDEX($CV$3:$CV$15,MATCH(0,COUNTIF($DE$2:DE3,$CV$3:$CV$15),0)))</f>
        <v>Frans Hartman</v>
      </c>
      <c r="DF4" s="1">
        <f t="shared" ca="1" si="64"/>
        <v>2</v>
      </c>
    </row>
    <row r="5" spans="1:111" x14ac:dyDescent="0.25">
      <c r="A5" s="1">
        <f>IFERROR(IF(ROW(A4)=1,1,IF(1+A4&lt;=$CP$1*$CP$2,1+A4,"")),"")</f>
        <v>4</v>
      </c>
      <c r="B5" s="1">
        <f>IF($I5="","",IF(ROW(B4)=1,1,ROUNDUP(A5/$CP$2,0)))</f>
        <v>1</v>
      </c>
      <c r="C5" s="4">
        <f t="shared" si="7"/>
        <v>45556</v>
      </c>
      <c r="D5" s="4" t="str">
        <f t="shared" si="0"/>
        <v>U7 Gdansk, Puola</v>
      </c>
      <c r="E5" s="1">
        <f>IF($B5="","",COUNTIF($B$2:B5,B5))</f>
        <v>4</v>
      </c>
      <c r="F5" s="1" t="str">
        <f t="shared" si="1"/>
        <v>K2024GP01</v>
      </c>
      <c r="G5" s="1" t="str">
        <f t="shared" si="8"/>
        <v>K2024GP01_4</v>
      </c>
      <c r="H5" s="1">
        <f t="shared" si="9"/>
        <v>1</v>
      </c>
      <c r="I5" s="3" t="s">
        <v>128</v>
      </c>
      <c r="J5" s="3">
        <v>118</v>
      </c>
      <c r="K5" s="3">
        <v>141</v>
      </c>
      <c r="L5" s="1">
        <f t="shared" si="10"/>
        <v>259</v>
      </c>
      <c r="M5" s="1">
        <f t="shared" si="11"/>
        <v>1</v>
      </c>
      <c r="N5" s="1">
        <f t="shared" si="12"/>
        <v>1</v>
      </c>
      <c r="O5" s="1">
        <f t="shared" si="13"/>
        <v>259</v>
      </c>
      <c r="P5" s="1" t="str">
        <f t="shared" si="14"/>
        <v/>
      </c>
      <c r="Q5" s="1" t="str">
        <f t="array" ref="Q5">IF($B5="","",IF(MAX(IF(B5=$B$2:$B$313,$L$2:$L$313))-L5=0,"",MAX(IF(B5=$B$2:$B$313,$L$2:$L$313))-L5))</f>
        <v/>
      </c>
      <c r="R5" s="1">
        <f t="array" ref="R5">IF($B5="","",SUMPRODUCT(--($B$2:$B$313=B5),--(L5&lt;$L$2:$L$313))+1)</f>
        <v>1</v>
      </c>
      <c r="S5" s="1">
        <f t="shared" si="15"/>
        <v>2</v>
      </c>
      <c r="T5" s="1" cm="1">
        <f t="array" ref="T5">IF($B5="","",IF(M5=0,"",SUMPRODUCT(--($B$2:$B$313=B5),--(J5&lt;$J$2:$J$313))+1))</f>
        <v>4</v>
      </c>
      <c r="U5" s="1">
        <f t="shared" si="16"/>
        <v>-3</v>
      </c>
      <c r="V5" s="1" t="str">
        <f t="shared" si="17"/>
        <v>0101</v>
      </c>
      <c r="W5" s="1">
        <f t="shared" si="18"/>
        <v>1</v>
      </c>
      <c r="X5" s="1">
        <f t="shared" si="2"/>
        <v>0</v>
      </c>
      <c r="Y5" s="1">
        <f>IF($B5="","",MAX(_xlfn.MAXIFS($J$2:J5,$I$2:I5,$I5),_xlfn.MAXIFS($K$2:K5,$I$2:I5,$I5)))</f>
        <v>141</v>
      </c>
      <c r="Z5" s="1">
        <f t="shared" si="3"/>
        <v>141</v>
      </c>
      <c r="AA5" s="1">
        <f t="shared" si="19"/>
        <v>0</v>
      </c>
      <c r="AB5" s="1">
        <f t="shared" si="20"/>
        <v>0</v>
      </c>
      <c r="AC5" s="1">
        <f t="shared" si="21"/>
        <v>0</v>
      </c>
      <c r="AD5" s="1">
        <f>IF($B5="","",MIN(_xlfn.MINIFS($J$2:J5,$I$2:I5,$I5),_xlfn.MINIFS($K$2:K5,$I$2:I5,$I5)))</f>
        <v>118</v>
      </c>
      <c r="AE5" s="1">
        <f t="shared" si="22"/>
        <v>73</v>
      </c>
      <c r="AF5" s="1">
        <f t="shared" si="23"/>
        <v>0</v>
      </c>
      <c r="AG5" s="1">
        <f t="shared" si="24"/>
        <v>0</v>
      </c>
      <c r="AH5" s="1">
        <f t="shared" si="25"/>
        <v>0</v>
      </c>
      <c r="AI5" s="1">
        <f ca="1">IF($B5="","",IF($K5="",0,OFFSET($CO$17,R5,W5)))</f>
        <v>12</v>
      </c>
      <c r="AJ5" s="1">
        <f t="shared" ca="1" si="26"/>
        <v>0</v>
      </c>
      <c r="AK5" s="1">
        <f ca="1">IF(AJ5="","",IF(AJ5=0,0,IF(W5=1,0,SUM(OFFSET($CO$17,N5,1):OFFSET($CO$17,N5+W5-2,1))/W5)))</f>
        <v>0</v>
      </c>
      <c r="AL5" s="1">
        <f t="shared" ca="1" si="27"/>
        <v>13</v>
      </c>
      <c r="AM5" s="1">
        <f ca="1">IF($B5="","",SUMIFS($AL$2:AL5,$I$2:I5,$I5))</f>
        <v>13</v>
      </c>
      <c r="AN5" s="1">
        <f t="shared" si="28"/>
        <v>1.0000039999999999</v>
      </c>
      <c r="AO5" s="1">
        <f>IFERROR(IF($B5="","",AVERAGEIFS($L$2:L5,$I$2:I5,I5,$L$2:L5,"&lt;&gt;0")),0)</f>
        <v>259</v>
      </c>
      <c r="AP5" s="1">
        <f t="shared" si="29"/>
        <v>129.5</v>
      </c>
      <c r="AQ5" s="1">
        <f>IF($B5="","",COUNTIFS($R$2:R5,1,$I$2:I5,$I5))</f>
        <v>1</v>
      </c>
      <c r="AR5" s="1">
        <f t="array" aca="1" ref="AR5" ca="1">IF($B5="","",SUMPRODUCT(--($B$2:$B$313=B5),--(AM5&lt;$AM$2:$AM$313))+1)</f>
        <v>1</v>
      </c>
      <c r="AS5" s="1">
        <f t="array" ref="AS5">IF($B5="","",SUMPRODUCT(--($B$2:$B$313=B5),--(AP5&lt;$AP$2:$AP$313))+1)</f>
        <v>1</v>
      </c>
      <c r="AT5" s="1">
        <f t="array" ref="AT5">IF($B5="","",SUMPRODUCT(--($B$2:$B$313=B5),--(AQ5&lt;$AQ$2:$AQ$313))+1)</f>
        <v>1</v>
      </c>
      <c r="AU5" s="1">
        <f t="shared" si="30"/>
        <v>4.0000000000000002E-9</v>
      </c>
      <c r="AV5" s="1">
        <f t="shared" ca="1" si="31"/>
        <v>1.0101003999999998E-2</v>
      </c>
      <c r="AW5" s="1" t="str">
        <f t="shared" si="4"/>
        <v/>
      </c>
      <c r="AX5" s="1" t="str">
        <f t="shared" si="32"/>
        <v/>
      </c>
      <c r="AY5" s="8">
        <f t="shared" ca="1" si="33"/>
        <v>1.0101003999999998E-2</v>
      </c>
      <c r="AZ5" s="1" cm="1">
        <f t="array" aca="1" ref="AZ5" ca="1">IF($B5="","",SUMPRODUCT(--($B$2:$B$313=B5),--(AY5&gt;$AY$2:$AY$313))+1)</f>
        <v>1</v>
      </c>
      <c r="BA5" s="1" t="str">
        <f t="shared" si="34"/>
        <v>K2024GP01_4_1</v>
      </c>
      <c r="BB5" s="1" t="str">
        <f t="shared" si="35"/>
        <v>K2024GP01_4_2</v>
      </c>
      <c r="BC5" s="1">
        <f t="shared" si="36"/>
        <v>1</v>
      </c>
      <c r="BD5" s="1">
        <f t="shared" si="37"/>
        <v>1</v>
      </c>
      <c r="BE5" s="1">
        <f t="shared" si="38"/>
        <v>1</v>
      </c>
      <c r="BF5" s="1">
        <f t="shared" si="39"/>
        <v>141</v>
      </c>
      <c r="BG5" s="1">
        <f t="shared" si="40"/>
        <v>118</v>
      </c>
      <c r="BH5" s="1">
        <f t="shared" si="41"/>
        <v>1</v>
      </c>
      <c r="BI5" s="1">
        <f t="shared" si="42"/>
        <v>2</v>
      </c>
      <c r="BJ5" s="1">
        <f t="shared" si="43"/>
        <v>1.0200000000000001E-2</v>
      </c>
      <c r="BK5" s="1">
        <f t="shared" si="44"/>
        <v>0</v>
      </c>
      <c r="BL5" s="1">
        <f t="shared" si="45"/>
        <v>9.8999999999999994E-5</v>
      </c>
      <c r="BM5" s="1">
        <f t="shared" si="46"/>
        <v>1.0299000000000001E-2</v>
      </c>
      <c r="BN5" s="1">
        <f t="shared" si="47"/>
        <v>0</v>
      </c>
      <c r="BO5" s="1">
        <f t="shared" si="5"/>
        <v>1</v>
      </c>
      <c r="BP5" s="1">
        <f t="shared" si="6"/>
        <v>0</v>
      </c>
      <c r="BQ5" s="1" t="str" cm="1">
        <f t="array" ref="BQ5">IF(I5="","",IF(BP5=1,"",IF(L5=0,"",IF(B5=1,"",_xlfn.XLOOKUP(1,($I$2:$I$313=$I5)*($B$2:$B$313=($B5-1)),$BO$2:$BO$313)))))</f>
        <v/>
      </c>
      <c r="BR5" s="1">
        <f>IF(I5="","",IF($B5=1,_xlfn.MINIFS($BO$2:$BO$313,$B$2:$B$313,$B5),_xlfn.MINIFS(BQ$2:$BQ$313,$B$2:$B$313,$B5)))</f>
        <v>1</v>
      </c>
      <c r="BS5" s="1">
        <f t="shared" si="48"/>
        <v>2</v>
      </c>
      <c r="BT5" s="1" t="str" cm="1">
        <f t="array" ref="BT5">IF($I5="","",IF($B5=1,_xlfn.XLOOKUP(1,($B$2:$B$313=$B5)*($BO$2:$BO$313=BR5),Data!$I$2:$I$313,,0),_xlfn.XLOOKUP(1,($B$2:$B$313=$B5)*($BQ$2:$BQ$313=$BR5),$I$2:$I$313,,0)))</f>
        <v>Kaleva Latvala</v>
      </c>
      <c r="BU5" s="1" t="str" cm="1">
        <f t="array" ref="BU5">IF(I5="","",IF($B5=1,_xlfn.XLOOKUP(1,($B$2:$B$313=$B5)*($BO$2:$BO$313=$BS5),$I$2:$I$313,,0),_xlfn.XLOOKUP(1,($B$2:$B$313=$B5)*($BQ$2:$BQ$313=$BS5),$I$2:$I$313,,0)))</f>
        <v>Roope Warro</v>
      </c>
      <c r="BV5" s="1" t="str" cm="1">
        <f t="array" ref="BV5">IF($I5="","",IF($B5=1,"",IF($B5=2,_xlfn.XLOOKUP(1,($B$2:$B$313=1)*($BO$2:$BO$313=1),$I$2:$I$313,,0),_xlfn.XLOOKUP($B5-1,$B$2:$B$313,$CH$2:$CH$313,,0))))</f>
        <v/>
      </c>
      <c r="BW5" s="1" t="str" cm="1">
        <f t="array" ref="BW5">IF($I5="","",IF($B5=1,"",IF(_xlfn.XLOOKUP(1,($B$2:$B$313=$B5)*($I$2:$I$313=$BV5),$BQ$2:$BQ$313,,0)="","NOK","OK")))</f>
        <v/>
      </c>
      <c r="BX5" s="1" t="str">
        <f t="shared" si="49"/>
        <v/>
      </c>
      <c r="BY5" s="1" t="str">
        <f t="shared" si="50"/>
        <v/>
      </c>
      <c r="BZ5" s="1" t="str">
        <f t="shared" si="51"/>
        <v/>
      </c>
      <c r="CA5" s="1" t="str">
        <f t="shared" si="52"/>
        <v/>
      </c>
      <c r="CB5" s="1" t="str">
        <f t="shared" si="53"/>
        <v/>
      </c>
      <c r="CC5" s="1" t="str">
        <f t="shared" si="54"/>
        <v/>
      </c>
      <c r="CD5" s="1" t="str">
        <f t="shared" si="55"/>
        <v/>
      </c>
      <c r="CE5" s="1" t="str">
        <f t="shared" si="56"/>
        <v/>
      </c>
      <c r="CF5" s="1" t="str">
        <f t="shared" si="57"/>
        <v/>
      </c>
      <c r="CG5" s="1" t="str">
        <f t="shared" si="58"/>
        <v/>
      </c>
      <c r="CH5" s="1" t="str">
        <f t="shared" si="59"/>
        <v>Kaleva Latvala</v>
      </c>
      <c r="CI5" s="1">
        <f t="shared" si="60"/>
        <v>1</v>
      </c>
      <c r="CJ5" s="1" t="str">
        <f ca="1">IF(B5="","",IF(SUM(AI5:AK5)&gt;0,"+SP","")&amp;IF(CI5&gt;0,"+KK","")&amp;IF(AB5&gt;0,"+KGP1","")&amp;IF(AC5&gt;0,"+KGP2","")&amp;IF(AG5&lt;0,"-KGP1","")&amp;IF(AH5&lt;0,"-KGP2",""))</f>
        <v>+SP+KK</v>
      </c>
      <c r="CO5" s="1">
        <v>3</v>
      </c>
      <c r="CP5" s="5">
        <f>IF(COUNTIF($B$2:$B$313,$CO5)&gt;0,$CO5,"")</f>
        <v>3</v>
      </c>
      <c r="CR5" s="3">
        <v>3</v>
      </c>
      <c r="CS5" s="86">
        <v>45599</v>
      </c>
      <c r="CT5" s="142">
        <v>0.625</v>
      </c>
      <c r="CU5" s="3" t="s">
        <v>241</v>
      </c>
      <c r="CV5" s="1" t="str">
        <f ca="1">IF($CR5&gt;keilatut,"",OFFSET(tulossiirtymä,MATCH($CX5,$V$2:$V$313,0),0))</f>
        <v>Ossi Oksa</v>
      </c>
      <c r="CW5" s="1">
        <f ca="1">IF($CR5&gt;keilatut,"",OFFSET(tulossiirtymä,MATCH($CX5,$V$2:$V$313,0),3))</f>
        <v>401</v>
      </c>
      <c r="CX5" s="1" t="str">
        <f t="shared" si="61"/>
        <v>0301</v>
      </c>
      <c r="CY5" s="1">
        <f t="shared" si="62"/>
        <v>0</v>
      </c>
      <c r="CZ5" s="1">
        <f>IF(CY5=0,0,SUM($CY$3:CY5))</f>
        <v>0</v>
      </c>
      <c r="DA5" s="1">
        <f>IF($CR5&gt;keilatut,"",SUMIFS($M$2:$M$313,$B$2:$B$313,$CR5))</f>
        <v>11</v>
      </c>
      <c r="DB5" s="1">
        <f t="shared" ca="1" si="63"/>
        <v>401</v>
      </c>
      <c r="DC5" s="1">
        <f ca="1">IF(CP5="",NA(),SUMIFS($L$2:$L$313,$AL$2:$AL$313,_xlfn.MINIFS($AL$2:$AL$313,$B$2:$B$313,$CR5,$AL$2:$AL$313,"&gt;0"),$B$2:$B$313,$CR5)/COUNTIFS($B$2:$B$313,$CR5,$AL$2:$AL$313,_xlfn.MINIFS($AL$2:$AL$313,$B$2:$B$313,$CR5,$AL$2:$AL$313,"&gt;0")))</f>
        <v>226</v>
      </c>
      <c r="DD5" s="1">
        <f ca="1">IF(CW5="",NA(),SUMIFS($L$2:$L$313,$B$2:$B$313,$CR5)/SUMIFS($M$2:$M$313,$B$2:$B$313,$CR5))</f>
        <v>272.27272727272725</v>
      </c>
      <c r="DE5" s="1" t="str">
        <f t="array" aca="1" ref="DE5" ca="1">IF($CV5="","",INDEX($CV$3:$CV$15,MATCH(0,COUNTIF($DE$2:DE4,$CV$3:$CV$15),0)))</f>
        <v>Ossi Oksa</v>
      </c>
      <c r="DF5" s="1">
        <f t="shared" ca="1" si="64"/>
        <v>1</v>
      </c>
    </row>
    <row r="6" spans="1:111" x14ac:dyDescent="0.25">
      <c r="A6" s="1">
        <f>IFERROR(IF(ROW(A5)=1,1,IF(1+A5&lt;=$CP$1*$CP$2,1+A5,"")),"")</f>
        <v>5</v>
      </c>
      <c r="B6" s="1">
        <f>IF($I6="","",IF(ROW(B5)=1,1,ROUNDUP(A6/$CP$2,0)))</f>
        <v>1</v>
      </c>
      <c r="C6" s="4">
        <f t="shared" si="7"/>
        <v>45556</v>
      </c>
      <c r="D6" s="4" t="str">
        <f t="shared" si="0"/>
        <v>U7 Gdansk, Puola</v>
      </c>
      <c r="E6" s="1">
        <f>IF($B6="","",COUNTIF($B$2:B6,B6))</f>
        <v>5</v>
      </c>
      <c r="F6" s="1" t="str">
        <f t="shared" si="1"/>
        <v>K2024GP01</v>
      </c>
      <c r="G6" s="1" t="str">
        <f t="shared" si="8"/>
        <v>K2024GP01_5</v>
      </c>
      <c r="H6" s="1">
        <f t="shared" si="9"/>
        <v>1</v>
      </c>
      <c r="I6" s="3" t="s">
        <v>236</v>
      </c>
      <c r="J6" s="3">
        <v>107</v>
      </c>
      <c r="K6" s="3">
        <v>73</v>
      </c>
      <c r="L6" s="1">
        <f t="shared" si="10"/>
        <v>180</v>
      </c>
      <c r="M6" s="1">
        <f t="shared" si="11"/>
        <v>1</v>
      </c>
      <c r="N6" s="1">
        <f t="shared" si="12"/>
        <v>11</v>
      </c>
      <c r="O6" s="1">
        <f t="shared" si="13"/>
        <v>180</v>
      </c>
      <c r="P6" s="1">
        <f t="shared" si="14"/>
        <v>79</v>
      </c>
      <c r="Q6" s="1">
        <f t="array" ref="Q6">IF($B6="","",IF(MAX(IF(B6=$B$2:$B$313,$L$2:$L$313))-L6=0,"",MAX(IF(B6=$B$2:$B$313,$L$2:$L$313))-L6))</f>
        <v>79</v>
      </c>
      <c r="R6" s="1">
        <f t="array" ref="R6">IF($B6="","",SUMPRODUCT(--($B$2:$B$313=B6),--(L6&lt;$L$2:$L$313))+1)</f>
        <v>11</v>
      </c>
      <c r="S6" s="1">
        <f t="shared" si="15"/>
        <v>2</v>
      </c>
      <c r="T6" s="1" cm="1">
        <f t="array" ref="T6">IF($B6="","",IF(M6=0,"",SUMPRODUCT(--($B$2:$B$313=B6),--(J6&lt;$J$2:$J$313))+1))</f>
        <v>6</v>
      </c>
      <c r="U6" s="1">
        <f t="shared" si="16"/>
        <v>5</v>
      </c>
      <c r="V6" s="1" t="str">
        <f t="shared" si="17"/>
        <v>0111</v>
      </c>
      <c r="W6" s="1">
        <f t="shared" si="18"/>
        <v>1</v>
      </c>
      <c r="X6" s="1">
        <f t="shared" si="2"/>
        <v>0</v>
      </c>
      <c r="Y6" s="1">
        <f>IF($B6="","",MAX(_xlfn.MAXIFS($J$2:J6,$I$2:I6,$I6),_xlfn.MAXIFS($K$2:K6,$I$2:I6,$I6)))</f>
        <v>107</v>
      </c>
      <c r="Z6" s="1">
        <f t="shared" si="3"/>
        <v>141</v>
      </c>
      <c r="AA6" s="1">
        <f t="shared" si="19"/>
        <v>0</v>
      </c>
      <c r="AB6" s="1">
        <f t="shared" si="20"/>
        <v>0</v>
      </c>
      <c r="AC6" s="1">
        <f t="shared" si="21"/>
        <v>0</v>
      </c>
      <c r="AD6" s="1">
        <f>IF($B6="","",MIN(_xlfn.MINIFS($J$2:J6,$I$2:I6,$I6),_xlfn.MINIFS($K$2:K6,$I$2:I6,$I6)))</f>
        <v>73</v>
      </c>
      <c r="AE6" s="1">
        <f t="shared" si="22"/>
        <v>73</v>
      </c>
      <c r="AF6" s="1">
        <f t="shared" si="23"/>
        <v>0</v>
      </c>
      <c r="AG6" s="1">
        <f t="shared" si="24"/>
        <v>0</v>
      </c>
      <c r="AH6" s="1">
        <f t="shared" si="25"/>
        <v>0</v>
      </c>
      <c r="AI6" s="1">
        <f ca="1">IF($B6="","",IF($K6="",0,OFFSET($CO$17,R6,W6)))</f>
        <v>0</v>
      </c>
      <c r="AJ6" s="1">
        <f t="shared" ca="1" si="26"/>
        <v>0</v>
      </c>
      <c r="AK6" s="1">
        <f ca="1">IF(AJ6="","",IF(AJ6=0,0,IF(W6=1,0,SUM(OFFSET($CO$17,N6,1):OFFSET($CO$17,N6+W6-2,1))/W6)))</f>
        <v>0</v>
      </c>
      <c r="AL6" s="1">
        <f t="shared" ca="1" si="27"/>
        <v>0</v>
      </c>
      <c r="AM6" s="1">
        <f ca="1">IF($B6="","",SUMIFS($AL$2:AL6,$I$2:I6,$I6))</f>
        <v>0</v>
      </c>
      <c r="AN6" s="1">
        <f t="shared" si="28"/>
        <v>11.000005</v>
      </c>
      <c r="AO6" s="1">
        <f>IFERROR(IF($B6="","",AVERAGEIFS($L$2:L6,$I$2:I6,I6,$L$2:L6,"&lt;&gt;0")),0)</f>
        <v>180</v>
      </c>
      <c r="AP6" s="1">
        <f t="shared" si="29"/>
        <v>90</v>
      </c>
      <c r="AQ6" s="1">
        <f>IF($B6="","",COUNTIFS($R$2:R6,1,$I$2:I6,$I6))</f>
        <v>0</v>
      </c>
      <c r="AR6" s="1">
        <f t="array" aca="1" ref="AR6" ca="1">IF($B6="","",SUMPRODUCT(--($B$2:$B$313=B6),--(AM6&lt;$AM$2:$AM$313))+1)</f>
        <v>11</v>
      </c>
      <c r="AS6" s="1">
        <f t="array" ref="AS6">IF($B6="","",SUMPRODUCT(--($B$2:$B$313=B6),--(AP6&lt;$AP$2:$AP$313))+1)</f>
        <v>11</v>
      </c>
      <c r="AT6" s="1">
        <f t="array" ref="AT6">IF($B6="","",SUMPRODUCT(--($B$2:$B$313=B6),--(AQ6&lt;$AQ$2:$AQ$313))+1)</f>
        <v>2</v>
      </c>
      <c r="AU6" s="1">
        <f t="shared" si="30"/>
        <v>5.0000000000000001E-9</v>
      </c>
      <c r="AV6" s="1">
        <f t="shared" ca="1" si="31"/>
        <v>0.111102005</v>
      </c>
      <c r="AW6" s="1" t="str">
        <f t="shared" si="4"/>
        <v/>
      </c>
      <c r="AX6" s="1" t="str">
        <f t="shared" si="32"/>
        <v/>
      </c>
      <c r="AY6" s="8">
        <f t="shared" ca="1" si="33"/>
        <v>0.111102005</v>
      </c>
      <c r="AZ6" s="1" cm="1">
        <f t="array" aca="1" ref="AZ6" ca="1">IF($B6="","",SUMPRODUCT(--($B$2:$B$313=B6),--(AY6&gt;$AY$2:$AY$313))+1)</f>
        <v>11</v>
      </c>
      <c r="BA6" s="1" t="str">
        <f t="shared" si="34"/>
        <v>K2024GP01_5_1</v>
      </c>
      <c r="BB6" s="1" t="str">
        <f t="shared" si="35"/>
        <v>K2024GP01_5_2</v>
      </c>
      <c r="BC6" s="1">
        <f t="shared" si="36"/>
        <v>0</v>
      </c>
      <c r="BD6" s="1">
        <f t="shared" si="37"/>
        <v>0</v>
      </c>
      <c r="BE6" s="1">
        <f t="shared" si="38"/>
        <v>1</v>
      </c>
      <c r="BF6" s="1">
        <f t="shared" si="39"/>
        <v>107</v>
      </c>
      <c r="BG6" s="1">
        <f t="shared" si="40"/>
        <v>73</v>
      </c>
      <c r="BH6" s="1">
        <f t="shared" si="41"/>
        <v>10</v>
      </c>
      <c r="BI6" s="1">
        <f t="shared" si="42"/>
        <v>10</v>
      </c>
      <c r="BJ6" s="1">
        <f t="shared" si="43"/>
        <v>0.10100000000000001</v>
      </c>
      <c r="BK6" s="1">
        <f t="shared" si="44"/>
        <v>0</v>
      </c>
      <c r="BL6" s="1">
        <f t="shared" si="45"/>
        <v>9.8999999999999994E-5</v>
      </c>
      <c r="BM6" s="1">
        <f t="shared" si="46"/>
        <v>0.10109900000000001</v>
      </c>
      <c r="BN6" s="1">
        <f t="shared" si="47"/>
        <v>0</v>
      </c>
      <c r="BO6" s="1">
        <f t="shared" si="5"/>
        <v>10</v>
      </c>
      <c r="BP6" s="1">
        <f t="shared" si="6"/>
        <v>0</v>
      </c>
      <c r="BQ6" s="1" t="str" cm="1">
        <f t="array" ref="BQ6">IF(I6="","",IF(BP6=1,"",IF(L6=0,"",IF(B6=1,"",_xlfn.XLOOKUP(1,($I$2:$I$313=$I6)*($B$2:$B$313=($B6-1)),$BO$2:$BO$313)))))</f>
        <v/>
      </c>
      <c r="BR6" s="1">
        <f>IF(I6="","",IF($B6=1,_xlfn.MINIFS($BO$2:$BO$313,$B$2:$B$313,$B6),_xlfn.MINIFS(BQ$2:$BQ$313,$B$2:$B$313,$B6)))</f>
        <v>1</v>
      </c>
      <c r="BS6" s="1">
        <f t="shared" si="48"/>
        <v>2</v>
      </c>
      <c r="BT6" s="1" t="str" cm="1">
        <f t="array" ref="BT6">IF($I6="","",IF($B6=1,_xlfn.XLOOKUP(1,($B$2:$B$313=$B6)*($BO$2:$BO$313=BR6),Data!$I$2:$I$313,,0),_xlfn.XLOOKUP(1,($B$2:$B$313=$B6)*($BQ$2:$BQ$313=$BR6),$I$2:$I$313,,0)))</f>
        <v>Kaleva Latvala</v>
      </c>
      <c r="BU6" s="1" t="str" cm="1">
        <f t="array" ref="BU6">IF(I6="","",IF($B6=1,_xlfn.XLOOKUP(1,($B$2:$B$313=$B6)*($BO$2:$BO$313=$BS6),$I$2:$I$313,,0),_xlfn.XLOOKUP(1,($B$2:$B$313=$B6)*($BQ$2:$BQ$313=$BS6),$I$2:$I$313,,0)))</f>
        <v>Roope Warro</v>
      </c>
      <c r="BV6" s="1" t="str" cm="1">
        <f t="array" ref="BV6">IF($I6="","",IF($B6=1,"",IF($B6=2,_xlfn.XLOOKUP(1,($B$2:$B$313=1)*($BO$2:$BO$313=1),$I$2:$I$313,,0),_xlfn.XLOOKUP($B6-1,$B$2:$B$313,$CH$2:$CH$313,,0))))</f>
        <v/>
      </c>
      <c r="BW6" s="1" t="str" cm="1">
        <f t="array" ref="BW6">IF($I6="","",IF($B6=1,"",IF(_xlfn.XLOOKUP(1,($B$2:$B$313=$B6)*($I$2:$I$313=$BV6),$BQ$2:$BQ$313,,0)="","NOK","OK")))</f>
        <v/>
      </c>
      <c r="BX6" s="1" t="str">
        <f t="shared" si="49"/>
        <v/>
      </c>
      <c r="BY6" s="1" t="str">
        <f t="shared" si="50"/>
        <v/>
      </c>
      <c r="BZ6" s="1" t="str">
        <f t="shared" si="51"/>
        <v/>
      </c>
      <c r="CA6" s="1" t="str">
        <f t="shared" si="52"/>
        <v/>
      </c>
      <c r="CB6" s="1" t="str">
        <f t="shared" si="53"/>
        <v/>
      </c>
      <c r="CC6" s="1" t="str">
        <f t="shared" si="54"/>
        <v/>
      </c>
      <c r="CD6" s="1" t="str">
        <f t="shared" si="55"/>
        <v/>
      </c>
      <c r="CE6" s="1" t="str">
        <f t="shared" si="56"/>
        <v/>
      </c>
      <c r="CF6" s="1" t="str">
        <f t="shared" si="57"/>
        <v/>
      </c>
      <c r="CG6" s="1" t="str">
        <f t="shared" si="58"/>
        <v/>
      </c>
      <c r="CH6" s="1" t="str">
        <f t="shared" si="59"/>
        <v>Kaleva Latvala</v>
      </c>
      <c r="CI6" s="1">
        <f t="shared" si="60"/>
        <v>0</v>
      </c>
      <c r="CJ6" s="1" t="str">
        <f ca="1">IF(B6="","",IF(SUM(AI6:AK6)&gt;0,"+SP","")&amp;IF(CI6&gt;0,"+KK","")&amp;IF(AB6&gt;0,"+KGP1","")&amp;IF(AC6&gt;0,"+KGP2","")&amp;IF(AG6&lt;0,"-KGP1","")&amp;IF(AH6&lt;0,"-KGP2",""))</f>
        <v/>
      </c>
      <c r="CO6" s="1">
        <v>4</v>
      </c>
      <c r="CP6" s="5">
        <f>IF(COUNTIF($B$2:$B$313,$CO6)&gt;0,$CO6,"")</f>
        <v>4</v>
      </c>
      <c r="CR6" s="3">
        <v>4</v>
      </c>
      <c r="CS6" s="86">
        <v>45620</v>
      </c>
      <c r="CT6" s="142">
        <v>0.625</v>
      </c>
      <c r="CU6" s="3" t="s">
        <v>241</v>
      </c>
      <c r="CV6" s="1" t="str">
        <f ca="1">IF($CR6&gt;keilatut,"",OFFSET(tulossiirtymä,MATCH($CX6,$V$2:$V$313,0),0))</f>
        <v>Jami Kallio</v>
      </c>
      <c r="CW6" s="1">
        <f ca="1">IF($CR6&gt;keilatut,"",OFFSET(tulossiirtymä,MATCH($CX6,$V$2:$V$313,0),3))</f>
        <v>386</v>
      </c>
      <c r="CX6" s="1" t="str">
        <f t="shared" si="61"/>
        <v>0401</v>
      </c>
      <c r="CY6" s="1">
        <f t="shared" si="62"/>
        <v>0</v>
      </c>
      <c r="CZ6" s="1">
        <f>IF(CY6=0,0,SUM($CY$3:CY6))</f>
        <v>0</v>
      </c>
      <c r="DA6" s="1">
        <f>IF($CR6&gt;keilatut,"",SUMIFS($M$2:$M$313,$B$2:$B$313,$CR6))</f>
        <v>14</v>
      </c>
      <c r="DB6" s="1">
        <f t="shared" ca="1" si="63"/>
        <v>386</v>
      </c>
      <c r="DC6" s="1">
        <f ca="1">IF(CP6="",NA(),SUMIFS($L$2:$L$313,$AL$2:$AL$313,_xlfn.MINIFS($AL$2:$AL$313,$B$2:$B$313,$CR6,$AL$2:$AL$313,"&gt;0"),$B$2:$B$313,$CR6)/COUNTIFS($B$2:$B$313,$CR6,$AL$2:$AL$313,_xlfn.MINIFS($AL$2:$AL$313,$B$2:$B$313,$CR6,$AL$2:$AL$313,"&gt;0")))</f>
        <v>245</v>
      </c>
      <c r="DD6" s="1">
        <f ca="1">IF(CW6="",NA(),SUMIFS($L$2:$L$313,$B$2:$B$313,$CR6)/SUMIFS($M$2:$M$313,$B$2:$B$313,$CR6))</f>
        <v>268.71428571428572</v>
      </c>
      <c r="DE6" s="1" t="str">
        <f t="array" aca="1" ref="DE6" ca="1">IF($CV6="","",INDEX($CV$3:$CV$15,MATCH(0,COUNTIF($DE$2:DE5,$CV$3:$CV$15),0)))</f>
        <v>Jami Kallio</v>
      </c>
      <c r="DF6" s="1">
        <f t="shared" ca="1" si="64"/>
        <v>2</v>
      </c>
    </row>
    <row r="7" spans="1:111" x14ac:dyDescent="0.25">
      <c r="A7" s="1">
        <f>IFERROR(IF(ROW(A6)=1,1,IF(1+A6&lt;=$CP$1*$CP$2,1+A6,"")),"")</f>
        <v>6</v>
      </c>
      <c r="B7" s="1">
        <f>IF($I7="","",IF(ROW(B6)=1,1,ROUNDUP(A7/$CP$2,0)))</f>
        <v>1</v>
      </c>
      <c r="C7" s="4">
        <f t="shared" si="7"/>
        <v>45556</v>
      </c>
      <c r="D7" s="4" t="str">
        <f t="shared" si="0"/>
        <v>U7 Gdansk, Puola</v>
      </c>
      <c r="E7" s="1">
        <f>IF($B7="","",COUNTIF($B$2:B7,B7))</f>
        <v>6</v>
      </c>
      <c r="F7" s="1" t="str">
        <f t="shared" si="1"/>
        <v>K2024GP01</v>
      </c>
      <c r="G7" s="1" t="str">
        <f t="shared" si="8"/>
        <v>K2024GP01_6</v>
      </c>
      <c r="H7" s="1">
        <f t="shared" si="9"/>
        <v>1</v>
      </c>
      <c r="I7" s="3" t="s">
        <v>144</v>
      </c>
      <c r="J7" s="3">
        <v>82</v>
      </c>
      <c r="K7" s="3">
        <v>110</v>
      </c>
      <c r="L7" s="1">
        <f t="shared" si="10"/>
        <v>192</v>
      </c>
      <c r="M7" s="1">
        <f t="shared" si="11"/>
        <v>1</v>
      </c>
      <c r="N7" s="1">
        <f t="shared" si="12"/>
        <v>10</v>
      </c>
      <c r="O7" s="1">
        <f t="shared" si="13"/>
        <v>192</v>
      </c>
      <c r="P7" s="1">
        <f t="shared" si="14"/>
        <v>67</v>
      </c>
      <c r="Q7" s="1">
        <f t="array" ref="Q7">IF($B7="","",IF(MAX(IF(B7=$B$2:$B$313,$L$2:$L$313))-L7=0,"",MAX(IF(B7=$B$2:$B$313,$L$2:$L$313))-L7))</f>
        <v>67</v>
      </c>
      <c r="R7" s="1">
        <f t="array" ref="R7">IF($B7="","",SUMPRODUCT(--($B$2:$B$313=B7),--(L7&lt;$L$2:$L$313))+1)</f>
        <v>10</v>
      </c>
      <c r="S7" s="1">
        <f t="shared" si="15"/>
        <v>2</v>
      </c>
      <c r="T7" s="1" cm="1">
        <f t="array" ref="T7">IF($B7="","",IF(M7=0,"",SUMPRODUCT(--($B$2:$B$313=B7),--(J7&lt;$J$2:$J$313))+1))</f>
        <v>10</v>
      </c>
      <c r="U7" s="1">
        <f t="shared" si="16"/>
        <v>0</v>
      </c>
      <c r="V7" s="1" t="str">
        <f t="shared" si="17"/>
        <v>0110</v>
      </c>
      <c r="W7" s="1">
        <f t="shared" si="18"/>
        <v>1</v>
      </c>
      <c r="X7" s="1">
        <f t="shared" si="2"/>
        <v>0</v>
      </c>
      <c r="Y7" s="1">
        <f>IF($B7="","",MAX(_xlfn.MAXIFS($J$2:J7,$I$2:I7,$I7),_xlfn.MAXIFS($K$2:K7,$I$2:I7,$I7)))</f>
        <v>110</v>
      </c>
      <c r="Z7" s="1">
        <f t="shared" si="3"/>
        <v>141</v>
      </c>
      <c r="AA7" s="1">
        <f t="shared" si="19"/>
        <v>0</v>
      </c>
      <c r="AB7" s="1">
        <f t="shared" si="20"/>
        <v>0</v>
      </c>
      <c r="AC7" s="1">
        <f t="shared" si="21"/>
        <v>0</v>
      </c>
      <c r="AD7" s="1">
        <f>IF($B7="","",MIN(_xlfn.MINIFS($J$2:J7,$I$2:I7,$I7),_xlfn.MINIFS($K$2:K7,$I$2:I7,$I7)))</f>
        <v>82</v>
      </c>
      <c r="AE7" s="1">
        <f t="shared" si="22"/>
        <v>73</v>
      </c>
      <c r="AF7" s="1">
        <f t="shared" si="23"/>
        <v>0</v>
      </c>
      <c r="AG7" s="1">
        <f t="shared" si="24"/>
        <v>0</v>
      </c>
      <c r="AH7" s="1">
        <f t="shared" si="25"/>
        <v>0</v>
      </c>
      <c r="AI7" s="1">
        <f ca="1">IF($B7="","",IF($K7="",0,OFFSET($CO$17,R7,W7)))</f>
        <v>1</v>
      </c>
      <c r="AJ7" s="1">
        <f t="shared" ca="1" si="26"/>
        <v>0</v>
      </c>
      <c r="AK7" s="1">
        <f ca="1">IF(AJ7="","",IF(AJ7=0,0,IF(W7=1,0,SUM(OFFSET($CO$17,N7,1):OFFSET($CO$17,N7+W7-2,1))/W7)))</f>
        <v>0</v>
      </c>
      <c r="AL7" s="1">
        <f t="shared" ca="1" si="27"/>
        <v>1</v>
      </c>
      <c r="AM7" s="1">
        <f ca="1">IF($B7="","",SUMIFS($AL$2:AL7,$I$2:I7,$I7))</f>
        <v>1</v>
      </c>
      <c r="AN7" s="1">
        <f t="shared" si="28"/>
        <v>10.000006000000001</v>
      </c>
      <c r="AO7" s="1">
        <f>IFERROR(IF($B7="","",AVERAGEIFS($L$2:L7,$I$2:I7,I7,$L$2:L7,"&lt;&gt;0")),0)</f>
        <v>192</v>
      </c>
      <c r="AP7" s="1">
        <f t="shared" si="29"/>
        <v>96</v>
      </c>
      <c r="AQ7" s="1">
        <f>IF($B7="","",COUNTIFS($R$2:R7,1,$I$2:I7,$I7))</f>
        <v>0</v>
      </c>
      <c r="AR7" s="1">
        <f t="array" aca="1" ref="AR7" ca="1">IF($B7="","",SUMPRODUCT(--($B$2:$B$313=B7),--(AM7&lt;$AM$2:$AM$313))+1)</f>
        <v>10</v>
      </c>
      <c r="AS7" s="1">
        <f t="array" ref="AS7">IF($B7="","",SUMPRODUCT(--($B$2:$B$313=B7),--(AP7&lt;$AP$2:$AP$313))+1)</f>
        <v>10</v>
      </c>
      <c r="AT7" s="1">
        <f t="array" ref="AT7">IF($B7="","",SUMPRODUCT(--($B$2:$B$313=B7),--(AQ7&lt;$AQ$2:$AQ$313))+1)</f>
        <v>2</v>
      </c>
      <c r="AU7" s="1">
        <f t="shared" si="30"/>
        <v>6E-9</v>
      </c>
      <c r="AV7" s="1">
        <f t="shared" ca="1" si="31"/>
        <v>0.10100200600000001</v>
      </c>
      <c r="AW7" s="1" t="str">
        <f t="shared" si="4"/>
        <v/>
      </c>
      <c r="AX7" s="1" t="str">
        <f t="shared" si="32"/>
        <v/>
      </c>
      <c r="AY7" s="8">
        <f t="shared" ca="1" si="33"/>
        <v>0.10100200600000001</v>
      </c>
      <c r="AZ7" s="1" cm="1">
        <f t="array" aca="1" ref="AZ7" ca="1">IF($B7="","",SUMPRODUCT(--($B$2:$B$313=B7),--(AY7&gt;$AY$2:$AY$313))+1)</f>
        <v>10</v>
      </c>
      <c r="BA7" s="1" t="str">
        <f t="shared" si="34"/>
        <v>K2024GP01_6_1</v>
      </c>
      <c r="BB7" s="1" t="str">
        <f t="shared" si="35"/>
        <v>K2024GP01_6_2</v>
      </c>
      <c r="BC7" s="1">
        <f t="shared" si="36"/>
        <v>0</v>
      </c>
      <c r="BD7" s="1">
        <f t="shared" si="37"/>
        <v>0</v>
      </c>
      <c r="BE7" s="1">
        <f t="shared" si="38"/>
        <v>1</v>
      </c>
      <c r="BF7" s="1">
        <f t="shared" si="39"/>
        <v>110</v>
      </c>
      <c r="BG7" s="1">
        <f t="shared" si="40"/>
        <v>82</v>
      </c>
      <c r="BH7" s="1">
        <f t="shared" si="41"/>
        <v>9</v>
      </c>
      <c r="BI7" s="1">
        <f t="shared" si="42"/>
        <v>9</v>
      </c>
      <c r="BJ7" s="1">
        <f t="shared" si="43"/>
        <v>9.0899999999999995E-2</v>
      </c>
      <c r="BK7" s="1">
        <f t="shared" si="44"/>
        <v>0</v>
      </c>
      <c r="BL7" s="1">
        <f t="shared" si="45"/>
        <v>9.8999999999999994E-5</v>
      </c>
      <c r="BM7" s="1">
        <f t="shared" si="46"/>
        <v>9.0998999999999997E-2</v>
      </c>
      <c r="BN7" s="1">
        <f t="shared" si="47"/>
        <v>0</v>
      </c>
      <c r="BO7" s="1">
        <f t="shared" si="5"/>
        <v>9</v>
      </c>
      <c r="BP7" s="1">
        <f t="shared" si="6"/>
        <v>0</v>
      </c>
      <c r="BQ7" s="1" t="str" cm="1">
        <f t="array" ref="BQ7">IF(I7="","",IF(BP7=1,"",IF(L7=0,"",IF(B7=1,"",_xlfn.XLOOKUP(1,($I$2:$I$313=$I7)*($B$2:$B$313=($B7-1)),$BO$2:$BO$313)))))</f>
        <v/>
      </c>
      <c r="BR7" s="1">
        <f>IF(I7="","",IF($B7=1,_xlfn.MINIFS($BO$2:$BO$313,$B$2:$B$313,$B7),_xlfn.MINIFS(BQ$2:$BQ$313,$B$2:$B$313,$B7)))</f>
        <v>1</v>
      </c>
      <c r="BS7" s="1">
        <f t="shared" si="48"/>
        <v>2</v>
      </c>
      <c r="BT7" s="1" t="str" cm="1">
        <f t="array" ref="BT7">IF($I7="","",IF($B7=1,_xlfn.XLOOKUP(1,($B$2:$B$313=$B7)*($BO$2:$BO$313=BR7),Data!$I$2:$I$313,,0),_xlfn.XLOOKUP(1,($B$2:$B$313=$B7)*($BQ$2:$BQ$313=$BR7),$I$2:$I$313,,0)))</f>
        <v>Kaleva Latvala</v>
      </c>
      <c r="BU7" s="1" t="str" cm="1">
        <f t="array" ref="BU7">IF(I7="","",IF($B7=1,_xlfn.XLOOKUP(1,($B$2:$B$313=$B7)*($BO$2:$BO$313=$BS7),$I$2:$I$313,,0),_xlfn.XLOOKUP(1,($B$2:$B$313=$B7)*($BQ$2:$BQ$313=$BS7),$I$2:$I$313,,0)))</f>
        <v>Roope Warro</v>
      </c>
      <c r="BV7" s="1" t="str" cm="1">
        <f t="array" ref="BV7">IF($I7="","",IF($B7=1,"",IF($B7=2,_xlfn.XLOOKUP(1,($B$2:$B$313=1)*($BO$2:$BO$313=1),$I$2:$I$313,,0),_xlfn.XLOOKUP($B7-1,$B$2:$B$313,$CH$2:$CH$313,,0))))</f>
        <v/>
      </c>
      <c r="BW7" s="1" t="str" cm="1">
        <f t="array" ref="BW7">IF($I7="","",IF($B7=1,"",IF(_xlfn.XLOOKUP(1,($B$2:$B$313=$B7)*($I$2:$I$313=$BV7),$BQ$2:$BQ$313,,0)="","NOK","OK")))</f>
        <v/>
      </c>
      <c r="BX7" s="1" t="str">
        <f t="shared" si="49"/>
        <v/>
      </c>
      <c r="BY7" s="1" t="str">
        <f t="shared" si="50"/>
        <v/>
      </c>
      <c r="BZ7" s="1" t="str">
        <f t="shared" si="51"/>
        <v/>
      </c>
      <c r="CA7" s="1" t="str">
        <f t="shared" si="52"/>
        <v/>
      </c>
      <c r="CB7" s="1" t="str">
        <f t="shared" si="53"/>
        <v/>
      </c>
      <c r="CC7" s="1" t="str">
        <f t="shared" si="54"/>
        <v/>
      </c>
      <c r="CD7" s="1" t="str">
        <f t="shared" si="55"/>
        <v/>
      </c>
      <c r="CE7" s="1" t="str">
        <f t="shared" si="56"/>
        <v/>
      </c>
      <c r="CF7" s="1" t="str">
        <f t="shared" si="57"/>
        <v/>
      </c>
      <c r="CG7" s="1" t="str">
        <f t="shared" si="58"/>
        <v/>
      </c>
      <c r="CH7" s="1" t="str">
        <f t="shared" si="59"/>
        <v>Kaleva Latvala</v>
      </c>
      <c r="CI7" s="1">
        <f t="shared" si="60"/>
        <v>0</v>
      </c>
      <c r="CJ7" s="1" t="str">
        <f ca="1">IF(B7="","",IF(SUM(AI7:AK7)&gt;0,"+SP","")&amp;IF(CI7&gt;0,"+KK","")&amp;IF(AB7&gt;0,"+KGP1","")&amp;IF(AC7&gt;0,"+KGP2","")&amp;IF(AG7&lt;0,"-KGP1","")&amp;IF(AH7&lt;0,"-KGP2",""))</f>
        <v>+SP</v>
      </c>
      <c r="CO7" s="1">
        <v>5</v>
      </c>
      <c r="CP7" s="5">
        <f>IF(COUNTIF($B$2:$B$313,$CO7)&gt;0,$CO7,"")</f>
        <v>5</v>
      </c>
      <c r="CR7" s="3">
        <v>5</v>
      </c>
      <c r="CS7" s="86">
        <v>45627</v>
      </c>
      <c r="CT7" s="142">
        <v>0.625</v>
      </c>
      <c r="CU7" s="3" t="s">
        <v>241</v>
      </c>
      <c r="CV7" s="1" t="str">
        <f ca="1">IF($CR7&gt;keilatut,"",OFFSET(tulossiirtymä,MATCH($CX7,$V$2:$V$313,0),0))</f>
        <v>Miika Nordblad</v>
      </c>
      <c r="CW7" s="1">
        <f ca="1">IF($CR7&gt;keilatut,"",OFFSET(tulossiirtymä,MATCH($CX7,$V$2:$V$313,0),3))</f>
        <v>333</v>
      </c>
      <c r="CX7" s="1" t="str">
        <f t="shared" si="61"/>
        <v>0501</v>
      </c>
      <c r="CY7" s="1">
        <f t="shared" si="62"/>
        <v>0</v>
      </c>
      <c r="CZ7" s="1">
        <f>IF(CY7=0,0,SUM($CY$3:CY7))</f>
        <v>0</v>
      </c>
      <c r="DA7" s="1">
        <f>IF($CR7&gt;keilatut,"",SUMIFS($M$2:$M$313,$B$2:$B$313,$CR7))</f>
        <v>12</v>
      </c>
      <c r="DB7" s="1">
        <f t="shared" ca="1" si="63"/>
        <v>333</v>
      </c>
      <c r="DC7" s="1">
        <f ca="1">IF(CP7="",NA(),SUMIFS($L$2:$L$313,$AL$2:$AL$313,_xlfn.MINIFS($AL$2:$AL$313,$B$2:$B$313,$CR7,$AL$2:$AL$313,"&gt;0"),$B$2:$B$313,$CR7)/COUNTIFS($B$2:$B$313,$CR7,$AL$2:$AL$313,_xlfn.MINIFS($AL$2:$AL$313,$B$2:$B$313,$CR7,$AL$2:$AL$313,"&gt;0")))</f>
        <v>278</v>
      </c>
      <c r="DD7" s="1">
        <f ca="1">IF(CW7="",NA(),SUMIFS($L$2:$L$313,$B$2:$B$313,$CR7)/SUMIFS($M$2:$M$313,$B$2:$B$313,$CR7))</f>
        <v>293.25</v>
      </c>
      <c r="DE7" s="1" t="str">
        <f t="array" aca="1" ref="DE7" ca="1">IF($CV7="","",INDEX($CV$3:$CV$15,MATCH(0,COUNTIF($DE$2:DE6,$CV$3:$CV$15),0)))</f>
        <v>Miika Nordblad</v>
      </c>
      <c r="DF7" s="1">
        <f t="shared" ca="1" si="64"/>
        <v>3</v>
      </c>
    </row>
    <row r="8" spans="1:111" x14ac:dyDescent="0.25">
      <c r="A8" s="1">
        <f>IFERROR(IF(ROW(A7)=1,1,IF(1+A7&lt;=$CP$1*$CP$2,1+A7,"")),"")</f>
        <v>7</v>
      </c>
      <c r="B8" s="1">
        <f>IF($I8="","",IF(ROW(B7)=1,1,ROUNDUP(A8/$CP$2,0)))</f>
        <v>1</v>
      </c>
      <c r="C8" s="4">
        <f t="shared" si="7"/>
        <v>45556</v>
      </c>
      <c r="D8" s="4" t="str">
        <f t="shared" si="0"/>
        <v>U7 Gdansk, Puola</v>
      </c>
      <c r="E8" s="1">
        <f>IF($B8="","",COUNTIF($B$2:B8,B8))</f>
        <v>7</v>
      </c>
      <c r="F8" s="1" t="str">
        <f t="shared" si="1"/>
        <v>K2024GP01</v>
      </c>
      <c r="G8" s="1" t="str">
        <f t="shared" si="8"/>
        <v>K2024GP01_7</v>
      </c>
      <c r="H8" s="1">
        <f t="shared" si="9"/>
        <v>1</v>
      </c>
      <c r="I8" s="3" t="s">
        <v>130</v>
      </c>
      <c r="J8" s="3">
        <v>130</v>
      </c>
      <c r="K8" s="3">
        <v>111</v>
      </c>
      <c r="L8" s="1">
        <f t="shared" si="10"/>
        <v>241</v>
      </c>
      <c r="M8" s="1">
        <f t="shared" si="11"/>
        <v>1</v>
      </c>
      <c r="N8" s="1">
        <f t="shared" si="12"/>
        <v>3</v>
      </c>
      <c r="O8" s="1">
        <f t="shared" si="13"/>
        <v>241</v>
      </c>
      <c r="P8" s="1">
        <f t="shared" si="14"/>
        <v>18</v>
      </c>
      <c r="Q8" s="1">
        <f t="array" ref="Q8">IF($B8="","",IF(MAX(IF(B8=$B$2:$B$313,$L$2:$L$313))-L8=0,"",MAX(IF(B8=$B$2:$B$313,$L$2:$L$313))-L8))</f>
        <v>18</v>
      </c>
      <c r="R8" s="1">
        <f t="array" ref="R8">IF($B8="","",SUMPRODUCT(--($B$2:$B$313=B8),--(L8&lt;$L$2:$L$313))+1)</f>
        <v>3</v>
      </c>
      <c r="S8" s="1">
        <f t="shared" si="15"/>
        <v>2</v>
      </c>
      <c r="T8" s="1" cm="1">
        <f t="array" ref="T8">IF($B8="","",IF(M8=0,"",SUMPRODUCT(--($B$2:$B$313=B8),--(J8&lt;$J$2:$J$313))+1))</f>
        <v>1</v>
      </c>
      <c r="U8" s="1">
        <f t="shared" si="16"/>
        <v>2</v>
      </c>
      <c r="V8" s="1" t="str">
        <f t="shared" si="17"/>
        <v>0103</v>
      </c>
      <c r="W8" s="1">
        <f t="shared" si="18"/>
        <v>2</v>
      </c>
      <c r="X8" s="1">
        <f t="shared" si="2"/>
        <v>0</v>
      </c>
      <c r="Y8" s="1">
        <f>IF($B8="","",MAX(_xlfn.MAXIFS($J$2:J8,$I$2:I8,$I8),_xlfn.MAXIFS($K$2:K8,$I$2:I8,$I8)))</f>
        <v>130</v>
      </c>
      <c r="Z8" s="1">
        <f t="shared" si="3"/>
        <v>141</v>
      </c>
      <c r="AA8" s="1">
        <f t="shared" si="19"/>
        <v>0</v>
      </c>
      <c r="AB8" s="1">
        <f t="shared" si="20"/>
        <v>0</v>
      </c>
      <c r="AC8" s="1">
        <f t="shared" si="21"/>
        <v>0</v>
      </c>
      <c r="AD8" s="1">
        <f>IF($B8="","",MIN(_xlfn.MINIFS($J$2:J8,$I$2:I8,$I8),_xlfn.MINIFS($K$2:K8,$I$2:I8,$I8)))</f>
        <v>111</v>
      </c>
      <c r="AE8" s="1">
        <f t="shared" si="22"/>
        <v>73</v>
      </c>
      <c r="AF8" s="1">
        <f t="shared" si="23"/>
        <v>0</v>
      </c>
      <c r="AG8" s="1">
        <f t="shared" si="24"/>
        <v>0</v>
      </c>
      <c r="AH8" s="1">
        <f t="shared" si="25"/>
        <v>0</v>
      </c>
      <c r="AI8" s="1">
        <f ca="1">IF($B8="","",IF($K8="",0,OFFSET($CO$17,R8,W8)))</f>
        <v>7.5</v>
      </c>
      <c r="AJ8" s="1">
        <f t="shared" ca="1" si="26"/>
        <v>0</v>
      </c>
      <c r="AK8" s="1">
        <f ca="1">IF(AJ8="","",IF(AJ8=0,0,IF(W8=1,0,SUM(OFFSET($CO$17,N8,1):OFFSET($CO$17,N8+W8-2,1))/W8)))</f>
        <v>0</v>
      </c>
      <c r="AL8" s="1">
        <f t="shared" ca="1" si="27"/>
        <v>7.5</v>
      </c>
      <c r="AM8" s="1">
        <f ca="1">IF($B8="","",SUMIFS($AL$2:AL8,$I$2:I8,$I8))</f>
        <v>7.5</v>
      </c>
      <c r="AN8" s="1">
        <f t="shared" si="28"/>
        <v>3.0000070000000001</v>
      </c>
      <c r="AO8" s="1">
        <f>IFERROR(IF($B8="","",AVERAGEIFS($L$2:L8,$I$2:I8,I8,$L$2:L8,"&lt;&gt;0")),0)</f>
        <v>241</v>
      </c>
      <c r="AP8" s="1">
        <f t="shared" si="29"/>
        <v>120.5</v>
      </c>
      <c r="AQ8" s="1">
        <f>IF($B8="","",COUNTIFS($R$2:R8,1,$I$2:I8,$I8))</f>
        <v>0</v>
      </c>
      <c r="AR8" s="1">
        <f t="array" aca="1" ref="AR8" ca="1">IF($B8="","",SUMPRODUCT(--($B$2:$B$313=B8),--(AM8&lt;$AM$2:$AM$313))+1)</f>
        <v>3</v>
      </c>
      <c r="AS8" s="1">
        <f t="array" ref="AS8">IF($B8="","",SUMPRODUCT(--($B$2:$B$313=B8),--(AP8&lt;$AP$2:$AP$313))+1)</f>
        <v>3</v>
      </c>
      <c r="AT8" s="1">
        <f t="array" ref="AT8">IF($B8="","",SUMPRODUCT(--($B$2:$B$313=B8),--(AQ8&lt;$AQ$2:$AQ$313))+1)</f>
        <v>2</v>
      </c>
      <c r="AU8" s="1">
        <f t="shared" si="30"/>
        <v>6.9999999999999998E-9</v>
      </c>
      <c r="AV8" s="1">
        <f t="shared" ca="1" si="31"/>
        <v>3.0302006999999999E-2</v>
      </c>
      <c r="AW8" s="1" t="str">
        <f t="shared" si="4"/>
        <v/>
      </c>
      <c r="AX8" s="1" t="str">
        <f t="shared" si="32"/>
        <v/>
      </c>
      <c r="AY8" s="8">
        <f t="shared" ca="1" si="33"/>
        <v>3.0302006999999999E-2</v>
      </c>
      <c r="AZ8" s="1" cm="1">
        <f t="array" aca="1" ref="AZ8" ca="1">IF($B8="","",SUMPRODUCT(--($B$2:$B$313=B8),--(AY8&gt;$AY$2:$AY$313))+1)</f>
        <v>3</v>
      </c>
      <c r="BA8" s="1" t="str">
        <f t="shared" si="34"/>
        <v>K2024GP01_7_1</v>
      </c>
      <c r="BB8" s="1" t="str">
        <f t="shared" si="35"/>
        <v>K2024GP01_7_2</v>
      </c>
      <c r="BC8" s="1">
        <f t="shared" si="36"/>
        <v>0</v>
      </c>
      <c r="BD8" s="1">
        <f t="shared" si="37"/>
        <v>1</v>
      </c>
      <c r="BE8" s="1">
        <f t="shared" si="38"/>
        <v>1</v>
      </c>
      <c r="BF8" s="1">
        <f t="shared" si="39"/>
        <v>130</v>
      </c>
      <c r="BG8" s="1">
        <f t="shared" si="40"/>
        <v>111</v>
      </c>
      <c r="BH8" s="1">
        <f t="shared" si="41"/>
        <v>3</v>
      </c>
      <c r="BI8" s="1">
        <f t="shared" si="42"/>
        <v>3</v>
      </c>
      <c r="BJ8" s="1">
        <f t="shared" si="43"/>
        <v>3.0300000000000001E-2</v>
      </c>
      <c r="BK8" s="1">
        <f t="shared" si="44"/>
        <v>1</v>
      </c>
      <c r="BL8" s="1">
        <f t="shared" si="45"/>
        <v>9.8999999999999994E-5</v>
      </c>
      <c r="BM8" s="1">
        <f t="shared" si="46"/>
        <v>3.0398999999999999E-2</v>
      </c>
      <c r="BN8" s="1">
        <f t="shared" si="47"/>
        <v>0</v>
      </c>
      <c r="BO8" s="1">
        <f t="shared" si="5"/>
        <v>4</v>
      </c>
      <c r="BP8" s="1">
        <f t="shared" si="6"/>
        <v>0</v>
      </c>
      <c r="BQ8" s="1" t="str" cm="1">
        <f t="array" ref="BQ8">IF(I8="","",IF(BP8=1,"",IF(L8=0,"",IF(B8=1,"",_xlfn.XLOOKUP(1,($I$2:$I$313=$I8)*($B$2:$B$313=($B8-1)),$BO$2:$BO$313)))))</f>
        <v/>
      </c>
      <c r="BR8" s="1">
        <f>IF(I8="","",IF($B8=1,_xlfn.MINIFS($BO$2:$BO$313,$B$2:$B$313,$B8),_xlfn.MINIFS(BQ$2:$BQ$313,$B$2:$B$313,$B8)))</f>
        <v>1</v>
      </c>
      <c r="BS8" s="1">
        <f t="shared" si="48"/>
        <v>2</v>
      </c>
      <c r="BT8" s="1" t="str" cm="1">
        <f t="array" ref="BT8">IF($I8="","",IF($B8=1,_xlfn.XLOOKUP(1,($B$2:$B$313=$B8)*($BO$2:$BO$313=BR8),Data!$I$2:$I$313,,0),_xlfn.XLOOKUP(1,($B$2:$B$313=$B8)*($BQ$2:$BQ$313=$BR8),$I$2:$I$313,,0)))</f>
        <v>Kaleva Latvala</v>
      </c>
      <c r="BU8" s="1" t="str" cm="1">
        <f t="array" ref="BU8">IF(I8="","",IF($B8=1,_xlfn.XLOOKUP(1,($B$2:$B$313=$B8)*($BO$2:$BO$313=$BS8),$I$2:$I$313,,0),_xlfn.XLOOKUP(1,($B$2:$B$313=$B8)*($BQ$2:$BQ$313=$BS8),$I$2:$I$313,,0)))</f>
        <v>Roope Warro</v>
      </c>
      <c r="BV8" s="1" t="str" cm="1">
        <f t="array" ref="BV8">IF($I8="","",IF($B8=1,"",IF($B8=2,_xlfn.XLOOKUP(1,($B$2:$B$313=1)*($BO$2:$BO$313=1),$I$2:$I$313,,0),_xlfn.XLOOKUP($B8-1,$B$2:$B$313,$CH$2:$CH$313,,0))))</f>
        <v/>
      </c>
      <c r="BW8" s="1" t="str" cm="1">
        <f t="array" ref="BW8">IF($I8="","",IF($B8=1,"",IF(_xlfn.XLOOKUP(1,($B$2:$B$313=$B8)*($I$2:$I$313=$BV8),$BQ$2:$BQ$313,,0)="","NOK","OK")))</f>
        <v/>
      </c>
      <c r="BX8" s="1" t="str">
        <f t="shared" si="49"/>
        <v/>
      </c>
      <c r="BY8" s="1" t="str">
        <f t="shared" si="50"/>
        <v/>
      </c>
      <c r="BZ8" s="1" t="str">
        <f t="shared" si="51"/>
        <v/>
      </c>
      <c r="CA8" s="1" t="str">
        <f t="shared" si="52"/>
        <v/>
      </c>
      <c r="CB8" s="1" t="str">
        <f t="shared" si="53"/>
        <v/>
      </c>
      <c r="CC8" s="1" t="str">
        <f t="shared" si="54"/>
        <v/>
      </c>
      <c r="CD8" s="1" t="str">
        <f t="shared" si="55"/>
        <v/>
      </c>
      <c r="CE8" s="1" t="str">
        <f t="shared" si="56"/>
        <v/>
      </c>
      <c r="CF8" s="1" t="str">
        <f t="shared" si="57"/>
        <v/>
      </c>
      <c r="CG8" s="1" t="str">
        <f t="shared" si="58"/>
        <v/>
      </c>
      <c r="CH8" s="1" t="str">
        <f t="shared" si="59"/>
        <v>Kaleva Latvala</v>
      </c>
      <c r="CI8" s="1">
        <f t="shared" si="60"/>
        <v>0</v>
      </c>
      <c r="CJ8" s="1" t="str">
        <f ca="1">IF(B8="","",IF(SUM(AI8:AK8)&gt;0,"+SP","")&amp;IF(CI8&gt;0,"+KK","")&amp;IF(AB8&gt;0,"+KGP1","")&amp;IF(AC8&gt;0,"+KGP2","")&amp;IF(AG8&lt;0,"-KGP1","")&amp;IF(AH8&lt;0,"-KGP2",""))</f>
        <v>+SP</v>
      </c>
      <c r="CO8" s="1">
        <v>6</v>
      </c>
      <c r="CP8" s="5">
        <f>IF(COUNTIF($B$2:$B$313,$CO8)&gt;0,$CO8,"")</f>
        <v>6</v>
      </c>
      <c r="CR8" s="3">
        <v>6</v>
      </c>
      <c r="CS8" s="86">
        <v>45640</v>
      </c>
      <c r="CT8" s="142">
        <v>0.58333333333333337</v>
      </c>
      <c r="CU8" s="3" t="s">
        <v>242</v>
      </c>
      <c r="CV8" s="1" t="str">
        <f ca="1">IF($CR8&gt;keilatut,"",OFFSET(tulossiirtymä,MATCH($CX8,$V$2:$V$313,0),0))</f>
        <v>Frans Hartman</v>
      </c>
      <c r="CW8" s="1">
        <f ca="1">IF($CR8&gt;keilatut,"",OFFSET(tulossiirtymä,MATCH($CX8,$V$2:$V$313,0),3))</f>
        <v>350</v>
      </c>
      <c r="CX8" s="1" t="str">
        <f t="shared" si="61"/>
        <v>0601</v>
      </c>
      <c r="CY8" s="1">
        <f t="shared" si="62"/>
        <v>1</v>
      </c>
      <c r="CZ8" s="1">
        <f>IF(CY8=0,0,SUM($CY$3:CY8))</f>
        <v>1</v>
      </c>
      <c r="DA8" s="1">
        <f>IF($CR8&gt;keilatut,"",SUMIFS($M$2:$M$313,$B$2:$B$313,$CR8))</f>
        <v>15</v>
      </c>
      <c r="DB8" s="1">
        <f t="shared" ca="1" si="63"/>
        <v>350</v>
      </c>
      <c r="DC8" s="1">
        <f ca="1">IF(CP8="",NA(),SUMIFS($L$2:$L$313,$AL$2:$AL$313,_xlfn.MINIFS($AL$2:$AL$313,$B$2:$B$313,$CR8,$AL$2:$AL$313,"&gt;0"),$B$2:$B$313,$CR8)/COUNTIFS($B$2:$B$313,$CR8,$AL$2:$AL$313,_xlfn.MINIFS($AL$2:$AL$313,$B$2:$B$313,$CR8,$AL$2:$AL$313,"&gt;0")))</f>
        <v>241</v>
      </c>
      <c r="DD8" s="1">
        <f ca="1">IF(CW8="",NA(),SUMIFS($L$2:$L$313,$B$2:$B$313,$CR8)/SUMIFS($M$2:$M$313,$B$2:$B$313,$CR8))</f>
        <v>260.73333333333335</v>
      </c>
      <c r="DE8" s="1" t="str">
        <f t="array" aca="1" ref="DE8" ca="1">IF($CV8="","",INDEX($CV$3:$CV$15,MATCH(0,COUNTIF($DE$2:DE7,$CV$3:$CV$15),0)))</f>
        <v>Asko Haaksi</v>
      </c>
      <c r="DF8" s="1">
        <f t="shared" ca="1" si="64"/>
        <v>1</v>
      </c>
    </row>
    <row r="9" spans="1:111" x14ac:dyDescent="0.25">
      <c r="A9" s="1">
        <f>IFERROR(IF(ROW(A8)=1,1,IF(1+A8&lt;=$CP$1*$CP$2,1+A8,"")),"")</f>
        <v>8</v>
      </c>
      <c r="B9" s="1">
        <f>IF($I9="","",IF(ROW(B8)=1,1,ROUNDUP(A9/$CP$2,0)))</f>
        <v>1</v>
      </c>
      <c r="C9" s="4">
        <f t="shared" si="7"/>
        <v>45556</v>
      </c>
      <c r="D9" s="4" t="str">
        <f t="shared" si="0"/>
        <v>U7 Gdansk, Puola</v>
      </c>
      <c r="E9" s="1">
        <f>IF($B9="","",COUNTIF($B$2:B9,B9))</f>
        <v>8</v>
      </c>
      <c r="F9" s="1" t="str">
        <f t="shared" si="1"/>
        <v>K2024GP01</v>
      </c>
      <c r="G9" s="1" t="str">
        <f t="shared" si="8"/>
        <v>K2024GP01_8</v>
      </c>
      <c r="H9" s="1">
        <f t="shared" si="9"/>
        <v>1</v>
      </c>
      <c r="I9" s="3" t="s">
        <v>134</v>
      </c>
      <c r="J9" s="3">
        <v>102</v>
      </c>
      <c r="K9" s="3">
        <v>97</v>
      </c>
      <c r="L9" s="1">
        <f t="shared" si="10"/>
        <v>199</v>
      </c>
      <c r="M9" s="1">
        <f t="shared" si="11"/>
        <v>1</v>
      </c>
      <c r="N9" s="1">
        <f t="shared" si="12"/>
        <v>9</v>
      </c>
      <c r="O9" s="1">
        <f t="shared" si="13"/>
        <v>199</v>
      </c>
      <c r="P9" s="1">
        <f t="shared" si="14"/>
        <v>60</v>
      </c>
      <c r="Q9" s="1">
        <f t="array" ref="Q9">IF($B9="","",IF(MAX(IF(B9=$B$2:$B$313,$L$2:$L$313))-L9=0,"",MAX(IF(B9=$B$2:$B$313,$L$2:$L$313))-L9))</f>
        <v>60</v>
      </c>
      <c r="R9" s="1">
        <f t="array" ref="R9">IF($B9="","",SUMPRODUCT(--($B$2:$B$313=B9),--(L9&lt;$L$2:$L$313))+1)</f>
        <v>9</v>
      </c>
      <c r="S9" s="1">
        <f t="shared" si="15"/>
        <v>2</v>
      </c>
      <c r="T9" s="1" cm="1">
        <f t="array" ref="T9">IF($B9="","",IF(M9=0,"",SUMPRODUCT(--($B$2:$B$313=B9),--(J9&lt;$J$2:$J$313))+1))</f>
        <v>7</v>
      </c>
      <c r="U9" s="1">
        <f t="shared" si="16"/>
        <v>2</v>
      </c>
      <c r="V9" s="1" t="str">
        <f t="shared" si="17"/>
        <v>0109</v>
      </c>
      <c r="W9" s="1">
        <f t="shared" si="18"/>
        <v>1</v>
      </c>
      <c r="X9" s="1">
        <f t="shared" si="2"/>
        <v>0</v>
      </c>
      <c r="Y9" s="1">
        <f>IF($B9="","",MAX(_xlfn.MAXIFS($J$2:J9,$I$2:I9,$I9),_xlfn.MAXIFS($K$2:K9,$I$2:I9,$I9)))</f>
        <v>102</v>
      </c>
      <c r="Z9" s="1">
        <f t="shared" si="3"/>
        <v>141</v>
      </c>
      <c r="AA9" s="1">
        <f t="shared" si="19"/>
        <v>0</v>
      </c>
      <c r="AB9" s="1">
        <f t="shared" si="20"/>
        <v>0</v>
      </c>
      <c r="AC9" s="1">
        <f t="shared" si="21"/>
        <v>0</v>
      </c>
      <c r="AD9" s="1">
        <f>IF($B9="","",MIN(_xlfn.MINIFS($J$2:J9,$I$2:I9,$I9),_xlfn.MINIFS($K$2:K9,$I$2:I9,$I9)))</f>
        <v>97</v>
      </c>
      <c r="AE9" s="1">
        <f t="shared" si="22"/>
        <v>73</v>
      </c>
      <c r="AF9" s="1">
        <f t="shared" si="23"/>
        <v>0</v>
      </c>
      <c r="AG9" s="1">
        <f t="shared" si="24"/>
        <v>0</v>
      </c>
      <c r="AH9" s="1">
        <f t="shared" si="25"/>
        <v>0</v>
      </c>
      <c r="AI9" s="1">
        <f ca="1">IF($B9="","",IF($K9="",0,OFFSET($CO$17,R9,W9)))</f>
        <v>2</v>
      </c>
      <c r="AJ9" s="1">
        <f t="shared" ca="1" si="26"/>
        <v>0</v>
      </c>
      <c r="AK9" s="1">
        <f ca="1">IF(AJ9="","",IF(AJ9=0,0,IF(W9=1,0,SUM(OFFSET($CO$17,N9,1):OFFSET($CO$17,N9+W9-2,1))/W9)))</f>
        <v>0</v>
      </c>
      <c r="AL9" s="1">
        <f t="shared" ca="1" si="27"/>
        <v>2</v>
      </c>
      <c r="AM9" s="1">
        <f ca="1">IF($B9="","",SUMIFS($AL$2:AL9,$I$2:I9,$I9))</f>
        <v>2</v>
      </c>
      <c r="AN9" s="1">
        <f t="shared" si="28"/>
        <v>9.0000079999999993</v>
      </c>
      <c r="AO9" s="1">
        <f>IFERROR(IF($B9="","",AVERAGEIFS($L$2:L9,$I$2:I9,I9,$L$2:L9,"&lt;&gt;0")),0)</f>
        <v>199</v>
      </c>
      <c r="AP9" s="1">
        <f t="shared" si="29"/>
        <v>99.5</v>
      </c>
      <c r="AQ9" s="1">
        <f>IF($B9="","",COUNTIFS($R$2:R9,1,$I$2:I9,$I9))</f>
        <v>0</v>
      </c>
      <c r="AR9" s="1">
        <f t="array" aca="1" ref="AR9" ca="1">IF($B9="","",SUMPRODUCT(--($B$2:$B$313=B9),--(AM9&lt;$AM$2:$AM$313))+1)</f>
        <v>9</v>
      </c>
      <c r="AS9" s="1">
        <f t="array" ref="AS9">IF($B9="","",SUMPRODUCT(--($B$2:$B$313=B9),--(AP9&lt;$AP$2:$AP$313))+1)</f>
        <v>9</v>
      </c>
      <c r="AT9" s="1">
        <f t="array" ref="AT9">IF($B9="","",SUMPRODUCT(--($B$2:$B$313=B9),--(AQ9&lt;$AQ$2:$AQ$313))+1)</f>
        <v>2</v>
      </c>
      <c r="AU9" s="1">
        <f t="shared" si="30"/>
        <v>8.0000000000000005E-9</v>
      </c>
      <c r="AV9" s="1">
        <f t="shared" ca="1" si="31"/>
        <v>9.0902007999999992E-2</v>
      </c>
      <c r="AW9" s="1" t="str">
        <f t="shared" si="4"/>
        <v/>
      </c>
      <c r="AX9" s="1" t="str">
        <f t="shared" si="32"/>
        <v/>
      </c>
      <c r="AY9" s="8">
        <f t="shared" ca="1" si="33"/>
        <v>9.0902007999999992E-2</v>
      </c>
      <c r="AZ9" s="1" cm="1">
        <f t="array" aca="1" ref="AZ9" ca="1">IF($B9="","",SUMPRODUCT(--($B$2:$B$313=B9),--(AY9&gt;$AY$2:$AY$313))+1)</f>
        <v>9</v>
      </c>
      <c r="BA9" s="1" t="str">
        <f t="shared" si="34"/>
        <v>K2024GP01_8_1</v>
      </c>
      <c r="BB9" s="1" t="str">
        <f t="shared" si="35"/>
        <v>K2024GP01_8_2</v>
      </c>
      <c r="BC9" s="1">
        <f t="shared" si="36"/>
        <v>0</v>
      </c>
      <c r="BD9" s="1">
        <f t="shared" si="37"/>
        <v>0</v>
      </c>
      <c r="BE9" s="1">
        <f t="shared" si="38"/>
        <v>1</v>
      </c>
      <c r="BF9" s="1">
        <f t="shared" si="39"/>
        <v>102</v>
      </c>
      <c r="BG9" s="1">
        <f t="shared" si="40"/>
        <v>97</v>
      </c>
      <c r="BH9" s="1">
        <f t="shared" si="41"/>
        <v>11</v>
      </c>
      <c r="BI9" s="1">
        <f t="shared" si="42"/>
        <v>7</v>
      </c>
      <c r="BJ9" s="1">
        <f t="shared" si="43"/>
        <v>0.11070000000000001</v>
      </c>
      <c r="BK9" s="1">
        <f t="shared" si="44"/>
        <v>0</v>
      </c>
      <c r="BL9" s="1">
        <f t="shared" si="45"/>
        <v>9.8999999999999994E-5</v>
      </c>
      <c r="BM9" s="1">
        <f t="shared" si="46"/>
        <v>0.11079900000000001</v>
      </c>
      <c r="BN9" s="1">
        <f t="shared" si="47"/>
        <v>0</v>
      </c>
      <c r="BO9" s="1">
        <f t="shared" si="5"/>
        <v>11</v>
      </c>
      <c r="BP9" s="1">
        <f t="shared" si="6"/>
        <v>0</v>
      </c>
      <c r="BQ9" s="1" t="str" cm="1">
        <f t="array" ref="BQ9">IF(I9="","",IF(BP9=1,"",IF(L9=0,"",IF(B9=1,"",_xlfn.XLOOKUP(1,($I$2:$I$313=$I9)*($B$2:$B$313=($B9-1)),$BO$2:$BO$313)))))</f>
        <v/>
      </c>
      <c r="BR9" s="1">
        <f>IF(I9="","",IF($B9=1,_xlfn.MINIFS($BO$2:$BO$313,$B$2:$B$313,$B9),_xlfn.MINIFS(BQ$2:$BQ$313,$B$2:$B$313,$B9)))</f>
        <v>1</v>
      </c>
      <c r="BS9" s="1">
        <f t="shared" si="48"/>
        <v>2</v>
      </c>
      <c r="BT9" s="1" t="str" cm="1">
        <f t="array" ref="BT9">IF($I9="","",IF($B9=1,_xlfn.XLOOKUP(1,($B$2:$B$313=$B9)*($BO$2:$BO$313=BR9),Data!$I$2:$I$313,,0),_xlfn.XLOOKUP(1,($B$2:$B$313=$B9)*($BQ$2:$BQ$313=$BR9),$I$2:$I$313,,0)))</f>
        <v>Kaleva Latvala</v>
      </c>
      <c r="BU9" s="1" t="str" cm="1">
        <f t="array" ref="BU9">IF(I9="","",IF($B9=1,_xlfn.XLOOKUP(1,($B$2:$B$313=$B9)*($BO$2:$BO$313=$BS9),$I$2:$I$313,,0),_xlfn.XLOOKUP(1,($B$2:$B$313=$B9)*($BQ$2:$BQ$313=$BS9),$I$2:$I$313,,0)))</f>
        <v>Roope Warro</v>
      </c>
      <c r="BV9" s="1" t="str" cm="1">
        <f t="array" ref="BV9">IF($I9="","",IF($B9=1,"",IF($B9=2,_xlfn.XLOOKUP(1,($B$2:$B$313=1)*($BO$2:$BO$313=1),$I$2:$I$313,,0),_xlfn.XLOOKUP($B9-1,$B$2:$B$313,$CH$2:$CH$313,,0))))</f>
        <v/>
      </c>
      <c r="BW9" s="1" t="str" cm="1">
        <f t="array" ref="BW9">IF($I9="","",IF($B9=1,"",IF(_xlfn.XLOOKUP(1,($B$2:$B$313=$B9)*($I$2:$I$313=$BV9),$BQ$2:$BQ$313,,0)="","NOK","OK")))</f>
        <v/>
      </c>
      <c r="BX9" s="1" t="str">
        <f t="shared" si="49"/>
        <v/>
      </c>
      <c r="BY9" s="1" t="str">
        <f t="shared" si="50"/>
        <v/>
      </c>
      <c r="BZ9" s="1" t="str">
        <f t="shared" si="51"/>
        <v/>
      </c>
      <c r="CA9" s="1" t="str">
        <f t="shared" si="52"/>
        <v/>
      </c>
      <c r="CB9" s="1" t="str">
        <f t="shared" si="53"/>
        <v/>
      </c>
      <c r="CC9" s="1" t="str">
        <f t="shared" si="54"/>
        <v/>
      </c>
      <c r="CD9" s="1" t="str">
        <f t="shared" si="55"/>
        <v/>
      </c>
      <c r="CE9" s="1" t="str">
        <f t="shared" si="56"/>
        <v/>
      </c>
      <c r="CF9" s="1" t="str">
        <f t="shared" si="57"/>
        <v/>
      </c>
      <c r="CG9" s="1" t="str">
        <f t="shared" si="58"/>
        <v/>
      </c>
      <c r="CH9" s="1" t="str">
        <f t="shared" si="59"/>
        <v>Kaleva Latvala</v>
      </c>
      <c r="CI9" s="1">
        <f t="shared" si="60"/>
        <v>0</v>
      </c>
      <c r="CJ9" s="1" t="str">
        <f ca="1">IF(B9="","",IF(SUM(AI9:AK9)&gt;0,"+SP","")&amp;IF(CI9&gt;0,"+KK","")&amp;IF(AB9&gt;0,"+KGP1","")&amp;IF(AC9&gt;0,"+KGP2","")&amp;IF(AG9&lt;0,"-KGP1","")&amp;IF(AH9&lt;0,"-KGP2",""))</f>
        <v>+SP</v>
      </c>
      <c r="CO9" s="1">
        <v>7</v>
      </c>
      <c r="CP9" s="5">
        <f>IF(COUNTIF($B$2:$B$313,$CO9)&gt;0,$CO9,"")</f>
        <v>7</v>
      </c>
      <c r="CR9" s="3">
        <v>7</v>
      </c>
      <c r="CS9" s="86">
        <v>45669</v>
      </c>
      <c r="CT9" s="142">
        <v>0.625</v>
      </c>
      <c r="CU9" s="3" t="s">
        <v>241</v>
      </c>
      <c r="CV9" s="1" t="str">
        <f ca="1">IF($CR9&gt;keilatut,"",OFFSET(tulossiirtymä,MATCH($CX9,$V$2:$V$313,0),0))</f>
        <v>Asko Haaksi</v>
      </c>
      <c r="CW9" s="1">
        <f ca="1">IF($CR9&gt;keilatut,"",OFFSET(tulossiirtymä,MATCH($CX9,$V$2:$V$313,0),3))</f>
        <v>332</v>
      </c>
      <c r="CX9" s="1" t="str">
        <f t="shared" si="61"/>
        <v>0701</v>
      </c>
      <c r="CY9" s="1">
        <f t="shared" si="62"/>
        <v>0</v>
      </c>
      <c r="CZ9" s="1">
        <f>IF(CY9=0,0,SUM($CY$3:CY9))</f>
        <v>0</v>
      </c>
      <c r="DA9" s="1">
        <f>IF($CR9&gt;keilatut,"",SUMIFS($M$2:$M$313,$B$2:$B$313,$CR9))</f>
        <v>11</v>
      </c>
      <c r="DB9" s="1">
        <f t="shared" ca="1" si="63"/>
        <v>332</v>
      </c>
      <c r="DC9" s="1">
        <f ca="1">IF(CP9="",NA(),SUMIFS($L$2:$L$313,$AL$2:$AL$313,_xlfn.MINIFS($AL$2:$AL$313,$B$2:$B$313,$CR9,$AL$2:$AL$313,"&gt;0"),$B$2:$B$313,$CR9)/COUNTIFS($B$2:$B$313,$CR9,$AL$2:$AL$313,_xlfn.MINIFS($AL$2:$AL$313,$B$2:$B$313,$CR9,$AL$2:$AL$313,"&gt;0")))</f>
        <v>247</v>
      </c>
      <c r="DD9" s="1">
        <f ca="1">IF(CW9="",NA(),SUMIFS($L$2:$L$313,$B$2:$B$313,$CR9)/SUMIFS($M$2:$M$313,$B$2:$B$313,$CR9))</f>
        <v>282.18181818181819</v>
      </c>
      <c r="DE9" s="1" t="str">
        <f t="array" aca="1" ref="DE9" ca="1">IF($CV9="","",INDEX($CV$3:$CV$15,MATCH(0,COUNTIF($DE$2:DE8,$CV$3:$CV$15),0)))</f>
        <v/>
      </c>
      <c r="DF9" s="1" t="str">
        <f t="shared" ca="1" si="64"/>
        <v/>
      </c>
    </row>
    <row r="10" spans="1:111" x14ac:dyDescent="0.25">
      <c r="A10" s="1">
        <f>IFERROR(IF(ROW(A9)=1,1,IF(1+A9&lt;=$CP$1*$CP$2,1+A9,"")),"")</f>
        <v>9</v>
      </c>
      <c r="B10" s="1">
        <f>IF($I10="","",IF(ROW(B9)=1,1,ROUNDUP(A10/$CP$2,0)))</f>
        <v>1</v>
      </c>
      <c r="C10" s="4">
        <f t="shared" si="7"/>
        <v>45556</v>
      </c>
      <c r="D10" s="4" t="str">
        <f t="shared" si="0"/>
        <v>U7 Gdansk, Puola</v>
      </c>
      <c r="E10" s="1">
        <f>IF($B10="","",COUNTIF($B$2:B10,B10))</f>
        <v>9</v>
      </c>
      <c r="F10" s="1" t="str">
        <f t="shared" si="1"/>
        <v>K2024GP01</v>
      </c>
      <c r="G10" s="1" t="str">
        <f t="shared" si="8"/>
        <v>K2024GP01_9</v>
      </c>
      <c r="H10" s="1">
        <f t="shared" si="9"/>
        <v>1</v>
      </c>
      <c r="I10" s="3" t="s">
        <v>139</v>
      </c>
      <c r="J10" s="3">
        <v>130</v>
      </c>
      <c r="K10" s="3">
        <v>111</v>
      </c>
      <c r="L10" s="1">
        <f t="shared" si="10"/>
        <v>241</v>
      </c>
      <c r="M10" s="1">
        <f t="shared" si="11"/>
        <v>1</v>
      </c>
      <c r="N10" s="1">
        <f t="shared" si="12"/>
        <v>3</v>
      </c>
      <c r="O10" s="1">
        <f t="shared" si="13"/>
        <v>241</v>
      </c>
      <c r="P10" s="1">
        <f t="shared" si="14"/>
        <v>18</v>
      </c>
      <c r="Q10" s="1">
        <f t="array" ref="Q10">IF($B10="","",IF(MAX(IF(B10=$B$2:$B$313,$L$2:$L$313))-L10=0,"",MAX(IF(B10=$B$2:$B$313,$L$2:$L$313))-L10))</f>
        <v>18</v>
      </c>
      <c r="R10" s="1">
        <f t="array" ref="R10">IF($B10="","",SUMPRODUCT(--($B$2:$B$313=B10),--(L10&lt;$L$2:$L$313))+1)</f>
        <v>3</v>
      </c>
      <c r="S10" s="1">
        <f t="shared" si="15"/>
        <v>2</v>
      </c>
      <c r="T10" s="1" cm="1">
        <f t="array" ref="T10">IF($B10="","",IF(M10=0,"",SUMPRODUCT(--($B$2:$B$313=B10),--(J10&lt;$J$2:$J$313))+1))</f>
        <v>1</v>
      </c>
      <c r="U10" s="1">
        <f t="shared" si="16"/>
        <v>2</v>
      </c>
      <c r="V10" s="1" t="str">
        <f t="shared" si="17"/>
        <v>0103</v>
      </c>
      <c r="W10" s="1">
        <f t="shared" si="18"/>
        <v>2</v>
      </c>
      <c r="X10" s="1">
        <f t="shared" si="2"/>
        <v>0</v>
      </c>
      <c r="Y10" s="1">
        <f>IF($B10="","",MAX(_xlfn.MAXIFS($J$2:J10,$I$2:I10,$I10),_xlfn.MAXIFS($K$2:K10,$I$2:I10,$I10)))</f>
        <v>130</v>
      </c>
      <c r="Z10" s="1">
        <f t="shared" si="3"/>
        <v>141</v>
      </c>
      <c r="AA10" s="1">
        <f t="shared" si="19"/>
        <v>0</v>
      </c>
      <c r="AB10" s="1">
        <f t="shared" si="20"/>
        <v>0</v>
      </c>
      <c r="AC10" s="1">
        <f t="shared" si="21"/>
        <v>0</v>
      </c>
      <c r="AD10" s="1">
        <f>IF($B10="","",MIN(_xlfn.MINIFS($J$2:J10,$I$2:I10,$I10),_xlfn.MINIFS($K$2:K10,$I$2:I10,$I10)))</f>
        <v>111</v>
      </c>
      <c r="AE10" s="1">
        <f t="shared" si="22"/>
        <v>73</v>
      </c>
      <c r="AF10" s="1">
        <f t="shared" si="23"/>
        <v>0</v>
      </c>
      <c r="AG10" s="1">
        <f t="shared" si="24"/>
        <v>0</v>
      </c>
      <c r="AH10" s="1">
        <f t="shared" si="25"/>
        <v>0</v>
      </c>
      <c r="AI10" s="1">
        <f ca="1">IF($B10="","",IF($K10="",0,OFFSET($CO$17,R10,W10)))</f>
        <v>7.5</v>
      </c>
      <c r="AJ10" s="1">
        <f t="shared" ca="1" si="26"/>
        <v>0</v>
      </c>
      <c r="AK10" s="1">
        <f ca="1">IF(AJ10="","",IF(AJ10=0,0,IF(W10=1,0,SUM(OFFSET($CO$17,N10,1):OFFSET($CO$17,N10+W10-2,1))/W10)))</f>
        <v>0</v>
      </c>
      <c r="AL10" s="1">
        <f t="shared" ca="1" si="27"/>
        <v>7.5</v>
      </c>
      <c r="AM10" s="1">
        <f ca="1">IF($B10="","",SUMIFS($AL$2:AL10,$I$2:I10,$I10))</f>
        <v>7.5</v>
      </c>
      <c r="AN10" s="1">
        <f t="shared" si="28"/>
        <v>3.0000089999999999</v>
      </c>
      <c r="AO10" s="1">
        <f>IFERROR(IF($B10="","",AVERAGEIFS($L$2:L10,$I$2:I10,I10,$L$2:L10,"&lt;&gt;0")),0)</f>
        <v>241</v>
      </c>
      <c r="AP10" s="1">
        <f t="shared" si="29"/>
        <v>120.5</v>
      </c>
      <c r="AQ10" s="1">
        <f>IF($B10="","",COUNTIFS($R$2:R10,1,$I$2:I10,$I10))</f>
        <v>0</v>
      </c>
      <c r="AR10" s="1">
        <f t="array" aca="1" ref="AR10" ca="1">IF($B10="","",SUMPRODUCT(--($B$2:$B$313=B10),--(AM10&lt;$AM$2:$AM$313))+1)</f>
        <v>3</v>
      </c>
      <c r="AS10" s="1">
        <f t="array" ref="AS10">IF($B10="","",SUMPRODUCT(--($B$2:$B$313=B10),--(AP10&lt;$AP$2:$AP$313))+1)</f>
        <v>3</v>
      </c>
      <c r="AT10" s="1">
        <f t="array" ref="AT10">IF($B10="","",SUMPRODUCT(--($B$2:$B$313=B10),--(AQ10&lt;$AQ$2:$AQ$313))+1)</f>
        <v>2</v>
      </c>
      <c r="AU10" s="1">
        <f t="shared" si="30"/>
        <v>8.9999999999999995E-9</v>
      </c>
      <c r="AV10" s="1">
        <f t="shared" ca="1" si="31"/>
        <v>3.0302008999999998E-2</v>
      </c>
      <c r="AW10" s="1" t="str">
        <f t="shared" si="4"/>
        <v/>
      </c>
      <c r="AX10" s="1" t="str">
        <f t="shared" si="32"/>
        <v/>
      </c>
      <c r="AY10" s="8">
        <f t="shared" ca="1" si="33"/>
        <v>3.0302008999999998E-2</v>
      </c>
      <c r="AZ10" s="1" cm="1">
        <f t="array" aca="1" ref="AZ10" ca="1">IF($B10="","",SUMPRODUCT(--($B$2:$B$313=B10),--(AY10&gt;$AY$2:$AY$313))+1)</f>
        <v>4</v>
      </c>
      <c r="BA10" s="1" t="str">
        <f t="shared" si="34"/>
        <v>K2024GP01_9_1</v>
      </c>
      <c r="BB10" s="1" t="str">
        <f t="shared" si="35"/>
        <v>K2024GP01_9_2</v>
      </c>
      <c r="BC10" s="1">
        <f t="shared" si="36"/>
        <v>0</v>
      </c>
      <c r="BD10" s="1">
        <f t="shared" si="37"/>
        <v>1</v>
      </c>
      <c r="BE10" s="1">
        <f t="shared" si="38"/>
        <v>1</v>
      </c>
      <c r="BF10" s="1">
        <f t="shared" si="39"/>
        <v>130</v>
      </c>
      <c r="BG10" s="1">
        <f t="shared" si="40"/>
        <v>111</v>
      </c>
      <c r="BH10" s="1">
        <f t="shared" si="41"/>
        <v>3</v>
      </c>
      <c r="BI10" s="1">
        <f t="shared" si="42"/>
        <v>3</v>
      </c>
      <c r="BJ10" s="1">
        <f t="shared" si="43"/>
        <v>3.0300000000000001E-2</v>
      </c>
      <c r="BK10" s="1">
        <f t="shared" si="44"/>
        <v>1</v>
      </c>
      <c r="BL10" s="171">
        <f>IF(I10="","",0.000098)</f>
        <v>9.7999999999999997E-5</v>
      </c>
      <c r="BM10" s="1">
        <f t="shared" si="46"/>
        <v>3.0398000000000001E-2</v>
      </c>
      <c r="BN10" s="1">
        <f t="shared" si="47"/>
        <v>0</v>
      </c>
      <c r="BO10" s="1">
        <f t="shared" si="5"/>
        <v>3</v>
      </c>
      <c r="BP10" s="1">
        <f t="shared" si="6"/>
        <v>0</v>
      </c>
      <c r="BQ10" s="1" t="str" cm="1">
        <f t="array" ref="BQ10">IF(I10="","",IF(BP10=1,"",IF(L10=0,"",IF(B10=1,"",_xlfn.XLOOKUP(1,($I$2:$I$313=$I10)*($B$2:$B$313=($B10-1)),$BO$2:$BO$313)))))</f>
        <v/>
      </c>
      <c r="BR10" s="1">
        <f>IF(I10="","",IF($B10=1,_xlfn.MINIFS($BO$2:$BO$313,$B$2:$B$313,$B10),_xlfn.MINIFS(BQ$2:$BQ$313,$B$2:$B$313,$B10)))</f>
        <v>1</v>
      </c>
      <c r="BS10" s="1">
        <f t="shared" si="48"/>
        <v>2</v>
      </c>
      <c r="BT10" s="1" t="str" cm="1">
        <f t="array" ref="BT10">IF($I10="","",IF($B10=1,_xlfn.XLOOKUP(1,($B$2:$B$313=$B10)*($BO$2:$BO$313=BR10),Data!$I$2:$I$313,,0),_xlfn.XLOOKUP(1,($B$2:$B$313=$B10)*($BQ$2:$BQ$313=$BR10),$I$2:$I$313,,0)))</f>
        <v>Kaleva Latvala</v>
      </c>
      <c r="BU10" s="1" t="str" cm="1">
        <f t="array" ref="BU10">IF(I10="","",IF($B10=1,_xlfn.XLOOKUP(1,($B$2:$B$313=$B10)*($BO$2:$BO$313=$BS10),$I$2:$I$313,,0),_xlfn.XLOOKUP(1,($B$2:$B$313=$B10)*($BQ$2:$BQ$313=$BS10),$I$2:$I$313,,0)))</f>
        <v>Roope Warro</v>
      </c>
      <c r="BV10" s="1" t="str" cm="1">
        <f t="array" ref="BV10">IF($I10="","",IF($B10=1,"",IF($B10=2,_xlfn.XLOOKUP(1,($B$2:$B$313=1)*($BO$2:$BO$313=1),$I$2:$I$313,,0),_xlfn.XLOOKUP($B10-1,$B$2:$B$313,$CH$2:$CH$313,,0))))</f>
        <v/>
      </c>
      <c r="BW10" s="1" t="str" cm="1">
        <f t="array" ref="BW10">IF($I10="","",IF($B10=1,"",IF(_xlfn.XLOOKUP(1,($B$2:$B$313=$B10)*($I$2:$I$313=$BV10),$BQ$2:$BQ$313,,0)="","NOK","OK")))</f>
        <v/>
      </c>
      <c r="BX10" s="1" t="str">
        <f t="shared" si="49"/>
        <v/>
      </c>
      <c r="BY10" s="1" t="str">
        <f t="shared" si="50"/>
        <v/>
      </c>
      <c r="BZ10" s="1" t="str">
        <f t="shared" si="51"/>
        <v/>
      </c>
      <c r="CA10" s="1" t="str">
        <f t="shared" si="52"/>
        <v/>
      </c>
      <c r="CB10" s="1" t="str">
        <f t="shared" si="53"/>
        <v/>
      </c>
      <c r="CC10" s="1" t="str">
        <f t="shared" si="54"/>
        <v/>
      </c>
      <c r="CD10" s="1" t="str">
        <f t="shared" si="55"/>
        <v/>
      </c>
      <c r="CE10" s="1" t="str">
        <f t="shared" si="56"/>
        <v/>
      </c>
      <c r="CF10" s="1" t="str">
        <f t="shared" si="57"/>
        <v/>
      </c>
      <c r="CG10" s="1" t="str">
        <f t="shared" si="58"/>
        <v/>
      </c>
      <c r="CH10" s="1" t="str">
        <f t="shared" si="59"/>
        <v>Kaleva Latvala</v>
      </c>
      <c r="CI10" s="1">
        <f t="shared" si="60"/>
        <v>0</v>
      </c>
      <c r="CJ10" s="1" t="str">
        <f ca="1">IF(B10="","",IF(SUM(AI10:AK10)&gt;0,"+SP","")&amp;IF(CI10&gt;0,"+KK","")&amp;IF(AB10&gt;0,"+KGP1","")&amp;IF(AC10&gt;0,"+KGP2","")&amp;IF(AG10&lt;0,"-KGP1","")&amp;IF(AH10&lt;0,"-KGP2",""))</f>
        <v>+SP</v>
      </c>
      <c r="CO10" s="1">
        <v>8</v>
      </c>
      <c r="CP10" s="5">
        <f>IF(COUNTIF($B$2:$B$313,$CO10)&gt;0,$CO10,"")</f>
        <v>8</v>
      </c>
      <c r="CR10" s="3">
        <v>8</v>
      </c>
      <c r="CS10" s="86">
        <v>45690</v>
      </c>
      <c r="CT10" s="142">
        <v>0.625</v>
      </c>
      <c r="CU10" s="3" t="s">
        <v>246</v>
      </c>
      <c r="CV10" s="1" t="str">
        <f ca="1">IF($CR10&gt;keilatut,"",OFFSET(tulossiirtymä,MATCH($CX10,$V$2:$V$313,0),0))</f>
        <v>Miika Nordblad</v>
      </c>
      <c r="CW10" s="1">
        <f ca="1">IF($CR10&gt;keilatut,"",OFFSET(tulossiirtymä,MATCH($CX10,$V$2:$V$313,0),3))</f>
        <v>343</v>
      </c>
      <c r="CX10" s="1" t="str">
        <f t="shared" si="61"/>
        <v>0801</v>
      </c>
      <c r="CY10" s="1">
        <f t="shared" si="62"/>
        <v>0</v>
      </c>
      <c r="CZ10" s="1">
        <f>IF(CY10=0,0,SUM($CY$3:CY10))</f>
        <v>0</v>
      </c>
      <c r="DA10" s="1">
        <f>IF($CR10&gt;keilatut,"",SUMIFS($M$2:$M$313,$B$2:$B$313,$CR10))</f>
        <v>14</v>
      </c>
      <c r="DB10" s="1">
        <f t="shared" ca="1" si="63"/>
        <v>343</v>
      </c>
      <c r="DC10" s="1">
        <f ca="1">IF(CP10="",NA(),SUMIFS($L$2:$L$313,$AL$2:$AL$313,_xlfn.MINIFS($AL$2:$AL$313,$B$2:$B$313,$CR10,$AL$2:$AL$313,"&gt;0"),$B$2:$B$313,$CR10)/COUNTIFS($B$2:$B$313,$CR10,$AL$2:$AL$313,_xlfn.MINIFS($AL$2:$AL$313,$B$2:$B$313,$CR10,$AL$2:$AL$313,"&gt;0")))</f>
        <v>242</v>
      </c>
      <c r="DD10" s="1">
        <f ca="1">IF(CW10="",NA(),SUMIFS($L$2:$L$313,$B$2:$B$313,$CR10)/SUMIFS($M$2:$M$313,$B$2:$B$313,$CR10))</f>
        <v>272.5</v>
      </c>
      <c r="DE10" s="1" t="e">
        <f t="array" aca="1" ref="DE10" ca="1">IF($CV10="","",INDEX($CV$3:$CV$15,MATCH(0,COUNTIF($DE$2:DE9,$CV$3:$CV$15),0)))</f>
        <v>#N/A</v>
      </c>
      <c r="DF10" s="1" t="e">
        <f t="shared" ca="1" si="64"/>
        <v>#N/A</v>
      </c>
    </row>
    <row r="11" spans="1:111" x14ac:dyDescent="0.25">
      <c r="A11" s="1">
        <f>IFERROR(IF(ROW(A10)=1,1,IF(1+A10&lt;=$CP$1*$CP$2,1+A10,"")),"")</f>
        <v>10</v>
      </c>
      <c r="B11" s="1">
        <f>IF($I11="","",IF(ROW(B10)=1,1,ROUNDUP(A11/$CP$2,0)))</f>
        <v>1</v>
      </c>
      <c r="C11" s="4">
        <f t="shared" si="7"/>
        <v>45556</v>
      </c>
      <c r="D11" s="4" t="str">
        <f t="shared" si="0"/>
        <v>U7 Gdansk, Puola</v>
      </c>
      <c r="E11" s="1">
        <f>IF($B11="","",COUNTIF($B$2:B11,B11))</f>
        <v>10</v>
      </c>
      <c r="F11" s="1" t="str">
        <f t="shared" si="1"/>
        <v>K2024GP01</v>
      </c>
      <c r="G11" s="1" t="str">
        <f t="shared" si="8"/>
        <v>K2024GP01_10</v>
      </c>
      <c r="H11" s="1">
        <f t="shared" si="9"/>
        <v>1</v>
      </c>
      <c r="I11" s="3" t="s">
        <v>133</v>
      </c>
      <c r="J11" s="3">
        <v>121</v>
      </c>
      <c r="K11" s="3">
        <v>127</v>
      </c>
      <c r="L11" s="1">
        <f t="shared" si="10"/>
        <v>248</v>
      </c>
      <c r="M11" s="1">
        <f t="shared" si="11"/>
        <v>1</v>
      </c>
      <c r="N11" s="1">
        <f t="shared" si="12"/>
        <v>2</v>
      </c>
      <c r="O11" s="1">
        <f t="shared" si="13"/>
        <v>248</v>
      </c>
      <c r="P11" s="1">
        <f t="shared" si="14"/>
        <v>11</v>
      </c>
      <c r="Q11" s="1">
        <f t="array" ref="Q11">IF($B11="","",IF(MAX(IF(B11=$B$2:$B$313,$L$2:$L$313))-L11=0,"",MAX(IF(B11=$B$2:$B$313,$L$2:$L$313))-L11))</f>
        <v>11</v>
      </c>
      <c r="R11" s="1">
        <f t="array" ref="R11">IF($B11="","",SUMPRODUCT(--($B$2:$B$313=B11),--(L11&lt;$L$2:$L$313))+1)</f>
        <v>2</v>
      </c>
      <c r="S11" s="1">
        <f t="shared" si="15"/>
        <v>2</v>
      </c>
      <c r="T11" s="1" cm="1">
        <f t="array" ref="T11">IF($B11="","",IF(M11=0,"",SUMPRODUCT(--($B$2:$B$313=B11),--(J11&lt;$J$2:$J$313))+1))</f>
        <v>3</v>
      </c>
      <c r="U11" s="1">
        <f t="shared" si="16"/>
        <v>-1</v>
      </c>
      <c r="V11" s="1" t="str">
        <f t="shared" si="17"/>
        <v>0102</v>
      </c>
      <c r="W11" s="1">
        <f t="shared" si="18"/>
        <v>1</v>
      </c>
      <c r="X11" s="1">
        <f t="shared" si="2"/>
        <v>0</v>
      </c>
      <c r="Y11" s="1">
        <f>IF($B11="","",MAX(_xlfn.MAXIFS($J$2:J11,$I$2:I11,$I11),_xlfn.MAXIFS($K$2:K11,$I$2:I11,$I11)))</f>
        <v>127</v>
      </c>
      <c r="Z11" s="1">
        <f t="shared" si="3"/>
        <v>141</v>
      </c>
      <c r="AA11" s="1">
        <f t="shared" si="19"/>
        <v>0</v>
      </c>
      <c r="AB11" s="1">
        <f t="shared" si="20"/>
        <v>0</v>
      </c>
      <c r="AC11" s="1">
        <f t="shared" si="21"/>
        <v>0</v>
      </c>
      <c r="AD11" s="1">
        <f>IF($B11="","",MIN(_xlfn.MINIFS($J$2:J11,$I$2:I11,$I11),_xlfn.MINIFS($K$2:K11,$I$2:I11,$I11)))</f>
        <v>121</v>
      </c>
      <c r="AE11" s="1">
        <f t="shared" si="22"/>
        <v>73</v>
      </c>
      <c r="AF11" s="1">
        <f t="shared" si="23"/>
        <v>0</v>
      </c>
      <c r="AG11" s="1">
        <f t="shared" si="24"/>
        <v>0</v>
      </c>
      <c r="AH11" s="1">
        <f t="shared" si="25"/>
        <v>0</v>
      </c>
      <c r="AI11" s="1">
        <f ca="1">IF($B11="","",IF($K11="",0,OFFSET($CO$17,R11,W11)))</f>
        <v>10</v>
      </c>
      <c r="AJ11" s="1">
        <f t="shared" ca="1" si="26"/>
        <v>0</v>
      </c>
      <c r="AK11" s="1">
        <f ca="1">IF(AJ11="","",IF(AJ11=0,0,IF(W11=1,0,SUM(OFFSET($CO$17,N11,1):OFFSET($CO$17,N11+W11-2,1))/W11)))</f>
        <v>0</v>
      </c>
      <c r="AL11" s="1">
        <f t="shared" ca="1" si="27"/>
        <v>10</v>
      </c>
      <c r="AM11" s="1">
        <f ca="1">IF($B11="","",SUMIFS($AL$2:AL11,$I$2:I11,$I11))</f>
        <v>10</v>
      </c>
      <c r="AN11" s="1">
        <f t="shared" si="28"/>
        <v>2.0000100000000001</v>
      </c>
      <c r="AO11" s="1">
        <f>IFERROR(IF($B11="","",AVERAGEIFS($L$2:L11,$I$2:I11,I11,$L$2:L11,"&lt;&gt;0")),0)</f>
        <v>248</v>
      </c>
      <c r="AP11" s="1">
        <f t="shared" si="29"/>
        <v>124</v>
      </c>
      <c r="AQ11" s="1">
        <f>IF($B11="","",COUNTIFS($R$2:R11,1,$I$2:I11,$I11))</f>
        <v>0</v>
      </c>
      <c r="AR11" s="1">
        <f t="array" aca="1" ref="AR11" ca="1">IF($B11="","",SUMPRODUCT(--($B$2:$B$313=B11),--(AM11&lt;$AM$2:$AM$313))+1)</f>
        <v>2</v>
      </c>
      <c r="AS11" s="1">
        <f t="array" ref="AS11">IF($B11="","",SUMPRODUCT(--($B$2:$B$313=B11),--(AP11&lt;$AP$2:$AP$313))+1)</f>
        <v>2</v>
      </c>
      <c r="AT11" s="1">
        <f t="array" ref="AT11">IF($B11="","",SUMPRODUCT(--($B$2:$B$313=B11),--(AQ11&lt;$AQ$2:$AQ$313))+1)</f>
        <v>2</v>
      </c>
      <c r="AU11" s="1">
        <f t="shared" si="30"/>
        <v>1E-8</v>
      </c>
      <c r="AV11" s="1">
        <f t="shared" ca="1" si="31"/>
        <v>2.0202009999999999E-2</v>
      </c>
      <c r="AW11" s="1" t="str">
        <f t="shared" si="4"/>
        <v/>
      </c>
      <c r="AX11" s="1" t="str">
        <f t="shared" si="32"/>
        <v/>
      </c>
      <c r="AY11" s="8">
        <f t="shared" ca="1" si="33"/>
        <v>2.0202009999999999E-2</v>
      </c>
      <c r="AZ11" s="1" cm="1">
        <f t="array" aca="1" ref="AZ11" ca="1">IF($B11="","",SUMPRODUCT(--($B$2:$B$313=B11),--(AY11&gt;$AY$2:$AY$313))+1)</f>
        <v>2</v>
      </c>
      <c r="BA11" s="1" t="str">
        <f t="shared" si="34"/>
        <v>K2024GP01_10_1</v>
      </c>
      <c r="BB11" s="1" t="str">
        <f t="shared" si="35"/>
        <v>K2024GP01_10_2</v>
      </c>
      <c r="BC11" s="1">
        <f t="shared" si="36"/>
        <v>0</v>
      </c>
      <c r="BD11" s="1">
        <f t="shared" si="37"/>
        <v>1</v>
      </c>
      <c r="BE11" s="1">
        <f t="shared" si="38"/>
        <v>1</v>
      </c>
      <c r="BF11" s="1">
        <f t="shared" si="39"/>
        <v>127</v>
      </c>
      <c r="BG11" s="1">
        <f t="shared" si="40"/>
        <v>121</v>
      </c>
      <c r="BH11" s="1">
        <f t="shared" si="41"/>
        <v>6</v>
      </c>
      <c r="BI11" s="1">
        <f t="shared" si="42"/>
        <v>1</v>
      </c>
      <c r="BJ11" s="1">
        <f t="shared" si="43"/>
        <v>6.0100000000000001E-2</v>
      </c>
      <c r="BK11" s="1">
        <f t="shared" si="44"/>
        <v>0</v>
      </c>
      <c r="BL11" s="1">
        <f t="shared" si="45"/>
        <v>9.8999999999999994E-5</v>
      </c>
      <c r="BM11" s="1">
        <f t="shared" si="46"/>
        <v>6.0199000000000003E-2</v>
      </c>
      <c r="BN11" s="1">
        <f t="shared" si="47"/>
        <v>0</v>
      </c>
      <c r="BO11" s="1">
        <f t="shared" si="5"/>
        <v>6</v>
      </c>
      <c r="BP11" s="1">
        <f t="shared" si="6"/>
        <v>0</v>
      </c>
      <c r="BQ11" s="1" t="str" cm="1">
        <f t="array" ref="BQ11">IF(I11="","",IF(BP11=1,"",IF(L11=0,"",IF(B11=1,"",_xlfn.XLOOKUP(1,($I$2:$I$313=$I11)*($B$2:$B$313=($B11-1)),$BO$2:$BO$313)))))</f>
        <v/>
      </c>
      <c r="BR11" s="1">
        <f>IF(I11="","",IF($B11=1,_xlfn.MINIFS($BO$2:$BO$313,$B$2:$B$313,$B11),_xlfn.MINIFS(BQ$2:$BQ$313,$B$2:$B$313,$B11)))</f>
        <v>1</v>
      </c>
      <c r="BS11" s="1">
        <f t="shared" si="48"/>
        <v>2</v>
      </c>
      <c r="BT11" s="1" t="str" cm="1">
        <f t="array" ref="BT11">IF($I11="","",IF($B11=1,_xlfn.XLOOKUP(1,($B$2:$B$313=$B11)*($BO$2:$BO$313=BR11),Data!$I$2:$I$313,,0),_xlfn.XLOOKUP(1,($B$2:$B$313=$B11)*($BQ$2:$BQ$313=$BR11),$I$2:$I$313,,0)))</f>
        <v>Kaleva Latvala</v>
      </c>
      <c r="BU11" s="1" t="str" cm="1">
        <f t="array" ref="BU11">IF(I11="","",IF($B11=1,_xlfn.XLOOKUP(1,($B$2:$B$313=$B11)*($BO$2:$BO$313=$BS11),$I$2:$I$313,,0),_xlfn.XLOOKUP(1,($B$2:$B$313=$B11)*($BQ$2:$BQ$313=$BS11),$I$2:$I$313,,0)))</f>
        <v>Roope Warro</v>
      </c>
      <c r="BV11" s="1" t="str" cm="1">
        <f t="array" ref="BV11">IF($I11="","",IF($B11=1,"",IF($B11=2,_xlfn.XLOOKUP(1,($B$2:$B$313=1)*($BO$2:$BO$313=1),$I$2:$I$313,,0),_xlfn.XLOOKUP($B11-1,$B$2:$B$313,$CH$2:$CH$313,,0))))</f>
        <v/>
      </c>
      <c r="BW11" s="1" t="str" cm="1">
        <f t="array" ref="BW11">IF($I11="","",IF($B11=1,"",IF(_xlfn.XLOOKUP(1,($B$2:$B$313=$B11)*($I$2:$I$313=$BV11),$BQ$2:$BQ$313,,0)="","NOK","OK")))</f>
        <v/>
      </c>
      <c r="BX11" s="1" t="str">
        <f t="shared" si="49"/>
        <v/>
      </c>
      <c r="BY11" s="1" t="str">
        <f t="shared" si="50"/>
        <v/>
      </c>
      <c r="BZ11" s="1" t="str">
        <f t="shared" si="51"/>
        <v/>
      </c>
      <c r="CA11" s="1" t="str">
        <f t="shared" si="52"/>
        <v/>
      </c>
      <c r="CB11" s="1" t="str">
        <f t="shared" si="53"/>
        <v/>
      </c>
      <c r="CC11" s="1" t="str">
        <f t="shared" si="54"/>
        <v/>
      </c>
      <c r="CD11" s="1" t="str">
        <f t="shared" si="55"/>
        <v/>
      </c>
      <c r="CE11" s="1" t="str">
        <f t="shared" si="56"/>
        <v/>
      </c>
      <c r="CF11" s="1" t="str">
        <f t="shared" si="57"/>
        <v/>
      </c>
      <c r="CG11" s="1" t="str">
        <f t="shared" si="58"/>
        <v/>
      </c>
      <c r="CH11" s="1" t="str">
        <f t="shared" si="59"/>
        <v>Kaleva Latvala</v>
      </c>
      <c r="CI11" s="1">
        <f t="shared" si="60"/>
        <v>0</v>
      </c>
      <c r="CJ11" s="1" t="str">
        <f ca="1">IF(B11="","",IF(SUM(AI11:AK11)&gt;0,"+SP","")&amp;IF(CI11&gt;0,"+KK","")&amp;IF(AB11&gt;0,"+KGP1","")&amp;IF(AC11&gt;0,"+KGP2","")&amp;IF(AG11&lt;0,"-KGP1","")&amp;IF(AH11&lt;0,"-KGP2",""))</f>
        <v>+SP</v>
      </c>
      <c r="CO11" s="1">
        <v>9</v>
      </c>
      <c r="CP11" s="5">
        <f>IF(COUNTIF($B$2:$B$313,$CO11)&gt;0,$CO11,"")</f>
        <v>9</v>
      </c>
      <c r="CR11" s="3">
        <v>9</v>
      </c>
      <c r="CS11" s="86">
        <v>45711</v>
      </c>
      <c r="CT11" s="142">
        <v>0.58333333333333337</v>
      </c>
      <c r="CU11" s="3" t="s">
        <v>240</v>
      </c>
      <c r="CV11" s="1" t="str">
        <f ca="1">IF($CR11&gt;keilatut,"",OFFSET(tulossiirtymä,MATCH($CX11,$V$2:$V$313,0),0))</f>
        <v>Jami Kallio</v>
      </c>
      <c r="CW11" s="1">
        <f ca="1">IF($CR11&gt;keilatut,"",OFFSET(tulossiirtymä,MATCH($CX11,$V$2:$V$313,0),3))</f>
        <v>307</v>
      </c>
      <c r="CX11" s="1" t="str">
        <f t="shared" si="61"/>
        <v>0901</v>
      </c>
      <c r="CY11" s="1">
        <f t="shared" si="62"/>
        <v>0</v>
      </c>
      <c r="CZ11" s="1">
        <f>IF(CY11=0,0,SUM($CY$3:CY11))</f>
        <v>0</v>
      </c>
      <c r="DA11" s="1">
        <f>IF($CR11&gt;keilatut,"",SUMIFS($M$2:$M$313,$B$2:$B$313,$CR11))</f>
        <v>13</v>
      </c>
      <c r="DB11" s="1">
        <f t="shared" ca="1" si="63"/>
        <v>307</v>
      </c>
      <c r="DC11" s="1">
        <f ca="1">IF(CP11="",NA(),SUMIFS($L$2:$L$313,$AL$2:$AL$313,_xlfn.MINIFS($AL$2:$AL$313,$B$2:$B$313,$CR11,$AL$2:$AL$313,"&gt;0"),$B$2:$B$313,$CR11)/COUNTIFS($B$2:$B$313,$CR11,$AL$2:$AL$313,_xlfn.MINIFS($AL$2:$AL$313,$B$2:$B$313,$CR11,$AL$2:$AL$313,"&gt;0")))</f>
        <v>256</v>
      </c>
      <c r="DD11" s="1">
        <f ca="1">IF(CW11="",NA(),SUMIFS($L$2:$L$313,$B$2:$B$313,$CR11)/SUMIFS($M$2:$M$313,$B$2:$B$313,$CR11))</f>
        <v>266.61538461538464</v>
      </c>
      <c r="DE11" s="1" t="e">
        <f t="array" aca="1" ref="DE11" ca="1">IF($CV11="","",INDEX($CV$3:$CV$15,MATCH(0,COUNTIF($DE$2:DE10,$CV$3:$CV$15),0)))</f>
        <v>#N/A</v>
      </c>
      <c r="DF11" s="1" t="e">
        <f t="shared" ca="1" si="64"/>
        <v>#N/A</v>
      </c>
    </row>
    <row r="12" spans="1:111" x14ac:dyDescent="0.25">
      <c r="A12" s="1">
        <f>IFERROR(IF(ROW(A11)=1,1,IF(1+A11&lt;=$CP$1*$CP$2,1+A11,"")),"")</f>
        <v>11</v>
      </c>
      <c r="B12" s="1">
        <f>IF($I12="","",IF(ROW(B11)=1,1,ROUNDUP(A12/$CP$2,0)))</f>
        <v>1</v>
      </c>
      <c r="C12" s="4">
        <f t="shared" si="7"/>
        <v>45556</v>
      </c>
      <c r="D12" s="4" t="str">
        <f t="shared" si="0"/>
        <v>U7 Gdansk, Puola</v>
      </c>
      <c r="E12" s="1">
        <f>IF($B12="","",COUNTIF($B$2:B12,B12))</f>
        <v>11</v>
      </c>
      <c r="F12" s="1" t="str">
        <f t="shared" si="1"/>
        <v>K2024GP01</v>
      </c>
      <c r="G12" s="1" t="str">
        <f t="shared" si="8"/>
        <v>K2024GP01_11</v>
      </c>
      <c r="H12" s="1">
        <f t="shared" si="9"/>
        <v>1</v>
      </c>
      <c r="I12" s="3" t="s">
        <v>132</v>
      </c>
      <c r="J12" s="3">
        <v>73</v>
      </c>
      <c r="K12" s="3">
        <v>131</v>
      </c>
      <c r="L12" s="1">
        <f t="shared" si="10"/>
        <v>204</v>
      </c>
      <c r="M12" s="1">
        <f t="shared" si="11"/>
        <v>1</v>
      </c>
      <c r="N12" s="1">
        <f t="shared" si="12"/>
        <v>7</v>
      </c>
      <c r="O12" s="1">
        <f t="shared" si="13"/>
        <v>204</v>
      </c>
      <c r="P12" s="1">
        <f t="shared" si="14"/>
        <v>55</v>
      </c>
      <c r="Q12" s="1">
        <f t="array" ref="Q12">IF($B12="","",IF(MAX(IF(B12=$B$2:$B$313,$L$2:$L$313))-L12=0,"",MAX(IF(B12=$B$2:$B$313,$L$2:$L$313))-L12))</f>
        <v>55</v>
      </c>
      <c r="R12" s="1">
        <f t="array" ref="R12">IF($B12="","",SUMPRODUCT(--($B$2:$B$313=B12),--(L12&lt;$L$2:$L$313))+1)</f>
        <v>7</v>
      </c>
      <c r="S12" s="1">
        <f t="shared" si="15"/>
        <v>2</v>
      </c>
      <c r="T12" s="1" cm="1">
        <f t="array" ref="T12">IF($B12="","",IF(M12=0,"",SUMPRODUCT(--($B$2:$B$313=B12),--(J12&lt;$J$2:$J$313))+1))</f>
        <v>11</v>
      </c>
      <c r="U12" s="1">
        <f t="shared" si="16"/>
        <v>-4</v>
      </c>
      <c r="V12" s="1" t="str">
        <f t="shared" si="17"/>
        <v>0107</v>
      </c>
      <c r="W12" s="1">
        <f t="shared" si="18"/>
        <v>1</v>
      </c>
      <c r="X12" s="1">
        <f t="shared" si="2"/>
        <v>0</v>
      </c>
      <c r="Y12" s="1">
        <f>IF($B12="","",MAX(_xlfn.MAXIFS($J$2:J12,$I$2:I12,$I12),_xlfn.MAXIFS($K$2:K12,$I$2:I12,$I12)))</f>
        <v>131</v>
      </c>
      <c r="Z12" s="1">
        <f t="shared" si="3"/>
        <v>141</v>
      </c>
      <c r="AA12" s="1">
        <f t="shared" si="19"/>
        <v>0</v>
      </c>
      <c r="AB12" s="1">
        <f t="shared" si="20"/>
        <v>0</v>
      </c>
      <c r="AC12" s="1">
        <f t="shared" si="21"/>
        <v>0</v>
      </c>
      <c r="AD12" s="1">
        <f>IF($B12="","",MIN(_xlfn.MINIFS($J$2:J12,$I$2:I12,$I12),_xlfn.MINIFS($K$2:K12,$I$2:I12,$I12)))</f>
        <v>73</v>
      </c>
      <c r="AE12" s="1">
        <f t="shared" si="22"/>
        <v>73</v>
      </c>
      <c r="AF12" s="1">
        <f t="shared" si="23"/>
        <v>0</v>
      </c>
      <c r="AG12" s="1">
        <f t="shared" si="24"/>
        <v>0</v>
      </c>
      <c r="AH12" s="1">
        <f t="shared" si="25"/>
        <v>0</v>
      </c>
      <c r="AI12" s="1">
        <f ca="1">IF($B12="","",IF($K12="",0,OFFSET($CO$17,R12,W12)))</f>
        <v>4</v>
      </c>
      <c r="AJ12" s="1">
        <f t="shared" ca="1" si="26"/>
        <v>0</v>
      </c>
      <c r="AK12" s="1">
        <f ca="1">IF(AJ12="","",IF(AJ12=0,0,IF(W12=1,0,SUM(OFFSET($CO$17,N12,1):OFFSET($CO$17,N12+W12-2,1))/W12)))</f>
        <v>0</v>
      </c>
      <c r="AL12" s="1">
        <f t="shared" ca="1" si="27"/>
        <v>4</v>
      </c>
      <c r="AM12" s="1">
        <f ca="1">IF($B12="","",SUMIFS($AL$2:AL12,$I$2:I12,$I12))</f>
        <v>4</v>
      </c>
      <c r="AN12" s="1">
        <f t="shared" si="28"/>
        <v>7.0000109999999998</v>
      </c>
      <c r="AO12" s="1">
        <f>IFERROR(IF($B12="","",AVERAGEIFS($L$2:L12,$I$2:I12,I12,$L$2:L12,"&lt;&gt;0")),0)</f>
        <v>204</v>
      </c>
      <c r="AP12" s="1">
        <f t="shared" si="29"/>
        <v>102</v>
      </c>
      <c r="AQ12" s="1">
        <f>IF($B12="","",COUNTIFS($R$2:R12,1,$I$2:I12,$I12))</f>
        <v>0</v>
      </c>
      <c r="AR12" s="1">
        <f t="array" aca="1" ref="AR12" ca="1">IF($B12="","",SUMPRODUCT(--($B$2:$B$313=B12),--(AM12&lt;$AM$2:$AM$313))+1)</f>
        <v>7</v>
      </c>
      <c r="AS12" s="1">
        <f t="array" ref="AS12">IF($B12="","",SUMPRODUCT(--($B$2:$B$313=B12),--(AP12&lt;$AP$2:$AP$313))+1)</f>
        <v>7</v>
      </c>
      <c r="AT12" s="1">
        <f t="array" ref="AT12">IF($B12="","",SUMPRODUCT(--($B$2:$B$313=B12),--(AQ12&lt;$AQ$2:$AQ$313))+1)</f>
        <v>2</v>
      </c>
      <c r="AU12" s="1">
        <f t="shared" si="30"/>
        <v>1.0999999999999999E-8</v>
      </c>
      <c r="AV12" s="1">
        <f t="shared" ca="1" si="31"/>
        <v>7.0702011000000009E-2</v>
      </c>
      <c r="AW12" s="1" t="str">
        <f t="shared" si="4"/>
        <v/>
      </c>
      <c r="AX12" s="1" t="str">
        <f t="shared" si="32"/>
        <v/>
      </c>
      <c r="AY12" s="8">
        <f t="shared" ca="1" si="33"/>
        <v>7.0702011000000009E-2</v>
      </c>
      <c r="AZ12" s="1" cm="1">
        <f t="array" aca="1" ref="AZ12" ca="1">IF($B12="","",SUMPRODUCT(--($B$2:$B$313=B12),--(AY12&gt;$AY$2:$AY$313))+1)</f>
        <v>7</v>
      </c>
      <c r="BA12" s="1" t="str">
        <f t="shared" si="34"/>
        <v>K2024GP01_11_1</v>
      </c>
      <c r="BB12" s="1" t="str">
        <f t="shared" si="35"/>
        <v>K2024GP01_11_2</v>
      </c>
      <c r="BC12" s="1">
        <f t="shared" si="36"/>
        <v>0</v>
      </c>
      <c r="BD12" s="1">
        <f t="shared" si="37"/>
        <v>0</v>
      </c>
      <c r="BE12" s="1">
        <f t="shared" si="38"/>
        <v>1</v>
      </c>
      <c r="BF12" s="1">
        <f t="shared" si="39"/>
        <v>131</v>
      </c>
      <c r="BG12" s="1">
        <f t="shared" si="40"/>
        <v>73</v>
      </c>
      <c r="BH12" s="1">
        <f t="shared" si="41"/>
        <v>2</v>
      </c>
      <c r="BI12" s="1">
        <f t="shared" si="42"/>
        <v>10</v>
      </c>
      <c r="BJ12" s="1">
        <f t="shared" si="43"/>
        <v>2.1000000000000001E-2</v>
      </c>
      <c r="BK12" s="1">
        <f t="shared" si="44"/>
        <v>0</v>
      </c>
      <c r="BL12" s="1">
        <f t="shared" si="45"/>
        <v>9.8999999999999994E-5</v>
      </c>
      <c r="BM12" s="1">
        <f t="shared" si="46"/>
        <v>2.1099E-2</v>
      </c>
      <c r="BN12" s="1">
        <f t="shared" si="47"/>
        <v>0</v>
      </c>
      <c r="BO12" s="1">
        <f t="shared" si="5"/>
        <v>2</v>
      </c>
      <c r="BP12" s="1">
        <f t="shared" si="6"/>
        <v>0</v>
      </c>
      <c r="BQ12" s="1" t="str" cm="1">
        <f t="array" ref="BQ12">IF(I12="","",IF(BP12=1,"",IF(L12=0,"",IF(B12=1,"",_xlfn.XLOOKUP(1,($I$2:$I$313=$I12)*($B$2:$B$313=($B12-1)),$BO$2:$BO$313)))))</f>
        <v/>
      </c>
      <c r="BR12" s="1">
        <f>IF(I12="","",IF($B12=1,_xlfn.MINIFS($BO$2:$BO$313,$B$2:$B$313,$B12),_xlfn.MINIFS(BQ$2:$BQ$313,$B$2:$B$313,$B12)))</f>
        <v>1</v>
      </c>
      <c r="BS12" s="1">
        <f t="shared" si="48"/>
        <v>2</v>
      </c>
      <c r="BT12" s="1" t="str" cm="1">
        <f t="array" ref="BT12">IF($I12="","",IF($B12=1,_xlfn.XLOOKUP(1,($B$2:$B$313=$B12)*($BO$2:$BO$313=BR12),Data!$I$2:$I$313,,0),_xlfn.XLOOKUP(1,($B$2:$B$313=$B12)*($BQ$2:$BQ$313=$BR12),$I$2:$I$313,,0)))</f>
        <v>Kaleva Latvala</v>
      </c>
      <c r="BU12" s="1" t="str" cm="1">
        <f t="array" ref="BU12">IF(I12="","",IF($B12=1,_xlfn.XLOOKUP(1,($B$2:$B$313=$B12)*($BO$2:$BO$313=$BS12),$I$2:$I$313,,0),_xlfn.XLOOKUP(1,($B$2:$B$313=$B12)*($BQ$2:$BQ$313=$BS12),$I$2:$I$313,,0)))</f>
        <v>Roope Warro</v>
      </c>
      <c r="BV12" s="1" t="str" cm="1">
        <f t="array" ref="BV12">IF($I12="","",IF($B12=1,"",IF($B12=2,_xlfn.XLOOKUP(1,($B$2:$B$313=1)*($BO$2:$BO$313=1),$I$2:$I$313,,0),_xlfn.XLOOKUP($B12-1,$B$2:$B$313,$CH$2:$CH$313,,0))))</f>
        <v/>
      </c>
      <c r="BW12" s="1" t="str" cm="1">
        <f t="array" ref="BW12">IF($I12="","",IF($B12=1,"",IF(_xlfn.XLOOKUP(1,($B$2:$B$313=$B12)*($I$2:$I$313=$BV12),$BQ$2:$BQ$313,,0)="","NOK","OK")))</f>
        <v/>
      </c>
      <c r="BX12" s="1" t="str">
        <f t="shared" si="49"/>
        <v/>
      </c>
      <c r="BY12" s="1" t="str">
        <f t="shared" si="50"/>
        <v/>
      </c>
      <c r="BZ12" s="1" t="str">
        <f t="shared" si="51"/>
        <v/>
      </c>
      <c r="CA12" s="1" t="str">
        <f t="shared" si="52"/>
        <v/>
      </c>
      <c r="CB12" s="1" t="str">
        <f t="shared" si="53"/>
        <v/>
      </c>
      <c r="CC12" s="1" t="str">
        <f t="shared" si="54"/>
        <v/>
      </c>
      <c r="CD12" s="1" t="str">
        <f t="shared" si="55"/>
        <v/>
      </c>
      <c r="CE12" s="1" t="str">
        <f t="shared" si="56"/>
        <v/>
      </c>
      <c r="CF12" s="1" t="str">
        <f t="shared" si="57"/>
        <v/>
      </c>
      <c r="CG12" s="1" t="str">
        <f t="shared" si="58"/>
        <v/>
      </c>
      <c r="CH12" s="1" t="str">
        <f t="shared" si="59"/>
        <v>Kaleva Latvala</v>
      </c>
      <c r="CI12" s="1">
        <f t="shared" si="60"/>
        <v>0</v>
      </c>
      <c r="CJ12" s="1" t="str">
        <f ca="1">IF(B12="","",IF(SUM(AI12:AK12)&gt;0,"+SP","")&amp;IF(CI12&gt;0,"+KK","")&amp;IF(AB12&gt;0,"+KGP1","")&amp;IF(AC12&gt;0,"+KGP2","")&amp;IF(AG12&lt;0,"-KGP1","")&amp;IF(AH12&lt;0,"-KGP2",""))</f>
        <v>+SP</v>
      </c>
      <c r="CO12" s="1">
        <v>10</v>
      </c>
      <c r="CP12" s="5">
        <f>IF(COUNTIF($B$2:$B$313,$CO12)&gt;0,$CO12,"")</f>
        <v>10</v>
      </c>
      <c r="CR12" s="3">
        <v>10</v>
      </c>
      <c r="CS12" s="86">
        <v>45732</v>
      </c>
      <c r="CT12" s="142">
        <v>0.58333333333333337</v>
      </c>
      <c r="CU12" s="3" t="s">
        <v>240</v>
      </c>
      <c r="CV12" s="1" t="str">
        <f ca="1">IF($CR12&gt;keilatut,"",OFFSET(tulossiirtymä,MATCH($CX12,$V$2:$V$313,0),0))</f>
        <v>Miika Nordblad</v>
      </c>
      <c r="CW12" s="1">
        <f ca="1">IF($CR12&gt;keilatut,"",OFFSET(tulossiirtymä,MATCH($CX12,$V$2:$V$313,0),3))</f>
        <v>313</v>
      </c>
      <c r="CX12" s="1" t="str">
        <f t="shared" si="61"/>
        <v>1001</v>
      </c>
      <c r="CY12" s="1">
        <f t="shared" si="62"/>
        <v>0</v>
      </c>
      <c r="CZ12" s="1">
        <f>IF(CY12=0,0,SUM($CY$3:CY12))</f>
        <v>0</v>
      </c>
      <c r="DA12" s="1">
        <f>IF($CR12&gt;keilatut,"",SUMIFS($M$2:$M$313,$B$2:$B$313,$CR12))</f>
        <v>10</v>
      </c>
      <c r="DB12" s="1">
        <f t="shared" ca="1" si="63"/>
        <v>313</v>
      </c>
      <c r="DC12" s="1">
        <f ca="1">IF(CP12="",NA(),SUMIFS($L$2:$L$313,$AL$2:$AL$313,_xlfn.MINIFS($AL$2:$AL$313,$B$2:$B$313,$CR12,$AL$2:$AL$313,"&gt;0"),$B$2:$B$313,$CR12)/COUNTIFS($B$2:$B$313,$CR12,$AL$2:$AL$313,_xlfn.MINIFS($AL$2:$AL$313,$B$2:$B$313,$CR12,$AL$2:$AL$313,"&gt;0")))</f>
        <v>226</v>
      </c>
      <c r="DD12" s="1">
        <f ca="1">IF(CW12="",NA(),SUMIFS($L$2:$L$313,$B$2:$B$313,$CR12)/SUMIFS($M$2:$M$313,$B$2:$B$313,$CR12))</f>
        <v>256.3</v>
      </c>
      <c r="DE12" s="1" t="e">
        <f t="array" aca="1" ref="DE12" ca="1">IF($CV12="","",INDEX($CV$3:$CV$15,MATCH(0,COUNTIF($DE$2:DE11,$CV$3:$CV$15),0)))</f>
        <v>#N/A</v>
      </c>
      <c r="DF12" s="1" t="e">
        <f t="shared" ca="1" si="64"/>
        <v>#N/A</v>
      </c>
    </row>
    <row r="13" spans="1:111" x14ac:dyDescent="0.25">
      <c r="A13" s="1">
        <f>IFERROR(IF(ROW(A12)=1,1,IF(1+A12&lt;=$CP$1*$CP$2,1+A12,"")),"")</f>
        <v>12</v>
      </c>
      <c r="B13" s="1">
        <f>IF($I13="","",IF(ROW(B12)=1,1,ROUNDUP(A13/$CP$2,0)))</f>
        <v>1</v>
      </c>
      <c r="C13" s="4">
        <f t="shared" si="7"/>
        <v>45556</v>
      </c>
      <c r="D13" s="4" t="str">
        <f t="shared" si="0"/>
        <v>U7 Gdansk, Puola</v>
      </c>
      <c r="E13" s="1">
        <f>IF($B13="","",COUNTIF($B$2:B13,B13))</f>
        <v>12</v>
      </c>
      <c r="F13" s="1" t="str">
        <f t="shared" si="1"/>
        <v>K2024GP01</v>
      </c>
      <c r="G13" s="1" t="str">
        <f t="shared" si="8"/>
        <v>K2024GP01_12</v>
      </c>
      <c r="H13" s="1">
        <f t="shared" si="9"/>
        <v>1</v>
      </c>
      <c r="I13" s="3" t="s">
        <v>126</v>
      </c>
      <c r="J13" s="3"/>
      <c r="K13" s="3"/>
      <c r="L13" s="1">
        <f t="shared" si="10"/>
        <v>0</v>
      </c>
      <c r="M13" s="1">
        <f t="shared" si="11"/>
        <v>0</v>
      </c>
      <c r="N13" s="1" t="str">
        <f t="shared" si="12"/>
        <v/>
      </c>
      <c r="O13" s="1" t="str">
        <f t="shared" si="13"/>
        <v/>
      </c>
      <c r="P13" s="1" t="str">
        <f t="shared" si="14"/>
        <v/>
      </c>
      <c r="Q13" s="1">
        <f t="array" ref="Q13">IF($B13="","",IF(MAX(IF(B13=$B$2:$B$313,$L$2:$L$313))-L13=0,"",MAX(IF(B13=$B$2:$B$313,$L$2:$L$313))-L13))</f>
        <v>259</v>
      </c>
      <c r="R13" s="1">
        <f t="array" ref="R13">IF($B13="","",SUMPRODUCT(--($B$2:$B$313=B13),--(L13&lt;$L$2:$L$313))+1)</f>
        <v>12</v>
      </c>
      <c r="S13" s="1">
        <f t="shared" si="15"/>
        <v>0</v>
      </c>
      <c r="T13" s="1" t="str" cm="1">
        <f t="array" ref="T13">IF($B13="","",IF(M13=0,"",SUMPRODUCT(--($B$2:$B$313=B13),--(J13&lt;$J$2:$J$313))+1))</f>
        <v/>
      </c>
      <c r="U13" s="1" t="str">
        <f t="shared" si="16"/>
        <v/>
      </c>
      <c r="V13" s="1" t="str">
        <f t="shared" si="17"/>
        <v>0112</v>
      </c>
      <c r="W13" s="1">
        <f t="shared" si="18"/>
        <v>7</v>
      </c>
      <c r="X13" s="1">
        <f t="shared" si="2"/>
        <v>0</v>
      </c>
      <c r="Y13" s="1">
        <f>IF($B13="","",MAX(_xlfn.MAXIFS($J$2:J13,$I$2:I13,$I13),_xlfn.MAXIFS($K$2:K13,$I$2:I13,$I13)))</f>
        <v>0</v>
      </c>
      <c r="Z13" s="1">
        <f t="shared" si="3"/>
        <v>141</v>
      </c>
      <c r="AA13" s="1">
        <f t="shared" si="19"/>
        <v>0</v>
      </c>
      <c r="AB13" s="1">
        <f t="shared" si="20"/>
        <v>0</v>
      </c>
      <c r="AC13" s="1">
        <f t="shared" si="21"/>
        <v>0</v>
      </c>
      <c r="AD13" s="1">
        <f>IF($B13="","",MIN(_xlfn.MINIFS($J$2:J13,$I$2:I13,$I13),_xlfn.MINIFS($K$2:K13,$I$2:I13,$I13)))</f>
        <v>0</v>
      </c>
      <c r="AE13" s="1">
        <f t="shared" si="22"/>
        <v>73</v>
      </c>
      <c r="AF13" s="1">
        <f t="shared" si="23"/>
        <v>0</v>
      </c>
      <c r="AG13" s="1">
        <f t="shared" si="24"/>
        <v>0</v>
      </c>
      <c r="AH13" s="1">
        <f t="shared" si="25"/>
        <v>0</v>
      </c>
      <c r="AI13" s="1">
        <f ca="1">IF($B13="","",IF($K13="",0,OFFSET($CO$17,R13,W13)))</f>
        <v>0</v>
      </c>
      <c r="AJ13" s="1">
        <f t="shared" ca="1" si="26"/>
        <v>0</v>
      </c>
      <c r="AK13" s="1">
        <f ca="1">IF(AJ13="","",IF(AJ13=0,0,IF(W13=1,0,SUM(OFFSET($CO$17,N13,1):OFFSET($CO$17,N13+W13-2,1))/W13)))</f>
        <v>0</v>
      </c>
      <c r="AL13" s="1">
        <f t="shared" si="27"/>
        <v>0</v>
      </c>
      <c r="AM13" s="1">
        <f>IF($B13="","",SUMIFS($AL$2:AL13,$I$2:I13,$I13))</f>
        <v>0</v>
      </c>
      <c r="AN13" s="1">
        <f t="shared" si="28"/>
        <v>12.000012</v>
      </c>
      <c r="AO13" s="1">
        <f>IFERROR(IF($B13="","",AVERAGEIFS($L$2:L13,$I$2:I13,I13,$L$2:L13,"&lt;&gt;0")),0)</f>
        <v>0</v>
      </c>
      <c r="AP13" s="1">
        <f t="shared" si="29"/>
        <v>0</v>
      </c>
      <c r="AQ13" s="1">
        <f>IF($B13="","",COUNTIFS($R$2:R13,1,$I$2:I13,$I13))</f>
        <v>0</v>
      </c>
      <c r="AR13" s="1">
        <f t="array" aca="1" ref="AR13" ca="1">IF($B13="","",SUMPRODUCT(--($B$2:$B$313=B13),--(AM13&lt;$AM$2:$AM$313))+1)</f>
        <v>11</v>
      </c>
      <c r="AS13" s="1">
        <f t="array" ref="AS13">IF($B13="","",SUMPRODUCT(--($B$2:$B$313=B13),--(AP13&lt;$AP$2:$AP$313))+1)</f>
        <v>12</v>
      </c>
      <c r="AT13" s="1">
        <f t="array" ref="AT13">IF($B13="","",SUMPRODUCT(--($B$2:$B$313=B13),--(AQ13&lt;$AQ$2:$AQ$313))+1)</f>
        <v>2</v>
      </c>
      <c r="AU13" s="1">
        <f t="shared" si="30"/>
        <v>1.2E-8</v>
      </c>
      <c r="AV13" s="1">
        <f t="shared" ca="1" si="31"/>
        <v>0.111202012</v>
      </c>
      <c r="AW13" s="1" t="str">
        <f t="shared" si="4"/>
        <v/>
      </c>
      <c r="AX13" s="1" t="str">
        <f t="shared" si="32"/>
        <v/>
      </c>
      <c r="AY13" s="8">
        <f t="shared" ca="1" si="33"/>
        <v>0.111202012</v>
      </c>
      <c r="AZ13" s="1" cm="1">
        <f t="array" aca="1" ref="AZ13" ca="1">IF($B13="","",SUMPRODUCT(--($B$2:$B$313=B13),--(AY13&gt;$AY$2:$AY$313))+1)</f>
        <v>12</v>
      </c>
      <c r="BA13" s="1" t="str">
        <f t="shared" si="34"/>
        <v>K2024GP01_12_1</v>
      </c>
      <c r="BB13" s="1" t="str">
        <f t="shared" si="35"/>
        <v>K2024GP01_12_2</v>
      </c>
      <c r="BC13" s="1">
        <f t="shared" si="36"/>
        <v>0</v>
      </c>
      <c r="BD13" s="1">
        <f t="shared" si="37"/>
        <v>0</v>
      </c>
      <c r="BE13" s="1">
        <f t="shared" si="38"/>
        <v>1</v>
      </c>
      <c r="BF13" s="1">
        <f t="shared" si="39"/>
        <v>0</v>
      </c>
      <c r="BG13" s="1">
        <f t="shared" si="40"/>
        <v>0</v>
      </c>
      <c r="BH13" s="1">
        <f t="shared" si="41"/>
        <v>12</v>
      </c>
      <c r="BI13" s="1">
        <f t="shared" si="42"/>
        <v>12</v>
      </c>
      <c r="BJ13" s="1">
        <f t="shared" si="43"/>
        <v>0.1212</v>
      </c>
      <c r="BK13" s="1" t="str">
        <f t="shared" si="44"/>
        <v/>
      </c>
      <c r="BL13" s="1">
        <f t="shared" si="45"/>
        <v>9.8999999999999994E-5</v>
      </c>
      <c r="BM13" s="1">
        <f t="shared" si="46"/>
        <v>0.1213003</v>
      </c>
      <c r="BN13" s="1" t="str">
        <f t="shared" si="47"/>
        <v/>
      </c>
      <c r="BO13" s="1">
        <f t="shared" si="5"/>
        <v>12</v>
      </c>
      <c r="BP13" s="1">
        <f t="shared" si="6"/>
        <v>0</v>
      </c>
      <c r="BQ13" s="1" t="str" cm="1">
        <f t="array" ref="BQ13">IF(I13="","",IF(BP13=1,"",IF(L13=0,"",IF(B13=1,"",_xlfn.XLOOKUP(1,($I$2:$I$313=$I13)*($B$2:$B$313=($B13-1)),$BO$2:$BO$313)))))</f>
        <v/>
      </c>
      <c r="BR13" s="1">
        <f>IF(I13="","",IF($B13=1,_xlfn.MINIFS($BO$2:$BO$313,$B$2:$B$313,$B13),_xlfn.MINIFS(BQ$2:$BQ$313,$B$2:$B$313,$B13)))</f>
        <v>1</v>
      </c>
      <c r="BS13" s="1">
        <f t="shared" si="48"/>
        <v>2</v>
      </c>
      <c r="BT13" s="1" t="str" cm="1">
        <f t="array" ref="BT13">IF($I13="","",IF($B13=1,_xlfn.XLOOKUP(1,($B$2:$B$313=$B13)*($BO$2:$BO$313=BR13),Data!$I$2:$I$313,,0),_xlfn.XLOOKUP(1,($B$2:$B$313=$B13)*($BQ$2:$BQ$313=$BR13),$I$2:$I$313,,0)))</f>
        <v>Kaleva Latvala</v>
      </c>
      <c r="BU13" s="1" t="str" cm="1">
        <f t="array" ref="BU13">IF(I13="","",IF($B13=1,_xlfn.XLOOKUP(1,($B$2:$B$313=$B13)*($BO$2:$BO$313=$BS13),$I$2:$I$313,,0),_xlfn.XLOOKUP(1,($B$2:$B$313=$B13)*($BQ$2:$BQ$313=$BS13),$I$2:$I$313,,0)))</f>
        <v>Roope Warro</v>
      </c>
      <c r="BV13" s="1" t="str" cm="1">
        <f t="array" ref="BV13">IF($I13="","",IF($B13=1,"",IF($B13=2,_xlfn.XLOOKUP(1,($B$2:$B$313=1)*($BO$2:$BO$313=1),$I$2:$I$313,,0),_xlfn.XLOOKUP($B13-1,$B$2:$B$313,$CH$2:$CH$313,,0))))</f>
        <v/>
      </c>
      <c r="BW13" s="1" t="str" cm="1">
        <f t="array" ref="BW13">IF($I13="","",IF($B13=1,"",IF(_xlfn.XLOOKUP(1,($B$2:$B$313=$B13)*($I$2:$I$313=$BV13),$BQ$2:$BQ$313,,0)="","NOK","OK")))</f>
        <v/>
      </c>
      <c r="BX13" s="1" t="str">
        <f t="shared" si="49"/>
        <v/>
      </c>
      <c r="BY13" s="1" t="str">
        <f t="shared" si="50"/>
        <v/>
      </c>
      <c r="BZ13" s="1" t="str">
        <f t="shared" si="51"/>
        <v/>
      </c>
      <c r="CA13" s="1" t="str">
        <f t="shared" si="52"/>
        <v/>
      </c>
      <c r="CB13" s="1" t="str">
        <f t="shared" si="53"/>
        <v/>
      </c>
      <c r="CC13" s="1" t="str">
        <f t="shared" si="54"/>
        <v/>
      </c>
      <c r="CD13" s="1" t="str">
        <f t="shared" si="55"/>
        <v/>
      </c>
      <c r="CE13" s="1" t="str">
        <f t="shared" si="56"/>
        <v/>
      </c>
      <c r="CF13" s="1" t="str">
        <f t="shared" si="57"/>
        <v/>
      </c>
      <c r="CG13" s="1" t="str">
        <f t="shared" si="58"/>
        <v/>
      </c>
      <c r="CH13" s="1" t="str">
        <f t="shared" si="59"/>
        <v>Kaleva Latvala</v>
      </c>
      <c r="CI13" s="1">
        <f t="shared" si="60"/>
        <v>0</v>
      </c>
      <c r="CJ13" s="1" t="str">
        <f ca="1">IF(B13="","",IF(SUM(AI13:AK13)&gt;0,"+SP","")&amp;IF(CI13&gt;0,"+KK","")&amp;IF(AB13&gt;0,"+KGP1","")&amp;IF(AC13&gt;0,"+KGP2","")&amp;IF(AG13&lt;0,"-KGP1","")&amp;IF(AH13&lt;0,"-KGP2",""))</f>
        <v/>
      </c>
      <c r="CO13" s="1">
        <v>11</v>
      </c>
      <c r="CP13" s="5" t="str">
        <f>IF(COUNTIF($B$2:$B$313,$CO13)&gt;0,$CO13,"")</f>
        <v/>
      </c>
      <c r="CR13" s="3">
        <v>11</v>
      </c>
      <c r="CS13" s="86">
        <v>45753</v>
      </c>
      <c r="CT13" s="142">
        <v>0.625</v>
      </c>
      <c r="CU13" s="3" t="s">
        <v>241</v>
      </c>
      <c r="CV13" s="1" t="str">
        <f ca="1">IF($CR13&gt;keilatut,"",OFFSET(tulossiirtymä,MATCH($CX13,$V$2:$V$313,0),0))</f>
        <v/>
      </c>
      <c r="CW13" s="1" t="str">
        <f ca="1">IF($CR13&gt;keilatut,"",OFFSET(tulossiirtymä,MATCH($CX13,$V$2:$V$313,0),3))</f>
        <v/>
      </c>
      <c r="CX13" s="1" t="str">
        <f t="shared" si="61"/>
        <v/>
      </c>
      <c r="CY13" s="1">
        <f t="shared" si="62"/>
        <v>0</v>
      </c>
      <c r="CZ13" s="1">
        <f>IF(CY13=0,0,SUM($CY$3:CY13))</f>
        <v>0</v>
      </c>
      <c r="DA13" s="1" t="str">
        <f>IF($CR13&gt;keilatut,"",SUMIFS($M$2:$M$313,$B$2:$B$313,$CR13))</f>
        <v/>
      </c>
      <c r="DB13" s="1" t="e">
        <f t="shared" ca="1" si="63"/>
        <v>#N/A</v>
      </c>
      <c r="DC13" s="1" t="e">
        <f>IF(CP13="",NA(),SUMIFS($L$2:$L$313,$AL$2:$AL$313,_xlfn.MINIFS($AL$2:$AL$313,$B$2:$B$313,$CR13,$AL$2:$AL$313,"&gt;0"),$B$2:$B$313,$CR13)/COUNTIFS($B$2:$B$313,$CR13,$AL$2:$AL$313,_xlfn.MINIFS($AL$2:$AL$313,$B$2:$B$313,$CR13,$AL$2:$AL$313,"&gt;0")))</f>
        <v>#N/A</v>
      </c>
      <c r="DD13" s="1" t="e">
        <f ca="1">IF(CW13="",NA(),SUMIFS($L$2:$L$313,$B$2:$B$313,$CR13)/SUMIFS($M$2:$M$313,$B$2:$B$313,$CR13))</f>
        <v>#N/A</v>
      </c>
      <c r="DE13" s="1" t="str">
        <f t="array" aca="1" ref="DE13" ca="1">IF($CV13="","",INDEX($CV$3:$CV$15,MATCH(0,COUNTIF($DE$2:DE12,$CV$3:$CV$15),0)))</f>
        <v/>
      </c>
      <c r="DF13" s="1" t="str">
        <f t="shared" ca="1" si="64"/>
        <v/>
      </c>
    </row>
    <row r="14" spans="1:111" x14ac:dyDescent="0.25">
      <c r="A14" s="1">
        <f>IFERROR(IF(ROW(A13)=1,1,IF(1+A13&lt;=$CP$1*$CP$2,1+A13,"")),"")</f>
        <v>13</v>
      </c>
      <c r="B14" s="1">
        <f>IF($I14="","",IF(ROW(B13)=1,1,ROUNDUP(A14/$CP$2,0)))</f>
        <v>1</v>
      </c>
      <c r="C14" s="4">
        <f t="shared" si="7"/>
        <v>45556</v>
      </c>
      <c r="D14" s="4" t="str">
        <f t="shared" si="0"/>
        <v>U7 Gdansk, Puola</v>
      </c>
      <c r="E14" s="1">
        <f>IF($B14="","",COUNTIF($B$2:B14,B14))</f>
        <v>13</v>
      </c>
      <c r="F14" s="1" t="str">
        <f t="shared" si="1"/>
        <v>K2024GP01</v>
      </c>
      <c r="G14" s="1" t="str">
        <f t="shared" si="8"/>
        <v>K2024GP01_13</v>
      </c>
      <c r="H14" s="1">
        <f t="shared" si="9"/>
        <v>1</v>
      </c>
      <c r="I14" s="3" t="s">
        <v>143</v>
      </c>
      <c r="J14" s="3"/>
      <c r="K14" s="3"/>
      <c r="L14" s="1">
        <f t="shared" si="10"/>
        <v>0</v>
      </c>
      <c r="M14" s="1">
        <f t="shared" si="11"/>
        <v>0</v>
      </c>
      <c r="N14" s="1" t="str">
        <f t="shared" si="12"/>
        <v/>
      </c>
      <c r="O14" s="1" t="str">
        <f t="shared" si="13"/>
        <v/>
      </c>
      <c r="P14" s="1" t="str">
        <f t="shared" si="14"/>
        <v/>
      </c>
      <c r="Q14" s="1">
        <f t="array" ref="Q14">IF($B14="","",IF(MAX(IF(B14=$B$2:$B$313,$L$2:$L$313))-L14=0,"",MAX(IF(B14=$B$2:$B$313,$L$2:$L$313))-L14))</f>
        <v>259</v>
      </c>
      <c r="R14" s="1">
        <f t="array" ref="R14">IF($B14="","",SUMPRODUCT(--($B$2:$B$313=B14),--(L14&lt;$L$2:$L$313))+1)</f>
        <v>12</v>
      </c>
      <c r="S14" s="1">
        <f t="shared" si="15"/>
        <v>0</v>
      </c>
      <c r="T14" s="1" t="str" cm="1">
        <f t="array" ref="T14">IF($B14="","",IF(M14=0,"",SUMPRODUCT(--($B$2:$B$313=B14),--(J14&lt;$J$2:$J$313))+1))</f>
        <v/>
      </c>
      <c r="U14" s="1" t="str">
        <f t="shared" si="16"/>
        <v/>
      </c>
      <c r="V14" s="1" t="str">
        <f t="shared" si="17"/>
        <v>0112</v>
      </c>
      <c r="W14" s="1">
        <f t="shared" si="18"/>
        <v>7</v>
      </c>
      <c r="X14" s="1">
        <f t="shared" si="2"/>
        <v>0</v>
      </c>
      <c r="Y14" s="1">
        <f>IF($B14="","",MAX(_xlfn.MAXIFS($J$2:J14,$I$2:I14,$I14),_xlfn.MAXIFS($K$2:K14,$I$2:I14,$I14)))</f>
        <v>0</v>
      </c>
      <c r="Z14" s="1">
        <f t="shared" si="3"/>
        <v>141</v>
      </c>
      <c r="AA14" s="1">
        <f t="shared" si="19"/>
        <v>0</v>
      </c>
      <c r="AB14" s="1">
        <f t="shared" si="20"/>
        <v>0</v>
      </c>
      <c r="AC14" s="1">
        <f t="shared" si="21"/>
        <v>0</v>
      </c>
      <c r="AD14" s="1">
        <f>IF($B14="","",MIN(_xlfn.MINIFS($J$2:J14,$I$2:I14,$I14),_xlfn.MINIFS($K$2:K14,$I$2:I14,$I14)))</f>
        <v>0</v>
      </c>
      <c r="AE14" s="1">
        <f t="shared" si="22"/>
        <v>73</v>
      </c>
      <c r="AF14" s="1">
        <f t="shared" si="23"/>
        <v>0</v>
      </c>
      <c r="AG14" s="1">
        <f t="shared" si="24"/>
        <v>0</v>
      </c>
      <c r="AH14" s="1">
        <f t="shared" si="25"/>
        <v>0</v>
      </c>
      <c r="AI14" s="1">
        <f ca="1">IF($B14="","",IF($K14="",0,OFFSET($CO$17,R14,W14)))</f>
        <v>0</v>
      </c>
      <c r="AJ14" s="1">
        <f t="shared" ca="1" si="26"/>
        <v>0</v>
      </c>
      <c r="AK14" s="1">
        <f ca="1">IF(AJ14="","",IF(AJ14=0,0,IF(W14=1,0,SUM(OFFSET($CO$17,N14,1):OFFSET($CO$17,N14+W14-2,1))/W14)))</f>
        <v>0</v>
      </c>
      <c r="AL14" s="1">
        <f t="shared" si="27"/>
        <v>0</v>
      </c>
      <c r="AM14" s="1">
        <f>IF($B14="","",SUMIFS($AL$2:AL14,$I$2:I14,$I14))</f>
        <v>0</v>
      </c>
      <c r="AN14" s="1">
        <f t="shared" si="28"/>
        <v>12.000012999999999</v>
      </c>
      <c r="AO14" s="1">
        <f>IFERROR(IF($B14="","",AVERAGEIFS($L$2:L14,$I$2:I14,I14,$L$2:L14,"&lt;&gt;0")),0)</f>
        <v>0</v>
      </c>
      <c r="AP14" s="1">
        <f t="shared" si="29"/>
        <v>0</v>
      </c>
      <c r="AQ14" s="1">
        <f>IF($B14="","",COUNTIFS($R$2:R14,1,$I$2:I14,$I14))</f>
        <v>0</v>
      </c>
      <c r="AR14" s="1">
        <f t="array" aca="1" ref="AR14" ca="1">IF($B14="","",SUMPRODUCT(--($B$2:$B$313=B14),--(AM14&lt;$AM$2:$AM$313))+1)</f>
        <v>11</v>
      </c>
      <c r="AS14" s="1">
        <f t="array" ref="AS14">IF($B14="","",SUMPRODUCT(--($B$2:$B$313=B14),--(AP14&lt;$AP$2:$AP$313))+1)</f>
        <v>12</v>
      </c>
      <c r="AT14" s="1">
        <f t="array" ref="AT14">IF($B14="","",SUMPRODUCT(--($B$2:$B$313=B14),--(AQ14&lt;$AQ$2:$AQ$313))+1)</f>
        <v>2</v>
      </c>
      <c r="AU14" s="1">
        <f t="shared" si="30"/>
        <v>1.3000000000000001E-8</v>
      </c>
      <c r="AV14" s="1">
        <f t="shared" ca="1" si="31"/>
        <v>0.111202013</v>
      </c>
      <c r="AW14" s="1" t="str">
        <f t="shared" si="4"/>
        <v/>
      </c>
      <c r="AX14" s="1" t="str">
        <f t="shared" si="32"/>
        <v/>
      </c>
      <c r="AY14" s="8">
        <f t="shared" ca="1" si="33"/>
        <v>0.111202013</v>
      </c>
      <c r="AZ14" s="1" cm="1">
        <f t="array" aca="1" ref="AZ14" ca="1">IF($B14="","",SUMPRODUCT(--($B$2:$B$313=B14),--(AY14&gt;$AY$2:$AY$313))+1)</f>
        <v>13</v>
      </c>
      <c r="BA14" s="1" t="str">
        <f t="shared" si="34"/>
        <v>K2024GP01_13_1</v>
      </c>
      <c r="BB14" s="1" t="str">
        <f t="shared" si="35"/>
        <v>K2024GP01_13_2</v>
      </c>
      <c r="BC14" s="1">
        <f t="shared" si="36"/>
        <v>0</v>
      </c>
      <c r="BD14" s="1">
        <f t="shared" si="37"/>
        <v>0</v>
      </c>
      <c r="BE14" s="1">
        <f t="shared" si="38"/>
        <v>1</v>
      </c>
      <c r="BF14" s="1">
        <f t="shared" si="39"/>
        <v>0</v>
      </c>
      <c r="BG14" s="1">
        <f t="shared" si="40"/>
        <v>0</v>
      </c>
      <c r="BH14" s="1">
        <f t="shared" si="41"/>
        <v>12</v>
      </c>
      <c r="BI14" s="1">
        <f t="shared" si="42"/>
        <v>12</v>
      </c>
      <c r="BJ14" s="1">
        <f t="shared" si="43"/>
        <v>0.1212</v>
      </c>
      <c r="BK14" s="1" t="str">
        <f t="shared" si="44"/>
        <v/>
      </c>
      <c r="BL14" s="1">
        <f t="shared" si="45"/>
        <v>9.8999999999999994E-5</v>
      </c>
      <c r="BM14" s="1">
        <f t="shared" si="46"/>
        <v>0.1213004</v>
      </c>
      <c r="BN14" s="1" t="str">
        <f t="shared" si="47"/>
        <v/>
      </c>
      <c r="BO14" s="1">
        <f t="shared" si="5"/>
        <v>13</v>
      </c>
      <c r="BP14" s="1">
        <f t="shared" si="6"/>
        <v>0</v>
      </c>
      <c r="BQ14" s="1" t="str" cm="1">
        <f t="array" ref="BQ14">IF(I14="","",IF(BP14=1,"",IF(L14=0,"",IF(B14=1,"",_xlfn.XLOOKUP(1,($I$2:$I$313=$I14)*($B$2:$B$313=($B14-1)),$BO$2:$BO$313)))))</f>
        <v/>
      </c>
      <c r="BR14" s="1">
        <f>IF(I14="","",IF($B14=1,_xlfn.MINIFS($BO$2:$BO$313,$B$2:$B$313,$B14),_xlfn.MINIFS(BQ$2:$BQ$313,$B$2:$B$313,$B14)))</f>
        <v>1</v>
      </c>
      <c r="BS14" s="1">
        <f t="shared" si="48"/>
        <v>2</v>
      </c>
      <c r="BT14" s="1" t="str" cm="1">
        <f t="array" ref="BT14">IF($I14="","",IF($B14=1,_xlfn.XLOOKUP(1,($B$2:$B$313=$B14)*($BO$2:$BO$313=BR14),Data!$I$2:$I$313,,0),_xlfn.XLOOKUP(1,($B$2:$B$313=$B14)*($BQ$2:$BQ$313=$BR14),$I$2:$I$313,,0)))</f>
        <v>Kaleva Latvala</v>
      </c>
      <c r="BU14" s="1" t="str" cm="1">
        <f t="array" ref="BU14">IF(I14="","",IF($B14=1,_xlfn.XLOOKUP(1,($B$2:$B$313=$B14)*($BO$2:$BO$313=$BS14),$I$2:$I$313,,0),_xlfn.XLOOKUP(1,($B$2:$B$313=$B14)*($BQ$2:$BQ$313=$BS14),$I$2:$I$313,,0)))</f>
        <v>Roope Warro</v>
      </c>
      <c r="BV14" s="1" t="str" cm="1">
        <f t="array" ref="BV14">IF($I14="","",IF($B14=1,"",IF($B14=2,_xlfn.XLOOKUP(1,($B$2:$B$313=1)*($BO$2:$BO$313=1),$I$2:$I$313,,0),_xlfn.XLOOKUP($B14-1,$B$2:$B$313,$CH$2:$CH$313,,0))))</f>
        <v/>
      </c>
      <c r="BW14" s="1" t="str" cm="1">
        <f t="array" ref="BW14">IF($I14="","",IF($B14=1,"",IF(_xlfn.XLOOKUP(1,($B$2:$B$313=$B14)*($I$2:$I$313=$BV14),$BQ$2:$BQ$313,,0)="","NOK","OK")))</f>
        <v/>
      </c>
      <c r="BX14" s="1" t="str">
        <f t="shared" si="49"/>
        <v/>
      </c>
      <c r="BY14" s="1" t="str">
        <f t="shared" si="50"/>
        <v/>
      </c>
      <c r="BZ14" s="1" t="str">
        <f t="shared" si="51"/>
        <v/>
      </c>
      <c r="CA14" s="1" t="str">
        <f t="shared" si="52"/>
        <v/>
      </c>
      <c r="CB14" s="1" t="str">
        <f t="shared" si="53"/>
        <v/>
      </c>
      <c r="CC14" s="1" t="str">
        <f t="shared" si="54"/>
        <v/>
      </c>
      <c r="CD14" s="1" t="str">
        <f t="shared" si="55"/>
        <v/>
      </c>
      <c r="CE14" s="1" t="str">
        <f t="shared" si="56"/>
        <v/>
      </c>
      <c r="CF14" s="1" t="str">
        <f t="shared" si="57"/>
        <v/>
      </c>
      <c r="CG14" s="1" t="str">
        <f t="shared" si="58"/>
        <v/>
      </c>
      <c r="CH14" s="1" t="str">
        <f t="shared" si="59"/>
        <v>Kaleva Latvala</v>
      </c>
      <c r="CI14" s="1">
        <f t="shared" si="60"/>
        <v>0</v>
      </c>
      <c r="CJ14" s="1" t="str">
        <f ca="1">IF(B14="","",IF(SUM(AI14:AK14)&gt;0,"+SP","")&amp;IF(CI14&gt;0,"+KK","")&amp;IF(AB14&gt;0,"+KGP1","")&amp;IF(AC14&gt;0,"+KGP2","")&amp;IF(AG14&lt;0,"-KGP1","")&amp;IF(AH14&lt;0,"-KGP2",""))</f>
        <v/>
      </c>
      <c r="CO14" s="1">
        <v>12</v>
      </c>
      <c r="CP14" s="5" t="str">
        <f>IF(COUNTIF($B$2:$B$313,$CO14)&gt;0,$CO14,"")</f>
        <v/>
      </c>
      <c r="CR14" s="3">
        <v>12</v>
      </c>
      <c r="CS14" s="86">
        <v>45774</v>
      </c>
      <c r="CT14" s="142">
        <v>0.625</v>
      </c>
      <c r="CU14" s="3" t="s">
        <v>243</v>
      </c>
      <c r="CV14" s="1" t="str">
        <f ca="1">IF($CR14&gt;keilatut,"",OFFSET(tulossiirtymä,MATCH($CX14,$V$2:$V$313,0),0))</f>
        <v/>
      </c>
      <c r="CW14" s="1" t="str">
        <f ca="1">IF($CR14&gt;keilatut,"",OFFSET(tulossiirtymä,MATCH($CX14,$V$2:$V$313,0),3))</f>
        <v/>
      </c>
      <c r="CX14" s="1" t="str">
        <f t="shared" si="61"/>
        <v/>
      </c>
      <c r="CY14" s="1">
        <f t="shared" si="62"/>
        <v>1</v>
      </c>
      <c r="CZ14" s="1">
        <f>IF(CY14=0,0,SUM($CY$3:CY14))</f>
        <v>2</v>
      </c>
      <c r="DA14" s="1" t="str">
        <f>IF($CR14&gt;keilatut,"",SUMIFS($M$2:$M$313,$B$2:$B$313,$CR14))</f>
        <v/>
      </c>
      <c r="DB14" s="1" t="e">
        <f t="shared" ca="1" si="63"/>
        <v>#N/A</v>
      </c>
      <c r="DC14" s="1" t="e">
        <f>IF(CP14="",NA(),SUMIFS($L$2:$L$313,$AL$2:$AL$313,_xlfn.MINIFS($AL$2:$AL$313,$B$2:$B$313,$CR14,$AL$2:$AL$313,"&gt;0"),$B$2:$B$313,$CR14)/COUNTIFS($B$2:$B$313,$CR14,$AL$2:$AL$313,_xlfn.MINIFS($AL$2:$AL$313,$B$2:$B$313,$CR14,$AL$2:$AL$313,"&gt;0")))</f>
        <v>#N/A</v>
      </c>
      <c r="DD14" s="1" t="e">
        <f ca="1">IF(CW14="",NA(),SUMIFS($L$2:$L$313,$B$2:$B$313,$CR14)/SUMIFS($M$2:$M$313,$B$2:$B$313,$CR14))</f>
        <v>#N/A</v>
      </c>
      <c r="DE14" s="1" t="str">
        <f t="array" aca="1" ref="DE14" ca="1">IF($CV14="","",INDEX($CV$3:$CV$15,MATCH(0,COUNTIF($DE$2:DE13,$CV$3:$CV$15),0)))</f>
        <v/>
      </c>
      <c r="DF14" s="1" t="str">
        <f t="shared" ca="1" si="64"/>
        <v/>
      </c>
    </row>
    <row r="15" spans="1:111" x14ac:dyDescent="0.25">
      <c r="A15" s="1">
        <f>IFERROR(IF(ROW(A14)=1,1,IF(1+A14&lt;=$CP$1*$CP$2,1+A14,"")),"")</f>
        <v>14</v>
      </c>
      <c r="B15" s="1">
        <f>IF($I15="","",IF(ROW(B14)=1,1,ROUNDUP(A15/$CP$2,0)))</f>
        <v>1</v>
      </c>
      <c r="C15" s="4">
        <f t="shared" si="7"/>
        <v>45556</v>
      </c>
      <c r="D15" s="4" t="str">
        <f t="shared" si="0"/>
        <v>U7 Gdansk, Puola</v>
      </c>
      <c r="E15" s="1">
        <f>IF($B15="","",COUNTIF($B$2:B15,B15))</f>
        <v>14</v>
      </c>
      <c r="F15" s="1" t="str">
        <f t="shared" si="1"/>
        <v>K2024GP01</v>
      </c>
      <c r="G15" s="1" t="str">
        <f t="shared" si="8"/>
        <v>K2024GP01_14</v>
      </c>
      <c r="H15" s="1">
        <f t="shared" si="9"/>
        <v>1</v>
      </c>
      <c r="I15" s="3" t="s">
        <v>141</v>
      </c>
      <c r="J15" s="3"/>
      <c r="K15" s="3"/>
      <c r="L15" s="1">
        <f t="shared" si="10"/>
        <v>0</v>
      </c>
      <c r="M15" s="1">
        <f t="shared" si="11"/>
        <v>0</v>
      </c>
      <c r="N15" s="1" t="str">
        <f t="shared" si="12"/>
        <v/>
      </c>
      <c r="O15" s="1" t="str">
        <f t="shared" si="13"/>
        <v/>
      </c>
      <c r="P15" s="1" t="str">
        <f t="shared" si="14"/>
        <v/>
      </c>
      <c r="Q15" s="1">
        <f t="array" ref="Q15">IF($B15="","",IF(MAX(IF(B15=$B$2:$B$313,$L$2:$L$313))-L15=0,"",MAX(IF(B15=$B$2:$B$313,$L$2:$L$313))-L15))</f>
        <v>259</v>
      </c>
      <c r="R15" s="1">
        <f t="array" ref="R15">IF($B15="","",SUMPRODUCT(--($B$2:$B$313=B15),--(L15&lt;$L$2:$L$313))+1)</f>
        <v>12</v>
      </c>
      <c r="S15" s="1">
        <f t="shared" si="15"/>
        <v>0</v>
      </c>
      <c r="T15" s="1" t="str" cm="1">
        <f t="array" ref="T15">IF($B15="","",IF(M15=0,"",SUMPRODUCT(--($B$2:$B$313=B15),--(J15&lt;$J$2:$J$313))+1))</f>
        <v/>
      </c>
      <c r="U15" s="1" t="str">
        <f t="shared" si="16"/>
        <v/>
      </c>
      <c r="V15" s="1" t="str">
        <f t="shared" si="17"/>
        <v>0112</v>
      </c>
      <c r="W15" s="1">
        <f t="shared" si="18"/>
        <v>7</v>
      </c>
      <c r="X15" s="1">
        <f t="shared" si="2"/>
        <v>0</v>
      </c>
      <c r="Y15" s="1">
        <f>IF($B15="","",MAX(_xlfn.MAXIFS($J$2:J15,$I$2:I15,$I15),_xlfn.MAXIFS($K$2:K15,$I$2:I15,$I15)))</f>
        <v>0</v>
      </c>
      <c r="Z15" s="1">
        <f t="shared" si="3"/>
        <v>141</v>
      </c>
      <c r="AA15" s="1">
        <f t="shared" si="19"/>
        <v>0</v>
      </c>
      <c r="AB15" s="1">
        <f t="shared" si="20"/>
        <v>0</v>
      </c>
      <c r="AC15" s="1">
        <f t="shared" si="21"/>
        <v>0</v>
      </c>
      <c r="AD15" s="1">
        <f>IF($B15="","",MIN(_xlfn.MINIFS($J$2:J15,$I$2:I15,$I15),_xlfn.MINIFS($K$2:K15,$I$2:I15,$I15)))</f>
        <v>0</v>
      </c>
      <c r="AE15" s="1">
        <f t="shared" si="22"/>
        <v>73</v>
      </c>
      <c r="AF15" s="1">
        <f t="shared" si="23"/>
        <v>0</v>
      </c>
      <c r="AG15" s="1">
        <f t="shared" si="24"/>
        <v>0</v>
      </c>
      <c r="AH15" s="1">
        <f t="shared" si="25"/>
        <v>0</v>
      </c>
      <c r="AI15" s="1">
        <f ca="1">IF($B15="","",IF($K15="",0,OFFSET($CO$17,R15,W15)))</f>
        <v>0</v>
      </c>
      <c r="AJ15" s="1">
        <f t="shared" ca="1" si="26"/>
        <v>0</v>
      </c>
      <c r="AK15" s="1">
        <f ca="1">IF(AJ15="","",IF(AJ15=0,0,IF(W15=1,0,SUM(OFFSET($CO$17,N15,1):OFFSET($CO$17,N15+W15-2,1))/W15)))</f>
        <v>0</v>
      </c>
      <c r="AL15" s="1">
        <f t="shared" si="27"/>
        <v>0</v>
      </c>
      <c r="AM15" s="1">
        <f>IF($B15="","",SUMIFS($AL$2:AL15,$I$2:I15,$I15))</f>
        <v>0</v>
      </c>
      <c r="AN15" s="1">
        <f t="shared" si="28"/>
        <v>12.000014</v>
      </c>
      <c r="AO15" s="1">
        <f>IFERROR(IF($B15="","",AVERAGEIFS($L$2:L15,$I$2:I15,I15,$L$2:L15,"&lt;&gt;0")),0)</f>
        <v>0</v>
      </c>
      <c r="AP15" s="1">
        <f t="shared" si="29"/>
        <v>0</v>
      </c>
      <c r="AQ15" s="1">
        <f>IF($B15="","",COUNTIFS($R$2:R15,1,$I$2:I15,$I15))</f>
        <v>0</v>
      </c>
      <c r="AR15" s="1">
        <f t="array" aca="1" ref="AR15" ca="1">IF($B15="","",SUMPRODUCT(--($B$2:$B$313=B15),--(AM15&lt;$AM$2:$AM$313))+1)</f>
        <v>11</v>
      </c>
      <c r="AS15" s="1">
        <f t="array" ref="AS15">IF($B15="","",SUMPRODUCT(--($B$2:$B$313=B15),--(AP15&lt;$AP$2:$AP$313))+1)</f>
        <v>12</v>
      </c>
      <c r="AT15" s="1">
        <f t="array" ref="AT15">IF($B15="","",SUMPRODUCT(--($B$2:$B$313=B15),--(AQ15&lt;$AQ$2:$AQ$313))+1)</f>
        <v>2</v>
      </c>
      <c r="AU15" s="1">
        <f t="shared" si="30"/>
        <v>1.4E-8</v>
      </c>
      <c r="AV15" s="1">
        <f t="shared" ca="1" si="31"/>
        <v>0.11120201400000002</v>
      </c>
      <c r="AW15" s="1" t="str">
        <f t="shared" si="4"/>
        <v/>
      </c>
      <c r="AX15" s="1" t="str">
        <f t="shared" si="32"/>
        <v/>
      </c>
      <c r="AY15" s="8">
        <f t="shared" ca="1" si="33"/>
        <v>0.11120201400000002</v>
      </c>
      <c r="AZ15" s="1" cm="1">
        <f t="array" aca="1" ref="AZ15" ca="1">IF($B15="","",SUMPRODUCT(--($B$2:$B$313=B15),--(AY15&gt;$AY$2:$AY$313))+1)</f>
        <v>14</v>
      </c>
      <c r="BA15" s="1" t="str">
        <f t="shared" si="34"/>
        <v>K2024GP01_14_1</v>
      </c>
      <c r="BB15" s="1" t="str">
        <f t="shared" si="35"/>
        <v>K2024GP01_14_2</v>
      </c>
      <c r="BC15" s="1">
        <f t="shared" si="36"/>
        <v>0</v>
      </c>
      <c r="BD15" s="1">
        <f t="shared" si="37"/>
        <v>0</v>
      </c>
      <c r="BE15" s="1">
        <f t="shared" si="38"/>
        <v>1</v>
      </c>
      <c r="BF15" s="1">
        <f t="shared" si="39"/>
        <v>0</v>
      </c>
      <c r="BG15" s="1">
        <f t="shared" si="40"/>
        <v>0</v>
      </c>
      <c r="BH15" s="1">
        <f t="shared" si="41"/>
        <v>12</v>
      </c>
      <c r="BI15" s="1">
        <f t="shared" si="42"/>
        <v>12</v>
      </c>
      <c r="BJ15" s="1">
        <f t="shared" si="43"/>
        <v>0.1212</v>
      </c>
      <c r="BK15" s="1" t="str">
        <f t="shared" si="44"/>
        <v/>
      </c>
      <c r="BL15" s="1">
        <f t="shared" si="45"/>
        <v>9.8999999999999994E-5</v>
      </c>
      <c r="BM15" s="1">
        <f t="shared" si="46"/>
        <v>0.12130050000000001</v>
      </c>
      <c r="BN15" s="1" t="str">
        <f t="shared" si="47"/>
        <v/>
      </c>
      <c r="BO15" s="1">
        <f t="shared" si="5"/>
        <v>14</v>
      </c>
      <c r="BP15" s="1">
        <f t="shared" si="6"/>
        <v>0</v>
      </c>
      <c r="BQ15" s="1" t="str" cm="1">
        <f t="array" ref="BQ15">IF(I15="","",IF(BP15=1,"",IF(L15=0,"",IF(B15=1,"",_xlfn.XLOOKUP(1,($I$2:$I$313=$I15)*($B$2:$B$313=($B15-1)),$BO$2:$BO$313)))))</f>
        <v/>
      </c>
      <c r="BR15" s="1">
        <f>IF(I15="","",IF($B15=1,_xlfn.MINIFS($BO$2:$BO$313,$B$2:$B$313,$B15),_xlfn.MINIFS(BQ$2:$BQ$313,$B$2:$B$313,$B15)))</f>
        <v>1</v>
      </c>
      <c r="BS15" s="1">
        <f t="shared" si="48"/>
        <v>2</v>
      </c>
      <c r="BT15" s="1" t="str" cm="1">
        <f t="array" ref="BT15">IF($I15="","",IF($B15=1,_xlfn.XLOOKUP(1,($B$2:$B$313=$B15)*($BO$2:$BO$313=BR15),Data!$I$2:$I$313,,0),_xlfn.XLOOKUP(1,($B$2:$B$313=$B15)*($BQ$2:$BQ$313=$BR15),$I$2:$I$313,,0)))</f>
        <v>Kaleva Latvala</v>
      </c>
      <c r="BU15" s="1" t="str" cm="1">
        <f t="array" ref="BU15">IF(I15="","",IF($B15=1,_xlfn.XLOOKUP(1,($B$2:$B$313=$B15)*($BO$2:$BO$313=$BS15),$I$2:$I$313,,0),_xlfn.XLOOKUP(1,($B$2:$B$313=$B15)*($BQ$2:$BQ$313=$BS15),$I$2:$I$313,,0)))</f>
        <v>Roope Warro</v>
      </c>
      <c r="BV15" s="1" t="str" cm="1">
        <f t="array" ref="BV15">IF($I15="","",IF($B15=1,"",IF($B15=2,_xlfn.XLOOKUP(1,($B$2:$B$313=1)*($BO$2:$BO$313=1),$I$2:$I$313,,0),_xlfn.XLOOKUP($B15-1,$B$2:$B$313,$CH$2:$CH$313,,0))))</f>
        <v/>
      </c>
      <c r="BW15" s="1" t="str" cm="1">
        <f t="array" ref="BW15">IF($I15="","",IF($B15=1,"",IF(_xlfn.XLOOKUP(1,($B$2:$B$313=$B15)*($I$2:$I$313=$BV15),$BQ$2:$BQ$313,,0)="","NOK","OK")))</f>
        <v/>
      </c>
      <c r="BX15" s="1" t="str">
        <f t="shared" si="49"/>
        <v/>
      </c>
      <c r="BY15" s="1" t="str">
        <f t="shared" si="50"/>
        <v/>
      </c>
      <c r="BZ15" s="1" t="str">
        <f t="shared" si="51"/>
        <v/>
      </c>
      <c r="CA15" s="1" t="str">
        <f t="shared" si="52"/>
        <v/>
      </c>
      <c r="CB15" s="1" t="str">
        <f t="shared" si="53"/>
        <v/>
      </c>
      <c r="CC15" s="1" t="str">
        <f t="shared" si="54"/>
        <v/>
      </c>
      <c r="CD15" s="1" t="str">
        <f t="shared" si="55"/>
        <v/>
      </c>
      <c r="CE15" s="1" t="str">
        <f t="shared" si="56"/>
        <v/>
      </c>
      <c r="CF15" s="1" t="str">
        <f t="shared" si="57"/>
        <v/>
      </c>
      <c r="CG15" s="1" t="str">
        <f t="shared" si="58"/>
        <v/>
      </c>
      <c r="CH15" s="1" t="str">
        <f t="shared" si="59"/>
        <v>Kaleva Latvala</v>
      </c>
      <c r="CI15" s="1">
        <f t="shared" si="60"/>
        <v>0</v>
      </c>
      <c r="CJ15" s="1" t="str">
        <f ca="1">IF(B15="","",IF(SUM(AI15:AK15)&gt;0,"+SP","")&amp;IF(CI15&gt;0,"+KK","")&amp;IF(AB15&gt;0,"+KGP1","")&amp;IF(AC15&gt;0,"+KGP2","")&amp;IF(AG15&lt;0,"-KGP1","")&amp;IF(AH15&lt;0,"-KGP2",""))</f>
        <v/>
      </c>
      <c r="CO15" s="1">
        <v>13</v>
      </c>
      <c r="CP15" s="5" t="str">
        <f>IF(COUNTIF($B$2:$B$313,$CO15)&gt;0,$CO15,"")</f>
        <v/>
      </c>
      <c r="CR15" s="3">
        <v>13</v>
      </c>
      <c r="CS15" s="86">
        <v>45795</v>
      </c>
      <c r="CT15" s="142">
        <v>0.625</v>
      </c>
      <c r="CU15" s="3" t="s">
        <v>241</v>
      </c>
      <c r="CV15" s="1" t="str">
        <f ca="1">IF($CR15&gt;keilatut,"",OFFSET(tulossiirtymä,MATCH($CX15,$V$2:$V$313,0),0))</f>
        <v/>
      </c>
      <c r="CW15" s="1" t="str">
        <f ca="1">IF($CR15&gt;keilatut,"",OFFSET(tulossiirtymä,MATCH($CX15,$V$2:$V$313,0),3))</f>
        <v/>
      </c>
      <c r="CX15" s="1" t="str">
        <f t="shared" si="61"/>
        <v/>
      </c>
      <c r="CY15" s="1">
        <f t="shared" si="62"/>
        <v>0</v>
      </c>
      <c r="CZ15" s="1">
        <f>IF(CY15=0,0,SUM($CY$3:CY15))</f>
        <v>0</v>
      </c>
      <c r="DA15" s="1" t="str">
        <f>IF($CR15&gt;keilatut,"",SUMIFS($M$2:$M$313,$B$2:$B$313,$CR15))</f>
        <v/>
      </c>
      <c r="DB15" s="1" t="e">
        <f t="shared" ca="1" si="63"/>
        <v>#N/A</v>
      </c>
      <c r="DC15" s="1" t="e">
        <f>IF(CP15="",NA(),SUMIFS($L$2:$L$313,$AL$2:$AL$313,_xlfn.MINIFS($AL$2:$AL$313,$B$2:$B$313,$CR15,$AL$2:$AL$313,"&gt;0"),$B$2:$B$313,$CR15)/COUNTIFS($B$2:$B$313,$CR15,$AL$2:$AL$313,_xlfn.MINIFS($AL$2:$AL$313,$B$2:$B$313,$CR15,$AL$2:$AL$313,"&gt;0")))</f>
        <v>#N/A</v>
      </c>
      <c r="DD15" s="1" t="e">
        <f ca="1">IF(CW15="",NA(),SUMIFS($L$2:$L$313,$B$2:$B$313,$CR15)/SUMIFS($M$2:$M$313,$B$2:$B$313,$CR15))</f>
        <v>#N/A</v>
      </c>
      <c r="DE15" s="1" t="str">
        <f t="array" aca="1" ref="DE15" ca="1">IF($CV15="","",INDEX($CV$3:$CV$15,MATCH(0,COUNTIF($DE$2:DE14,$CV$3:$CV$15),0)))</f>
        <v/>
      </c>
      <c r="DF15" s="1" t="str">
        <f t="shared" ca="1" si="64"/>
        <v/>
      </c>
    </row>
    <row r="16" spans="1:111" x14ac:dyDescent="0.25">
      <c r="A16" s="1">
        <f>IFERROR(IF(ROW(A15)=1,1,IF(1+A15&lt;=$CP$1*$CP$2,1+A15,"")),"")</f>
        <v>15</v>
      </c>
      <c r="B16" s="1">
        <f>IF($I16="","",IF(ROW(B15)=1,1,ROUNDUP(A16/$CP$2,0)))</f>
        <v>1</v>
      </c>
      <c r="C16" s="4">
        <f t="shared" si="7"/>
        <v>45556</v>
      </c>
      <c r="D16" s="4" t="str">
        <f t="shared" si="0"/>
        <v>U7 Gdansk, Puola</v>
      </c>
      <c r="E16" s="1">
        <f>IF($B16="","",COUNTIF($B$2:B16,B16))</f>
        <v>15</v>
      </c>
      <c r="F16" s="1" t="str">
        <f t="shared" si="1"/>
        <v>K2024GP01</v>
      </c>
      <c r="G16" s="1" t="str">
        <f t="shared" si="8"/>
        <v>K2024GP01_15</v>
      </c>
      <c r="H16" s="1">
        <f t="shared" si="9"/>
        <v>1</v>
      </c>
      <c r="I16" s="3" t="s">
        <v>117</v>
      </c>
      <c r="J16" s="3"/>
      <c r="K16" s="3"/>
      <c r="L16" s="1">
        <f t="shared" si="10"/>
        <v>0</v>
      </c>
      <c r="M16" s="1">
        <f t="shared" si="11"/>
        <v>0</v>
      </c>
      <c r="N16" s="1" t="str">
        <f t="shared" si="12"/>
        <v/>
      </c>
      <c r="O16" s="1" t="str">
        <f t="shared" si="13"/>
        <v/>
      </c>
      <c r="P16" s="1" t="str">
        <f t="shared" si="14"/>
        <v/>
      </c>
      <c r="Q16" s="1">
        <f t="array" ref="Q16">IF($B16="","",IF(MAX(IF(B16=$B$2:$B$313,$L$2:$L$313))-L16=0,"",MAX(IF(B16=$B$2:$B$313,$L$2:$L$313))-L16))</f>
        <v>259</v>
      </c>
      <c r="R16" s="1">
        <f t="array" ref="R16">IF($B16="","",SUMPRODUCT(--($B$2:$B$313=B16),--(L16&lt;$L$2:$L$313))+1)</f>
        <v>12</v>
      </c>
      <c r="S16" s="1">
        <f t="shared" si="15"/>
        <v>0</v>
      </c>
      <c r="T16" s="1" t="str" cm="1">
        <f t="array" ref="T16">IF($B16="","",IF(M16=0,"",SUMPRODUCT(--($B$2:$B$313=B16),--(J16&lt;$J$2:$J$313))+1))</f>
        <v/>
      </c>
      <c r="U16" s="1" t="str">
        <f t="shared" si="16"/>
        <v/>
      </c>
      <c r="V16" s="1" t="str">
        <f t="shared" si="17"/>
        <v>0112</v>
      </c>
      <c r="W16" s="1">
        <f t="shared" si="18"/>
        <v>7</v>
      </c>
      <c r="X16" s="1">
        <f t="shared" si="2"/>
        <v>0</v>
      </c>
      <c r="Y16" s="1">
        <f>IF($B16="","",MAX(_xlfn.MAXIFS($J$2:J16,$I$2:I16,$I16),_xlfn.MAXIFS($K$2:K16,$I$2:I16,$I16)))</f>
        <v>0</v>
      </c>
      <c r="Z16" s="1">
        <f t="shared" si="3"/>
        <v>141</v>
      </c>
      <c r="AA16" s="1">
        <f t="shared" si="19"/>
        <v>0</v>
      </c>
      <c r="AB16" s="1">
        <f t="shared" si="20"/>
        <v>0</v>
      </c>
      <c r="AC16" s="1">
        <f t="shared" si="21"/>
        <v>0</v>
      </c>
      <c r="AD16" s="1">
        <f>IF($B16="","",MIN(_xlfn.MINIFS($J$2:J16,$I$2:I16,$I16),_xlfn.MINIFS($K$2:K16,$I$2:I16,$I16)))</f>
        <v>0</v>
      </c>
      <c r="AE16" s="1">
        <f t="shared" si="22"/>
        <v>73</v>
      </c>
      <c r="AF16" s="1">
        <f t="shared" si="23"/>
        <v>0</v>
      </c>
      <c r="AG16" s="1">
        <f t="shared" si="24"/>
        <v>0</v>
      </c>
      <c r="AH16" s="1">
        <f t="shared" si="25"/>
        <v>0</v>
      </c>
      <c r="AI16" s="1">
        <f ca="1">IF($B16="","",IF($K16="",0,OFFSET($CO$17,R16,W16)))</f>
        <v>0</v>
      </c>
      <c r="AJ16" s="1">
        <f t="shared" ca="1" si="26"/>
        <v>0</v>
      </c>
      <c r="AK16" s="1">
        <f ca="1">IF(AJ16="","",IF(AJ16=0,0,IF(W16=1,0,SUM(OFFSET($CO$17,N16,1):OFFSET($CO$17,N16+W16-2,1))/W16)))</f>
        <v>0</v>
      </c>
      <c r="AL16" s="1">
        <f t="shared" si="27"/>
        <v>0</v>
      </c>
      <c r="AM16" s="1">
        <f>IF($B16="","",SUMIFS($AL$2:AL16,$I$2:I16,$I16))</f>
        <v>0</v>
      </c>
      <c r="AN16" s="1">
        <f t="shared" si="28"/>
        <v>12.000014999999999</v>
      </c>
      <c r="AO16" s="1">
        <f>IFERROR(IF($B16="","",AVERAGEIFS($L$2:L16,$I$2:I16,I16,$L$2:L16,"&lt;&gt;0")),0)</f>
        <v>0</v>
      </c>
      <c r="AP16" s="1">
        <f t="shared" si="29"/>
        <v>0</v>
      </c>
      <c r="AQ16" s="1">
        <f>IF($B16="","",COUNTIFS($R$2:R16,1,$I$2:I16,$I16))</f>
        <v>0</v>
      </c>
      <c r="AR16" s="1">
        <f t="array" aca="1" ref="AR16" ca="1">IF($B16="","",SUMPRODUCT(--($B$2:$B$313=B16),--(AM16&lt;$AM$2:$AM$313))+1)</f>
        <v>11</v>
      </c>
      <c r="AS16" s="1">
        <f t="array" ref="AS16">IF($B16="","",SUMPRODUCT(--($B$2:$B$313=B16),--(AP16&lt;$AP$2:$AP$313))+1)</f>
        <v>12</v>
      </c>
      <c r="AT16" s="1">
        <f t="array" ref="AT16">IF($B16="","",SUMPRODUCT(--($B$2:$B$313=B16),--(AQ16&lt;$AQ$2:$AQ$313))+1)</f>
        <v>2</v>
      </c>
      <c r="AU16" s="1">
        <f t="shared" si="30"/>
        <v>1.4999999999999999E-8</v>
      </c>
      <c r="AV16" s="1">
        <f t="shared" ca="1" si="31"/>
        <v>0.11120201500000002</v>
      </c>
      <c r="AW16" s="1" t="str">
        <f t="shared" si="4"/>
        <v/>
      </c>
      <c r="AX16" s="1" t="str">
        <f t="shared" si="32"/>
        <v/>
      </c>
      <c r="AY16" s="8">
        <f t="shared" ca="1" si="33"/>
        <v>0.11120201500000002</v>
      </c>
      <c r="AZ16" s="1" cm="1">
        <f t="array" aca="1" ref="AZ16" ca="1">IF($B16="","",SUMPRODUCT(--($B$2:$B$313=B16),--(AY16&gt;$AY$2:$AY$313))+1)</f>
        <v>15</v>
      </c>
      <c r="BA16" s="1" t="str">
        <f t="shared" si="34"/>
        <v>K2024GP01_15_1</v>
      </c>
      <c r="BB16" s="1" t="str">
        <f t="shared" si="35"/>
        <v>K2024GP01_15_2</v>
      </c>
      <c r="BC16" s="1">
        <f t="shared" si="36"/>
        <v>0</v>
      </c>
      <c r="BD16" s="1">
        <f t="shared" si="37"/>
        <v>0</v>
      </c>
      <c r="BE16" s="1">
        <f t="shared" si="38"/>
        <v>1</v>
      </c>
      <c r="BF16" s="1">
        <f t="shared" si="39"/>
        <v>0</v>
      </c>
      <c r="BG16" s="1">
        <f t="shared" si="40"/>
        <v>0</v>
      </c>
      <c r="BH16" s="1">
        <f t="shared" si="41"/>
        <v>12</v>
      </c>
      <c r="BI16" s="1">
        <f t="shared" si="42"/>
        <v>12</v>
      </c>
      <c r="BJ16" s="1">
        <f t="shared" si="43"/>
        <v>0.1212</v>
      </c>
      <c r="BK16" s="1" t="str">
        <f t="shared" si="44"/>
        <v/>
      </c>
      <c r="BL16" s="1">
        <f t="shared" si="45"/>
        <v>9.8999999999999994E-5</v>
      </c>
      <c r="BM16" s="1">
        <f t="shared" si="46"/>
        <v>0.12130060000000001</v>
      </c>
      <c r="BN16" s="1" t="str">
        <f t="shared" si="47"/>
        <v/>
      </c>
      <c r="BO16" s="1">
        <f t="shared" si="5"/>
        <v>15</v>
      </c>
      <c r="BP16" s="1">
        <f t="shared" si="6"/>
        <v>0</v>
      </c>
      <c r="BQ16" s="1" t="str" cm="1">
        <f t="array" ref="BQ16">IF(I16="","",IF(BP16=1,"",IF(L16=0,"",IF(B16=1,"",_xlfn.XLOOKUP(1,($I$2:$I$313=$I16)*($B$2:$B$313=($B16-1)),$BO$2:$BO$313)))))</f>
        <v/>
      </c>
      <c r="BR16" s="1">
        <f>IF(I16="","",IF($B16=1,_xlfn.MINIFS($BO$2:$BO$313,$B$2:$B$313,$B16),_xlfn.MINIFS(BQ$2:$BQ$313,$B$2:$B$313,$B16)))</f>
        <v>1</v>
      </c>
      <c r="BS16" s="1">
        <f t="shared" si="48"/>
        <v>2</v>
      </c>
      <c r="BT16" s="1" t="str" cm="1">
        <f t="array" ref="BT16">IF($I16="","",IF($B16=1,_xlfn.XLOOKUP(1,($B$2:$B$313=$B16)*($BO$2:$BO$313=BR16),Data!$I$2:$I$313,,0),_xlfn.XLOOKUP(1,($B$2:$B$313=$B16)*($BQ$2:$BQ$313=$BR16),$I$2:$I$313,,0)))</f>
        <v>Kaleva Latvala</v>
      </c>
      <c r="BU16" s="1" t="str" cm="1">
        <f t="array" ref="BU16">IF(I16="","",IF($B16=1,_xlfn.XLOOKUP(1,($B$2:$B$313=$B16)*($BO$2:$BO$313=$BS16),$I$2:$I$313,,0),_xlfn.XLOOKUP(1,($B$2:$B$313=$B16)*($BQ$2:$BQ$313=$BS16),$I$2:$I$313,,0)))</f>
        <v>Roope Warro</v>
      </c>
      <c r="BV16" s="1" t="str" cm="1">
        <f t="array" ref="BV16">IF($I16="","",IF($B16=1,"",IF($B16=2,_xlfn.XLOOKUP(1,($B$2:$B$313=1)*($BO$2:$BO$313=1),$I$2:$I$313,,0),_xlfn.XLOOKUP($B16-1,$B$2:$B$313,$CH$2:$CH$313,,0))))</f>
        <v/>
      </c>
      <c r="BW16" s="1" t="str" cm="1">
        <f t="array" ref="BW16">IF($I16="","",IF($B16=1,"",IF(_xlfn.XLOOKUP(1,($B$2:$B$313=$B16)*($I$2:$I$313=$BV16),$BQ$2:$BQ$313,,0)="","NOK","OK")))</f>
        <v/>
      </c>
      <c r="BX16" s="1" t="str">
        <f t="shared" si="49"/>
        <v/>
      </c>
      <c r="BY16" s="1" t="str">
        <f t="shared" si="50"/>
        <v/>
      </c>
      <c r="BZ16" s="1" t="str">
        <f t="shared" si="51"/>
        <v/>
      </c>
      <c r="CA16" s="1" t="str">
        <f t="shared" si="52"/>
        <v/>
      </c>
      <c r="CB16" s="1" t="str">
        <f t="shared" si="53"/>
        <v/>
      </c>
      <c r="CC16" s="1" t="str">
        <f t="shared" si="54"/>
        <v/>
      </c>
      <c r="CD16" s="1" t="str">
        <f t="shared" si="55"/>
        <v/>
      </c>
      <c r="CE16" s="1" t="str">
        <f t="shared" si="56"/>
        <v/>
      </c>
      <c r="CF16" s="1" t="str">
        <f t="shared" si="57"/>
        <v/>
      </c>
      <c r="CG16" s="1" t="str">
        <f t="shared" si="58"/>
        <v/>
      </c>
      <c r="CH16" s="1" t="str">
        <f t="shared" si="59"/>
        <v>Kaleva Latvala</v>
      </c>
      <c r="CI16" s="1">
        <f t="shared" si="60"/>
        <v>0</v>
      </c>
      <c r="CJ16" s="1" t="str">
        <f ca="1">IF(B16="","",IF(SUM(AI16:AK16)&gt;0,"+SP","")&amp;IF(CI16&gt;0,"+KK","")&amp;IF(AB16&gt;0,"+KGP1","")&amp;IF(AC16&gt;0,"+KGP2","")&amp;IF(AG16&lt;0,"-KGP1","")&amp;IF(AH16&lt;0,"-KGP2",""))</f>
        <v/>
      </c>
      <c r="CO16" s="1" t="s">
        <v>140</v>
      </c>
      <c r="CP16" s="226">
        <f>ROUND(MAX($CP$3:$CP$15),0)</f>
        <v>10</v>
      </c>
    </row>
    <row r="17" spans="1:117" x14ac:dyDescent="0.25">
      <c r="A17" s="1">
        <f>IFERROR(IF(ROW(A16)=1,1,IF(1+A16&lt;=$CP$1*$CP$2,1+A16,"")),"")</f>
        <v>16</v>
      </c>
      <c r="B17" s="1">
        <f>IF($I17="","",IF(ROW(B16)=1,1,ROUNDUP(A17/$CP$2,0)))</f>
        <v>1</v>
      </c>
      <c r="C17" s="4">
        <f t="shared" si="7"/>
        <v>45556</v>
      </c>
      <c r="D17" s="4" t="str">
        <f t="shared" si="0"/>
        <v>U7 Gdansk, Puola</v>
      </c>
      <c r="E17" s="1">
        <f>IF($B17="","",COUNTIF($B$2:B17,B17))</f>
        <v>16</v>
      </c>
      <c r="F17" s="1" t="str">
        <f t="shared" si="1"/>
        <v>K2024GP01</v>
      </c>
      <c r="G17" s="1" t="str">
        <f t="shared" si="8"/>
        <v>K2024GP01_16</v>
      </c>
      <c r="H17" s="1">
        <f t="shared" si="9"/>
        <v>1</v>
      </c>
      <c r="I17" s="3" t="s">
        <v>136</v>
      </c>
      <c r="J17" s="3"/>
      <c r="K17" s="3"/>
      <c r="L17" s="1">
        <f t="shared" si="10"/>
        <v>0</v>
      </c>
      <c r="M17" s="1">
        <f t="shared" si="11"/>
        <v>0</v>
      </c>
      <c r="N17" s="1" t="str">
        <f t="shared" si="12"/>
        <v/>
      </c>
      <c r="O17" s="1" t="str">
        <f t="shared" si="13"/>
        <v/>
      </c>
      <c r="P17" s="1" t="str">
        <f t="shared" si="14"/>
        <v/>
      </c>
      <c r="Q17" s="1">
        <f t="array" ref="Q17">IF($B17="","",IF(MAX(IF(B17=$B$2:$B$313,$L$2:$L$313))-L17=0,"",MAX(IF(B17=$B$2:$B$313,$L$2:$L$313))-L17))</f>
        <v>259</v>
      </c>
      <c r="R17" s="1">
        <f t="array" ref="R17">IF($B17="","",SUMPRODUCT(--($B$2:$B$313=B17),--(L17&lt;$L$2:$L$313))+1)</f>
        <v>12</v>
      </c>
      <c r="S17" s="1">
        <f t="shared" si="15"/>
        <v>0</v>
      </c>
      <c r="T17" s="1" t="str" cm="1">
        <f t="array" ref="T17">IF($B17="","",IF(M17=0,"",SUMPRODUCT(--($B$2:$B$313=B17),--(J17&lt;$J$2:$J$313))+1))</f>
        <v/>
      </c>
      <c r="U17" s="1" t="str">
        <f t="shared" si="16"/>
        <v/>
      </c>
      <c r="V17" s="1" t="str">
        <f t="shared" si="17"/>
        <v>0112</v>
      </c>
      <c r="W17" s="1">
        <f t="shared" si="18"/>
        <v>7</v>
      </c>
      <c r="X17" s="1">
        <f t="shared" si="2"/>
        <v>0</v>
      </c>
      <c r="Y17" s="1">
        <f>IF($B17="","",MAX(_xlfn.MAXIFS($J$2:J17,$I$2:I17,$I17),_xlfn.MAXIFS($K$2:K17,$I$2:I17,$I17)))</f>
        <v>0</v>
      </c>
      <c r="Z17" s="1">
        <f t="shared" si="3"/>
        <v>141</v>
      </c>
      <c r="AA17" s="1">
        <f t="shared" si="19"/>
        <v>0</v>
      </c>
      <c r="AB17" s="1">
        <f t="shared" si="20"/>
        <v>0</v>
      </c>
      <c r="AC17" s="1">
        <f t="shared" si="21"/>
        <v>0</v>
      </c>
      <c r="AD17" s="1">
        <f>IF($B17="","",MIN(_xlfn.MINIFS($J$2:J17,$I$2:I17,$I17),_xlfn.MINIFS($K$2:K17,$I$2:I17,$I17)))</f>
        <v>0</v>
      </c>
      <c r="AE17" s="1">
        <f t="shared" si="22"/>
        <v>73</v>
      </c>
      <c r="AF17" s="1">
        <f t="shared" si="23"/>
        <v>0</v>
      </c>
      <c r="AG17" s="1">
        <f t="shared" si="24"/>
        <v>0</v>
      </c>
      <c r="AH17" s="1">
        <f t="shared" si="25"/>
        <v>0</v>
      </c>
      <c r="AI17" s="1">
        <f ca="1">IF($B17="","",IF($K17="",0,OFFSET($CO$17,R17,W17)))</f>
        <v>0</v>
      </c>
      <c r="AJ17" s="1">
        <f t="shared" ca="1" si="26"/>
        <v>0</v>
      </c>
      <c r="AK17" s="1">
        <f ca="1">IF(AJ17="","",IF(AJ17=0,0,IF(W17=1,0,SUM(OFFSET($CO$17,N17,1):OFFSET($CO$17,N17+W17-2,1))/W17)))</f>
        <v>0</v>
      </c>
      <c r="AL17" s="1">
        <f t="shared" si="27"/>
        <v>0</v>
      </c>
      <c r="AM17" s="1">
        <f>IF($B17="","",SUMIFS($AL$2:AL17,$I$2:I17,$I17))</f>
        <v>0</v>
      </c>
      <c r="AN17" s="1">
        <f t="shared" si="28"/>
        <v>12.000016</v>
      </c>
      <c r="AO17" s="1">
        <f>IFERROR(IF($B17="","",AVERAGEIFS($L$2:L17,$I$2:I17,I17,$L$2:L17,"&lt;&gt;0")),0)</f>
        <v>0</v>
      </c>
      <c r="AP17" s="1">
        <f t="shared" si="29"/>
        <v>0</v>
      </c>
      <c r="AQ17" s="1">
        <f>IF($B17="","",COUNTIFS($R$2:R17,1,$I$2:I17,$I17))</f>
        <v>0</v>
      </c>
      <c r="AR17" s="1">
        <f t="array" aca="1" ref="AR17" ca="1">IF($B17="","",SUMPRODUCT(--($B$2:$B$313=B17),--(AM17&lt;$AM$2:$AM$313))+1)</f>
        <v>11</v>
      </c>
      <c r="AS17" s="1">
        <f t="array" ref="AS17">IF($B17="","",SUMPRODUCT(--($B$2:$B$313=B17),--(AP17&lt;$AP$2:$AP$313))+1)</f>
        <v>12</v>
      </c>
      <c r="AT17" s="1">
        <f t="array" ref="AT17">IF($B17="","",SUMPRODUCT(--($B$2:$B$313=B17),--(AQ17&lt;$AQ$2:$AQ$313))+1)</f>
        <v>2</v>
      </c>
      <c r="AU17" s="1">
        <f t="shared" si="30"/>
        <v>1.6000000000000001E-8</v>
      </c>
      <c r="AV17" s="1">
        <f t="shared" ca="1" si="31"/>
        <v>0.11120201600000001</v>
      </c>
      <c r="AW17" s="1" t="str">
        <f t="shared" si="4"/>
        <v/>
      </c>
      <c r="AX17" s="1" t="str">
        <f t="shared" si="32"/>
        <v/>
      </c>
      <c r="AY17" s="8">
        <f t="shared" ca="1" si="33"/>
        <v>0.11120201600000001</v>
      </c>
      <c r="AZ17" s="1" cm="1">
        <f t="array" aca="1" ref="AZ17" ca="1">IF($B17="","",SUMPRODUCT(--($B$2:$B$313=B17),--(AY17&gt;$AY$2:$AY$313))+1)</f>
        <v>16</v>
      </c>
      <c r="BA17" s="1" t="str">
        <f t="shared" si="34"/>
        <v>K2024GP01_16_1</v>
      </c>
      <c r="BB17" s="1" t="str">
        <f t="shared" si="35"/>
        <v>K2024GP01_16_2</v>
      </c>
      <c r="BC17" s="1">
        <f t="shared" si="36"/>
        <v>0</v>
      </c>
      <c r="BD17" s="1">
        <f t="shared" si="37"/>
        <v>0</v>
      </c>
      <c r="BE17" s="1">
        <f t="shared" si="38"/>
        <v>1</v>
      </c>
      <c r="BF17" s="1">
        <f t="shared" si="39"/>
        <v>0</v>
      </c>
      <c r="BG17" s="1">
        <f t="shared" si="40"/>
        <v>0</v>
      </c>
      <c r="BH17" s="1">
        <f t="shared" si="41"/>
        <v>12</v>
      </c>
      <c r="BI17" s="1">
        <f t="shared" si="42"/>
        <v>12</v>
      </c>
      <c r="BJ17" s="1">
        <f t="shared" si="43"/>
        <v>0.1212</v>
      </c>
      <c r="BK17" s="1" t="str">
        <f t="shared" si="44"/>
        <v/>
      </c>
      <c r="BL17" s="1">
        <f t="shared" si="45"/>
        <v>9.8999999999999994E-5</v>
      </c>
      <c r="BM17" s="1">
        <f t="shared" si="46"/>
        <v>0.1213007</v>
      </c>
      <c r="BN17" s="1" t="str">
        <f t="shared" si="47"/>
        <v/>
      </c>
      <c r="BO17" s="1">
        <f t="shared" si="5"/>
        <v>16</v>
      </c>
      <c r="BP17" s="1">
        <f t="shared" si="6"/>
        <v>0</v>
      </c>
      <c r="BQ17" s="1" t="str" cm="1">
        <f t="array" ref="BQ17">IF(I17="","",IF(BP17=1,"",IF(L17=0,"",IF(B17=1,"",_xlfn.XLOOKUP(1,($I$2:$I$313=$I17)*($B$2:$B$313=($B17-1)),$BO$2:$BO$313)))))</f>
        <v/>
      </c>
      <c r="BR17" s="1">
        <f>IF(I17="","",IF($B17=1,_xlfn.MINIFS($BO$2:$BO$313,$B$2:$B$313,$B17),_xlfn.MINIFS(BQ$2:$BQ$313,$B$2:$B$313,$B17)))</f>
        <v>1</v>
      </c>
      <c r="BS17" s="1">
        <f t="shared" si="48"/>
        <v>2</v>
      </c>
      <c r="BT17" s="1" t="str" cm="1">
        <f t="array" ref="BT17">IF($I17="","",IF($B17=1,_xlfn.XLOOKUP(1,($B$2:$B$313=$B17)*($BO$2:$BO$313=BR17),Data!$I$2:$I$313,,0),_xlfn.XLOOKUP(1,($B$2:$B$313=$B17)*($BQ$2:$BQ$313=$BR17),$I$2:$I$313,,0)))</f>
        <v>Kaleva Latvala</v>
      </c>
      <c r="BU17" s="1" t="str" cm="1">
        <f t="array" ref="BU17">IF(I17="","",IF($B17=1,_xlfn.XLOOKUP(1,($B$2:$B$313=$B17)*($BO$2:$BO$313=$BS17),$I$2:$I$313,,0),_xlfn.XLOOKUP(1,($B$2:$B$313=$B17)*($BQ$2:$BQ$313=$BS17),$I$2:$I$313,,0)))</f>
        <v>Roope Warro</v>
      </c>
      <c r="BV17" s="1" t="str" cm="1">
        <f t="array" ref="BV17">IF($I17="","",IF($B17=1,"",IF($B17=2,_xlfn.XLOOKUP(1,($B$2:$B$313=1)*($BO$2:$BO$313=1),$I$2:$I$313,,0),_xlfn.XLOOKUP($B17-1,$B$2:$B$313,$CH$2:$CH$313,,0))))</f>
        <v/>
      </c>
      <c r="BW17" s="1" t="str" cm="1">
        <f t="array" ref="BW17">IF($I17="","",IF($B17=1,"",IF(_xlfn.XLOOKUP(1,($B$2:$B$313=$B17)*($I$2:$I$313=$BV17),$BQ$2:$BQ$313,,0)="","NOK","OK")))</f>
        <v/>
      </c>
      <c r="BX17" s="1" t="str">
        <f t="shared" si="49"/>
        <v/>
      </c>
      <c r="BY17" s="1" t="str">
        <f t="shared" si="50"/>
        <v/>
      </c>
      <c r="BZ17" s="1" t="str">
        <f t="shared" si="51"/>
        <v/>
      </c>
      <c r="CA17" s="1" t="str">
        <f t="shared" si="52"/>
        <v/>
      </c>
      <c r="CB17" s="1" t="str">
        <f t="shared" si="53"/>
        <v/>
      </c>
      <c r="CC17" s="1" t="str">
        <f t="shared" si="54"/>
        <v/>
      </c>
      <c r="CD17" s="1" t="str">
        <f t="shared" si="55"/>
        <v/>
      </c>
      <c r="CE17" s="1" t="str">
        <f t="shared" si="56"/>
        <v/>
      </c>
      <c r="CF17" s="1" t="str">
        <f t="shared" si="57"/>
        <v/>
      </c>
      <c r="CG17" s="1" t="str">
        <f t="shared" si="58"/>
        <v/>
      </c>
      <c r="CH17" s="1" t="str">
        <f t="shared" si="59"/>
        <v>Kaleva Latvala</v>
      </c>
      <c r="CI17" s="1">
        <f t="shared" si="60"/>
        <v>0</v>
      </c>
      <c r="CJ17" s="1" t="str">
        <f ca="1">IF(B17="","",IF(SUM(AI17:AK17)&gt;0,"+SP","")&amp;IF(CI17&gt;0,"+KK","")&amp;IF(AB17&gt;0,"+KGP1","")&amp;IF(AC17&gt;0,"+KGP2","")&amp;IF(AG17&lt;0,"-KGP1","")&amp;IF(AH17&lt;0,"-KGP2",""))</f>
        <v/>
      </c>
      <c r="CO17" s="2" t="s">
        <v>142</v>
      </c>
      <c r="CP17" s="1">
        <v>1</v>
      </c>
      <c r="CQ17" s="1">
        <v>2</v>
      </c>
      <c r="CR17" s="1">
        <v>3</v>
      </c>
      <c r="CS17" s="1">
        <v>4</v>
      </c>
      <c r="CT17" s="1">
        <v>5</v>
      </c>
      <c r="CU17" s="1">
        <v>6</v>
      </c>
      <c r="CV17" s="1">
        <v>7</v>
      </c>
      <c r="CW17" s="1">
        <v>8</v>
      </c>
      <c r="CX17" s="1">
        <v>9</v>
      </c>
      <c r="CY17" s="1">
        <v>10</v>
      </c>
      <c r="CZ17" s="1">
        <v>11</v>
      </c>
      <c r="DA17" s="1">
        <v>12</v>
      </c>
      <c r="DB17" s="1">
        <v>13</v>
      </c>
      <c r="DC17" s="1">
        <v>14</v>
      </c>
      <c r="DD17" s="1">
        <v>15</v>
      </c>
      <c r="DE17" s="1">
        <v>16</v>
      </c>
      <c r="DF17" s="1">
        <v>17</v>
      </c>
      <c r="DG17" s="1">
        <v>18</v>
      </c>
      <c r="DH17" s="1">
        <v>19</v>
      </c>
      <c r="DI17" s="1">
        <v>20</v>
      </c>
      <c r="DJ17" s="1">
        <v>21</v>
      </c>
      <c r="DK17" s="1">
        <v>22</v>
      </c>
      <c r="DL17" s="1">
        <v>23</v>
      </c>
      <c r="DM17" s="1">
        <v>24</v>
      </c>
    </row>
    <row r="18" spans="1:117" x14ac:dyDescent="0.25">
      <c r="A18" s="1">
        <f>IFERROR(IF(ROW(A17)=1,1,IF(1+A17&lt;=$CP$1*$CP$2,1+A17,"")),"")</f>
        <v>17</v>
      </c>
      <c r="B18" s="1">
        <f>IF($I18="","",IF(ROW(B17)=1,1,ROUNDUP(A18/$CP$2,0)))</f>
        <v>1</v>
      </c>
      <c r="C18" s="4">
        <f t="shared" si="7"/>
        <v>45556</v>
      </c>
      <c r="D18" s="4" t="str">
        <f t="shared" si="0"/>
        <v>U7 Gdansk, Puola</v>
      </c>
      <c r="E18" s="1">
        <f>IF($B18="","",COUNTIF($B$2:B18,B18))</f>
        <v>17</v>
      </c>
      <c r="F18" s="1" t="str">
        <f t="shared" si="1"/>
        <v>K2024GP01</v>
      </c>
      <c r="G18" s="1" t="str">
        <f t="shared" si="8"/>
        <v>K2024GP01_17</v>
      </c>
      <c r="H18" s="1">
        <f t="shared" si="9"/>
        <v>1</v>
      </c>
      <c r="I18" s="3" t="s">
        <v>137</v>
      </c>
      <c r="J18" s="3"/>
      <c r="K18" s="3"/>
      <c r="L18" s="1">
        <f t="shared" si="10"/>
        <v>0</v>
      </c>
      <c r="M18" s="1">
        <f t="shared" si="11"/>
        <v>0</v>
      </c>
      <c r="N18" s="1" t="str">
        <f t="shared" si="12"/>
        <v/>
      </c>
      <c r="O18" s="1" t="str">
        <f t="shared" si="13"/>
        <v/>
      </c>
      <c r="P18" s="1" t="str">
        <f t="shared" si="14"/>
        <v/>
      </c>
      <c r="Q18" s="1">
        <f t="array" ref="Q18">IF($B18="","",IF(MAX(IF(B18=$B$2:$B$313,$L$2:$L$313))-L18=0,"",MAX(IF(B18=$B$2:$B$313,$L$2:$L$313))-L18))</f>
        <v>259</v>
      </c>
      <c r="R18" s="1">
        <f t="array" ref="R18">IF($B18="","",SUMPRODUCT(--($B$2:$B$313=B18),--(L18&lt;$L$2:$L$313))+1)</f>
        <v>12</v>
      </c>
      <c r="S18" s="1">
        <f t="shared" si="15"/>
        <v>0</v>
      </c>
      <c r="T18" s="1" t="str" cm="1">
        <f t="array" ref="T18">IF($B18="","",IF(M18=0,"",SUMPRODUCT(--($B$2:$B$313=B18),--(J18&lt;$J$2:$J$313))+1))</f>
        <v/>
      </c>
      <c r="U18" s="1" t="str">
        <f t="shared" si="16"/>
        <v/>
      </c>
      <c r="V18" s="1" t="str">
        <f t="shared" si="17"/>
        <v>0112</v>
      </c>
      <c r="W18" s="1">
        <f t="shared" si="18"/>
        <v>7</v>
      </c>
      <c r="X18" s="1">
        <f t="shared" si="2"/>
        <v>0</v>
      </c>
      <c r="Y18" s="1">
        <f>IF($B18="","",MAX(_xlfn.MAXIFS($J$2:J18,$I$2:I18,$I18),_xlfn.MAXIFS($K$2:K18,$I$2:I18,$I18)))</f>
        <v>0</v>
      </c>
      <c r="Z18" s="1">
        <f t="shared" si="3"/>
        <v>141</v>
      </c>
      <c r="AA18" s="1">
        <f t="shared" si="19"/>
        <v>0</v>
      </c>
      <c r="AB18" s="1">
        <f t="shared" si="20"/>
        <v>0</v>
      </c>
      <c r="AC18" s="1">
        <f t="shared" si="21"/>
        <v>0</v>
      </c>
      <c r="AD18" s="1">
        <f>IF($B18="","",MIN(_xlfn.MINIFS($J$2:J18,$I$2:I18,$I18),_xlfn.MINIFS($K$2:K18,$I$2:I18,$I18)))</f>
        <v>0</v>
      </c>
      <c r="AE18" s="1">
        <f t="shared" si="22"/>
        <v>73</v>
      </c>
      <c r="AF18" s="1">
        <f t="shared" si="23"/>
        <v>0</v>
      </c>
      <c r="AG18" s="1">
        <f t="shared" si="24"/>
        <v>0</v>
      </c>
      <c r="AH18" s="1">
        <f t="shared" si="25"/>
        <v>0</v>
      </c>
      <c r="AI18" s="1">
        <f ca="1">IF($B18="","",IF($K18="",0,OFFSET($CO$17,R18,W18)))</f>
        <v>0</v>
      </c>
      <c r="AJ18" s="1">
        <f t="shared" ca="1" si="26"/>
        <v>0</v>
      </c>
      <c r="AK18" s="1">
        <f ca="1">IF(AJ18="","",IF(AJ18=0,0,IF(W18=1,0,SUM(OFFSET($CO$17,N18,1):OFFSET($CO$17,N18+W18-2,1))/W18)))</f>
        <v>0</v>
      </c>
      <c r="AL18" s="1">
        <f t="shared" si="27"/>
        <v>0</v>
      </c>
      <c r="AM18" s="1">
        <f>IF($B18="","",SUMIFS($AL$2:AL18,$I$2:I18,$I18))</f>
        <v>0</v>
      </c>
      <c r="AN18" s="1">
        <f t="shared" si="28"/>
        <v>12.000017</v>
      </c>
      <c r="AO18" s="1">
        <f>IFERROR(IF($B18="","",AVERAGEIFS($L$2:L18,$I$2:I18,I18,$L$2:L18,"&lt;&gt;0")),0)</f>
        <v>0</v>
      </c>
      <c r="AP18" s="1">
        <f t="shared" si="29"/>
        <v>0</v>
      </c>
      <c r="AQ18" s="1">
        <f>IF($B18="","",COUNTIFS($R$2:R18,1,$I$2:I18,$I18))</f>
        <v>0</v>
      </c>
      <c r="AR18" s="1">
        <f t="array" aca="1" ref="AR18" ca="1">IF($B18="","",SUMPRODUCT(--($B$2:$B$313=B18),--(AM18&lt;$AM$2:$AM$313))+1)</f>
        <v>11</v>
      </c>
      <c r="AS18" s="1">
        <f t="array" ref="AS18">IF($B18="","",SUMPRODUCT(--($B$2:$B$313=B18),--(AP18&lt;$AP$2:$AP$313))+1)</f>
        <v>12</v>
      </c>
      <c r="AT18" s="1">
        <f t="array" ref="AT18">IF($B18="","",SUMPRODUCT(--($B$2:$B$313=B18),--(AQ18&lt;$AQ$2:$AQ$313))+1)</f>
        <v>2</v>
      </c>
      <c r="AU18" s="1">
        <f t="shared" si="30"/>
        <v>1.7E-8</v>
      </c>
      <c r="AV18" s="1">
        <f t="shared" ca="1" si="31"/>
        <v>0.11120201700000001</v>
      </c>
      <c r="AW18" s="1" t="str">
        <f t="shared" si="4"/>
        <v/>
      </c>
      <c r="AX18" s="1" t="str">
        <f t="shared" si="32"/>
        <v/>
      </c>
      <c r="AY18" s="8">
        <f t="shared" ca="1" si="33"/>
        <v>0.11120201700000001</v>
      </c>
      <c r="AZ18" s="1" cm="1">
        <f t="array" aca="1" ref="AZ18" ca="1">IF($B18="","",SUMPRODUCT(--($B$2:$B$313=B18),--(AY18&gt;$AY$2:$AY$313))+1)</f>
        <v>17</v>
      </c>
      <c r="BA18" s="1" t="str">
        <f t="shared" si="34"/>
        <v>K2024GP01_17_1</v>
      </c>
      <c r="BB18" s="1" t="str">
        <f t="shared" si="35"/>
        <v>K2024GP01_17_2</v>
      </c>
      <c r="BC18" s="1">
        <f t="shared" si="36"/>
        <v>0</v>
      </c>
      <c r="BD18" s="1">
        <f t="shared" si="37"/>
        <v>0</v>
      </c>
      <c r="BE18" s="1">
        <f t="shared" si="38"/>
        <v>1</v>
      </c>
      <c r="BF18" s="1">
        <f t="shared" si="39"/>
        <v>0</v>
      </c>
      <c r="BG18" s="1">
        <f t="shared" si="40"/>
        <v>0</v>
      </c>
      <c r="BH18" s="1">
        <f t="shared" si="41"/>
        <v>12</v>
      </c>
      <c r="BI18" s="1">
        <f t="shared" si="42"/>
        <v>12</v>
      </c>
      <c r="BJ18" s="1">
        <f t="shared" si="43"/>
        <v>0.1212</v>
      </c>
      <c r="BK18" s="1" t="str">
        <f t="shared" si="44"/>
        <v/>
      </c>
      <c r="BL18" s="1">
        <f t="shared" si="45"/>
        <v>9.8999999999999994E-5</v>
      </c>
      <c r="BM18" s="1">
        <f t="shared" si="46"/>
        <v>0.1213008</v>
      </c>
      <c r="BN18" s="1" t="str">
        <f t="shared" si="47"/>
        <v/>
      </c>
      <c r="BO18" s="1">
        <f t="shared" si="5"/>
        <v>17</v>
      </c>
      <c r="BP18" s="1">
        <f t="shared" si="6"/>
        <v>0</v>
      </c>
      <c r="BQ18" s="1" t="str" cm="1">
        <f t="array" ref="BQ18">IF(I18="","",IF(BP18=1,"",IF(L18=0,"",IF(B18=1,"",_xlfn.XLOOKUP(1,($I$2:$I$313=$I18)*($B$2:$B$313=($B18-1)),$BO$2:$BO$313)))))</f>
        <v/>
      </c>
      <c r="BR18" s="1">
        <f>IF(I18="","",IF($B18=1,_xlfn.MINIFS($BO$2:$BO$313,$B$2:$B$313,$B18),_xlfn.MINIFS(BQ$2:$BQ$313,$B$2:$B$313,$B18)))</f>
        <v>1</v>
      </c>
      <c r="BS18" s="1">
        <f t="shared" si="48"/>
        <v>2</v>
      </c>
      <c r="BT18" s="1" t="str" cm="1">
        <f t="array" ref="BT18">IF($I18="","",IF($B18=1,_xlfn.XLOOKUP(1,($B$2:$B$313=$B18)*($BO$2:$BO$313=BR18),Data!$I$2:$I$313,,0),_xlfn.XLOOKUP(1,($B$2:$B$313=$B18)*($BQ$2:$BQ$313=$BR18),$I$2:$I$313,,0)))</f>
        <v>Kaleva Latvala</v>
      </c>
      <c r="BU18" s="1" t="str" cm="1">
        <f t="array" ref="BU18">IF(I18="","",IF($B18=1,_xlfn.XLOOKUP(1,($B$2:$B$313=$B18)*($BO$2:$BO$313=$BS18),$I$2:$I$313,,0),_xlfn.XLOOKUP(1,($B$2:$B$313=$B18)*($BQ$2:$BQ$313=$BS18),$I$2:$I$313,,0)))</f>
        <v>Roope Warro</v>
      </c>
      <c r="BV18" s="1" t="str" cm="1">
        <f t="array" ref="BV18">IF($I18="","",IF($B18=1,"",IF($B18=2,_xlfn.XLOOKUP(1,($B$2:$B$313=1)*($BO$2:$BO$313=1),$I$2:$I$313,,0),_xlfn.XLOOKUP($B18-1,$B$2:$B$313,$CH$2:$CH$313,,0))))</f>
        <v/>
      </c>
      <c r="BW18" s="1" t="str" cm="1">
        <f t="array" ref="BW18">IF($I18="","",IF($B18=1,"",IF(_xlfn.XLOOKUP(1,($B$2:$B$313=$B18)*($I$2:$I$313=$BV18),$BQ$2:$BQ$313,,0)="","NOK","OK")))</f>
        <v/>
      </c>
      <c r="BX18" s="1" t="str">
        <f t="shared" si="49"/>
        <v/>
      </c>
      <c r="BY18" s="1" t="str">
        <f t="shared" si="50"/>
        <v/>
      </c>
      <c r="BZ18" s="1" t="str">
        <f t="shared" si="51"/>
        <v/>
      </c>
      <c r="CA18" s="1" t="str">
        <f t="shared" si="52"/>
        <v/>
      </c>
      <c r="CB18" s="1" t="str">
        <f t="shared" si="53"/>
        <v/>
      </c>
      <c r="CC18" s="1" t="str">
        <f t="shared" si="54"/>
        <v/>
      </c>
      <c r="CD18" s="1" t="str">
        <f t="shared" si="55"/>
        <v/>
      </c>
      <c r="CE18" s="1" t="str">
        <f t="shared" si="56"/>
        <v/>
      </c>
      <c r="CF18" s="1" t="str">
        <f t="shared" si="57"/>
        <v/>
      </c>
      <c r="CG18" s="1" t="str">
        <f t="shared" si="58"/>
        <v/>
      </c>
      <c r="CH18" s="1" t="str">
        <f t="shared" si="59"/>
        <v>Kaleva Latvala</v>
      </c>
      <c r="CI18" s="1">
        <f t="shared" si="60"/>
        <v>0</v>
      </c>
      <c r="CJ18" s="1" t="str">
        <f ca="1">IF(B18="","",IF(SUM(AI18:AK18)&gt;0,"+SP","")&amp;IF(CI18&gt;0,"+KK","")&amp;IF(AB18&gt;0,"+KGP1","")&amp;IF(AC18&gt;0,"+KGP2","")&amp;IF(AG18&lt;0,"-KGP1","")&amp;IF(AH18&lt;0,"-KGP2",""))</f>
        <v/>
      </c>
      <c r="CO18" s="1">
        <v>1</v>
      </c>
      <c r="CP18" s="3">
        <v>12</v>
      </c>
      <c r="CQ18" s="6">
        <f ca="1">SUM($CP18:OFFSET($CP18,CQ$17-1,0))/CQ$17</f>
        <v>11</v>
      </c>
      <c r="CR18" s="6">
        <f ca="1">SUM($CP18:OFFSET($CP18,CR$17-1,0))/CR$17</f>
        <v>10</v>
      </c>
      <c r="CS18" s="6">
        <f ca="1">SUM($CP18:OFFSET($CP18,CS$17-1,0))/CS$17</f>
        <v>9.25</v>
      </c>
      <c r="CT18" s="6">
        <f ca="1">SUM($CP18:OFFSET($CP18,CT$17-1,0))/CT$17</f>
        <v>8.6</v>
      </c>
      <c r="CU18" s="6">
        <f ca="1">SUM($CP18:OFFSET($CP18,CU$17-1,0))/CU$17</f>
        <v>8</v>
      </c>
      <c r="CV18" s="6">
        <f ca="1">SUM($CP18:OFFSET($CP18,CV$17-1,0))/CV$17</f>
        <v>7.4285714285714288</v>
      </c>
      <c r="CW18" s="6">
        <f ca="1">SUM($CP18:OFFSET($CP18,CW$17-1,0))/CW$17</f>
        <v>6.875</v>
      </c>
      <c r="CX18" s="6">
        <f ca="1">SUM($CP18:OFFSET($CP18,CX$17-1,0))/CX$17</f>
        <v>6.333333333333333</v>
      </c>
      <c r="CY18" s="6">
        <f ca="1">SUM($CP18:OFFSET($CP18,CY$17-1,0))/CY$17</f>
        <v>5.8</v>
      </c>
      <c r="CZ18" s="6">
        <f ca="1">SUM($CP18:OFFSET($CP18,CZ$17-1,0))/CZ$17</f>
        <v>5.2727272727272725</v>
      </c>
      <c r="DA18" s="6">
        <f ca="1">SUM($CP18:OFFSET($CP18,DA$17-1,0))/DA$17</f>
        <v>4.833333333333333</v>
      </c>
      <c r="DB18" s="6">
        <f ca="1">SUM($CP18:OFFSET($CP18,DB$17-1,0))/DB$17</f>
        <v>4.4615384615384617</v>
      </c>
      <c r="DC18" s="6">
        <f ca="1">SUM($CP18:OFFSET($CP18,DC$17-1,0))/DC$17</f>
        <v>4.1428571428571432</v>
      </c>
      <c r="DD18" s="6">
        <f ca="1">SUM($CP18:OFFSET($CP18,DD$17-1,0))/DD$17</f>
        <v>3.8666666666666667</v>
      </c>
      <c r="DE18" s="6">
        <f ca="1">SUM($CP18:OFFSET($CP18,DE$17-1,0))/DE$17</f>
        <v>3.625</v>
      </c>
      <c r="DF18" s="6">
        <f ca="1">SUM($CP18:OFFSET($CP18,DF$17-1,0))/DF$17</f>
        <v>3.4117647058823528</v>
      </c>
      <c r="DG18" s="6">
        <f ca="1">SUM($CP18:OFFSET($CP18,DG$17-1,0))/DG$17</f>
        <v>3.2222222222222223</v>
      </c>
      <c r="DH18" s="6">
        <f ca="1">SUM($CP18:OFFSET($CP18,DH$17-1,0))/DH$17</f>
        <v>3.0526315789473686</v>
      </c>
      <c r="DI18" s="6">
        <f ca="1">SUM($CP18:OFFSET($CP18,DI$17-1,0))/DI$17</f>
        <v>2.9</v>
      </c>
      <c r="DJ18" s="6">
        <f ca="1">SUM($CP18:OFFSET($CP18,DJ$17-1,0))/DJ$17</f>
        <v>2.7619047619047619</v>
      </c>
      <c r="DK18" s="6">
        <f ca="1">SUM($CP18:OFFSET($CP18,DK$17-1,0))/DK$17</f>
        <v>2.6363636363636362</v>
      </c>
      <c r="DL18" s="6">
        <f ca="1">SUM($CP18:OFFSET($CP18,DL$17-1,0))/DL$17</f>
        <v>2.5217391304347827</v>
      </c>
      <c r="DM18" s="6">
        <f ca="1">SUM($CP18:OFFSET($CP18,DM$17-1,0))/DM$17</f>
        <v>2.4166666666666665</v>
      </c>
    </row>
    <row r="19" spans="1:117" x14ac:dyDescent="0.25">
      <c r="A19" s="1">
        <f>IFERROR(IF(ROW(A18)=1,1,IF(1+A18&lt;=$CP$1*$CP$2,1+A18,"")),"")</f>
        <v>18</v>
      </c>
      <c r="B19" s="1">
        <f>IF($I19="","",IF(ROW(B18)=1,1,ROUNDUP(A19/$CP$2,0)))</f>
        <v>1</v>
      </c>
      <c r="C19" s="4">
        <f t="shared" si="7"/>
        <v>45556</v>
      </c>
      <c r="D19" s="4" t="str">
        <f t="shared" si="0"/>
        <v>U7 Gdansk, Puola</v>
      </c>
      <c r="E19" s="1">
        <f>IF($B19="","",COUNTIF($B$2:B19,B19))</f>
        <v>18</v>
      </c>
      <c r="F19" s="1" t="str">
        <f t="shared" si="1"/>
        <v>K2024GP01</v>
      </c>
      <c r="G19" s="1" t="str">
        <f t="shared" si="8"/>
        <v>K2024GP01_18</v>
      </c>
      <c r="H19" s="1">
        <f t="shared" si="9"/>
        <v>1</v>
      </c>
      <c r="I19" s="3" t="s">
        <v>127</v>
      </c>
      <c r="J19" s="3"/>
      <c r="K19" s="3"/>
      <c r="L19" s="1">
        <f t="shared" si="10"/>
        <v>0</v>
      </c>
      <c r="M19" s="1">
        <f t="shared" si="11"/>
        <v>0</v>
      </c>
      <c r="N19" s="1" t="str">
        <f t="shared" si="12"/>
        <v/>
      </c>
      <c r="O19" s="1" t="str">
        <f t="shared" si="13"/>
        <v/>
      </c>
      <c r="P19" s="1" t="str">
        <f t="shared" si="14"/>
        <v/>
      </c>
      <c r="Q19" s="1">
        <f t="array" ref="Q19">IF($B19="","",IF(MAX(IF(B19=$B$2:$B$313,$L$2:$L$313))-L19=0,"",MAX(IF(B19=$B$2:$B$313,$L$2:$L$313))-L19))</f>
        <v>259</v>
      </c>
      <c r="R19" s="1">
        <f t="array" ref="R19">IF($B19="","",SUMPRODUCT(--($B$2:$B$313=B19),--(L19&lt;$L$2:$L$313))+1)</f>
        <v>12</v>
      </c>
      <c r="S19" s="1">
        <f t="shared" si="15"/>
        <v>0</v>
      </c>
      <c r="T19" s="1" t="str" cm="1">
        <f t="array" ref="T19">IF($B19="","",IF(M19=0,"",SUMPRODUCT(--($B$2:$B$313=B19),--(J19&lt;$J$2:$J$313))+1))</f>
        <v/>
      </c>
      <c r="U19" s="1" t="str">
        <f t="shared" si="16"/>
        <v/>
      </c>
      <c r="V19" s="1" t="str">
        <f t="shared" si="17"/>
        <v>0112</v>
      </c>
      <c r="W19" s="1">
        <f t="shared" si="18"/>
        <v>7</v>
      </c>
      <c r="X19" s="1">
        <f t="shared" si="2"/>
        <v>0</v>
      </c>
      <c r="Y19" s="1">
        <f>IF($B19="","",MAX(_xlfn.MAXIFS($J$2:J19,$I$2:I19,$I19),_xlfn.MAXIFS($K$2:K19,$I$2:I19,$I19)))</f>
        <v>0</v>
      </c>
      <c r="Z19" s="1">
        <f t="shared" si="3"/>
        <v>141</v>
      </c>
      <c r="AA19" s="1">
        <f t="shared" si="19"/>
        <v>0</v>
      </c>
      <c r="AB19" s="1">
        <f t="shared" si="20"/>
        <v>0</v>
      </c>
      <c r="AC19" s="1">
        <f t="shared" si="21"/>
        <v>0</v>
      </c>
      <c r="AD19" s="1">
        <f>IF($B19="","",MIN(_xlfn.MINIFS($J$2:J19,$I$2:I19,$I19),_xlfn.MINIFS($K$2:K19,$I$2:I19,$I19)))</f>
        <v>0</v>
      </c>
      <c r="AE19" s="1">
        <f t="shared" si="22"/>
        <v>73</v>
      </c>
      <c r="AF19" s="1">
        <f t="shared" si="23"/>
        <v>0</v>
      </c>
      <c r="AG19" s="1">
        <f t="shared" si="24"/>
        <v>0</v>
      </c>
      <c r="AH19" s="1">
        <f t="shared" si="25"/>
        <v>0</v>
      </c>
      <c r="AI19" s="1">
        <f ca="1">IF($B19="","",IF($K19="",0,OFFSET($CO$17,R19,W19)))</f>
        <v>0</v>
      </c>
      <c r="AJ19" s="1">
        <f t="shared" ca="1" si="26"/>
        <v>0</v>
      </c>
      <c r="AK19" s="1">
        <f ca="1">IF(AJ19="","",IF(AJ19=0,0,IF(W19=1,0,SUM(OFFSET($CO$17,N19,1):OFFSET($CO$17,N19+W19-2,1))/W19)))</f>
        <v>0</v>
      </c>
      <c r="AL19" s="1">
        <f t="shared" si="27"/>
        <v>0</v>
      </c>
      <c r="AM19" s="1">
        <f>IF($B19="","",SUMIFS($AL$2:AL19,$I$2:I19,$I19))</f>
        <v>0</v>
      </c>
      <c r="AN19" s="1">
        <f t="shared" si="28"/>
        <v>12.000018000000001</v>
      </c>
      <c r="AO19" s="1">
        <f>IFERROR(IF($B19="","",AVERAGEIFS($L$2:L19,$I$2:I19,I19,$L$2:L19,"&lt;&gt;0")),0)</f>
        <v>0</v>
      </c>
      <c r="AP19" s="1">
        <f t="shared" si="29"/>
        <v>0</v>
      </c>
      <c r="AQ19" s="1">
        <f>IF($B19="","",COUNTIFS($R$2:R19,1,$I$2:I19,$I19))</f>
        <v>0</v>
      </c>
      <c r="AR19" s="1">
        <f t="array" aca="1" ref="AR19" ca="1">IF($B19="","",SUMPRODUCT(--($B$2:$B$313=B19),--(AM19&lt;$AM$2:$AM$313))+1)</f>
        <v>11</v>
      </c>
      <c r="AS19" s="1">
        <f t="array" ref="AS19">IF($B19="","",SUMPRODUCT(--($B$2:$B$313=B19),--(AP19&lt;$AP$2:$AP$313))+1)</f>
        <v>12</v>
      </c>
      <c r="AT19" s="1">
        <f t="array" ref="AT19">IF($B19="","",SUMPRODUCT(--($B$2:$B$313=B19),--(AQ19&lt;$AQ$2:$AQ$313))+1)</f>
        <v>2</v>
      </c>
      <c r="AU19" s="1">
        <f t="shared" si="30"/>
        <v>1.7999999999999999E-8</v>
      </c>
      <c r="AV19" s="1">
        <f t="shared" ca="1" si="31"/>
        <v>0.11120201800000001</v>
      </c>
      <c r="AW19" s="1" t="str">
        <f t="shared" si="4"/>
        <v/>
      </c>
      <c r="AX19" s="1" t="str">
        <f t="shared" si="32"/>
        <v/>
      </c>
      <c r="AY19" s="8">
        <f t="shared" ca="1" si="33"/>
        <v>0.11120201800000001</v>
      </c>
      <c r="AZ19" s="1" cm="1">
        <f t="array" aca="1" ref="AZ19" ca="1">IF($B19="","",SUMPRODUCT(--($B$2:$B$313=B19),--(AY19&gt;$AY$2:$AY$313))+1)</f>
        <v>18</v>
      </c>
      <c r="BA19" s="1" t="str">
        <f t="shared" si="34"/>
        <v>K2024GP01_18_1</v>
      </c>
      <c r="BB19" s="1" t="str">
        <f t="shared" si="35"/>
        <v>K2024GP01_18_2</v>
      </c>
      <c r="BC19" s="1">
        <f t="shared" si="36"/>
        <v>0</v>
      </c>
      <c r="BD19" s="1">
        <f t="shared" si="37"/>
        <v>0</v>
      </c>
      <c r="BE19" s="1">
        <f t="shared" si="38"/>
        <v>1</v>
      </c>
      <c r="BF19" s="1">
        <f t="shared" si="39"/>
        <v>0</v>
      </c>
      <c r="BG19" s="1">
        <f t="shared" si="40"/>
        <v>0</v>
      </c>
      <c r="BH19" s="1">
        <f t="shared" si="41"/>
        <v>12</v>
      </c>
      <c r="BI19" s="1">
        <f t="shared" si="42"/>
        <v>12</v>
      </c>
      <c r="BJ19" s="1">
        <f t="shared" si="43"/>
        <v>0.1212</v>
      </c>
      <c r="BK19" s="1" t="str">
        <f t="shared" si="44"/>
        <v/>
      </c>
      <c r="BL19" s="1">
        <f t="shared" si="45"/>
        <v>9.8999999999999994E-5</v>
      </c>
      <c r="BM19" s="1">
        <f t="shared" si="46"/>
        <v>0.1213009</v>
      </c>
      <c r="BN19" s="1" t="str">
        <f t="shared" si="47"/>
        <v/>
      </c>
      <c r="BO19" s="1">
        <f t="shared" si="5"/>
        <v>18</v>
      </c>
      <c r="BP19" s="1">
        <f t="shared" si="6"/>
        <v>0</v>
      </c>
      <c r="BQ19" s="1" t="str" cm="1">
        <f t="array" ref="BQ19">IF(I19="","",IF(BP19=1,"",IF(L19=0,"",IF(B19=1,"",_xlfn.XLOOKUP(1,($I$2:$I$313=$I19)*($B$2:$B$313=($B19-1)),$BO$2:$BO$313)))))</f>
        <v/>
      </c>
      <c r="BR19" s="1">
        <f>IF(I19="","",IF($B19=1,_xlfn.MINIFS($BO$2:$BO$313,$B$2:$B$313,$B19),_xlfn.MINIFS(BQ$2:$BQ$313,$B$2:$B$313,$B19)))</f>
        <v>1</v>
      </c>
      <c r="BS19" s="1">
        <f t="shared" si="48"/>
        <v>2</v>
      </c>
      <c r="BT19" s="1" t="str" cm="1">
        <f t="array" ref="BT19">IF($I19="","",IF($B19=1,_xlfn.XLOOKUP(1,($B$2:$B$313=$B19)*($BO$2:$BO$313=BR19),Data!$I$2:$I$313,,0),_xlfn.XLOOKUP(1,($B$2:$B$313=$B19)*($BQ$2:$BQ$313=$BR19),$I$2:$I$313,,0)))</f>
        <v>Kaleva Latvala</v>
      </c>
      <c r="BU19" s="1" t="str" cm="1">
        <f t="array" ref="BU19">IF(I19="","",IF($B19=1,_xlfn.XLOOKUP(1,($B$2:$B$313=$B19)*($BO$2:$BO$313=$BS19),$I$2:$I$313,,0),_xlfn.XLOOKUP(1,($B$2:$B$313=$B19)*($BQ$2:$BQ$313=$BS19),$I$2:$I$313,,0)))</f>
        <v>Roope Warro</v>
      </c>
      <c r="BV19" s="1" t="str" cm="1">
        <f t="array" ref="BV19">IF($I19="","",IF($B19=1,"",IF($B19=2,_xlfn.XLOOKUP(1,($B$2:$B$313=1)*($BO$2:$BO$313=1),$I$2:$I$313,,0),_xlfn.XLOOKUP($B19-1,$B$2:$B$313,$CH$2:$CH$313,,0))))</f>
        <v/>
      </c>
      <c r="BW19" s="1" t="str" cm="1">
        <f t="array" ref="BW19">IF($I19="","",IF($B19=1,"",IF(_xlfn.XLOOKUP(1,($B$2:$B$313=$B19)*($I$2:$I$313=$BV19),$BQ$2:$BQ$313,,0)="","NOK","OK")))</f>
        <v/>
      </c>
      <c r="BX19" s="1" t="str">
        <f t="shared" si="49"/>
        <v/>
      </c>
      <c r="BY19" s="1" t="str">
        <f t="shared" si="50"/>
        <v/>
      </c>
      <c r="BZ19" s="1" t="str">
        <f t="shared" si="51"/>
        <v/>
      </c>
      <c r="CA19" s="1" t="str">
        <f t="shared" si="52"/>
        <v/>
      </c>
      <c r="CB19" s="1" t="str">
        <f t="shared" si="53"/>
        <v/>
      </c>
      <c r="CC19" s="1" t="str">
        <f t="shared" si="54"/>
        <v/>
      </c>
      <c r="CD19" s="1" t="str">
        <f t="shared" si="55"/>
        <v/>
      </c>
      <c r="CE19" s="1" t="str">
        <f t="shared" si="56"/>
        <v/>
      </c>
      <c r="CF19" s="1" t="str">
        <f t="shared" si="57"/>
        <v/>
      </c>
      <c r="CG19" s="1" t="str">
        <f t="shared" si="58"/>
        <v/>
      </c>
      <c r="CH19" s="1" t="str">
        <f t="shared" si="59"/>
        <v>Kaleva Latvala</v>
      </c>
      <c r="CI19" s="1">
        <f t="shared" si="60"/>
        <v>0</v>
      </c>
      <c r="CJ19" s="1" t="str">
        <f ca="1">IF(B19="","",IF(SUM(AI19:AK19)&gt;0,"+SP","")&amp;IF(CI19&gt;0,"+KK","")&amp;IF(AB19&gt;0,"+KGP1","")&amp;IF(AC19&gt;0,"+KGP2","")&amp;IF(AG19&lt;0,"-KGP1","")&amp;IF(AH19&lt;0,"-KGP2",""))</f>
        <v/>
      </c>
      <c r="CO19" s="1">
        <v>2</v>
      </c>
      <c r="CP19" s="3">
        <v>10</v>
      </c>
      <c r="CQ19" s="6">
        <f ca="1">SUM($CP19:OFFSET($CP19,CQ$17-1,0))/CQ$17</f>
        <v>9</v>
      </c>
      <c r="CR19" s="6">
        <f ca="1">SUM($CP19:OFFSET($CP19,CR$17-1,0))/CR$17</f>
        <v>8.3333333333333339</v>
      </c>
      <c r="CS19" s="6">
        <f ca="1">SUM($CP19:OFFSET($CP19,CS$17-1,0))/CS$17</f>
        <v>7.75</v>
      </c>
      <c r="CT19" s="6">
        <f ca="1">SUM($CP19:OFFSET($CP19,CT$17-1,0))/CT$17</f>
        <v>7.2</v>
      </c>
      <c r="CU19" s="6">
        <f ca="1">SUM($CP19:OFFSET($CP19,CU$17-1,0))/CU$17</f>
        <v>6.666666666666667</v>
      </c>
      <c r="CV19" s="6">
        <f ca="1">SUM($CP19:OFFSET($CP19,CV$17-1,0))/CV$17</f>
        <v>6.1428571428571432</v>
      </c>
      <c r="CW19" s="6">
        <f ca="1">SUM($CP19:OFFSET($CP19,CW$17-1,0))/CW$17</f>
        <v>5.625</v>
      </c>
      <c r="CX19" s="6">
        <f ca="1">SUM($CP19:OFFSET($CP19,CX$17-1,0))/CX$17</f>
        <v>5.1111111111111107</v>
      </c>
      <c r="CY19" s="6">
        <f ca="1">SUM($CP19:OFFSET($CP19,CY$17-1,0))/CY$17</f>
        <v>4.5999999999999996</v>
      </c>
      <c r="CZ19" s="6">
        <f ca="1">SUM($CP19:OFFSET($CP19,CZ$17-1,0))/CZ$17</f>
        <v>4.1818181818181817</v>
      </c>
      <c r="DA19" s="6">
        <f ca="1">SUM($CP19:OFFSET($CP19,DA$17-1,0))/DA$17</f>
        <v>3.8333333333333335</v>
      </c>
      <c r="DB19" s="6">
        <f ca="1">SUM($CP19:OFFSET($CP19,DB$17-1,0))/DB$17</f>
        <v>3.5384615384615383</v>
      </c>
      <c r="DC19" s="6">
        <f ca="1">SUM($CP19:OFFSET($CP19,DC$17-1,0))/DC$17</f>
        <v>3.2857142857142856</v>
      </c>
      <c r="DD19" s="6">
        <f ca="1">SUM($CP19:OFFSET($CP19,DD$17-1,0))/DD$17</f>
        <v>3.0666666666666669</v>
      </c>
      <c r="DE19" s="6">
        <f ca="1">SUM($CP19:OFFSET($CP19,DE$17-1,0))/DE$17</f>
        <v>2.875</v>
      </c>
      <c r="DF19" s="6">
        <f ca="1">SUM($CP19:OFFSET($CP19,DF$17-1,0))/DF$17</f>
        <v>2.7058823529411766</v>
      </c>
      <c r="DG19" s="6">
        <f ca="1">SUM($CP19:OFFSET($CP19,DG$17-1,0))/DG$17</f>
        <v>2.5555555555555554</v>
      </c>
      <c r="DH19" s="6">
        <f ca="1">SUM($CP19:OFFSET($CP19,DH$17-1,0))/DH$17</f>
        <v>2.4210526315789473</v>
      </c>
      <c r="DI19" s="6">
        <f ca="1">SUM($CP19:OFFSET($CP19,DI$17-1,0))/DI$17</f>
        <v>2.2999999999999998</v>
      </c>
      <c r="DJ19" s="6">
        <f ca="1">SUM($CP19:OFFSET($CP19,DJ$17-1,0))/DJ$17</f>
        <v>2.1904761904761907</v>
      </c>
      <c r="DK19" s="6">
        <f ca="1">SUM($CP19:OFFSET($CP19,DK$17-1,0))/DK$17</f>
        <v>2.0909090909090908</v>
      </c>
      <c r="DL19" s="6">
        <f ca="1">SUM($CP19:OFFSET($CP19,DL$17-1,0))/DL$17</f>
        <v>2</v>
      </c>
      <c r="DM19" s="6">
        <f ca="1">SUM($CP19:OFFSET($CP19,DM$17-1,0))/DM$17</f>
        <v>2.375</v>
      </c>
    </row>
    <row r="20" spans="1:117" x14ac:dyDescent="0.25">
      <c r="A20" s="1">
        <f>IFERROR(IF(ROW(A19)=1,1,IF(1+A19&lt;=$CP$1*$CP$2,1+A19,"")),"")</f>
        <v>19</v>
      </c>
      <c r="B20" s="1">
        <f>IF($I20="","",IF(ROW(B19)=1,1,ROUNDUP(A20/$CP$2,0)))</f>
        <v>2</v>
      </c>
      <c r="C20" s="4">
        <f t="shared" si="7"/>
        <v>45585</v>
      </c>
      <c r="D20" s="4" t="str">
        <f t="shared" si="0"/>
        <v>Raision keilahalli</v>
      </c>
      <c r="E20" s="1">
        <f>IF($B20="","",COUNTIF($B$2:B20,B20))</f>
        <v>1</v>
      </c>
      <c r="F20" s="1" t="str">
        <f t="shared" si="1"/>
        <v>K2024GP02</v>
      </c>
      <c r="G20" s="1" t="str">
        <f t="shared" si="8"/>
        <v>K2024GP02_1</v>
      </c>
      <c r="H20" s="1">
        <f t="shared" si="9"/>
        <v>1</v>
      </c>
      <c r="I20" s="3" t="s">
        <v>126</v>
      </c>
      <c r="J20" s="3">
        <v>126</v>
      </c>
      <c r="K20" s="3">
        <v>121</v>
      </c>
      <c r="L20" s="1">
        <f t="shared" si="10"/>
        <v>247</v>
      </c>
      <c r="M20" s="1">
        <f t="shared" si="11"/>
        <v>1</v>
      </c>
      <c r="N20" s="1">
        <f t="shared" si="12"/>
        <v>11</v>
      </c>
      <c r="O20" s="1">
        <f t="shared" si="13"/>
        <v>247</v>
      </c>
      <c r="P20" s="1">
        <f t="shared" si="14"/>
        <v>86</v>
      </c>
      <c r="Q20" s="1">
        <f t="array" ref="Q20">IF($B20="","",IF(MAX(IF(B20=$B$2:$B$313,$L$2:$L$313))-L20=0,"",MAX(IF(B20=$B$2:$B$313,$L$2:$L$313))-L20))</f>
        <v>86</v>
      </c>
      <c r="R20" s="1">
        <f t="array" ref="R20">IF($B20="","",SUMPRODUCT(--($B$2:$B$313=B20),--(L20&lt;$L$2:$L$313))+1)</f>
        <v>11</v>
      </c>
      <c r="S20" s="1">
        <f t="shared" si="15"/>
        <v>2</v>
      </c>
      <c r="T20" s="1" cm="1">
        <f t="array" ref="T20">IF($B20="","",IF(M20=0,"",SUMPRODUCT(--($B$2:$B$313=B20),--(J20&lt;$J$2:$J$313))+1))</f>
        <v>9</v>
      </c>
      <c r="U20" s="1">
        <f t="shared" si="16"/>
        <v>2</v>
      </c>
      <c r="V20" s="1" t="str">
        <f t="shared" si="17"/>
        <v>0211</v>
      </c>
      <c r="W20" s="1">
        <f t="shared" si="18"/>
        <v>1</v>
      </c>
      <c r="X20" s="1">
        <f t="shared" si="2"/>
        <v>0</v>
      </c>
      <c r="Y20" s="1">
        <f>IF($B20="","",MAX(_xlfn.MAXIFS($J$2:J20,$I$2:I20,$I20),_xlfn.MAXIFS($K$2:K20,$I$2:I20,$I20)))</f>
        <v>126</v>
      </c>
      <c r="Z20" s="1">
        <f t="shared" si="3"/>
        <v>193</v>
      </c>
      <c r="AA20" s="1">
        <f t="shared" si="19"/>
        <v>0</v>
      </c>
      <c r="AB20" s="1">
        <f t="shared" si="20"/>
        <v>0</v>
      </c>
      <c r="AC20" s="1">
        <f t="shared" si="21"/>
        <v>0</v>
      </c>
      <c r="AD20" s="1">
        <f>IF($B20="","",MIN(_xlfn.MINIFS($J$2:J20,$I$2:I20,$I20),_xlfn.MINIFS($K$2:K20,$I$2:I20,$I20)))</f>
        <v>121</v>
      </c>
      <c r="AE20" s="1">
        <f t="shared" si="22"/>
        <v>91</v>
      </c>
      <c r="AF20" s="1">
        <f t="shared" si="23"/>
        <v>0</v>
      </c>
      <c r="AG20" s="1">
        <f t="shared" si="24"/>
        <v>0</v>
      </c>
      <c r="AH20" s="1">
        <f t="shared" si="25"/>
        <v>0</v>
      </c>
      <c r="AI20" s="1">
        <f ca="1">IF($B20="","",IF($K20="",0,OFFSET($CO$17,R20,W20)))</f>
        <v>0</v>
      </c>
      <c r="AJ20" s="1">
        <f t="shared" ca="1" si="26"/>
        <v>0</v>
      </c>
      <c r="AK20" s="1">
        <f ca="1">IF(AJ20="","",IF(AJ20=0,0,IF(W20=1,0,SUM(OFFSET($CO$17,N20,1):OFFSET($CO$17,N20+W20-2,1))/W20)))</f>
        <v>0</v>
      </c>
      <c r="AL20" s="1">
        <f t="shared" ca="1" si="27"/>
        <v>0</v>
      </c>
      <c r="AM20" s="1">
        <f ca="1">IF($B20="","",SUMIFS($AL$2:AL20,$I$2:I20,$I20))</f>
        <v>0</v>
      </c>
      <c r="AN20" s="1">
        <f t="shared" si="28"/>
        <v>11.000019</v>
      </c>
      <c r="AO20" s="1">
        <f>IFERROR(IF($B20="","",AVERAGEIFS($L$2:L20,$I$2:I20,I20,$L$2:L20,"&lt;&gt;0")),0)</f>
        <v>247</v>
      </c>
      <c r="AP20" s="1">
        <f t="shared" si="29"/>
        <v>123.5</v>
      </c>
      <c r="AQ20" s="1">
        <f>IF($B20="","",COUNTIFS($R$2:R20,1,$I$2:I20,$I20))</f>
        <v>0</v>
      </c>
      <c r="AR20" s="1">
        <f t="array" aca="1" ref="AR20" ca="1">IF($B20="","",SUMPRODUCT(--($B$2:$B$313=B20),--(AM20&lt;$AM$2:$AM$313))+1)</f>
        <v>15</v>
      </c>
      <c r="AS20" s="1">
        <f t="array" ref="AS20">IF($B20="","",SUMPRODUCT(--($B$2:$B$313=B20),--(AP20&lt;$AP$2:$AP$313))+1)</f>
        <v>11</v>
      </c>
      <c r="AT20" s="1">
        <f t="array" ref="AT20">IF($B20="","",SUMPRODUCT(--($B$2:$B$313=B20),--(AQ20&lt;$AQ$2:$AQ$313))+1)</f>
        <v>4</v>
      </c>
      <c r="AU20" s="1">
        <f t="shared" si="30"/>
        <v>1.9000000000000001E-8</v>
      </c>
      <c r="AV20" s="1">
        <f t="shared" ca="1" si="31"/>
        <v>0.15110401899999998</v>
      </c>
      <c r="AW20" s="1" t="str">
        <f t="shared" si="4"/>
        <v/>
      </c>
      <c r="AX20" s="1" t="str">
        <f t="shared" si="32"/>
        <v/>
      </c>
      <c r="AY20" s="8">
        <f t="shared" ca="1" si="33"/>
        <v>0.15110401899999998</v>
      </c>
      <c r="AZ20" s="1" cm="1">
        <f t="array" aca="1" ref="AZ20" ca="1">IF($B20="","",SUMPRODUCT(--($B$2:$B$313=B20),--(AY20&gt;$AY$2:$AY$313))+1)</f>
        <v>15</v>
      </c>
      <c r="BA20" s="1" t="str">
        <f t="shared" si="34"/>
        <v>K2024GP02_1_1</v>
      </c>
      <c r="BB20" s="1" t="str">
        <f t="shared" si="35"/>
        <v>K2024GP02_1_2</v>
      </c>
      <c r="BC20" s="1">
        <f t="shared" si="36"/>
        <v>0</v>
      </c>
      <c r="BD20" s="1">
        <f t="shared" si="37"/>
        <v>0</v>
      </c>
      <c r="BE20" s="1">
        <f t="shared" si="38"/>
        <v>1</v>
      </c>
      <c r="BF20" s="1">
        <f t="shared" si="39"/>
        <v>126</v>
      </c>
      <c r="BG20" s="1">
        <f t="shared" si="40"/>
        <v>121</v>
      </c>
      <c r="BH20" s="1">
        <f t="shared" si="41"/>
        <v>13</v>
      </c>
      <c r="BI20" s="1">
        <f t="shared" si="42"/>
        <v>11</v>
      </c>
      <c r="BJ20" s="1">
        <f t="shared" si="43"/>
        <v>0.13109999999999999</v>
      </c>
      <c r="BK20" s="1">
        <f t="shared" si="44"/>
        <v>0</v>
      </c>
      <c r="BL20" s="1">
        <f t="shared" si="45"/>
        <v>9.8999999999999994E-5</v>
      </c>
      <c r="BM20" s="1">
        <f t="shared" si="46"/>
        <v>0.13119899999999998</v>
      </c>
      <c r="BN20" s="1">
        <f t="shared" si="47"/>
        <v>0</v>
      </c>
      <c r="BO20" s="1">
        <f t="shared" si="5"/>
        <v>13</v>
      </c>
      <c r="BP20" s="1">
        <f t="shared" si="6"/>
        <v>0</v>
      </c>
      <c r="BQ20" s="1" cm="1">
        <f t="array" ref="BQ20">IF(I20="","",IF(BP20=1,"",IF(L20=0,"",IF(B20=1,"",_xlfn.XLOOKUP(1,($I$2:$I$313=$I20)*($B$2:$B$313=($B20-1)),$BO$2:$BO$313)))))</f>
        <v>12</v>
      </c>
      <c r="BR20" s="1">
        <f>IF(I20="","",IF($B20=1,_xlfn.MINIFS($BO$2:$BO$313,$B$2:$B$313,$B20),_xlfn.MINIFS(BQ$2:$BQ$313,$B$2:$B$313,$B20)))</f>
        <v>1</v>
      </c>
      <c r="BS20" s="1">
        <f t="shared" si="48"/>
        <v>3</v>
      </c>
      <c r="BT20" s="1" t="str" cm="1">
        <f t="array" ref="BT20">IF($I20="","",IF($B20=1,_xlfn.XLOOKUP(1,($B$2:$B$313=$B20)*($BO$2:$BO$313=BR20),Data!$I$2:$I$313,,0),_xlfn.XLOOKUP(1,($B$2:$B$313=$B20)*($BQ$2:$BQ$313=$BR20),$I$2:$I$313,,0)))</f>
        <v>Kaleva Latvala</v>
      </c>
      <c r="BU20" s="1" t="str" cm="1">
        <f t="array" ref="BU20">IF(I20="","",IF($B20=1,_xlfn.XLOOKUP(1,($B$2:$B$313=$B20)*($BO$2:$BO$313=$BS20),$I$2:$I$313,,0),_xlfn.XLOOKUP(1,($B$2:$B$313=$B20)*($BQ$2:$BQ$313=$BS20),$I$2:$I$313,,0)))</f>
        <v>Ossi Oksa</v>
      </c>
      <c r="BV20" s="1" t="str" cm="1">
        <f t="array" ref="BV20">IF($I20="","",IF($B20=1,"",IF($B20=2,_xlfn.XLOOKUP(1,($B$2:$B$313=1)*($BO$2:$BO$313=1),$I$2:$I$313,,0),_xlfn.XLOOKUP($B20-1,$B$2:$B$313,$CH$2:$CH$313,,0))))</f>
        <v>Kaleva Latvala</v>
      </c>
      <c r="BW20" s="1" t="str" cm="1">
        <f t="array" ref="BW20">IF($I20="","",IF($B20=1,"",IF(_xlfn.XLOOKUP(1,($B$2:$B$313=$B20)*($I$2:$I$313=$BV20),$BQ$2:$BQ$313,,0)="","NOK","OK")))</f>
        <v>OK</v>
      </c>
      <c r="BX20" s="1" t="str">
        <f t="shared" si="49"/>
        <v>Kaleva Latvala</v>
      </c>
      <c r="BY20" s="1" t="str">
        <f t="shared" si="50"/>
        <v>Ossi Oksa</v>
      </c>
      <c r="BZ20" s="1">
        <f t="shared" si="51"/>
        <v>136</v>
      </c>
      <c r="CA20" s="1">
        <f t="shared" si="52"/>
        <v>125</v>
      </c>
      <c r="CB20" s="1">
        <f t="shared" si="53"/>
        <v>9.8999999999999994E-5</v>
      </c>
      <c r="CC20" s="1">
        <f t="shared" si="54"/>
        <v>182</v>
      </c>
      <c r="CD20" s="1">
        <f t="shared" si="55"/>
        <v>126</v>
      </c>
      <c r="CE20" s="1">
        <f t="shared" si="56"/>
        <v>9.8999999999999994E-5</v>
      </c>
      <c r="CF20" s="1" t="str">
        <f t="shared" si="57"/>
        <v>Kaleva Latvala (P)</v>
      </c>
      <c r="CG20" s="1" t="str">
        <f t="shared" si="58"/>
        <v>Ossi Oksa (3)</v>
      </c>
      <c r="CH20" s="1" t="str">
        <f t="shared" si="59"/>
        <v>Ossi Oksa</v>
      </c>
      <c r="CI20" s="1">
        <f t="shared" si="60"/>
        <v>0</v>
      </c>
      <c r="CJ20" s="1" t="str">
        <f ca="1">IF(B20="","",IF(SUM(AI20:AK20)&gt;0,"+SP","")&amp;IF(CI20&gt;0,"+KK","")&amp;IF(AB20&gt;0,"+KGP1","")&amp;IF(AC20&gt;0,"+KGP2","")&amp;IF(AG20&lt;0,"-KGP1","")&amp;IF(AH20&lt;0,"-KGP2",""))</f>
        <v/>
      </c>
      <c r="CO20" s="1">
        <v>3</v>
      </c>
      <c r="CP20" s="3">
        <v>8</v>
      </c>
      <c r="CQ20" s="6">
        <f ca="1">SUM($CP20:OFFSET($CP20,CQ$17-1,0))/CQ$17</f>
        <v>7.5</v>
      </c>
      <c r="CR20" s="6">
        <f ca="1">SUM($CP20:OFFSET($CP20,CR$17-1,0))/CR$17</f>
        <v>7</v>
      </c>
      <c r="CS20" s="6">
        <f ca="1">SUM($CP20:OFFSET($CP20,CS$17-1,0))/CS$17</f>
        <v>6.5</v>
      </c>
      <c r="CT20" s="6">
        <f ca="1">SUM($CP20:OFFSET($CP20,CT$17-1,0))/CT$17</f>
        <v>6</v>
      </c>
      <c r="CU20" s="6">
        <f ca="1">SUM($CP20:OFFSET($CP20,CU$17-1,0))/CU$17</f>
        <v>5.5</v>
      </c>
      <c r="CV20" s="6">
        <f ca="1">SUM($CP20:OFFSET($CP20,CV$17-1,0))/CV$17</f>
        <v>5</v>
      </c>
      <c r="CW20" s="6">
        <f ca="1">SUM($CP20:OFFSET($CP20,CW$17-1,0))/CW$17</f>
        <v>4.5</v>
      </c>
      <c r="CX20" s="6">
        <f ca="1">SUM($CP20:OFFSET($CP20,CX$17-1,0))/CX$17</f>
        <v>4</v>
      </c>
      <c r="CY20" s="6">
        <f ca="1">SUM($CP20:OFFSET($CP20,CY$17-1,0))/CY$17</f>
        <v>3.6</v>
      </c>
      <c r="CZ20" s="6">
        <f ca="1">SUM($CP20:OFFSET($CP20,CZ$17-1,0))/CZ$17</f>
        <v>3.2727272727272729</v>
      </c>
      <c r="DA20" s="6">
        <f ca="1">SUM($CP20:OFFSET($CP20,DA$17-1,0))/DA$17</f>
        <v>3</v>
      </c>
      <c r="DB20" s="6">
        <f ca="1">SUM($CP20:OFFSET($CP20,DB$17-1,0))/DB$17</f>
        <v>2.7692307692307692</v>
      </c>
      <c r="DC20" s="6">
        <f ca="1">SUM($CP20:OFFSET($CP20,DC$17-1,0))/DC$17</f>
        <v>2.5714285714285716</v>
      </c>
      <c r="DD20" s="6">
        <f ca="1">SUM($CP20:OFFSET($CP20,DD$17-1,0))/DD$17</f>
        <v>2.4</v>
      </c>
      <c r="DE20" s="6">
        <f ca="1">SUM($CP20:OFFSET($CP20,DE$17-1,0))/DE$17</f>
        <v>2.25</v>
      </c>
      <c r="DF20" s="6">
        <f ca="1">SUM($CP20:OFFSET($CP20,DF$17-1,0))/DF$17</f>
        <v>2.1176470588235294</v>
      </c>
      <c r="DG20" s="6">
        <f ca="1">SUM($CP20:OFFSET($CP20,DG$17-1,0))/DG$17</f>
        <v>2</v>
      </c>
      <c r="DH20" s="6">
        <f ca="1">SUM($CP20:OFFSET($CP20,DH$17-1,0))/DH$17</f>
        <v>1.8947368421052631</v>
      </c>
      <c r="DI20" s="6">
        <f ca="1">SUM($CP20:OFFSET($CP20,DI$17-1,0))/DI$17</f>
        <v>1.8</v>
      </c>
      <c r="DJ20" s="6">
        <f ca="1">SUM($CP20:OFFSET($CP20,DJ$17-1,0))/DJ$17</f>
        <v>1.7142857142857142</v>
      </c>
      <c r="DK20" s="6">
        <f ca="1">SUM($CP20:OFFSET($CP20,DK$17-1,0))/DK$17</f>
        <v>1.6363636363636365</v>
      </c>
      <c r="DL20" s="6">
        <f ca="1">SUM($CP20:OFFSET($CP20,DL$17-1,0))/DL$17</f>
        <v>2.0434782608695654</v>
      </c>
      <c r="DM20" s="6">
        <f ca="1">SUM($CP20:OFFSET($CP20,DM$17-1,0))/DM$17</f>
        <v>1.9583333333333333</v>
      </c>
    </row>
    <row r="21" spans="1:117" x14ac:dyDescent="0.25">
      <c r="A21" s="1">
        <f>IFERROR(IF(ROW(A20)=1,1,IF(1+A20&lt;=$CP$1*$CP$2,1+A20,"")),"")</f>
        <v>20</v>
      </c>
      <c r="B21" s="1">
        <f>IF($I21="","",IF(ROW(B20)=1,1,ROUNDUP(A21/$CP$2,0)))</f>
        <v>2</v>
      </c>
      <c r="C21" s="4">
        <f t="shared" si="7"/>
        <v>45585</v>
      </c>
      <c r="D21" s="4" t="str">
        <f t="shared" si="0"/>
        <v>Raision keilahalli</v>
      </c>
      <c r="E21" s="1">
        <f>IF($B21="","",COUNTIF($B$2:B21,B21))</f>
        <v>2</v>
      </c>
      <c r="F21" s="1" t="str">
        <f t="shared" si="1"/>
        <v>K2024GP02</v>
      </c>
      <c r="G21" s="1" t="str">
        <f t="shared" si="8"/>
        <v>K2024GP02_2</v>
      </c>
      <c r="H21" s="1">
        <f t="shared" si="9"/>
        <v>1</v>
      </c>
      <c r="I21" s="3" t="s">
        <v>135</v>
      </c>
      <c r="J21" s="3">
        <v>104</v>
      </c>
      <c r="K21" s="3">
        <v>119</v>
      </c>
      <c r="L21" s="1">
        <f t="shared" si="10"/>
        <v>223</v>
      </c>
      <c r="M21" s="1">
        <f t="shared" si="11"/>
        <v>1</v>
      </c>
      <c r="N21" s="1">
        <f t="shared" si="12"/>
        <v>14</v>
      </c>
      <c r="O21" s="1">
        <f t="shared" si="13"/>
        <v>223</v>
      </c>
      <c r="P21" s="1">
        <f t="shared" si="14"/>
        <v>110</v>
      </c>
      <c r="Q21" s="1">
        <f t="array" ref="Q21">IF($B21="","",IF(MAX(IF(B21=$B$2:$B$313,$L$2:$L$313))-L21=0,"",MAX(IF(B21=$B$2:$B$313,$L$2:$L$313))-L21))</f>
        <v>110</v>
      </c>
      <c r="R21" s="1">
        <f t="array" ref="R21">IF($B21="","",SUMPRODUCT(--($B$2:$B$313=B21),--(L21&lt;$L$2:$L$313))+1)</f>
        <v>14</v>
      </c>
      <c r="S21" s="1">
        <f t="shared" si="15"/>
        <v>2</v>
      </c>
      <c r="T21" s="1" cm="1">
        <f t="array" ref="T21">IF($B21="","",IF(M21=0,"",SUMPRODUCT(--($B$2:$B$313=B21),--(J21&lt;$J$2:$J$313))+1))</f>
        <v>13</v>
      </c>
      <c r="U21" s="1">
        <f t="shared" si="16"/>
        <v>1</v>
      </c>
      <c r="V21" s="1" t="str">
        <f t="shared" si="17"/>
        <v>0214</v>
      </c>
      <c r="W21" s="1">
        <f t="shared" si="18"/>
        <v>1</v>
      </c>
      <c r="X21" s="1">
        <f t="shared" si="2"/>
        <v>0</v>
      </c>
      <c r="Y21" s="1">
        <f>IF($B21="","",MAX(_xlfn.MAXIFS($J$2:J21,$I$2:I21,$I21),_xlfn.MAXIFS($K$2:K21,$I$2:I21,$I21)))</f>
        <v>129</v>
      </c>
      <c r="Z21" s="1">
        <f t="shared" si="3"/>
        <v>193</v>
      </c>
      <c r="AA21" s="1">
        <f t="shared" si="19"/>
        <v>0</v>
      </c>
      <c r="AB21" s="1">
        <f t="shared" si="20"/>
        <v>0</v>
      </c>
      <c r="AC21" s="1">
        <f t="shared" si="21"/>
        <v>0</v>
      </c>
      <c r="AD21" s="1">
        <f>IF($B21="","",MIN(_xlfn.MINIFS($J$2:J21,$I$2:I21,$I21),_xlfn.MINIFS($K$2:K21,$I$2:I21,$I21)))</f>
        <v>101</v>
      </c>
      <c r="AE21" s="1">
        <f t="shared" si="22"/>
        <v>91</v>
      </c>
      <c r="AF21" s="1">
        <f t="shared" si="23"/>
        <v>0</v>
      </c>
      <c r="AG21" s="1">
        <f t="shared" si="24"/>
        <v>0</v>
      </c>
      <c r="AH21" s="1">
        <f t="shared" si="25"/>
        <v>0</v>
      </c>
      <c r="AI21" s="1">
        <f ca="1">IF($B21="","",IF($K21="",0,OFFSET($CO$17,R21,W21)))</f>
        <v>0</v>
      </c>
      <c r="AJ21" s="1">
        <f t="shared" ca="1" si="26"/>
        <v>0</v>
      </c>
      <c r="AK21" s="1">
        <f ca="1">IF(AJ21="","",IF(AJ21=0,0,IF(W21=1,0,SUM(OFFSET($CO$17,N21,1):OFFSET($CO$17,N21+W21-2,1))/W21)))</f>
        <v>0</v>
      </c>
      <c r="AL21" s="1">
        <f t="shared" ca="1" si="27"/>
        <v>0</v>
      </c>
      <c r="AM21" s="1">
        <f ca="1">IF($B21="","",SUMIFS($AL$2:AL21,$I$2:I21,$I21))</f>
        <v>6</v>
      </c>
      <c r="AN21" s="1">
        <f t="shared" si="28"/>
        <v>14.000019999999999</v>
      </c>
      <c r="AO21" s="1">
        <f>IFERROR(IF($B21="","",AVERAGEIFS($L$2:L21,$I$2:I21,I21,$L$2:L21,"&lt;&gt;0")),0)</f>
        <v>226.5</v>
      </c>
      <c r="AP21" s="1">
        <f t="shared" si="29"/>
        <v>113.25</v>
      </c>
      <c r="AQ21" s="1">
        <f>IF($B21="","",COUNTIFS($R$2:R21,1,$I$2:I21,$I21))</f>
        <v>0</v>
      </c>
      <c r="AR21" s="1">
        <f t="array" aca="1" ref="AR21" ca="1">IF($B21="","",SUMPRODUCT(--($B$2:$B$313=B21),--(AM21&lt;$AM$2:$AM$313))+1)</f>
        <v>9</v>
      </c>
      <c r="AS21" s="1">
        <f t="array" ref="AS21">IF($B21="","",SUMPRODUCT(--($B$2:$B$313=B21),--(AP21&lt;$AP$2:$AP$313))+1)</f>
        <v>14</v>
      </c>
      <c r="AT21" s="1">
        <f t="array" ref="AT21">IF($B21="","",SUMPRODUCT(--($B$2:$B$313=B21),--(AQ21&lt;$AQ$2:$AQ$313))+1)</f>
        <v>4</v>
      </c>
      <c r="AU21" s="1">
        <f t="shared" si="30"/>
        <v>2E-8</v>
      </c>
      <c r="AV21" s="1">
        <f t="shared" ca="1" si="31"/>
        <v>9.1404020000000002E-2</v>
      </c>
      <c r="AW21" s="1" t="str">
        <f t="shared" si="4"/>
        <v/>
      </c>
      <c r="AX21" s="1" t="str">
        <f t="shared" si="32"/>
        <v/>
      </c>
      <c r="AY21" s="8">
        <f t="shared" ca="1" si="33"/>
        <v>9.1404020000000002E-2</v>
      </c>
      <c r="AZ21" s="1" cm="1">
        <f t="array" aca="1" ref="AZ21" ca="1">IF($B21="","",SUMPRODUCT(--($B$2:$B$313=B21),--(AY21&gt;$AY$2:$AY$313))+1)</f>
        <v>9</v>
      </c>
      <c r="BA21" s="1" t="str">
        <f t="shared" si="34"/>
        <v>K2024GP02_2_1</v>
      </c>
      <c r="BB21" s="1" t="str">
        <f t="shared" si="35"/>
        <v>K2024GP02_2_2</v>
      </c>
      <c r="BC21" s="1">
        <f t="shared" si="36"/>
        <v>0</v>
      </c>
      <c r="BD21" s="1">
        <f t="shared" si="37"/>
        <v>0</v>
      </c>
      <c r="BE21" s="1">
        <f t="shared" si="38"/>
        <v>1</v>
      </c>
      <c r="BF21" s="1">
        <f t="shared" si="39"/>
        <v>119</v>
      </c>
      <c r="BG21" s="1">
        <f t="shared" si="40"/>
        <v>104</v>
      </c>
      <c r="BH21" s="1">
        <f t="shared" si="41"/>
        <v>14</v>
      </c>
      <c r="BI21" s="1">
        <f t="shared" si="42"/>
        <v>13</v>
      </c>
      <c r="BJ21" s="1">
        <f t="shared" si="43"/>
        <v>0.14130000000000001</v>
      </c>
      <c r="BK21" s="1">
        <f t="shared" si="44"/>
        <v>0</v>
      </c>
      <c r="BL21" s="1">
        <f t="shared" si="45"/>
        <v>9.8999999999999994E-5</v>
      </c>
      <c r="BM21" s="1">
        <f t="shared" si="46"/>
        <v>0.141399</v>
      </c>
      <c r="BN21" s="1">
        <f t="shared" si="47"/>
        <v>0</v>
      </c>
      <c r="BO21" s="1">
        <f t="shared" si="5"/>
        <v>14</v>
      </c>
      <c r="BP21" s="1">
        <f t="shared" si="6"/>
        <v>0</v>
      </c>
      <c r="BQ21" s="1" cm="1">
        <f t="array" ref="BQ21">IF(I21="","",IF(BP21=1,"",IF(L21=0,"",IF(B21=1,"",_xlfn.XLOOKUP(1,($I$2:$I$313=$I21)*($B$2:$B$313=($B21-1)),$BO$2:$BO$313)))))</f>
        <v>5</v>
      </c>
      <c r="BR21" s="1">
        <f>IF(I21="","",IF($B21=1,_xlfn.MINIFS($BO$2:$BO$313,$B$2:$B$313,$B21),_xlfn.MINIFS(BQ$2:$BQ$313,$B$2:$B$313,$B21)))</f>
        <v>1</v>
      </c>
      <c r="BS21" s="1">
        <f t="shared" si="48"/>
        <v>3</v>
      </c>
      <c r="BT21" s="1" t="str" cm="1">
        <f t="array" ref="BT21">IF($I21="","",IF($B21=1,_xlfn.XLOOKUP(1,($B$2:$B$313=$B21)*($BO$2:$BO$313=BR21),Data!$I$2:$I$313,,0),_xlfn.XLOOKUP(1,($B$2:$B$313=$B21)*($BQ$2:$BQ$313=$BR21),$I$2:$I$313,,0)))</f>
        <v>Kaleva Latvala</v>
      </c>
      <c r="BU21" s="1" t="str" cm="1">
        <f t="array" ref="BU21">IF(I21="","",IF($B21=1,_xlfn.XLOOKUP(1,($B$2:$B$313=$B21)*($BO$2:$BO$313=$BS21),$I$2:$I$313,,0),_xlfn.XLOOKUP(1,($B$2:$B$313=$B21)*($BQ$2:$BQ$313=$BS21),$I$2:$I$313,,0)))</f>
        <v>Ossi Oksa</v>
      </c>
      <c r="BV21" s="1" t="str" cm="1">
        <f t="array" ref="BV21">IF($I21="","",IF($B21=1,"",IF($B21=2,_xlfn.XLOOKUP(1,($B$2:$B$313=1)*($BO$2:$BO$313=1),$I$2:$I$313,,0),_xlfn.XLOOKUP($B21-1,$B$2:$B$313,$CH$2:$CH$313,,0))))</f>
        <v>Kaleva Latvala</v>
      </c>
      <c r="BW21" s="1" t="str" cm="1">
        <f t="array" ref="BW21">IF($I21="","",IF($B21=1,"",IF(_xlfn.XLOOKUP(1,($B$2:$B$313=$B21)*($I$2:$I$313=$BV21),$BQ$2:$BQ$313,,0)="","NOK","OK")))</f>
        <v>OK</v>
      </c>
      <c r="BX21" s="1" t="str">
        <f t="shared" si="49"/>
        <v>Kaleva Latvala</v>
      </c>
      <c r="BY21" s="1" t="str">
        <f t="shared" si="50"/>
        <v>Ossi Oksa</v>
      </c>
      <c r="BZ21" s="1">
        <f t="shared" si="51"/>
        <v>136</v>
      </c>
      <c r="CA21" s="1">
        <f t="shared" si="52"/>
        <v>125</v>
      </c>
      <c r="CB21" s="1">
        <f t="shared" si="53"/>
        <v>9.8999999999999994E-5</v>
      </c>
      <c r="CC21" s="1">
        <f t="shared" si="54"/>
        <v>182</v>
      </c>
      <c r="CD21" s="1">
        <f t="shared" si="55"/>
        <v>126</v>
      </c>
      <c r="CE21" s="1">
        <f t="shared" si="56"/>
        <v>9.8999999999999994E-5</v>
      </c>
      <c r="CF21" s="1" t="str">
        <f t="shared" si="57"/>
        <v>Kaleva Latvala (P)</v>
      </c>
      <c r="CG21" s="1" t="str">
        <f t="shared" si="58"/>
        <v>Ossi Oksa (3)</v>
      </c>
      <c r="CH21" s="1" t="str">
        <f t="shared" si="59"/>
        <v>Ossi Oksa</v>
      </c>
      <c r="CI21" s="1">
        <f t="shared" si="60"/>
        <v>0</v>
      </c>
      <c r="CJ21" s="1" t="str">
        <f ca="1">IF(B21="","",IF(SUM(AI21:AK21)&gt;0,"+SP","")&amp;IF(CI21&gt;0,"+KK","")&amp;IF(AB21&gt;0,"+KGP1","")&amp;IF(AC21&gt;0,"+KGP2","")&amp;IF(AG21&lt;0,"-KGP1","")&amp;IF(AH21&lt;0,"-KGP2",""))</f>
        <v/>
      </c>
      <c r="CO21" s="1">
        <v>4</v>
      </c>
      <c r="CP21" s="3">
        <v>7</v>
      </c>
      <c r="CQ21" s="6">
        <f ca="1">SUM($CP21:OFFSET($CP21,CQ$17-1,0))/CQ$17</f>
        <v>6.5</v>
      </c>
      <c r="CR21" s="6">
        <f ca="1">SUM($CP21:OFFSET($CP21,CR$17-1,0))/CR$17</f>
        <v>6</v>
      </c>
      <c r="CS21" s="6">
        <f ca="1">SUM($CP21:OFFSET($CP21,CS$17-1,0))/CS$17</f>
        <v>5.5</v>
      </c>
      <c r="CT21" s="6">
        <f ca="1">SUM($CP21:OFFSET($CP21,CT$17-1,0))/CT$17</f>
        <v>5</v>
      </c>
      <c r="CU21" s="6">
        <f ca="1">SUM($CP21:OFFSET($CP21,CU$17-1,0))/CU$17</f>
        <v>4.5</v>
      </c>
      <c r="CV21" s="6">
        <f ca="1">SUM($CP21:OFFSET($CP21,CV$17-1,0))/CV$17</f>
        <v>4</v>
      </c>
      <c r="CW21" s="6">
        <f ca="1">SUM($CP21:OFFSET($CP21,CW$17-1,0))/CW$17</f>
        <v>3.5</v>
      </c>
      <c r="CX21" s="6">
        <f ca="1">SUM($CP21:OFFSET($CP21,CX$17-1,0))/CX$17</f>
        <v>3.1111111111111112</v>
      </c>
      <c r="CY21" s="6">
        <f ca="1">SUM($CP21:OFFSET($CP21,CY$17-1,0))/CY$17</f>
        <v>2.8</v>
      </c>
      <c r="CZ21" s="6">
        <f ca="1">SUM($CP21:OFFSET($CP21,CZ$17-1,0))/CZ$17</f>
        <v>2.5454545454545454</v>
      </c>
      <c r="DA21" s="6">
        <f ca="1">SUM($CP21:OFFSET($CP21,DA$17-1,0))/DA$17</f>
        <v>2.3333333333333335</v>
      </c>
      <c r="DB21" s="6">
        <f ca="1">SUM($CP21:OFFSET($CP21,DB$17-1,0))/DB$17</f>
        <v>2.1538461538461537</v>
      </c>
      <c r="DC21" s="6">
        <f ca="1">SUM($CP21:OFFSET($CP21,DC$17-1,0))/DC$17</f>
        <v>2</v>
      </c>
      <c r="DD21" s="6">
        <f ca="1">SUM($CP21:OFFSET($CP21,DD$17-1,0))/DD$17</f>
        <v>1.8666666666666667</v>
      </c>
      <c r="DE21" s="6">
        <f ca="1">SUM($CP21:OFFSET($CP21,DE$17-1,0))/DE$17</f>
        <v>1.75</v>
      </c>
      <c r="DF21" s="6">
        <f ca="1">SUM($CP21:OFFSET($CP21,DF$17-1,0))/DF$17</f>
        <v>1.6470588235294117</v>
      </c>
      <c r="DG21" s="6">
        <f ca="1">SUM($CP21:OFFSET($CP21,DG$17-1,0))/DG$17</f>
        <v>1.5555555555555556</v>
      </c>
      <c r="DH21" s="6">
        <f ca="1">SUM($CP21:OFFSET($CP21,DH$17-1,0))/DH$17</f>
        <v>1.4736842105263157</v>
      </c>
      <c r="DI21" s="6">
        <f ca="1">SUM($CP21:OFFSET($CP21,DI$17-1,0))/DI$17</f>
        <v>1.4</v>
      </c>
      <c r="DJ21" s="6">
        <f ca="1">SUM($CP21:OFFSET($CP21,DJ$17-1,0))/DJ$17</f>
        <v>1.3333333333333333</v>
      </c>
      <c r="DK21" s="6">
        <f ca="1">SUM($CP21:OFFSET($CP21,DK$17-1,0))/DK$17</f>
        <v>1.7727272727272727</v>
      </c>
      <c r="DL21" s="6">
        <f ca="1">SUM($CP21:OFFSET($CP21,DL$17-1,0))/DL$17</f>
        <v>1.6956521739130435</v>
      </c>
      <c r="DM21" s="6">
        <f ca="1">SUM($CP21:OFFSET($CP21,DM$17-1,0))/DM$17</f>
        <v>1.625</v>
      </c>
    </row>
    <row r="22" spans="1:117" x14ac:dyDescent="0.25">
      <c r="A22" s="1">
        <f>IFERROR(IF(ROW(A21)=1,1,IF(1+A21&lt;=$CP$1*$CP$2,1+A21,"")),"")</f>
        <v>21</v>
      </c>
      <c r="B22" s="1">
        <f>IF($I22="","",IF(ROW(B21)=1,1,ROUNDUP(A22/$CP$2,0)))</f>
        <v>2</v>
      </c>
      <c r="C22" s="4">
        <f t="shared" si="7"/>
        <v>45585</v>
      </c>
      <c r="D22" s="4" t="str">
        <f t="shared" si="0"/>
        <v>Raision keilahalli</v>
      </c>
      <c r="E22" s="1">
        <f>IF($B22="","",COUNTIF($B$2:B22,B22))</f>
        <v>3</v>
      </c>
      <c r="F22" s="1" t="str">
        <f t="shared" si="1"/>
        <v>K2024GP02</v>
      </c>
      <c r="G22" s="1" t="str">
        <f t="shared" si="8"/>
        <v>K2024GP02_3</v>
      </c>
      <c r="H22" s="1">
        <f t="shared" si="9"/>
        <v>1</v>
      </c>
      <c r="I22" s="3" t="s">
        <v>141</v>
      </c>
      <c r="J22" s="3">
        <v>102</v>
      </c>
      <c r="K22" s="3">
        <v>139</v>
      </c>
      <c r="L22" s="1">
        <f t="shared" si="10"/>
        <v>241</v>
      </c>
      <c r="M22" s="1">
        <f t="shared" si="11"/>
        <v>1</v>
      </c>
      <c r="N22" s="1">
        <f t="shared" si="12"/>
        <v>12</v>
      </c>
      <c r="O22" s="1">
        <f t="shared" si="13"/>
        <v>241</v>
      </c>
      <c r="P22" s="1">
        <f t="shared" si="14"/>
        <v>92</v>
      </c>
      <c r="Q22" s="1">
        <f t="array" ref="Q22">IF($B22="","",IF(MAX(IF(B22=$B$2:$B$313,$L$2:$L$313))-L22=0,"",MAX(IF(B22=$B$2:$B$313,$L$2:$L$313))-L22))</f>
        <v>92</v>
      </c>
      <c r="R22" s="1">
        <f t="array" ref="R22">IF($B22="","",SUMPRODUCT(--($B$2:$B$313=B22),--(L22&lt;$L$2:$L$313))+1)</f>
        <v>12</v>
      </c>
      <c r="S22" s="1">
        <f t="shared" si="15"/>
        <v>2</v>
      </c>
      <c r="T22" s="1" cm="1">
        <f t="array" ref="T22">IF($B22="","",IF(M22=0,"",SUMPRODUCT(--($B$2:$B$313=B22),--(J22&lt;$J$2:$J$313))+1))</f>
        <v>14</v>
      </c>
      <c r="U22" s="1">
        <f t="shared" si="16"/>
        <v>-2</v>
      </c>
      <c r="V22" s="1" t="str">
        <f t="shared" si="17"/>
        <v>0212</v>
      </c>
      <c r="W22" s="1">
        <f t="shared" si="18"/>
        <v>1</v>
      </c>
      <c r="X22" s="1">
        <f t="shared" si="2"/>
        <v>0</v>
      </c>
      <c r="Y22" s="1">
        <f>IF($B22="","",MAX(_xlfn.MAXIFS($J$2:J22,$I$2:I22,$I22),_xlfn.MAXIFS($K$2:K22,$I$2:I22,$I22)))</f>
        <v>139</v>
      </c>
      <c r="Z22" s="1">
        <f t="shared" si="3"/>
        <v>193</v>
      </c>
      <c r="AA22" s="1">
        <f t="shared" si="19"/>
        <v>0</v>
      </c>
      <c r="AB22" s="1">
        <f t="shared" si="20"/>
        <v>0</v>
      </c>
      <c r="AC22" s="1">
        <f t="shared" si="21"/>
        <v>0</v>
      </c>
      <c r="AD22" s="1">
        <f>IF($B22="","",MIN(_xlfn.MINIFS($J$2:J22,$I$2:I22,$I22),_xlfn.MINIFS($K$2:K22,$I$2:I22,$I22)))</f>
        <v>102</v>
      </c>
      <c r="AE22" s="1">
        <f t="shared" si="22"/>
        <v>91</v>
      </c>
      <c r="AF22" s="1">
        <f t="shared" si="23"/>
        <v>0</v>
      </c>
      <c r="AG22" s="1">
        <f t="shared" si="24"/>
        <v>0</v>
      </c>
      <c r="AH22" s="1">
        <f t="shared" si="25"/>
        <v>0</v>
      </c>
      <c r="AI22" s="1">
        <f ca="1">IF($B22="","",IF($K22="",0,OFFSET($CO$17,R22,W22)))</f>
        <v>0</v>
      </c>
      <c r="AJ22" s="1">
        <f t="shared" ca="1" si="26"/>
        <v>0</v>
      </c>
      <c r="AK22" s="1">
        <f ca="1">IF(AJ22="","",IF(AJ22=0,0,IF(W22=1,0,SUM(OFFSET($CO$17,N22,1):OFFSET($CO$17,N22+W22-2,1))/W22)))</f>
        <v>0</v>
      </c>
      <c r="AL22" s="1">
        <f t="shared" ca="1" si="27"/>
        <v>0</v>
      </c>
      <c r="AM22" s="1">
        <f ca="1">IF($B22="","",SUMIFS($AL$2:AL22,$I$2:I22,$I22))</f>
        <v>0</v>
      </c>
      <c r="AN22" s="1">
        <f t="shared" si="28"/>
        <v>12.000021</v>
      </c>
      <c r="AO22" s="1">
        <f>IFERROR(IF($B22="","",AVERAGEIFS($L$2:L22,$I$2:I22,I22,$L$2:L22,"&lt;&gt;0")),0)</f>
        <v>241</v>
      </c>
      <c r="AP22" s="1">
        <f t="shared" si="29"/>
        <v>120.5</v>
      </c>
      <c r="AQ22" s="1">
        <f>IF($B22="","",COUNTIFS($R$2:R22,1,$I$2:I22,$I22))</f>
        <v>0</v>
      </c>
      <c r="AR22" s="1">
        <f t="array" aca="1" ref="AR22" ca="1">IF($B22="","",SUMPRODUCT(--($B$2:$B$313=B22),--(AM22&lt;$AM$2:$AM$313))+1)</f>
        <v>15</v>
      </c>
      <c r="AS22" s="1">
        <f t="array" ref="AS22">IF($B22="","",SUMPRODUCT(--($B$2:$B$313=B22),--(AP22&lt;$AP$2:$AP$313))+1)</f>
        <v>12</v>
      </c>
      <c r="AT22" s="1">
        <f t="array" ref="AT22">IF($B22="","",SUMPRODUCT(--($B$2:$B$313=B22),--(AQ22&lt;$AQ$2:$AQ$313))+1)</f>
        <v>4</v>
      </c>
      <c r="AU22" s="1">
        <f t="shared" si="30"/>
        <v>2.0999999999999999E-8</v>
      </c>
      <c r="AV22" s="1">
        <f t="shared" ca="1" si="31"/>
        <v>0.15120402099999999</v>
      </c>
      <c r="AW22" s="1" t="str">
        <f t="shared" si="4"/>
        <v/>
      </c>
      <c r="AX22" s="1" t="str">
        <f t="shared" si="32"/>
        <v/>
      </c>
      <c r="AY22" s="8">
        <f t="shared" ca="1" si="33"/>
        <v>0.15120402099999999</v>
      </c>
      <c r="AZ22" s="1" cm="1">
        <f t="array" aca="1" ref="AZ22" ca="1">IF($B22="","",SUMPRODUCT(--($B$2:$B$313=B22),--(AY22&gt;$AY$2:$AY$313))+1)</f>
        <v>16</v>
      </c>
      <c r="BA22" s="1" t="str">
        <f t="shared" si="34"/>
        <v>K2024GP02_3_1</v>
      </c>
      <c r="BB22" s="1" t="str">
        <f t="shared" si="35"/>
        <v>K2024GP02_3_2</v>
      </c>
      <c r="BC22" s="1">
        <f t="shared" si="36"/>
        <v>0</v>
      </c>
      <c r="BD22" s="1">
        <f t="shared" si="37"/>
        <v>0</v>
      </c>
      <c r="BE22" s="1">
        <f t="shared" si="38"/>
        <v>1</v>
      </c>
      <c r="BF22" s="1">
        <f t="shared" si="39"/>
        <v>139</v>
      </c>
      <c r="BG22" s="1">
        <f t="shared" si="40"/>
        <v>102</v>
      </c>
      <c r="BH22" s="1">
        <f t="shared" si="41"/>
        <v>9</v>
      </c>
      <c r="BI22" s="1">
        <f t="shared" si="42"/>
        <v>14</v>
      </c>
      <c r="BJ22" s="1">
        <f t="shared" si="43"/>
        <v>9.1399999999999995E-2</v>
      </c>
      <c r="BK22" s="1">
        <f t="shared" si="44"/>
        <v>0</v>
      </c>
      <c r="BL22" s="1">
        <f t="shared" si="45"/>
        <v>9.8999999999999994E-5</v>
      </c>
      <c r="BM22" s="1">
        <f t="shared" si="46"/>
        <v>9.1498999999999997E-2</v>
      </c>
      <c r="BN22" s="1">
        <f t="shared" si="47"/>
        <v>0</v>
      </c>
      <c r="BO22" s="1">
        <f t="shared" si="5"/>
        <v>9</v>
      </c>
      <c r="BP22" s="1">
        <f t="shared" si="6"/>
        <v>0</v>
      </c>
      <c r="BQ22" s="1" cm="1">
        <f t="array" ref="BQ22">IF(I22="","",IF(BP22=1,"",IF(L22=0,"",IF(B22=1,"",_xlfn.XLOOKUP(1,($I$2:$I$313=$I22)*($B$2:$B$313=($B22-1)),$BO$2:$BO$313)))))</f>
        <v>14</v>
      </c>
      <c r="BR22" s="1">
        <f>IF(I22="","",IF($B22=1,_xlfn.MINIFS($BO$2:$BO$313,$B$2:$B$313,$B22),_xlfn.MINIFS(BQ$2:$BQ$313,$B$2:$B$313,$B22)))</f>
        <v>1</v>
      </c>
      <c r="BS22" s="1">
        <f t="shared" si="48"/>
        <v>3</v>
      </c>
      <c r="BT22" s="1" t="str" cm="1">
        <f t="array" ref="BT22">IF($I22="","",IF($B22=1,_xlfn.XLOOKUP(1,($B$2:$B$313=$B22)*($BO$2:$BO$313=BR22),Data!$I$2:$I$313,,0),_xlfn.XLOOKUP(1,($B$2:$B$313=$B22)*($BQ$2:$BQ$313=$BR22),$I$2:$I$313,,0)))</f>
        <v>Kaleva Latvala</v>
      </c>
      <c r="BU22" s="1" t="str" cm="1">
        <f t="array" ref="BU22">IF(I22="","",IF($B22=1,_xlfn.XLOOKUP(1,($B$2:$B$313=$B22)*($BO$2:$BO$313=$BS22),$I$2:$I$313,,0),_xlfn.XLOOKUP(1,($B$2:$B$313=$B22)*($BQ$2:$BQ$313=$BS22),$I$2:$I$313,,0)))</f>
        <v>Ossi Oksa</v>
      </c>
      <c r="BV22" s="1" t="str" cm="1">
        <f t="array" ref="BV22">IF($I22="","",IF($B22=1,"",IF($B22=2,_xlfn.XLOOKUP(1,($B$2:$B$313=1)*($BO$2:$BO$313=1),$I$2:$I$313,,0),_xlfn.XLOOKUP($B22-1,$B$2:$B$313,$CH$2:$CH$313,,0))))</f>
        <v>Kaleva Latvala</v>
      </c>
      <c r="BW22" s="1" t="str" cm="1">
        <f t="array" ref="BW22">IF($I22="","",IF($B22=1,"",IF(_xlfn.XLOOKUP(1,($B$2:$B$313=$B22)*($I$2:$I$313=$BV22),$BQ$2:$BQ$313,,0)="","NOK","OK")))</f>
        <v>OK</v>
      </c>
      <c r="BX22" s="1" t="str">
        <f t="shared" si="49"/>
        <v>Kaleva Latvala</v>
      </c>
      <c r="BY22" s="1" t="str">
        <f t="shared" si="50"/>
        <v>Ossi Oksa</v>
      </c>
      <c r="BZ22" s="1">
        <f t="shared" si="51"/>
        <v>136</v>
      </c>
      <c r="CA22" s="1">
        <f t="shared" si="52"/>
        <v>125</v>
      </c>
      <c r="CB22" s="1">
        <f t="shared" si="53"/>
        <v>9.8999999999999994E-5</v>
      </c>
      <c r="CC22" s="1">
        <f t="shared" si="54"/>
        <v>182</v>
      </c>
      <c r="CD22" s="1">
        <f t="shared" si="55"/>
        <v>126</v>
      </c>
      <c r="CE22" s="1">
        <f t="shared" si="56"/>
        <v>9.8999999999999994E-5</v>
      </c>
      <c r="CF22" s="1" t="str">
        <f t="shared" si="57"/>
        <v>Kaleva Latvala (P)</v>
      </c>
      <c r="CG22" s="1" t="str">
        <f t="shared" si="58"/>
        <v>Ossi Oksa (3)</v>
      </c>
      <c r="CH22" s="1" t="str">
        <f t="shared" si="59"/>
        <v>Ossi Oksa</v>
      </c>
      <c r="CI22" s="1">
        <f t="shared" si="60"/>
        <v>0</v>
      </c>
      <c r="CJ22" s="1" t="str">
        <f ca="1">IF(B22="","",IF(SUM(AI22:AK22)&gt;0,"+SP","")&amp;IF(CI22&gt;0,"+KK","")&amp;IF(AB22&gt;0,"+KGP1","")&amp;IF(AC22&gt;0,"+KGP2","")&amp;IF(AG22&lt;0,"-KGP1","")&amp;IF(AH22&lt;0,"-KGP2",""))</f>
        <v/>
      </c>
      <c r="CO22" s="1">
        <v>5</v>
      </c>
      <c r="CP22" s="3">
        <v>6</v>
      </c>
      <c r="CQ22" s="6">
        <f ca="1">SUM($CP22:OFFSET($CP22,CQ$17-1,0))/CQ$17</f>
        <v>5.5</v>
      </c>
      <c r="CR22" s="6">
        <f ca="1">SUM($CP22:OFFSET($CP22,CR$17-1,0))/CR$17</f>
        <v>5</v>
      </c>
      <c r="CS22" s="6">
        <f ca="1">SUM($CP22:OFFSET($CP22,CS$17-1,0))/CS$17</f>
        <v>4.5</v>
      </c>
      <c r="CT22" s="6">
        <f ca="1">SUM($CP22:OFFSET($CP22,CT$17-1,0))/CT$17</f>
        <v>4</v>
      </c>
      <c r="CU22" s="6">
        <f ca="1">SUM($CP22:OFFSET($CP22,CU$17-1,0))/CU$17</f>
        <v>3.5</v>
      </c>
      <c r="CV22" s="6">
        <f ca="1">SUM($CP22:OFFSET($CP22,CV$17-1,0))/CV$17</f>
        <v>3</v>
      </c>
      <c r="CW22" s="6">
        <f ca="1">SUM($CP22:OFFSET($CP22,CW$17-1,0))/CW$17</f>
        <v>2.625</v>
      </c>
      <c r="CX22" s="6">
        <f ca="1">SUM($CP22:OFFSET($CP22,CX$17-1,0))/CX$17</f>
        <v>2.3333333333333335</v>
      </c>
      <c r="CY22" s="6">
        <f ca="1">SUM($CP22:OFFSET($CP22,CY$17-1,0))/CY$17</f>
        <v>2.1</v>
      </c>
      <c r="CZ22" s="6">
        <f ca="1">SUM($CP22:OFFSET($CP22,CZ$17-1,0))/CZ$17</f>
        <v>1.9090909090909092</v>
      </c>
      <c r="DA22" s="6">
        <f ca="1">SUM($CP22:OFFSET($CP22,DA$17-1,0))/DA$17</f>
        <v>1.75</v>
      </c>
      <c r="DB22" s="6">
        <f ca="1">SUM($CP22:OFFSET($CP22,DB$17-1,0))/DB$17</f>
        <v>1.6153846153846154</v>
      </c>
      <c r="DC22" s="6">
        <f ca="1">SUM($CP22:OFFSET($CP22,DC$17-1,0))/DC$17</f>
        <v>1.5</v>
      </c>
      <c r="DD22" s="6">
        <f ca="1">SUM($CP22:OFFSET($CP22,DD$17-1,0))/DD$17</f>
        <v>1.4</v>
      </c>
      <c r="DE22" s="6">
        <f ca="1">SUM($CP22:OFFSET($CP22,DE$17-1,0))/DE$17</f>
        <v>1.3125</v>
      </c>
      <c r="DF22" s="6">
        <f ca="1">SUM($CP22:OFFSET($CP22,DF$17-1,0))/DF$17</f>
        <v>1.2352941176470589</v>
      </c>
      <c r="DG22" s="6">
        <f ca="1">SUM($CP22:OFFSET($CP22,DG$17-1,0))/DG$17</f>
        <v>1.1666666666666667</v>
      </c>
      <c r="DH22" s="6">
        <f ca="1">SUM($CP22:OFFSET($CP22,DH$17-1,0))/DH$17</f>
        <v>1.1052631578947369</v>
      </c>
      <c r="DI22" s="6">
        <f ca="1">SUM($CP22:OFFSET($CP22,DI$17-1,0))/DI$17</f>
        <v>1.05</v>
      </c>
      <c r="DJ22" s="6">
        <f ca="1">SUM($CP22:OFFSET($CP22,DJ$17-1,0))/DJ$17</f>
        <v>1.5238095238095237</v>
      </c>
      <c r="DK22" s="6">
        <f ca="1">SUM($CP22:OFFSET($CP22,DK$17-1,0))/DK$17</f>
        <v>1.4545454545454546</v>
      </c>
      <c r="DL22" s="6">
        <f ca="1">SUM($CP22:OFFSET($CP22,DL$17-1,0))/DL$17</f>
        <v>1.3913043478260869</v>
      </c>
      <c r="DM22" s="6">
        <f ca="1">SUM($CP22:OFFSET($CP22,DM$17-1,0))/DM$17</f>
        <v>1.3333333333333333</v>
      </c>
    </row>
    <row r="23" spans="1:117" x14ac:dyDescent="0.25">
      <c r="A23" s="1">
        <f>IFERROR(IF(ROW(A22)=1,1,IF(1+A22&lt;=$CP$1*$CP$2,1+A22,"")),"")</f>
        <v>22</v>
      </c>
      <c r="B23" s="1">
        <f>IF($I23="","",IF(ROW(B22)=1,1,ROUNDUP(A23/$CP$2,0)))</f>
        <v>2</v>
      </c>
      <c r="C23" s="4">
        <f t="shared" si="7"/>
        <v>45585</v>
      </c>
      <c r="D23" s="4" t="str">
        <f t="shared" si="0"/>
        <v>Raision keilahalli</v>
      </c>
      <c r="E23" s="1">
        <f>IF($B23="","",COUNTIF($B$2:B23,B23))</f>
        <v>4</v>
      </c>
      <c r="F23" s="1" t="str">
        <f t="shared" si="1"/>
        <v>K2024GP02</v>
      </c>
      <c r="G23" s="1" t="str">
        <f t="shared" si="8"/>
        <v>K2024GP02_4</v>
      </c>
      <c r="H23" s="1">
        <f t="shared" si="9"/>
        <v>1</v>
      </c>
      <c r="I23" s="3" t="s">
        <v>139</v>
      </c>
      <c r="J23" s="3">
        <v>126</v>
      </c>
      <c r="K23" s="3">
        <v>182</v>
      </c>
      <c r="L23" s="1">
        <f t="shared" si="10"/>
        <v>308</v>
      </c>
      <c r="M23" s="1">
        <f t="shared" si="11"/>
        <v>1</v>
      </c>
      <c r="N23" s="1">
        <f t="shared" si="12"/>
        <v>6</v>
      </c>
      <c r="O23" s="1">
        <f t="shared" si="13"/>
        <v>308</v>
      </c>
      <c r="P23" s="1">
        <f t="shared" si="14"/>
        <v>25</v>
      </c>
      <c r="Q23" s="1">
        <f t="array" ref="Q23">IF($B23="","",IF(MAX(IF(B23=$B$2:$B$313,$L$2:$L$313))-L23=0,"",MAX(IF(B23=$B$2:$B$313,$L$2:$L$313))-L23))</f>
        <v>25</v>
      </c>
      <c r="R23" s="1">
        <f t="array" ref="R23">IF($B23="","",SUMPRODUCT(--($B$2:$B$313=B23),--(L23&lt;$L$2:$L$313))+1)</f>
        <v>6</v>
      </c>
      <c r="S23" s="1">
        <f t="shared" si="15"/>
        <v>2</v>
      </c>
      <c r="T23" s="1" cm="1">
        <f t="array" ref="T23">IF($B23="","",IF(M23=0,"",SUMPRODUCT(--($B$2:$B$313=B23),--(J23&lt;$J$2:$J$313))+1))</f>
        <v>9</v>
      </c>
      <c r="U23" s="1">
        <f t="shared" si="16"/>
        <v>-3</v>
      </c>
      <c r="V23" s="1" t="str">
        <f t="shared" si="17"/>
        <v>0206</v>
      </c>
      <c r="W23" s="1">
        <f t="shared" si="18"/>
        <v>1</v>
      </c>
      <c r="X23" s="1">
        <f t="shared" si="2"/>
        <v>0</v>
      </c>
      <c r="Y23" s="1">
        <f>IF($B23="","",MAX(_xlfn.MAXIFS($J$2:J23,$I$2:I23,$I23),_xlfn.MAXIFS($K$2:K23,$I$2:I23,$I23)))</f>
        <v>182</v>
      </c>
      <c r="Z23" s="1">
        <f t="shared" si="3"/>
        <v>193</v>
      </c>
      <c r="AA23" s="1">
        <f t="shared" si="19"/>
        <v>0</v>
      </c>
      <c r="AB23" s="1">
        <f t="shared" si="20"/>
        <v>0</v>
      </c>
      <c r="AC23" s="1">
        <f t="shared" si="21"/>
        <v>0</v>
      </c>
      <c r="AD23" s="1">
        <f>IF($B23="","",MIN(_xlfn.MINIFS($J$2:J23,$I$2:I23,$I23),_xlfn.MINIFS($K$2:K23,$I$2:I23,$I23)))</f>
        <v>111</v>
      </c>
      <c r="AE23" s="1">
        <f t="shared" si="22"/>
        <v>91</v>
      </c>
      <c r="AF23" s="1">
        <f t="shared" si="23"/>
        <v>0</v>
      </c>
      <c r="AG23" s="1">
        <f t="shared" si="24"/>
        <v>0</v>
      </c>
      <c r="AH23" s="1">
        <f t="shared" si="25"/>
        <v>0</v>
      </c>
      <c r="AI23" s="1">
        <f ca="1">IF($B23="","",IF($K23="",0,OFFSET($CO$17,R23,W23)))</f>
        <v>5</v>
      </c>
      <c r="AJ23" s="1">
        <f t="shared" ca="1" si="26"/>
        <v>0</v>
      </c>
      <c r="AK23" s="1">
        <f ca="1">IF(AJ23="","",IF(AJ23=0,0,IF(W23=1,0,SUM(OFFSET($CO$17,N23,1):OFFSET($CO$17,N23+W23-2,1))/W23)))</f>
        <v>0</v>
      </c>
      <c r="AL23" s="1">
        <f t="shared" ca="1" si="27"/>
        <v>6</v>
      </c>
      <c r="AM23" s="1">
        <f ca="1">IF($B23="","",SUMIFS($AL$2:AL23,$I$2:I23,$I23))</f>
        <v>13.5</v>
      </c>
      <c r="AN23" s="1">
        <f t="shared" si="28"/>
        <v>6.0000220000000004</v>
      </c>
      <c r="AO23" s="1">
        <f>IFERROR(IF($B23="","",AVERAGEIFS($L$2:L23,$I$2:I23,I23,$L$2:L23,"&lt;&gt;0")),0)</f>
        <v>274.5</v>
      </c>
      <c r="AP23" s="1">
        <f t="shared" si="29"/>
        <v>137.25</v>
      </c>
      <c r="AQ23" s="1">
        <f>IF($B23="","",COUNTIFS($R$2:R23,1,$I$2:I23,$I23))</f>
        <v>0</v>
      </c>
      <c r="AR23" s="1">
        <f t="array" aca="1" ref="AR23" ca="1">IF($B23="","",SUMPRODUCT(--($B$2:$B$313=B23),--(AM23&lt;$AM$2:$AM$313))+1)</f>
        <v>3</v>
      </c>
      <c r="AS23" s="1">
        <f t="array" ref="AS23">IF($B23="","",SUMPRODUCT(--($B$2:$B$313=B23),--(AP23&lt;$AP$2:$AP$313))+1)</f>
        <v>5</v>
      </c>
      <c r="AT23" s="1">
        <f t="array" ref="AT23">IF($B23="","",SUMPRODUCT(--($B$2:$B$313=B23),--(AQ23&lt;$AQ$2:$AQ$313))+1)</f>
        <v>4</v>
      </c>
      <c r="AU23" s="1">
        <f t="shared" si="30"/>
        <v>2.1999999999999998E-8</v>
      </c>
      <c r="AV23" s="1">
        <f t="shared" ca="1" si="31"/>
        <v>3.0504021999999999E-2</v>
      </c>
      <c r="AW23" s="1" t="str">
        <f t="shared" si="4"/>
        <v/>
      </c>
      <c r="AX23" s="1" t="str">
        <f t="shared" si="32"/>
        <v/>
      </c>
      <c r="AY23" s="8">
        <f t="shared" ca="1" si="33"/>
        <v>3.0504021999999999E-2</v>
      </c>
      <c r="AZ23" s="1" cm="1">
        <f t="array" aca="1" ref="AZ23" ca="1">IF($B23="","",SUMPRODUCT(--($B$2:$B$313=B23),--(AY23&gt;$AY$2:$AY$313))+1)</f>
        <v>3</v>
      </c>
      <c r="BA23" s="1" t="str">
        <f t="shared" si="34"/>
        <v>K2024GP02_4_1</v>
      </c>
      <c r="BB23" s="1" t="str">
        <f t="shared" si="35"/>
        <v>K2024GP02_4_2</v>
      </c>
      <c r="BC23" s="1">
        <f t="shared" si="36"/>
        <v>0</v>
      </c>
      <c r="BD23" s="1">
        <f t="shared" si="37"/>
        <v>0</v>
      </c>
      <c r="BE23" s="1">
        <f t="shared" si="38"/>
        <v>1</v>
      </c>
      <c r="BF23" s="1">
        <f t="shared" si="39"/>
        <v>182</v>
      </c>
      <c r="BG23" s="1">
        <f t="shared" si="40"/>
        <v>126</v>
      </c>
      <c r="BH23" s="1">
        <f t="shared" si="41"/>
        <v>3</v>
      </c>
      <c r="BI23" s="1">
        <f t="shared" si="42"/>
        <v>8</v>
      </c>
      <c r="BJ23" s="1">
        <f t="shared" si="43"/>
        <v>3.0799999999999998E-2</v>
      </c>
      <c r="BK23" s="1">
        <f t="shared" si="44"/>
        <v>0</v>
      </c>
      <c r="BL23" s="1">
        <f t="shared" si="45"/>
        <v>9.8999999999999994E-5</v>
      </c>
      <c r="BM23" s="1">
        <f t="shared" si="46"/>
        <v>3.0898999999999996E-2</v>
      </c>
      <c r="BN23" s="1">
        <f t="shared" si="47"/>
        <v>0</v>
      </c>
      <c r="BO23" s="1">
        <f t="shared" si="5"/>
        <v>3</v>
      </c>
      <c r="BP23" s="1">
        <f t="shared" si="6"/>
        <v>0</v>
      </c>
      <c r="BQ23" s="1" cm="1">
        <f t="array" ref="BQ23">IF(I23="","",IF(BP23=1,"",IF(L23=0,"",IF(B23=1,"",_xlfn.XLOOKUP(1,($I$2:$I$313=$I23)*($B$2:$B$313=($B23-1)),$BO$2:$BO$313)))))</f>
        <v>3</v>
      </c>
      <c r="BR23" s="1">
        <f>IF(I23="","",IF($B23=1,_xlfn.MINIFS($BO$2:$BO$313,$B$2:$B$313,$B23),_xlfn.MINIFS(BQ$2:$BQ$313,$B$2:$B$313,$B23)))</f>
        <v>1</v>
      </c>
      <c r="BS23" s="1">
        <f t="shared" si="48"/>
        <v>3</v>
      </c>
      <c r="BT23" s="1" t="str" cm="1">
        <f t="array" ref="BT23">IF($I23="","",IF($B23=1,_xlfn.XLOOKUP(1,($B$2:$B$313=$B23)*($BO$2:$BO$313=BR23),Data!$I$2:$I$313,,0),_xlfn.XLOOKUP(1,($B$2:$B$313=$B23)*($BQ$2:$BQ$313=$BR23),$I$2:$I$313,,0)))</f>
        <v>Kaleva Latvala</v>
      </c>
      <c r="BU23" s="1" t="str" cm="1">
        <f t="array" ref="BU23">IF(I23="","",IF($B23=1,_xlfn.XLOOKUP(1,($B$2:$B$313=$B23)*($BO$2:$BO$313=$BS23),$I$2:$I$313,,0),_xlfn.XLOOKUP(1,($B$2:$B$313=$B23)*($BQ$2:$BQ$313=$BS23),$I$2:$I$313,,0)))</f>
        <v>Ossi Oksa</v>
      </c>
      <c r="BV23" s="1" t="str" cm="1">
        <f t="array" ref="BV23">IF($I23="","",IF($B23=1,"",IF($B23=2,_xlfn.XLOOKUP(1,($B$2:$B$313=1)*($BO$2:$BO$313=1),$I$2:$I$313,,0),_xlfn.XLOOKUP($B23-1,$B$2:$B$313,$CH$2:$CH$313,,0))))</f>
        <v>Kaleva Latvala</v>
      </c>
      <c r="BW23" s="1" t="str" cm="1">
        <f t="array" ref="BW23">IF($I23="","",IF($B23=1,"",IF(_xlfn.XLOOKUP(1,($B$2:$B$313=$B23)*($I$2:$I$313=$BV23),$BQ$2:$BQ$313,,0)="","NOK","OK")))</f>
        <v>OK</v>
      </c>
      <c r="BX23" s="1" t="str">
        <f t="shared" si="49"/>
        <v>Kaleva Latvala</v>
      </c>
      <c r="BY23" s="1" t="str">
        <f t="shared" si="50"/>
        <v>Ossi Oksa</v>
      </c>
      <c r="BZ23" s="1">
        <f t="shared" si="51"/>
        <v>136</v>
      </c>
      <c r="CA23" s="1">
        <f t="shared" si="52"/>
        <v>125</v>
      </c>
      <c r="CB23" s="1">
        <f t="shared" si="53"/>
        <v>9.8999999999999994E-5</v>
      </c>
      <c r="CC23" s="1">
        <f t="shared" si="54"/>
        <v>182</v>
      </c>
      <c r="CD23" s="1">
        <f t="shared" si="55"/>
        <v>126</v>
      </c>
      <c r="CE23" s="1">
        <f t="shared" si="56"/>
        <v>9.8999999999999994E-5</v>
      </c>
      <c r="CF23" s="1" t="str">
        <f t="shared" si="57"/>
        <v>Kaleva Latvala (P)</v>
      </c>
      <c r="CG23" s="1" t="str">
        <f t="shared" si="58"/>
        <v>Ossi Oksa (3)</v>
      </c>
      <c r="CH23" s="1" t="str">
        <f t="shared" si="59"/>
        <v>Ossi Oksa</v>
      </c>
      <c r="CI23" s="1">
        <f t="shared" si="60"/>
        <v>1</v>
      </c>
      <c r="CJ23" s="1" t="str">
        <f ca="1">IF(B23="","",IF(SUM(AI23:AK23)&gt;0,"+SP","")&amp;IF(CI23&gt;0,"+KK","")&amp;IF(AB23&gt;0,"+KGP1","")&amp;IF(AC23&gt;0,"+KGP2","")&amp;IF(AG23&lt;0,"-KGP1","")&amp;IF(AH23&lt;0,"-KGP2",""))</f>
        <v>+SP+KK</v>
      </c>
      <c r="CO23" s="1">
        <v>6</v>
      </c>
      <c r="CP23" s="3">
        <v>5</v>
      </c>
      <c r="CQ23" s="6">
        <f ca="1">SUM($CP23:OFFSET($CP23,CQ$17-1,0))/CQ$17</f>
        <v>4.5</v>
      </c>
      <c r="CR23" s="6">
        <f ca="1">SUM($CP23:OFFSET($CP23,CR$17-1,0))/CR$17</f>
        <v>4</v>
      </c>
      <c r="CS23" s="6">
        <f ca="1">SUM($CP23:OFFSET($CP23,CS$17-1,0))/CS$17</f>
        <v>3.5</v>
      </c>
      <c r="CT23" s="6">
        <f ca="1">SUM($CP23:OFFSET($CP23,CT$17-1,0))/CT$17</f>
        <v>3</v>
      </c>
      <c r="CU23" s="6">
        <f ca="1">SUM($CP23:OFFSET($CP23,CU$17-1,0))/CU$17</f>
        <v>2.5</v>
      </c>
      <c r="CV23" s="6">
        <f ca="1">SUM($CP23:OFFSET($CP23,CV$17-1,0))/CV$17</f>
        <v>2.1428571428571428</v>
      </c>
      <c r="CW23" s="6">
        <f ca="1">SUM($CP23:OFFSET($CP23,CW$17-1,0))/CW$17</f>
        <v>1.875</v>
      </c>
      <c r="CX23" s="6">
        <f ca="1">SUM($CP23:OFFSET($CP23,CX$17-1,0))/CX$17</f>
        <v>1.6666666666666667</v>
      </c>
      <c r="CY23" s="6">
        <f ca="1">SUM($CP23:OFFSET($CP23,CY$17-1,0))/CY$17</f>
        <v>1.5</v>
      </c>
      <c r="CZ23" s="6">
        <f ca="1">SUM($CP23:OFFSET($CP23,CZ$17-1,0))/CZ$17</f>
        <v>1.3636363636363635</v>
      </c>
      <c r="DA23" s="6">
        <f ca="1">SUM($CP23:OFFSET($CP23,DA$17-1,0))/DA$17</f>
        <v>1.25</v>
      </c>
      <c r="DB23" s="6">
        <f ca="1">SUM($CP23:OFFSET($CP23,DB$17-1,0))/DB$17</f>
        <v>1.1538461538461537</v>
      </c>
      <c r="DC23" s="6">
        <f ca="1">SUM($CP23:OFFSET($CP23,DC$17-1,0))/DC$17</f>
        <v>1.0714285714285714</v>
      </c>
      <c r="DD23" s="6">
        <f ca="1">SUM($CP23:OFFSET($CP23,DD$17-1,0))/DD$17</f>
        <v>1</v>
      </c>
      <c r="DE23" s="6">
        <f ca="1">SUM($CP23:OFFSET($CP23,DE$17-1,0))/DE$17</f>
        <v>0.9375</v>
      </c>
      <c r="DF23" s="6">
        <f ca="1">SUM($CP23:OFFSET($CP23,DF$17-1,0))/DF$17</f>
        <v>0.88235294117647056</v>
      </c>
      <c r="DG23" s="6">
        <f ca="1">SUM($CP23:OFFSET($CP23,DG$17-1,0))/DG$17</f>
        <v>0.83333333333333337</v>
      </c>
      <c r="DH23" s="6">
        <f ca="1">SUM($CP23:OFFSET($CP23,DH$17-1,0))/DH$17</f>
        <v>0.78947368421052633</v>
      </c>
      <c r="DI23" s="6">
        <f ca="1">SUM($CP23:OFFSET($CP23,DI$17-1,0))/DI$17</f>
        <v>1.3</v>
      </c>
      <c r="DJ23" s="6">
        <f ca="1">SUM($CP23:OFFSET($CP23,DJ$17-1,0))/DJ$17</f>
        <v>1.2380952380952381</v>
      </c>
      <c r="DK23" s="6">
        <f ca="1">SUM($CP23:OFFSET($CP23,DK$17-1,0))/DK$17</f>
        <v>1.1818181818181819</v>
      </c>
      <c r="DL23" s="6">
        <f ca="1">SUM($CP23:OFFSET($CP23,DL$17-1,0))/DL$17</f>
        <v>1.1304347826086956</v>
      </c>
      <c r="DM23" s="6">
        <f ca="1">SUM($CP23:OFFSET($CP23,DM$17-1,0))/DM$17</f>
        <v>1.0833333333333333</v>
      </c>
    </row>
    <row r="24" spans="1:117" x14ac:dyDescent="0.25">
      <c r="A24" s="1">
        <f>IFERROR(IF(ROW(A23)=1,1,IF(1+A23&lt;=$CP$1*$CP$2,1+A23,"")),"")</f>
        <v>23</v>
      </c>
      <c r="B24" s="1">
        <f>IF($I24="","",IF(ROW(B23)=1,1,ROUNDUP(A24/$CP$2,0)))</f>
        <v>2</v>
      </c>
      <c r="C24" s="4">
        <f t="shared" si="7"/>
        <v>45585</v>
      </c>
      <c r="D24" s="4" t="str">
        <f t="shared" si="0"/>
        <v>Raision keilahalli</v>
      </c>
      <c r="E24" s="1">
        <f>IF($B24="","",COUNTIF($B$2:B24,B24))</f>
        <v>5</v>
      </c>
      <c r="F24" s="1" t="str">
        <f t="shared" si="1"/>
        <v>K2024GP02</v>
      </c>
      <c r="G24" s="1" t="str">
        <f t="shared" si="8"/>
        <v>K2024GP02_5</v>
      </c>
      <c r="H24" s="1">
        <f t="shared" si="9"/>
        <v>1</v>
      </c>
      <c r="I24" s="3" t="s">
        <v>128</v>
      </c>
      <c r="J24" s="3">
        <v>136</v>
      </c>
      <c r="K24" s="3">
        <v>125</v>
      </c>
      <c r="L24" s="1">
        <f t="shared" si="10"/>
        <v>261</v>
      </c>
      <c r="M24" s="1">
        <f t="shared" si="11"/>
        <v>1</v>
      </c>
      <c r="N24" s="1">
        <f t="shared" si="12"/>
        <v>9</v>
      </c>
      <c r="O24" s="1">
        <f t="shared" si="13"/>
        <v>261</v>
      </c>
      <c r="P24" s="1">
        <f t="shared" si="14"/>
        <v>72</v>
      </c>
      <c r="Q24" s="1">
        <f t="array" ref="Q24">IF($B24="","",IF(MAX(IF(B24=$B$2:$B$313,$L$2:$L$313))-L24=0,"",MAX(IF(B24=$B$2:$B$313,$L$2:$L$313))-L24))</f>
        <v>72</v>
      </c>
      <c r="R24" s="1">
        <f t="array" ref="R24">IF($B24="","",SUMPRODUCT(--($B$2:$B$313=B24),--(L24&lt;$L$2:$L$313))+1)</f>
        <v>9</v>
      </c>
      <c r="S24" s="1">
        <f t="shared" si="15"/>
        <v>2</v>
      </c>
      <c r="T24" s="1" cm="1">
        <f t="array" ref="T24">IF($B24="","",IF(M24=0,"",SUMPRODUCT(--($B$2:$B$313=B24),--(J24&lt;$J$2:$J$313))+1))</f>
        <v>6</v>
      </c>
      <c r="U24" s="1">
        <f t="shared" si="16"/>
        <v>3</v>
      </c>
      <c r="V24" s="1" t="str">
        <f t="shared" si="17"/>
        <v>0209</v>
      </c>
      <c r="W24" s="1">
        <f t="shared" si="18"/>
        <v>1</v>
      </c>
      <c r="X24" s="1">
        <f t="shared" si="2"/>
        <v>0</v>
      </c>
      <c r="Y24" s="1">
        <f>IF($B24="","",MAX(_xlfn.MAXIFS($J$2:J24,$I$2:I24,$I24),_xlfn.MAXIFS($K$2:K24,$I$2:I24,$I24)))</f>
        <v>141</v>
      </c>
      <c r="Z24" s="1">
        <f t="shared" si="3"/>
        <v>193</v>
      </c>
      <c r="AA24" s="1">
        <f t="shared" si="19"/>
        <v>0</v>
      </c>
      <c r="AB24" s="1">
        <f t="shared" si="20"/>
        <v>0</v>
      </c>
      <c r="AC24" s="1">
        <f t="shared" si="21"/>
        <v>0</v>
      </c>
      <c r="AD24" s="1">
        <f>IF($B24="","",MIN(_xlfn.MINIFS($J$2:J24,$I$2:I24,$I24),_xlfn.MINIFS($K$2:K24,$I$2:I24,$I24)))</f>
        <v>118</v>
      </c>
      <c r="AE24" s="1">
        <f t="shared" si="22"/>
        <v>91</v>
      </c>
      <c r="AF24" s="1">
        <f t="shared" si="23"/>
        <v>0</v>
      </c>
      <c r="AG24" s="1">
        <f t="shared" si="24"/>
        <v>0</v>
      </c>
      <c r="AH24" s="1">
        <f t="shared" si="25"/>
        <v>0</v>
      </c>
      <c r="AI24" s="1">
        <f ca="1">IF($B24="","",IF($K24="",0,OFFSET($CO$17,R24,W24)))</f>
        <v>2</v>
      </c>
      <c r="AJ24" s="1">
        <f t="shared" ca="1" si="26"/>
        <v>0</v>
      </c>
      <c r="AK24" s="1">
        <f ca="1">IF(AJ24="","",IF(AJ24=0,0,IF(W24=1,0,SUM(OFFSET($CO$17,N24,1):OFFSET($CO$17,N24+W24-2,1))/W24)))</f>
        <v>0</v>
      </c>
      <c r="AL24" s="1">
        <f t="shared" ca="1" si="27"/>
        <v>2</v>
      </c>
      <c r="AM24" s="1">
        <f ca="1">IF($B24="","",SUMIFS($AL$2:AL24,$I$2:I24,$I24))</f>
        <v>15</v>
      </c>
      <c r="AN24" s="1">
        <f t="shared" si="28"/>
        <v>9.0000230000000006</v>
      </c>
      <c r="AO24" s="1">
        <f>IFERROR(IF($B24="","",AVERAGEIFS($L$2:L24,$I$2:I24,I24,$L$2:L24,"&lt;&gt;0")),0)</f>
        <v>260</v>
      </c>
      <c r="AP24" s="1">
        <f t="shared" si="29"/>
        <v>130</v>
      </c>
      <c r="AQ24" s="1">
        <f>IF($B24="","",COUNTIFS($R$2:R24,1,$I$2:I24,$I24))</f>
        <v>1</v>
      </c>
      <c r="AR24" s="1">
        <f t="array" aca="1" ref="AR24" ca="1">IF($B24="","",SUMPRODUCT(--($B$2:$B$313=B24),--(AM24&lt;$AM$2:$AM$313))+1)</f>
        <v>2</v>
      </c>
      <c r="AS24" s="1">
        <f t="array" ref="AS24">IF($B24="","",SUMPRODUCT(--($B$2:$B$313=B24),--(AP24&lt;$AP$2:$AP$313))+1)</f>
        <v>9</v>
      </c>
      <c r="AT24" s="1">
        <f t="array" ref="AT24">IF($B24="","",SUMPRODUCT(--($B$2:$B$313=B24),--(AQ24&lt;$AQ$2:$AQ$313))+1)</f>
        <v>1</v>
      </c>
      <c r="AU24" s="1">
        <f t="shared" si="30"/>
        <v>2.3000000000000001E-8</v>
      </c>
      <c r="AV24" s="1">
        <f t="shared" ca="1" si="31"/>
        <v>2.0901023000000001E-2</v>
      </c>
      <c r="AW24" s="1" t="str">
        <f t="shared" si="4"/>
        <v/>
      </c>
      <c r="AX24" s="1" t="str">
        <f t="shared" si="32"/>
        <v/>
      </c>
      <c r="AY24" s="8">
        <f t="shared" ca="1" si="33"/>
        <v>2.0901023000000001E-2</v>
      </c>
      <c r="AZ24" s="1" cm="1">
        <f t="array" aca="1" ref="AZ24" ca="1">IF($B24="","",SUMPRODUCT(--($B$2:$B$313=B24),--(AY24&gt;$AY$2:$AY$313))+1)</f>
        <v>2</v>
      </c>
      <c r="BA24" s="1" t="str">
        <f t="shared" si="34"/>
        <v>K2024GP02_5_1</v>
      </c>
      <c r="BB24" s="1" t="str">
        <f t="shared" si="35"/>
        <v>K2024GP02_5_2</v>
      </c>
      <c r="BC24" s="1">
        <f t="shared" si="36"/>
        <v>0</v>
      </c>
      <c r="BD24" s="1">
        <f t="shared" si="37"/>
        <v>0</v>
      </c>
      <c r="BE24" s="1">
        <f t="shared" si="38"/>
        <v>1</v>
      </c>
      <c r="BF24" s="1">
        <f t="shared" si="39"/>
        <v>136</v>
      </c>
      <c r="BG24" s="1">
        <f t="shared" si="40"/>
        <v>125</v>
      </c>
      <c r="BH24" s="1">
        <f t="shared" si="41"/>
        <v>11</v>
      </c>
      <c r="BI24" s="1">
        <f t="shared" si="42"/>
        <v>10</v>
      </c>
      <c r="BJ24" s="1">
        <f t="shared" si="43"/>
        <v>0.111</v>
      </c>
      <c r="BK24" s="1">
        <f t="shared" si="44"/>
        <v>0</v>
      </c>
      <c r="BL24" s="1">
        <f t="shared" si="45"/>
        <v>9.8999999999999994E-5</v>
      </c>
      <c r="BM24" s="1">
        <f t="shared" si="46"/>
        <v>0.111099</v>
      </c>
      <c r="BN24" s="1">
        <f t="shared" si="47"/>
        <v>0</v>
      </c>
      <c r="BO24" s="1">
        <f t="shared" si="5"/>
        <v>11</v>
      </c>
      <c r="BP24" s="1">
        <f t="shared" si="6"/>
        <v>0</v>
      </c>
      <c r="BQ24" s="1" cm="1">
        <f t="array" ref="BQ24">IF(I24="","",IF(BP24=1,"",IF(L24=0,"",IF(B24=1,"",_xlfn.XLOOKUP(1,($I$2:$I$313=$I24)*($B$2:$B$313=($B24-1)),$BO$2:$BO$313)))))</f>
        <v>1</v>
      </c>
      <c r="BR24" s="1">
        <f>IF(I24="","",IF($B24=1,_xlfn.MINIFS($BO$2:$BO$313,$B$2:$B$313,$B24),_xlfn.MINIFS(BQ$2:$BQ$313,$B$2:$B$313,$B24)))</f>
        <v>1</v>
      </c>
      <c r="BS24" s="1">
        <f t="shared" si="48"/>
        <v>3</v>
      </c>
      <c r="BT24" s="1" t="str" cm="1">
        <f t="array" ref="BT24">IF($I24="","",IF($B24=1,_xlfn.XLOOKUP(1,($B$2:$B$313=$B24)*($BO$2:$BO$313=BR24),Data!$I$2:$I$313,,0),_xlfn.XLOOKUP(1,($B$2:$B$313=$B24)*($BQ$2:$BQ$313=$BR24),$I$2:$I$313,,0)))</f>
        <v>Kaleva Latvala</v>
      </c>
      <c r="BU24" s="1" t="str" cm="1">
        <f t="array" ref="BU24">IF(I24="","",IF($B24=1,_xlfn.XLOOKUP(1,($B$2:$B$313=$B24)*($BO$2:$BO$313=$BS24),$I$2:$I$313,,0),_xlfn.XLOOKUP(1,($B$2:$B$313=$B24)*($BQ$2:$BQ$313=$BS24),$I$2:$I$313,,0)))</f>
        <v>Ossi Oksa</v>
      </c>
      <c r="BV24" s="1" t="str" cm="1">
        <f t="array" ref="BV24">IF($I24="","",IF($B24=1,"",IF($B24=2,_xlfn.XLOOKUP(1,($B$2:$B$313=1)*($BO$2:$BO$313=1),$I$2:$I$313,,0),_xlfn.XLOOKUP($B24-1,$B$2:$B$313,$CH$2:$CH$313,,0))))</f>
        <v>Kaleva Latvala</v>
      </c>
      <c r="BW24" s="1" t="str" cm="1">
        <f t="array" ref="BW24">IF($I24="","",IF($B24=1,"",IF(_xlfn.XLOOKUP(1,($B$2:$B$313=$B24)*($I$2:$I$313=$BV24),$BQ$2:$BQ$313,,0)="","NOK","OK")))</f>
        <v>OK</v>
      </c>
      <c r="BX24" s="1" t="str">
        <f t="shared" si="49"/>
        <v>Kaleva Latvala</v>
      </c>
      <c r="BY24" s="1" t="str">
        <f t="shared" si="50"/>
        <v>Ossi Oksa</v>
      </c>
      <c r="BZ24" s="1">
        <f t="shared" si="51"/>
        <v>136</v>
      </c>
      <c r="CA24" s="1">
        <f t="shared" si="52"/>
        <v>125</v>
      </c>
      <c r="CB24" s="1">
        <f t="shared" si="53"/>
        <v>9.8999999999999994E-5</v>
      </c>
      <c r="CC24" s="1">
        <f t="shared" si="54"/>
        <v>182</v>
      </c>
      <c r="CD24" s="1">
        <f t="shared" si="55"/>
        <v>126</v>
      </c>
      <c r="CE24" s="1">
        <f t="shared" si="56"/>
        <v>9.8999999999999994E-5</v>
      </c>
      <c r="CF24" s="1" t="str">
        <f t="shared" si="57"/>
        <v>Kaleva Latvala (P)</v>
      </c>
      <c r="CG24" s="1" t="str">
        <f t="shared" si="58"/>
        <v>Ossi Oksa (3)</v>
      </c>
      <c r="CH24" s="1" t="str">
        <f t="shared" si="59"/>
        <v>Ossi Oksa</v>
      </c>
      <c r="CI24" s="1">
        <f t="shared" si="60"/>
        <v>0</v>
      </c>
      <c r="CJ24" s="1" t="str">
        <f ca="1">IF(B24="","",IF(SUM(AI24:AK24)&gt;0,"+SP","")&amp;IF(CI24&gt;0,"+KK","")&amp;IF(AB24&gt;0,"+KGP1","")&amp;IF(AC24&gt;0,"+KGP2","")&amp;IF(AG24&lt;0,"-KGP1","")&amp;IF(AH24&lt;0,"-KGP2",""))</f>
        <v>+SP</v>
      </c>
      <c r="CO24" s="1">
        <v>7</v>
      </c>
      <c r="CP24" s="3">
        <v>4</v>
      </c>
      <c r="CQ24" s="6">
        <f ca="1">SUM($CP24:OFFSET($CP24,CQ$17-1,0))/CQ$17</f>
        <v>3.5</v>
      </c>
      <c r="CR24" s="6">
        <f ca="1">SUM($CP24:OFFSET($CP24,CR$17-1,0))/CR$17</f>
        <v>3</v>
      </c>
      <c r="CS24" s="6">
        <f ca="1">SUM($CP24:OFFSET($CP24,CS$17-1,0))/CS$17</f>
        <v>2.5</v>
      </c>
      <c r="CT24" s="6">
        <f ca="1">SUM($CP24:OFFSET($CP24,CT$17-1,0))/CT$17</f>
        <v>2</v>
      </c>
      <c r="CU24" s="6">
        <f ca="1">SUM($CP24:OFFSET($CP24,CU$17-1,0))/CU$17</f>
        <v>1.6666666666666667</v>
      </c>
      <c r="CV24" s="6">
        <f ca="1">SUM($CP24:OFFSET($CP24,CV$17-1,0))/CV$17</f>
        <v>1.4285714285714286</v>
      </c>
      <c r="CW24" s="6">
        <f ca="1">SUM($CP24:OFFSET($CP24,CW$17-1,0))/CW$17</f>
        <v>1.25</v>
      </c>
      <c r="CX24" s="6">
        <f ca="1">SUM($CP24:OFFSET($CP24,CX$17-1,0))/CX$17</f>
        <v>1.1111111111111112</v>
      </c>
      <c r="CY24" s="6">
        <f ca="1">SUM($CP24:OFFSET($CP24,CY$17-1,0))/CY$17</f>
        <v>1</v>
      </c>
      <c r="CZ24" s="6">
        <f ca="1">SUM($CP24:OFFSET($CP24,CZ$17-1,0))/CZ$17</f>
        <v>0.90909090909090906</v>
      </c>
      <c r="DA24" s="6">
        <f ca="1">SUM($CP24:OFFSET($CP24,DA$17-1,0))/DA$17</f>
        <v>0.83333333333333337</v>
      </c>
      <c r="DB24" s="6">
        <f ca="1">SUM($CP24:OFFSET($CP24,DB$17-1,0))/DB$17</f>
        <v>0.76923076923076927</v>
      </c>
      <c r="DC24" s="6">
        <f ca="1">SUM($CP24:OFFSET($CP24,DC$17-1,0))/DC$17</f>
        <v>0.7142857142857143</v>
      </c>
      <c r="DD24" s="6">
        <f ca="1">SUM($CP24:OFFSET($CP24,DD$17-1,0))/DD$17</f>
        <v>0.66666666666666663</v>
      </c>
      <c r="DE24" s="6">
        <f ca="1">SUM($CP24:OFFSET($CP24,DE$17-1,0))/DE$17</f>
        <v>0.625</v>
      </c>
      <c r="DF24" s="6">
        <f ca="1">SUM($CP24:OFFSET($CP24,DF$17-1,0))/DF$17</f>
        <v>0.58823529411764708</v>
      </c>
      <c r="DG24" s="6">
        <f ca="1">SUM($CP24:OFFSET($CP24,DG$17-1,0))/DG$17</f>
        <v>0.55555555555555558</v>
      </c>
      <c r="DH24" s="6">
        <f ca="1">SUM($CP24:OFFSET($CP24,DH$17-1,0))/DH$17</f>
        <v>1.1052631578947369</v>
      </c>
      <c r="DI24" s="6">
        <f ca="1">SUM($CP24:OFFSET($CP24,DI$17-1,0))/DI$17</f>
        <v>1.05</v>
      </c>
      <c r="DJ24" s="6">
        <f ca="1">SUM($CP24:OFFSET($CP24,DJ$17-1,0))/DJ$17</f>
        <v>1</v>
      </c>
      <c r="DK24" s="6">
        <f ca="1">SUM($CP24:OFFSET($CP24,DK$17-1,0))/DK$17</f>
        <v>0.95454545454545459</v>
      </c>
      <c r="DL24" s="6">
        <f ca="1">SUM($CP24:OFFSET($CP24,DL$17-1,0))/DL$17</f>
        <v>0.91304347826086951</v>
      </c>
      <c r="DM24" s="6">
        <f ca="1">SUM($CP24:OFFSET($CP24,DM$17-1,0))/DM$17</f>
        <v>0.875</v>
      </c>
    </row>
    <row r="25" spans="1:117" x14ac:dyDescent="0.25">
      <c r="A25" s="1">
        <f>IFERROR(IF(ROW(A24)=1,1,IF(1+A24&lt;=$CP$1*$CP$2,1+A24,"")),"")</f>
        <v>24</v>
      </c>
      <c r="B25" s="1">
        <f>IF($I25="","",IF(ROW(B24)=1,1,ROUNDUP(A25/$CP$2,0)))</f>
        <v>2</v>
      </c>
      <c r="C25" s="4">
        <f t="shared" si="7"/>
        <v>45585</v>
      </c>
      <c r="D25" s="4" t="str">
        <f t="shared" si="0"/>
        <v>Raision keilahalli</v>
      </c>
      <c r="E25" s="1">
        <f>IF($B25="","",COUNTIF($B$2:B25,B25))</f>
        <v>6</v>
      </c>
      <c r="F25" s="1" t="str">
        <f t="shared" si="1"/>
        <v>K2024GP02</v>
      </c>
      <c r="G25" s="1" t="str">
        <f t="shared" si="8"/>
        <v>K2024GP02_6</v>
      </c>
      <c r="H25" s="1">
        <f t="shared" si="9"/>
        <v>1</v>
      </c>
      <c r="I25" s="3" t="s">
        <v>131</v>
      </c>
      <c r="J25" s="3">
        <v>147</v>
      </c>
      <c r="K25" s="3">
        <v>170</v>
      </c>
      <c r="L25" s="1">
        <f t="shared" si="10"/>
        <v>317</v>
      </c>
      <c r="M25" s="1">
        <f t="shared" si="11"/>
        <v>1</v>
      </c>
      <c r="N25" s="1">
        <f t="shared" si="12"/>
        <v>5</v>
      </c>
      <c r="O25" s="1">
        <f t="shared" si="13"/>
        <v>317</v>
      </c>
      <c r="P25" s="1">
        <f t="shared" si="14"/>
        <v>16</v>
      </c>
      <c r="Q25" s="1">
        <f t="array" ref="Q25">IF($B25="","",IF(MAX(IF(B25=$B$2:$B$313,$L$2:$L$313))-L25=0,"",MAX(IF(B25=$B$2:$B$313,$L$2:$L$313))-L25))</f>
        <v>16</v>
      </c>
      <c r="R25" s="1">
        <f t="array" ref="R25">IF($B25="","",SUMPRODUCT(--($B$2:$B$313=B25),--(L25&lt;$L$2:$L$313))+1)</f>
        <v>5</v>
      </c>
      <c r="S25" s="1">
        <f t="shared" si="15"/>
        <v>2</v>
      </c>
      <c r="T25" s="1" cm="1">
        <f t="array" ref="T25">IF($B25="","",IF(M25=0,"",SUMPRODUCT(--($B$2:$B$313=B25),--(J25&lt;$J$2:$J$313))+1))</f>
        <v>4</v>
      </c>
      <c r="U25" s="1">
        <f t="shared" si="16"/>
        <v>1</v>
      </c>
      <c r="V25" s="1" t="str">
        <f t="shared" si="17"/>
        <v>0205</v>
      </c>
      <c r="W25" s="1">
        <f t="shared" si="18"/>
        <v>1</v>
      </c>
      <c r="X25" s="1">
        <f t="shared" si="2"/>
        <v>0</v>
      </c>
      <c r="Y25" s="1">
        <f>IF($B25="","",MAX(_xlfn.MAXIFS($J$2:J25,$I$2:I25,$I25),_xlfn.MAXIFS($K$2:K25,$I$2:I25,$I25)))</f>
        <v>170</v>
      </c>
      <c r="Z25" s="1">
        <f t="shared" si="3"/>
        <v>193</v>
      </c>
      <c r="AA25" s="1">
        <f t="shared" si="19"/>
        <v>0</v>
      </c>
      <c r="AB25" s="1">
        <f t="shared" si="20"/>
        <v>0</v>
      </c>
      <c r="AC25" s="1">
        <f t="shared" si="21"/>
        <v>0</v>
      </c>
      <c r="AD25" s="1">
        <f>IF($B25="","",MIN(_xlfn.MINIFS($J$2:J25,$I$2:I25,$I25),_xlfn.MINIFS($K$2:K25,$I$2:I25,$I25)))</f>
        <v>102</v>
      </c>
      <c r="AE25" s="1">
        <f t="shared" si="22"/>
        <v>91</v>
      </c>
      <c r="AF25" s="1">
        <f t="shared" si="23"/>
        <v>0</v>
      </c>
      <c r="AG25" s="1">
        <f t="shared" si="24"/>
        <v>0</v>
      </c>
      <c r="AH25" s="1">
        <f t="shared" si="25"/>
        <v>0</v>
      </c>
      <c r="AI25" s="1">
        <f ca="1">IF($B25="","",IF($K25="",0,OFFSET($CO$17,R25,W25)))</f>
        <v>6</v>
      </c>
      <c r="AJ25" s="1">
        <f t="shared" ca="1" si="26"/>
        <v>0</v>
      </c>
      <c r="AK25" s="1">
        <f ca="1">IF(AJ25="","",IF(AJ25=0,0,IF(W25=1,0,SUM(OFFSET($CO$17,N25,1):OFFSET($CO$17,N25+W25-2,1))/W25)))</f>
        <v>0</v>
      </c>
      <c r="AL25" s="1">
        <f t="shared" ca="1" si="27"/>
        <v>6</v>
      </c>
      <c r="AM25" s="1">
        <f ca="1">IF($B25="","",SUMIFS($AL$2:AL25,$I$2:I25,$I25))</f>
        <v>11</v>
      </c>
      <c r="AN25" s="1">
        <f t="shared" si="28"/>
        <v>5.0000239999999998</v>
      </c>
      <c r="AO25" s="1">
        <f>IFERROR(IF($B25="","",AVERAGEIFS($L$2:L25,$I$2:I25,I25,$L$2:L25,"&lt;&gt;0")),0)</f>
        <v>265</v>
      </c>
      <c r="AP25" s="1">
        <f t="shared" si="29"/>
        <v>132.5</v>
      </c>
      <c r="AQ25" s="1">
        <f>IF($B25="","",COUNTIFS($R$2:R25,1,$I$2:I25,$I25))</f>
        <v>0</v>
      </c>
      <c r="AR25" s="1">
        <f t="array" aca="1" ref="AR25" ca="1">IF($B25="","",SUMPRODUCT(--($B$2:$B$313=B25),--(AM25&lt;$AM$2:$AM$313))+1)</f>
        <v>4</v>
      </c>
      <c r="AS25" s="1">
        <f t="array" ref="AS25">IF($B25="","",SUMPRODUCT(--($B$2:$B$313=B25),--(AP25&lt;$AP$2:$AP$313))+1)</f>
        <v>6</v>
      </c>
      <c r="AT25" s="1">
        <f t="array" ref="AT25">IF($B25="","",SUMPRODUCT(--($B$2:$B$313=B25),--(AQ25&lt;$AQ$2:$AQ$313))+1)</f>
        <v>4</v>
      </c>
      <c r="AU25" s="1">
        <f t="shared" si="30"/>
        <v>2.4E-8</v>
      </c>
      <c r="AV25" s="1">
        <f t="shared" ca="1" si="31"/>
        <v>4.0604024000000002E-2</v>
      </c>
      <c r="AW25" s="1" t="str">
        <f t="shared" si="4"/>
        <v/>
      </c>
      <c r="AX25" s="1" t="str">
        <f t="shared" si="32"/>
        <v/>
      </c>
      <c r="AY25" s="8">
        <f t="shared" ca="1" si="33"/>
        <v>4.0604024000000002E-2</v>
      </c>
      <c r="AZ25" s="1" cm="1">
        <f t="array" aca="1" ref="AZ25" ca="1">IF($B25="","",SUMPRODUCT(--($B$2:$B$313=B25),--(AY25&gt;$AY$2:$AY$313))+1)</f>
        <v>5</v>
      </c>
      <c r="BA25" s="1" t="str">
        <f t="shared" si="34"/>
        <v>K2024GP02_6_1</v>
      </c>
      <c r="BB25" s="1" t="str">
        <f t="shared" si="35"/>
        <v>K2024GP02_6_2</v>
      </c>
      <c r="BC25" s="1">
        <f t="shared" si="36"/>
        <v>0</v>
      </c>
      <c r="BD25" s="1">
        <f t="shared" si="37"/>
        <v>0</v>
      </c>
      <c r="BE25" s="1">
        <f t="shared" si="38"/>
        <v>1</v>
      </c>
      <c r="BF25" s="1">
        <f t="shared" si="39"/>
        <v>170</v>
      </c>
      <c r="BG25" s="1">
        <f t="shared" si="40"/>
        <v>147</v>
      </c>
      <c r="BH25" s="1">
        <f t="shared" si="41"/>
        <v>6</v>
      </c>
      <c r="BI25" s="1">
        <f t="shared" si="42"/>
        <v>3</v>
      </c>
      <c r="BJ25" s="1">
        <f t="shared" si="43"/>
        <v>6.0299999999999999E-2</v>
      </c>
      <c r="BK25" s="1">
        <f t="shared" si="44"/>
        <v>0</v>
      </c>
      <c r="BL25" s="1">
        <f t="shared" si="45"/>
        <v>9.8999999999999994E-5</v>
      </c>
      <c r="BM25" s="1">
        <f t="shared" si="46"/>
        <v>6.0399000000000001E-2</v>
      </c>
      <c r="BN25" s="1">
        <f t="shared" si="47"/>
        <v>0</v>
      </c>
      <c r="BO25" s="1">
        <f t="shared" si="5"/>
        <v>7</v>
      </c>
      <c r="BP25" s="1">
        <f t="shared" si="6"/>
        <v>0</v>
      </c>
      <c r="BQ25" s="1" cm="1">
        <f t="array" ref="BQ25">IF(I25="","",IF(BP25=1,"",IF(L25=0,"",IF(B25=1,"",_xlfn.XLOOKUP(1,($I$2:$I$313=$I25)*($B$2:$B$313=($B25-1)),$BO$2:$BO$313)))))</f>
        <v>8</v>
      </c>
      <c r="BR25" s="1">
        <f>IF(I25="","",IF($B25=1,_xlfn.MINIFS($BO$2:$BO$313,$B$2:$B$313,$B25),_xlfn.MINIFS(BQ$2:$BQ$313,$B$2:$B$313,$B25)))</f>
        <v>1</v>
      </c>
      <c r="BS25" s="1">
        <f t="shared" si="48"/>
        <v>3</v>
      </c>
      <c r="BT25" s="1" t="str" cm="1">
        <f t="array" ref="BT25">IF($I25="","",IF($B25=1,_xlfn.XLOOKUP(1,($B$2:$B$313=$B25)*($BO$2:$BO$313=BR25),Data!$I$2:$I$313,,0),_xlfn.XLOOKUP(1,($B$2:$B$313=$B25)*($BQ$2:$BQ$313=$BR25),$I$2:$I$313,,0)))</f>
        <v>Kaleva Latvala</v>
      </c>
      <c r="BU25" s="1" t="str" cm="1">
        <f t="array" ref="BU25">IF(I25="","",IF($B25=1,_xlfn.XLOOKUP(1,($B$2:$B$313=$B25)*($BO$2:$BO$313=$BS25),$I$2:$I$313,,0),_xlfn.XLOOKUP(1,($B$2:$B$313=$B25)*($BQ$2:$BQ$313=$BS25),$I$2:$I$313,,0)))</f>
        <v>Ossi Oksa</v>
      </c>
      <c r="BV25" s="1" t="str" cm="1">
        <f t="array" ref="BV25">IF($I25="","",IF($B25=1,"",IF($B25=2,_xlfn.XLOOKUP(1,($B$2:$B$313=1)*($BO$2:$BO$313=1),$I$2:$I$313,,0),_xlfn.XLOOKUP($B25-1,$B$2:$B$313,$CH$2:$CH$313,,0))))</f>
        <v>Kaleva Latvala</v>
      </c>
      <c r="BW25" s="1" t="str" cm="1">
        <f t="array" ref="BW25">IF($I25="","",IF($B25=1,"",IF(_xlfn.XLOOKUP(1,($B$2:$B$313=$B25)*($I$2:$I$313=$BV25),$BQ$2:$BQ$313,,0)="","NOK","OK")))</f>
        <v>OK</v>
      </c>
      <c r="BX25" s="1" t="str">
        <f t="shared" si="49"/>
        <v>Kaleva Latvala</v>
      </c>
      <c r="BY25" s="1" t="str">
        <f t="shared" si="50"/>
        <v>Ossi Oksa</v>
      </c>
      <c r="BZ25" s="1">
        <f t="shared" si="51"/>
        <v>136</v>
      </c>
      <c r="CA25" s="1">
        <f t="shared" si="52"/>
        <v>125</v>
      </c>
      <c r="CB25" s="1">
        <f t="shared" si="53"/>
        <v>9.8999999999999994E-5</v>
      </c>
      <c r="CC25" s="1">
        <f t="shared" si="54"/>
        <v>182</v>
      </c>
      <c r="CD25" s="1">
        <f t="shared" si="55"/>
        <v>126</v>
      </c>
      <c r="CE25" s="1">
        <f t="shared" si="56"/>
        <v>9.8999999999999994E-5</v>
      </c>
      <c r="CF25" s="1" t="str">
        <f t="shared" si="57"/>
        <v>Kaleva Latvala (P)</v>
      </c>
      <c r="CG25" s="1" t="str">
        <f t="shared" si="58"/>
        <v>Ossi Oksa (3)</v>
      </c>
      <c r="CH25" s="1" t="str">
        <f t="shared" si="59"/>
        <v>Ossi Oksa</v>
      </c>
      <c r="CI25" s="1">
        <f t="shared" si="60"/>
        <v>0</v>
      </c>
      <c r="CJ25" s="1" t="str">
        <f ca="1">IF(B25="","",IF(SUM(AI25:AK25)&gt;0,"+SP","")&amp;IF(CI25&gt;0,"+KK","")&amp;IF(AB25&gt;0,"+KGP1","")&amp;IF(AC25&gt;0,"+KGP2","")&amp;IF(AG25&lt;0,"-KGP1","")&amp;IF(AH25&lt;0,"-KGP2",""))</f>
        <v>+SP</v>
      </c>
      <c r="CO25" s="1">
        <v>8</v>
      </c>
      <c r="CP25" s="3">
        <v>3</v>
      </c>
      <c r="CQ25" s="6">
        <f ca="1">SUM($CP25:OFFSET($CP25,CQ$17-1,0))/CQ$17</f>
        <v>2.5</v>
      </c>
      <c r="CR25" s="6">
        <f ca="1">SUM($CP25:OFFSET($CP25,CR$17-1,0))/CR$17</f>
        <v>2</v>
      </c>
      <c r="CS25" s="6">
        <f ca="1">SUM($CP25:OFFSET($CP25,CS$17-1,0))/CS$17</f>
        <v>1.5</v>
      </c>
      <c r="CT25" s="6">
        <f ca="1">SUM($CP25:OFFSET($CP25,CT$17-1,0))/CT$17</f>
        <v>1.2</v>
      </c>
      <c r="CU25" s="6">
        <f ca="1">SUM($CP25:OFFSET($CP25,CU$17-1,0))/CU$17</f>
        <v>1</v>
      </c>
      <c r="CV25" s="6">
        <f ca="1">SUM($CP25:OFFSET($CP25,CV$17-1,0))/CV$17</f>
        <v>0.8571428571428571</v>
      </c>
      <c r="CW25" s="6">
        <f ca="1">SUM($CP25:OFFSET($CP25,CW$17-1,0))/CW$17</f>
        <v>0.75</v>
      </c>
      <c r="CX25" s="6">
        <f ca="1">SUM($CP25:OFFSET($CP25,CX$17-1,0))/CX$17</f>
        <v>0.66666666666666663</v>
      </c>
      <c r="CY25" s="6">
        <f ca="1">SUM($CP25:OFFSET($CP25,CY$17-1,0))/CY$17</f>
        <v>0.6</v>
      </c>
      <c r="CZ25" s="6">
        <f ca="1">SUM($CP25:OFFSET($CP25,CZ$17-1,0))/CZ$17</f>
        <v>0.54545454545454541</v>
      </c>
      <c r="DA25" s="6">
        <f ca="1">SUM($CP25:OFFSET($CP25,DA$17-1,0))/DA$17</f>
        <v>0.5</v>
      </c>
      <c r="DB25" s="6">
        <f ca="1">SUM($CP25:OFFSET($CP25,DB$17-1,0))/DB$17</f>
        <v>0.46153846153846156</v>
      </c>
      <c r="DC25" s="6">
        <f ca="1">SUM($CP25:OFFSET($CP25,DC$17-1,0))/DC$17</f>
        <v>0.42857142857142855</v>
      </c>
      <c r="DD25" s="6">
        <f ca="1">SUM($CP25:OFFSET($CP25,DD$17-1,0))/DD$17</f>
        <v>0.4</v>
      </c>
      <c r="DE25" s="6">
        <f ca="1">SUM($CP25:OFFSET($CP25,DE$17-1,0))/DE$17</f>
        <v>0.375</v>
      </c>
      <c r="DF25" s="6">
        <f ca="1">SUM($CP25:OFFSET($CP25,DF$17-1,0))/DF$17</f>
        <v>0.35294117647058826</v>
      </c>
      <c r="DG25" s="6">
        <f ca="1">SUM($CP25:OFFSET($CP25,DG$17-1,0))/DG$17</f>
        <v>0.94444444444444442</v>
      </c>
      <c r="DH25" s="6">
        <f ca="1">SUM($CP25:OFFSET($CP25,DH$17-1,0))/DH$17</f>
        <v>0.89473684210526316</v>
      </c>
      <c r="DI25" s="6">
        <f ca="1">SUM($CP25:OFFSET($CP25,DI$17-1,0))/DI$17</f>
        <v>0.85</v>
      </c>
      <c r="DJ25" s="6">
        <f ca="1">SUM($CP25:OFFSET($CP25,DJ$17-1,0))/DJ$17</f>
        <v>0.80952380952380953</v>
      </c>
      <c r="DK25" s="6">
        <f ca="1">SUM($CP25:OFFSET($CP25,DK$17-1,0))/DK$17</f>
        <v>0.77272727272727271</v>
      </c>
      <c r="DL25" s="6">
        <f ca="1">SUM($CP25:OFFSET($CP25,DL$17-1,0))/DL$17</f>
        <v>0.73913043478260865</v>
      </c>
      <c r="DM25" s="6">
        <f ca="1">SUM($CP25:OFFSET($CP25,DM$17-1,0))/DM$17</f>
        <v>0.70833333333333337</v>
      </c>
    </row>
    <row r="26" spans="1:117" x14ac:dyDescent="0.25">
      <c r="A26" s="1">
        <f>IFERROR(IF(ROW(A25)=1,1,IF(1+A25&lt;=$CP$1*$CP$2,1+A25,"")),"")</f>
        <v>25</v>
      </c>
      <c r="B26" s="1">
        <f>IF($I26="","",IF(ROW(B25)=1,1,ROUNDUP(A26/$CP$2,0)))</f>
        <v>2</v>
      </c>
      <c r="C26" s="4">
        <f t="shared" si="7"/>
        <v>45585</v>
      </c>
      <c r="D26" s="4" t="str">
        <f t="shared" si="0"/>
        <v>Raision keilahalli</v>
      </c>
      <c r="E26" s="1">
        <f>IF($B26="","",COUNTIF($B$2:B26,B26))</f>
        <v>7</v>
      </c>
      <c r="F26" s="1" t="str">
        <f t="shared" si="1"/>
        <v>K2024GP02</v>
      </c>
      <c r="G26" s="1" t="str">
        <f t="shared" si="8"/>
        <v>K2024GP02_7</v>
      </c>
      <c r="H26" s="1">
        <f t="shared" si="9"/>
        <v>1</v>
      </c>
      <c r="I26" s="3" t="s">
        <v>137</v>
      </c>
      <c r="J26" s="3">
        <v>126</v>
      </c>
      <c r="K26" s="3">
        <v>127</v>
      </c>
      <c r="L26" s="1">
        <f t="shared" si="10"/>
        <v>253</v>
      </c>
      <c r="M26" s="1">
        <f t="shared" si="11"/>
        <v>1</v>
      </c>
      <c r="N26" s="1">
        <f t="shared" si="12"/>
        <v>10</v>
      </c>
      <c r="O26" s="1">
        <f t="shared" si="13"/>
        <v>253</v>
      </c>
      <c r="P26" s="1">
        <f t="shared" si="14"/>
        <v>80</v>
      </c>
      <c r="Q26" s="1">
        <f t="array" ref="Q26">IF($B26="","",IF(MAX(IF(B26=$B$2:$B$313,$L$2:$L$313))-L26=0,"",MAX(IF(B26=$B$2:$B$313,$L$2:$L$313))-L26))</f>
        <v>80</v>
      </c>
      <c r="R26" s="1">
        <f t="array" ref="R26">IF($B26="","",SUMPRODUCT(--($B$2:$B$313=B26),--(L26&lt;$L$2:$L$313))+1)</f>
        <v>10</v>
      </c>
      <c r="S26" s="1">
        <f t="shared" si="15"/>
        <v>2</v>
      </c>
      <c r="T26" s="1" cm="1">
        <f t="array" ref="T26">IF($B26="","",IF(M26=0,"",SUMPRODUCT(--($B$2:$B$313=B26),--(J26&lt;$J$2:$J$313))+1))</f>
        <v>9</v>
      </c>
      <c r="U26" s="1">
        <f t="shared" si="16"/>
        <v>1</v>
      </c>
      <c r="V26" s="1" t="str">
        <f t="shared" si="17"/>
        <v>0210</v>
      </c>
      <c r="W26" s="1">
        <f t="shared" si="18"/>
        <v>1</v>
      </c>
      <c r="X26" s="1">
        <f t="shared" si="2"/>
        <v>0</v>
      </c>
      <c r="Y26" s="1">
        <f>IF($B26="","",MAX(_xlfn.MAXIFS($J$2:J26,$I$2:I26,$I26),_xlfn.MAXIFS($K$2:K26,$I$2:I26,$I26)))</f>
        <v>127</v>
      </c>
      <c r="Z26" s="1">
        <f t="shared" si="3"/>
        <v>193</v>
      </c>
      <c r="AA26" s="1">
        <f t="shared" si="19"/>
        <v>0</v>
      </c>
      <c r="AB26" s="1">
        <f t="shared" si="20"/>
        <v>0</v>
      </c>
      <c r="AC26" s="1">
        <f t="shared" si="21"/>
        <v>0</v>
      </c>
      <c r="AD26" s="1">
        <f>IF($B26="","",MIN(_xlfn.MINIFS($J$2:J26,$I$2:I26,$I26),_xlfn.MINIFS($K$2:K26,$I$2:I26,$I26)))</f>
        <v>126</v>
      </c>
      <c r="AE26" s="1">
        <f t="shared" si="22"/>
        <v>91</v>
      </c>
      <c r="AF26" s="1">
        <f t="shared" si="23"/>
        <v>0</v>
      </c>
      <c r="AG26" s="1">
        <f t="shared" si="24"/>
        <v>0</v>
      </c>
      <c r="AH26" s="1">
        <f t="shared" si="25"/>
        <v>0</v>
      </c>
      <c r="AI26" s="1">
        <f ca="1">IF($B26="","",IF($K26="",0,OFFSET($CO$17,R26,W26)))</f>
        <v>1</v>
      </c>
      <c r="AJ26" s="1">
        <f t="shared" ca="1" si="26"/>
        <v>0</v>
      </c>
      <c r="AK26" s="1">
        <f ca="1">IF(AJ26="","",IF(AJ26=0,0,IF(W26=1,0,SUM(OFFSET($CO$17,N26,1):OFFSET($CO$17,N26+W26-2,1))/W26)))</f>
        <v>0</v>
      </c>
      <c r="AL26" s="1">
        <f t="shared" ca="1" si="27"/>
        <v>1</v>
      </c>
      <c r="AM26" s="1">
        <f ca="1">IF($B26="","",SUMIFS($AL$2:AL26,$I$2:I26,$I26))</f>
        <v>1</v>
      </c>
      <c r="AN26" s="1">
        <f t="shared" si="28"/>
        <v>10.000025000000001</v>
      </c>
      <c r="AO26" s="1">
        <f>IFERROR(IF($B26="","",AVERAGEIFS($L$2:L26,$I$2:I26,I26,$L$2:L26,"&lt;&gt;0")),0)</f>
        <v>253</v>
      </c>
      <c r="AP26" s="1">
        <f t="shared" si="29"/>
        <v>126.5</v>
      </c>
      <c r="AQ26" s="1">
        <f>IF($B26="","",COUNTIFS($R$2:R26,1,$I$2:I26,$I26))</f>
        <v>0</v>
      </c>
      <c r="AR26" s="1">
        <f t="array" aca="1" ref="AR26" ca="1">IF($B26="","",SUMPRODUCT(--($B$2:$B$313=B26),--(AM26&lt;$AM$2:$AM$313))+1)</f>
        <v>14</v>
      </c>
      <c r="AS26" s="1">
        <f t="array" ref="AS26">IF($B26="","",SUMPRODUCT(--($B$2:$B$313=B26),--(AP26&lt;$AP$2:$AP$313))+1)</f>
        <v>10</v>
      </c>
      <c r="AT26" s="1">
        <f t="array" ref="AT26">IF($B26="","",SUMPRODUCT(--($B$2:$B$313=B26),--(AQ26&lt;$AQ$2:$AQ$313))+1)</f>
        <v>4</v>
      </c>
      <c r="AU26" s="1">
        <f t="shared" si="30"/>
        <v>2.4999999999999999E-8</v>
      </c>
      <c r="AV26" s="1">
        <f t="shared" ca="1" si="31"/>
        <v>0.14100402500000001</v>
      </c>
      <c r="AW26" s="1" t="str">
        <f t="shared" si="4"/>
        <v/>
      </c>
      <c r="AX26" s="1" t="str">
        <f t="shared" si="32"/>
        <v/>
      </c>
      <c r="AY26" s="8">
        <f t="shared" ca="1" si="33"/>
        <v>0.14100402500000001</v>
      </c>
      <c r="AZ26" s="1" cm="1">
        <f t="array" aca="1" ref="AZ26" ca="1">IF($B26="","",SUMPRODUCT(--($B$2:$B$313=B26),--(AY26&gt;$AY$2:$AY$313))+1)</f>
        <v>14</v>
      </c>
      <c r="BA26" s="1" t="str">
        <f t="shared" si="34"/>
        <v>K2024GP02_7_1</v>
      </c>
      <c r="BB26" s="1" t="str">
        <f t="shared" si="35"/>
        <v>K2024GP02_7_2</v>
      </c>
      <c r="BC26" s="1">
        <f t="shared" si="36"/>
        <v>0</v>
      </c>
      <c r="BD26" s="1">
        <f t="shared" si="37"/>
        <v>0</v>
      </c>
      <c r="BE26" s="1">
        <f t="shared" si="38"/>
        <v>1</v>
      </c>
      <c r="BF26" s="1">
        <f t="shared" si="39"/>
        <v>127</v>
      </c>
      <c r="BG26" s="1">
        <f t="shared" si="40"/>
        <v>126</v>
      </c>
      <c r="BH26" s="1">
        <f t="shared" si="41"/>
        <v>12</v>
      </c>
      <c r="BI26" s="1">
        <f t="shared" si="42"/>
        <v>8</v>
      </c>
      <c r="BJ26" s="1">
        <f t="shared" si="43"/>
        <v>0.12079999999999999</v>
      </c>
      <c r="BK26" s="1">
        <f t="shared" si="44"/>
        <v>0</v>
      </c>
      <c r="BL26" s="1">
        <f t="shared" si="45"/>
        <v>9.8999999999999994E-5</v>
      </c>
      <c r="BM26" s="1">
        <f t="shared" si="46"/>
        <v>0.12089899999999999</v>
      </c>
      <c r="BN26" s="1">
        <f t="shared" si="47"/>
        <v>0</v>
      </c>
      <c r="BO26" s="1">
        <f t="shared" si="5"/>
        <v>12</v>
      </c>
      <c r="BP26" s="1">
        <f t="shared" si="6"/>
        <v>0</v>
      </c>
      <c r="BQ26" s="1" cm="1">
        <f t="array" ref="BQ26">IF(I26="","",IF(BP26=1,"",IF(L26=0,"",IF(B26=1,"",_xlfn.XLOOKUP(1,($I$2:$I$313=$I26)*($B$2:$B$313=($B26-1)),$BO$2:$BO$313)))))</f>
        <v>17</v>
      </c>
      <c r="BR26" s="1">
        <f>IF(I26="","",IF($B26=1,_xlfn.MINIFS($BO$2:$BO$313,$B$2:$B$313,$B26),_xlfn.MINIFS(BQ$2:$BQ$313,$B$2:$B$313,$B26)))</f>
        <v>1</v>
      </c>
      <c r="BS26" s="1">
        <f t="shared" si="48"/>
        <v>3</v>
      </c>
      <c r="BT26" s="1" t="str" cm="1">
        <f t="array" ref="BT26">IF($I26="","",IF($B26=1,_xlfn.XLOOKUP(1,($B$2:$B$313=$B26)*($BO$2:$BO$313=BR26),Data!$I$2:$I$313,,0),_xlfn.XLOOKUP(1,($B$2:$B$313=$B26)*($BQ$2:$BQ$313=$BR26),$I$2:$I$313,,0)))</f>
        <v>Kaleva Latvala</v>
      </c>
      <c r="BU26" s="1" t="str" cm="1">
        <f t="array" ref="BU26">IF(I26="","",IF($B26=1,_xlfn.XLOOKUP(1,($B$2:$B$313=$B26)*($BO$2:$BO$313=$BS26),$I$2:$I$313,,0),_xlfn.XLOOKUP(1,($B$2:$B$313=$B26)*($BQ$2:$BQ$313=$BS26),$I$2:$I$313,,0)))</f>
        <v>Ossi Oksa</v>
      </c>
      <c r="BV26" s="1" t="str" cm="1">
        <f t="array" ref="BV26">IF($I26="","",IF($B26=1,"",IF($B26=2,_xlfn.XLOOKUP(1,($B$2:$B$313=1)*($BO$2:$BO$313=1),$I$2:$I$313,,0),_xlfn.XLOOKUP($B26-1,$B$2:$B$313,$CH$2:$CH$313,,0))))</f>
        <v>Kaleva Latvala</v>
      </c>
      <c r="BW26" s="1" t="str" cm="1">
        <f t="array" ref="BW26">IF($I26="","",IF($B26=1,"",IF(_xlfn.XLOOKUP(1,($B$2:$B$313=$B26)*($I$2:$I$313=$BV26),$BQ$2:$BQ$313,,0)="","NOK","OK")))</f>
        <v>OK</v>
      </c>
      <c r="BX26" s="1" t="str">
        <f t="shared" si="49"/>
        <v>Kaleva Latvala</v>
      </c>
      <c r="BY26" s="1" t="str">
        <f t="shared" si="50"/>
        <v>Ossi Oksa</v>
      </c>
      <c r="BZ26" s="1">
        <f t="shared" si="51"/>
        <v>136</v>
      </c>
      <c r="CA26" s="1">
        <f t="shared" si="52"/>
        <v>125</v>
      </c>
      <c r="CB26" s="1">
        <f t="shared" si="53"/>
        <v>9.8999999999999994E-5</v>
      </c>
      <c r="CC26" s="1">
        <f t="shared" si="54"/>
        <v>182</v>
      </c>
      <c r="CD26" s="1">
        <f t="shared" si="55"/>
        <v>126</v>
      </c>
      <c r="CE26" s="1">
        <f t="shared" si="56"/>
        <v>9.8999999999999994E-5</v>
      </c>
      <c r="CF26" s="1" t="str">
        <f t="shared" si="57"/>
        <v>Kaleva Latvala (P)</v>
      </c>
      <c r="CG26" s="1" t="str">
        <f t="shared" si="58"/>
        <v>Ossi Oksa (3)</v>
      </c>
      <c r="CH26" s="1" t="str">
        <f t="shared" si="59"/>
        <v>Ossi Oksa</v>
      </c>
      <c r="CI26" s="1">
        <f t="shared" si="60"/>
        <v>0</v>
      </c>
      <c r="CJ26" s="1" t="str">
        <f ca="1">IF(B26="","",IF(SUM(AI26:AK26)&gt;0,"+SP","")&amp;IF(CI26&gt;0,"+KK","")&amp;IF(AB26&gt;0,"+KGP1","")&amp;IF(AC26&gt;0,"+KGP2","")&amp;IF(AG26&lt;0,"-KGP1","")&amp;IF(AH26&lt;0,"-KGP2",""))</f>
        <v>+SP</v>
      </c>
      <c r="CO26" s="1">
        <v>9</v>
      </c>
      <c r="CP26" s="3">
        <v>2</v>
      </c>
      <c r="CQ26" s="6">
        <f ca="1">SUM($CP26:OFFSET($CP26,CQ$17-1,0))/CQ$17</f>
        <v>1.5</v>
      </c>
      <c r="CR26" s="6">
        <f ca="1">SUM($CP26:OFFSET($CP26,CR$17-1,0))/CR$17</f>
        <v>1</v>
      </c>
      <c r="CS26" s="6">
        <f ca="1">SUM($CP26:OFFSET($CP26,CS$17-1,0))/CS$17</f>
        <v>0.75</v>
      </c>
      <c r="CT26" s="6">
        <f ca="1">SUM($CP26:OFFSET($CP26,CT$17-1,0))/CT$17</f>
        <v>0.6</v>
      </c>
      <c r="CU26" s="6">
        <f ca="1">SUM($CP26:OFFSET($CP26,CU$17-1,0))/CU$17</f>
        <v>0.5</v>
      </c>
      <c r="CV26" s="6">
        <f ca="1">SUM($CP26:OFFSET($CP26,CV$17-1,0))/CV$17</f>
        <v>0.42857142857142855</v>
      </c>
      <c r="CW26" s="6">
        <f ca="1">SUM($CP26:OFFSET($CP26,CW$17-1,0))/CW$17</f>
        <v>0.375</v>
      </c>
      <c r="CX26" s="6">
        <f ca="1">SUM($CP26:OFFSET($CP26,CX$17-1,0))/CX$17</f>
        <v>0.33333333333333331</v>
      </c>
      <c r="CY26" s="6">
        <f ca="1">SUM($CP26:OFFSET($CP26,CY$17-1,0))/CY$17</f>
        <v>0.3</v>
      </c>
      <c r="CZ26" s="6">
        <f ca="1">SUM($CP26:OFFSET($CP26,CZ$17-1,0))/CZ$17</f>
        <v>0.27272727272727271</v>
      </c>
      <c r="DA26" s="6">
        <f ca="1">SUM($CP26:OFFSET($CP26,DA$17-1,0))/DA$17</f>
        <v>0.25</v>
      </c>
      <c r="DB26" s="6">
        <f ca="1">SUM($CP26:OFFSET($CP26,DB$17-1,0))/DB$17</f>
        <v>0.23076923076923078</v>
      </c>
      <c r="DC26" s="6">
        <f ca="1">SUM($CP26:OFFSET($CP26,DC$17-1,0))/DC$17</f>
        <v>0.21428571428571427</v>
      </c>
      <c r="DD26" s="6">
        <f ca="1">SUM($CP26:OFFSET($CP26,DD$17-1,0))/DD$17</f>
        <v>0.2</v>
      </c>
      <c r="DE26" s="6">
        <f ca="1">SUM($CP26:OFFSET($CP26,DE$17-1,0))/DE$17</f>
        <v>0.1875</v>
      </c>
      <c r="DF26" s="6">
        <f ca="1">SUM($CP26:OFFSET($CP26,DF$17-1,0))/DF$17</f>
        <v>0.82352941176470584</v>
      </c>
      <c r="DG26" s="6">
        <f ca="1">SUM($CP26:OFFSET($CP26,DG$17-1,0))/DG$17</f>
        <v>0.77777777777777779</v>
      </c>
      <c r="DH26" s="6">
        <f ca="1">SUM($CP26:OFFSET($CP26,DH$17-1,0))/DH$17</f>
        <v>0.73684210526315785</v>
      </c>
      <c r="DI26" s="6">
        <f ca="1">SUM($CP26:OFFSET($CP26,DI$17-1,0))/DI$17</f>
        <v>0.7</v>
      </c>
      <c r="DJ26" s="6">
        <f ca="1">SUM($CP26:OFFSET($CP26,DJ$17-1,0))/DJ$17</f>
        <v>0.66666666666666663</v>
      </c>
      <c r="DK26" s="6">
        <f ca="1">SUM($CP26:OFFSET($CP26,DK$17-1,0))/DK$17</f>
        <v>0.63636363636363635</v>
      </c>
      <c r="DL26" s="6">
        <f ca="1">SUM($CP26:OFFSET($CP26,DL$17-1,0))/DL$17</f>
        <v>0.60869565217391308</v>
      </c>
      <c r="DM26" s="6">
        <f ca="1">SUM($CP26:OFFSET($CP26,DM$17-1,0))/DM$17</f>
        <v>0.58333333333333337</v>
      </c>
    </row>
    <row r="27" spans="1:117" x14ac:dyDescent="0.25">
      <c r="A27" s="1">
        <f>IFERROR(IF(ROW(A26)=1,1,IF(1+A26&lt;=$CP$1*$CP$2,1+A26,"")),"")</f>
        <v>26</v>
      </c>
      <c r="B27" s="1">
        <f>IF($I27="","",IF(ROW(B26)=1,1,ROUNDUP(A27/$CP$2,0)))</f>
        <v>2</v>
      </c>
      <c r="C27" s="4">
        <f t="shared" si="7"/>
        <v>45585</v>
      </c>
      <c r="D27" s="4" t="str">
        <f t="shared" si="0"/>
        <v>Raision keilahalli</v>
      </c>
      <c r="E27" s="1">
        <f>IF($B27="","",COUNTIF($B$2:B27,B27))</f>
        <v>8</v>
      </c>
      <c r="F27" s="1" t="str">
        <f t="shared" si="1"/>
        <v>K2024GP02</v>
      </c>
      <c r="G27" s="1" t="str">
        <f t="shared" si="8"/>
        <v>K2024GP02_8</v>
      </c>
      <c r="H27" s="1">
        <f t="shared" si="9"/>
        <v>1</v>
      </c>
      <c r="I27" s="3" t="s">
        <v>134</v>
      </c>
      <c r="J27" s="3">
        <v>156</v>
      </c>
      <c r="K27" s="3">
        <v>170</v>
      </c>
      <c r="L27" s="1">
        <f t="shared" si="10"/>
        <v>326</v>
      </c>
      <c r="M27" s="1">
        <f t="shared" si="11"/>
        <v>1</v>
      </c>
      <c r="N27" s="1">
        <f t="shared" si="12"/>
        <v>4</v>
      </c>
      <c r="O27" s="1">
        <f t="shared" si="13"/>
        <v>326</v>
      </c>
      <c r="P27" s="1">
        <f t="shared" si="14"/>
        <v>7</v>
      </c>
      <c r="Q27" s="1">
        <f t="array" ref="Q27">IF($B27="","",IF(MAX(IF(B27=$B$2:$B$313,$L$2:$L$313))-L27=0,"",MAX(IF(B27=$B$2:$B$313,$L$2:$L$313))-L27))</f>
        <v>7</v>
      </c>
      <c r="R27" s="1">
        <f t="array" ref="R27">IF($B27="","",SUMPRODUCT(--($B$2:$B$313=B27),--(L27&lt;$L$2:$L$313))+1)</f>
        <v>4</v>
      </c>
      <c r="S27" s="1">
        <f t="shared" si="15"/>
        <v>2</v>
      </c>
      <c r="T27" s="1" cm="1">
        <f t="array" ref="T27">IF($B27="","",IF(M27=0,"",SUMPRODUCT(--($B$2:$B$313=B27),--(J27&lt;$J$2:$J$313))+1))</f>
        <v>3</v>
      </c>
      <c r="U27" s="1">
        <f t="shared" si="16"/>
        <v>1</v>
      </c>
      <c r="V27" s="1" t="str">
        <f t="shared" si="17"/>
        <v>0204</v>
      </c>
      <c r="W27" s="1">
        <f t="shared" si="18"/>
        <v>1</v>
      </c>
      <c r="X27" s="1">
        <f t="shared" si="2"/>
        <v>0</v>
      </c>
      <c r="Y27" s="1">
        <f>IF($B27="","",MAX(_xlfn.MAXIFS($J$2:J27,$I$2:I27,$I27),_xlfn.MAXIFS($K$2:K27,$I$2:I27,$I27)))</f>
        <v>170</v>
      </c>
      <c r="Z27" s="1">
        <f t="shared" si="3"/>
        <v>193</v>
      </c>
      <c r="AA27" s="1">
        <f t="shared" si="19"/>
        <v>0</v>
      </c>
      <c r="AB27" s="1">
        <f t="shared" si="20"/>
        <v>0</v>
      </c>
      <c r="AC27" s="1">
        <f t="shared" si="21"/>
        <v>0</v>
      </c>
      <c r="AD27" s="1">
        <f>IF($B27="","",MIN(_xlfn.MINIFS($J$2:J27,$I$2:I27,$I27),_xlfn.MINIFS($K$2:K27,$I$2:I27,$I27)))</f>
        <v>97</v>
      </c>
      <c r="AE27" s="1">
        <f t="shared" si="22"/>
        <v>91</v>
      </c>
      <c r="AF27" s="1">
        <f t="shared" si="23"/>
        <v>0</v>
      </c>
      <c r="AG27" s="1">
        <f t="shared" si="24"/>
        <v>0</v>
      </c>
      <c r="AH27" s="1">
        <f t="shared" si="25"/>
        <v>0</v>
      </c>
      <c r="AI27" s="1">
        <f ca="1">IF($B27="","",IF($K27="",0,OFFSET($CO$17,R27,W27)))</f>
        <v>7</v>
      </c>
      <c r="AJ27" s="1">
        <f t="shared" ca="1" si="26"/>
        <v>0</v>
      </c>
      <c r="AK27" s="1">
        <f ca="1">IF(AJ27="","",IF(AJ27=0,0,IF(W27=1,0,SUM(OFFSET($CO$17,N27,1):OFFSET($CO$17,N27+W27-2,1))/W27)))</f>
        <v>0</v>
      </c>
      <c r="AL27" s="1">
        <f t="shared" ca="1" si="27"/>
        <v>7</v>
      </c>
      <c r="AM27" s="1">
        <f ca="1">IF($B27="","",SUMIFS($AL$2:AL27,$I$2:I27,$I27))</f>
        <v>9</v>
      </c>
      <c r="AN27" s="1">
        <f t="shared" si="28"/>
        <v>4.0000260000000001</v>
      </c>
      <c r="AO27" s="1">
        <f>IFERROR(IF($B27="","",AVERAGEIFS($L$2:L27,$I$2:I27,I27,$L$2:L27,"&lt;&gt;0")),0)</f>
        <v>262.5</v>
      </c>
      <c r="AP27" s="1">
        <f t="shared" si="29"/>
        <v>131.25</v>
      </c>
      <c r="AQ27" s="1">
        <f>IF($B27="","",COUNTIFS($R$2:R27,1,$I$2:I27,$I27))</f>
        <v>0</v>
      </c>
      <c r="AR27" s="1">
        <f t="array" aca="1" ref="AR27" ca="1">IF($B27="","",SUMPRODUCT(--($B$2:$B$313=B27),--(AM27&lt;$AM$2:$AM$313))+1)</f>
        <v>7</v>
      </c>
      <c r="AS27" s="1">
        <f t="array" ref="AS27">IF($B27="","",SUMPRODUCT(--($B$2:$B$313=B27),--(AP27&lt;$AP$2:$AP$313))+1)</f>
        <v>7</v>
      </c>
      <c r="AT27" s="1">
        <f t="array" ref="AT27">IF($B27="","",SUMPRODUCT(--($B$2:$B$313=B27),--(AQ27&lt;$AQ$2:$AQ$313))+1)</f>
        <v>4</v>
      </c>
      <c r="AU27" s="1">
        <f t="shared" si="30"/>
        <v>2.6000000000000001E-8</v>
      </c>
      <c r="AV27" s="1">
        <f t="shared" ca="1" si="31"/>
        <v>7.0704026000000017E-2</v>
      </c>
      <c r="AW27" s="1" t="str">
        <f t="shared" si="4"/>
        <v/>
      </c>
      <c r="AX27" s="1" t="str">
        <f t="shared" si="32"/>
        <v/>
      </c>
      <c r="AY27" s="8">
        <f t="shared" ca="1" si="33"/>
        <v>7.0704026000000017E-2</v>
      </c>
      <c r="AZ27" s="1" cm="1">
        <f t="array" aca="1" ref="AZ27" ca="1">IF($B27="","",SUMPRODUCT(--($B$2:$B$313=B27),--(AY27&gt;$AY$2:$AY$313))+1)</f>
        <v>7</v>
      </c>
      <c r="BA27" s="1" t="str">
        <f t="shared" si="34"/>
        <v>K2024GP02_8_1</v>
      </c>
      <c r="BB27" s="1" t="str">
        <f t="shared" si="35"/>
        <v>K2024GP02_8_2</v>
      </c>
      <c r="BC27" s="1">
        <f t="shared" si="36"/>
        <v>0</v>
      </c>
      <c r="BD27" s="1">
        <f t="shared" si="37"/>
        <v>0</v>
      </c>
      <c r="BE27" s="1">
        <f t="shared" si="38"/>
        <v>1</v>
      </c>
      <c r="BF27" s="1">
        <f t="shared" si="39"/>
        <v>170</v>
      </c>
      <c r="BG27" s="1">
        <f t="shared" si="40"/>
        <v>156</v>
      </c>
      <c r="BH27" s="1">
        <f t="shared" si="41"/>
        <v>6</v>
      </c>
      <c r="BI27" s="1">
        <f t="shared" si="42"/>
        <v>2</v>
      </c>
      <c r="BJ27" s="1">
        <f t="shared" si="43"/>
        <v>6.0199999999999997E-2</v>
      </c>
      <c r="BK27" s="1">
        <f t="shared" si="44"/>
        <v>0</v>
      </c>
      <c r="BL27" s="1">
        <f t="shared" si="45"/>
        <v>9.8999999999999994E-5</v>
      </c>
      <c r="BM27" s="1">
        <f t="shared" si="46"/>
        <v>6.0298999999999998E-2</v>
      </c>
      <c r="BN27" s="1">
        <f t="shared" si="47"/>
        <v>0</v>
      </c>
      <c r="BO27" s="1">
        <f t="shared" si="5"/>
        <v>6</v>
      </c>
      <c r="BP27" s="1">
        <f t="shared" si="6"/>
        <v>0</v>
      </c>
      <c r="BQ27" s="1" cm="1">
        <f t="array" ref="BQ27">IF(I27="","",IF(BP27=1,"",IF(L27=0,"",IF(B27=1,"",_xlfn.XLOOKUP(1,($I$2:$I$313=$I27)*($B$2:$B$313=($B27-1)),$BO$2:$BO$313)))))</f>
        <v>11</v>
      </c>
      <c r="BR27" s="1">
        <f>IF(I27="","",IF($B27=1,_xlfn.MINIFS($BO$2:$BO$313,$B$2:$B$313,$B27),_xlfn.MINIFS(BQ$2:$BQ$313,$B$2:$B$313,$B27)))</f>
        <v>1</v>
      </c>
      <c r="BS27" s="1">
        <f t="shared" si="48"/>
        <v>3</v>
      </c>
      <c r="BT27" s="1" t="str" cm="1">
        <f t="array" ref="BT27">IF($I27="","",IF($B27=1,_xlfn.XLOOKUP(1,($B$2:$B$313=$B27)*($BO$2:$BO$313=BR27),Data!$I$2:$I$313,,0),_xlfn.XLOOKUP(1,($B$2:$B$313=$B27)*($BQ$2:$BQ$313=$BR27),$I$2:$I$313,,0)))</f>
        <v>Kaleva Latvala</v>
      </c>
      <c r="BU27" s="1" t="str" cm="1">
        <f t="array" ref="BU27">IF(I27="","",IF($B27=1,_xlfn.XLOOKUP(1,($B$2:$B$313=$B27)*($BO$2:$BO$313=$BS27),$I$2:$I$313,,0),_xlfn.XLOOKUP(1,($B$2:$B$313=$B27)*($BQ$2:$BQ$313=$BS27),$I$2:$I$313,,0)))</f>
        <v>Ossi Oksa</v>
      </c>
      <c r="BV27" s="1" t="str" cm="1">
        <f t="array" ref="BV27">IF($I27="","",IF($B27=1,"",IF($B27=2,_xlfn.XLOOKUP(1,($B$2:$B$313=1)*($BO$2:$BO$313=1),$I$2:$I$313,,0),_xlfn.XLOOKUP($B27-1,$B$2:$B$313,$CH$2:$CH$313,,0))))</f>
        <v>Kaleva Latvala</v>
      </c>
      <c r="BW27" s="1" t="str" cm="1">
        <f t="array" ref="BW27">IF($I27="","",IF($B27=1,"",IF(_xlfn.XLOOKUP(1,($B$2:$B$313=$B27)*($I$2:$I$313=$BV27),$BQ$2:$BQ$313,,0)="","NOK","OK")))</f>
        <v>OK</v>
      </c>
      <c r="BX27" s="1" t="str">
        <f t="shared" si="49"/>
        <v>Kaleva Latvala</v>
      </c>
      <c r="BY27" s="1" t="str">
        <f t="shared" si="50"/>
        <v>Ossi Oksa</v>
      </c>
      <c r="BZ27" s="1">
        <f t="shared" si="51"/>
        <v>136</v>
      </c>
      <c r="CA27" s="1">
        <f t="shared" si="52"/>
        <v>125</v>
      </c>
      <c r="CB27" s="1">
        <f t="shared" si="53"/>
        <v>9.8999999999999994E-5</v>
      </c>
      <c r="CC27" s="1">
        <f t="shared" si="54"/>
        <v>182</v>
      </c>
      <c r="CD27" s="1">
        <f t="shared" si="55"/>
        <v>126</v>
      </c>
      <c r="CE27" s="1">
        <f t="shared" si="56"/>
        <v>9.8999999999999994E-5</v>
      </c>
      <c r="CF27" s="1" t="str">
        <f t="shared" si="57"/>
        <v>Kaleva Latvala (P)</v>
      </c>
      <c r="CG27" s="1" t="str">
        <f t="shared" si="58"/>
        <v>Ossi Oksa (3)</v>
      </c>
      <c r="CH27" s="1" t="str">
        <f t="shared" si="59"/>
        <v>Ossi Oksa</v>
      </c>
      <c r="CI27" s="1">
        <f t="shared" si="60"/>
        <v>0</v>
      </c>
      <c r="CJ27" s="1" t="str">
        <f ca="1">IF(B27="","",IF(SUM(AI27:AK27)&gt;0,"+SP","")&amp;IF(CI27&gt;0,"+KK","")&amp;IF(AB27&gt;0,"+KGP1","")&amp;IF(AC27&gt;0,"+KGP2","")&amp;IF(AG27&lt;0,"-KGP1","")&amp;IF(AH27&lt;0,"-KGP2",""))</f>
        <v>+SP</v>
      </c>
      <c r="CO27" s="1">
        <v>10</v>
      </c>
      <c r="CP27" s="3">
        <v>1</v>
      </c>
      <c r="CQ27" s="6">
        <f ca="1">SUM($CP27:OFFSET($CP27,CQ$17-1,0))/CQ$17</f>
        <v>0.5</v>
      </c>
      <c r="CR27" s="6">
        <f ca="1">SUM($CP27:OFFSET($CP27,CR$17-1,0))/CR$17</f>
        <v>0.33333333333333331</v>
      </c>
      <c r="CS27" s="6">
        <f ca="1">SUM($CP27:OFFSET($CP27,CS$17-1,0))/CS$17</f>
        <v>0.25</v>
      </c>
      <c r="CT27" s="6">
        <f ca="1">SUM($CP27:OFFSET($CP27,CT$17-1,0))/CT$17</f>
        <v>0.2</v>
      </c>
      <c r="CU27" s="6">
        <f ca="1">SUM($CP27:OFFSET($CP27,CU$17-1,0))/CU$17</f>
        <v>0.16666666666666666</v>
      </c>
      <c r="CV27" s="6">
        <f ca="1">SUM($CP27:OFFSET($CP27,CV$17-1,0))/CV$17</f>
        <v>0.14285714285714285</v>
      </c>
      <c r="CW27" s="6">
        <f ca="1">SUM($CP27:OFFSET($CP27,CW$17-1,0))/CW$17</f>
        <v>0.125</v>
      </c>
      <c r="CX27" s="6">
        <f ca="1">SUM($CP27:OFFSET($CP27,CX$17-1,0))/CX$17</f>
        <v>0.1111111111111111</v>
      </c>
      <c r="CY27" s="6">
        <f ca="1">SUM($CP27:OFFSET($CP27,CY$17-1,0))/CY$17</f>
        <v>0.1</v>
      </c>
      <c r="CZ27" s="6">
        <f ca="1">SUM($CP27:OFFSET($CP27,CZ$17-1,0))/CZ$17</f>
        <v>9.0909090909090912E-2</v>
      </c>
      <c r="DA27" s="6">
        <f ca="1">SUM($CP27:OFFSET($CP27,DA$17-1,0))/DA$17</f>
        <v>8.3333333333333329E-2</v>
      </c>
      <c r="DB27" s="6">
        <f ca="1">SUM($CP27:OFFSET($CP27,DB$17-1,0))/DB$17</f>
        <v>7.6923076923076927E-2</v>
      </c>
      <c r="DC27" s="6">
        <f ca="1">SUM($CP27:OFFSET($CP27,DC$17-1,0))/DC$17</f>
        <v>7.1428571428571425E-2</v>
      </c>
      <c r="DD27" s="6">
        <f ca="1">SUM($CP27:OFFSET($CP27,DD$17-1,0))/DD$17</f>
        <v>6.6666666666666666E-2</v>
      </c>
      <c r="DE27" s="6">
        <f ca="1">SUM($CP27:OFFSET($CP27,DE$17-1,0))/DE$17</f>
        <v>0.75</v>
      </c>
      <c r="DF27" s="6">
        <f ca="1">SUM($CP27:OFFSET($CP27,DF$17-1,0))/DF$17</f>
        <v>0.70588235294117652</v>
      </c>
      <c r="DG27" s="6">
        <f ca="1">SUM($CP27:OFFSET($CP27,DG$17-1,0))/DG$17</f>
        <v>0.66666666666666663</v>
      </c>
      <c r="DH27" s="6">
        <f ca="1">SUM($CP27:OFFSET($CP27,DH$17-1,0))/DH$17</f>
        <v>0.63157894736842102</v>
      </c>
      <c r="DI27" s="6">
        <f ca="1">SUM($CP27:OFFSET($CP27,DI$17-1,0))/DI$17</f>
        <v>0.6</v>
      </c>
      <c r="DJ27" s="6">
        <f ca="1">SUM($CP27:OFFSET($CP27,DJ$17-1,0))/DJ$17</f>
        <v>0.5714285714285714</v>
      </c>
      <c r="DK27" s="6">
        <f ca="1">SUM($CP27:OFFSET($CP27,DK$17-1,0))/DK$17</f>
        <v>0.54545454545454541</v>
      </c>
      <c r="DL27" s="6">
        <f ca="1">SUM($CP27:OFFSET($CP27,DL$17-1,0))/DL$17</f>
        <v>0.52173913043478259</v>
      </c>
      <c r="DM27" s="6">
        <f ca="1">SUM($CP27:OFFSET($CP27,DM$17-1,0))/DM$17</f>
        <v>0.5</v>
      </c>
    </row>
    <row r="28" spans="1:117" x14ac:dyDescent="0.25">
      <c r="A28" s="1">
        <f>IFERROR(IF(ROW(A27)=1,1,IF(1+A27&lt;=$CP$1*$CP$2,1+A27,"")),"")</f>
        <v>27</v>
      </c>
      <c r="B28" s="1">
        <f>IF($I28="","",IF(ROW(B27)=1,1,ROUNDUP(A28/$CP$2,0)))</f>
        <v>2</v>
      </c>
      <c r="C28" s="4">
        <f t="shared" si="7"/>
        <v>45585</v>
      </c>
      <c r="D28" s="4" t="str">
        <f t="shared" si="0"/>
        <v>Raision keilahalli</v>
      </c>
      <c r="E28" s="1">
        <f>IF($B28="","",COUNTIF($B$2:B28,B28))</f>
        <v>9</v>
      </c>
      <c r="F28" s="1" t="str">
        <f t="shared" si="1"/>
        <v>K2024GP02</v>
      </c>
      <c r="G28" s="1" t="str">
        <f t="shared" si="8"/>
        <v>K2024GP02_9</v>
      </c>
      <c r="H28" s="1">
        <f t="shared" si="9"/>
        <v>1</v>
      </c>
      <c r="I28" s="3" t="s">
        <v>136</v>
      </c>
      <c r="J28" s="3">
        <v>132</v>
      </c>
      <c r="K28" s="3">
        <v>165</v>
      </c>
      <c r="L28" s="1">
        <f t="shared" si="10"/>
        <v>297</v>
      </c>
      <c r="M28" s="1">
        <f t="shared" si="11"/>
        <v>1</v>
      </c>
      <c r="N28" s="1">
        <f t="shared" si="12"/>
        <v>8</v>
      </c>
      <c r="O28" s="1">
        <f t="shared" si="13"/>
        <v>297</v>
      </c>
      <c r="P28" s="1">
        <f t="shared" si="14"/>
        <v>36</v>
      </c>
      <c r="Q28" s="1">
        <f t="array" ref="Q28">IF($B28="","",IF(MAX(IF(B28=$B$2:$B$313,$L$2:$L$313))-L28=0,"",MAX(IF(B28=$B$2:$B$313,$L$2:$L$313))-L28))</f>
        <v>36</v>
      </c>
      <c r="R28" s="1">
        <f t="array" ref="R28">IF($B28="","",SUMPRODUCT(--($B$2:$B$313=B28),--(L28&lt;$L$2:$L$313))+1)</f>
        <v>8</v>
      </c>
      <c r="S28" s="1">
        <f t="shared" si="15"/>
        <v>2</v>
      </c>
      <c r="T28" s="1" cm="1">
        <f t="array" ref="T28">IF($B28="","",IF(M28=0,"",SUMPRODUCT(--($B$2:$B$313=B28),--(J28&lt;$J$2:$J$313))+1))</f>
        <v>7</v>
      </c>
      <c r="U28" s="1">
        <f t="shared" si="16"/>
        <v>1</v>
      </c>
      <c r="V28" s="1" t="str">
        <f t="shared" si="17"/>
        <v>0208</v>
      </c>
      <c r="W28" s="1">
        <f t="shared" si="18"/>
        <v>1</v>
      </c>
      <c r="X28" s="1">
        <f t="shared" si="2"/>
        <v>0</v>
      </c>
      <c r="Y28" s="1">
        <f>IF($B28="","",MAX(_xlfn.MAXIFS($J$2:J28,$I$2:I28,$I28),_xlfn.MAXIFS($K$2:K28,$I$2:I28,$I28)))</f>
        <v>165</v>
      </c>
      <c r="Z28" s="1">
        <f t="shared" si="3"/>
        <v>193</v>
      </c>
      <c r="AA28" s="1">
        <f t="shared" si="19"/>
        <v>0</v>
      </c>
      <c r="AB28" s="1">
        <f t="shared" si="20"/>
        <v>0</v>
      </c>
      <c r="AC28" s="1">
        <f t="shared" si="21"/>
        <v>0</v>
      </c>
      <c r="AD28" s="1">
        <f>IF($B28="","",MIN(_xlfn.MINIFS($J$2:J28,$I$2:I28,$I28),_xlfn.MINIFS($K$2:K28,$I$2:I28,$I28)))</f>
        <v>132</v>
      </c>
      <c r="AE28" s="1">
        <f t="shared" si="22"/>
        <v>91</v>
      </c>
      <c r="AF28" s="1">
        <f t="shared" si="23"/>
        <v>0</v>
      </c>
      <c r="AG28" s="1">
        <f t="shared" si="24"/>
        <v>0</v>
      </c>
      <c r="AH28" s="1">
        <f t="shared" si="25"/>
        <v>0</v>
      </c>
      <c r="AI28" s="1">
        <f ca="1">IF($B28="","",IF($K28="",0,OFFSET($CO$17,R28,W28)))</f>
        <v>3</v>
      </c>
      <c r="AJ28" s="1">
        <f t="shared" ca="1" si="26"/>
        <v>0</v>
      </c>
      <c r="AK28" s="1">
        <f ca="1">IF(AJ28="","",IF(AJ28=0,0,IF(W28=1,0,SUM(OFFSET($CO$17,N28,1):OFFSET($CO$17,N28+W28-2,1))/W28)))</f>
        <v>0</v>
      </c>
      <c r="AL28" s="1">
        <f t="shared" ca="1" si="27"/>
        <v>3</v>
      </c>
      <c r="AM28" s="1">
        <f ca="1">IF($B28="","",SUMIFS($AL$2:AL28,$I$2:I28,$I28))</f>
        <v>3</v>
      </c>
      <c r="AN28" s="1">
        <f t="shared" si="28"/>
        <v>8.0000269999999993</v>
      </c>
      <c r="AO28" s="1">
        <f>IFERROR(IF($B28="","",AVERAGEIFS($L$2:L28,$I$2:I28,I28,$L$2:L28,"&lt;&gt;0")),0)</f>
        <v>297</v>
      </c>
      <c r="AP28" s="1">
        <f t="shared" si="29"/>
        <v>148.5</v>
      </c>
      <c r="AQ28" s="1">
        <f>IF($B28="","",COUNTIFS($R$2:R28,1,$I$2:I28,$I28))</f>
        <v>0</v>
      </c>
      <c r="AR28" s="1">
        <f t="array" aca="1" ref="AR28" ca="1">IF($B28="","",SUMPRODUCT(--($B$2:$B$313=B28),--(AM28&lt;$AM$2:$AM$313))+1)</f>
        <v>12</v>
      </c>
      <c r="AS28" s="1">
        <f t="array" ref="AS28">IF($B28="","",SUMPRODUCT(--($B$2:$B$313=B28),--(AP28&lt;$AP$2:$AP$313))+1)</f>
        <v>3</v>
      </c>
      <c r="AT28" s="1">
        <f t="array" ref="AT28">IF($B28="","",SUMPRODUCT(--($B$2:$B$313=B28),--(AQ28&lt;$AQ$2:$AQ$313))+1)</f>
        <v>4</v>
      </c>
      <c r="AU28" s="1">
        <f t="shared" si="30"/>
        <v>2.7E-8</v>
      </c>
      <c r="AV28" s="1">
        <f t="shared" ca="1" si="31"/>
        <v>0.12030402699999999</v>
      </c>
      <c r="AW28" s="1" t="str">
        <f t="shared" si="4"/>
        <v/>
      </c>
      <c r="AX28" s="1" t="str">
        <f t="shared" si="32"/>
        <v/>
      </c>
      <c r="AY28" s="8">
        <f t="shared" ca="1" si="33"/>
        <v>0.12030402699999999</v>
      </c>
      <c r="AZ28" s="1" cm="1">
        <f t="array" aca="1" ref="AZ28" ca="1">IF($B28="","",SUMPRODUCT(--($B$2:$B$313=B28),--(AY28&gt;$AY$2:$AY$313))+1)</f>
        <v>12</v>
      </c>
      <c r="BA28" s="1" t="str">
        <f t="shared" si="34"/>
        <v>K2024GP02_9_1</v>
      </c>
      <c r="BB28" s="1" t="str">
        <f t="shared" si="35"/>
        <v>K2024GP02_9_2</v>
      </c>
      <c r="BC28" s="1">
        <f t="shared" si="36"/>
        <v>0</v>
      </c>
      <c r="BD28" s="1">
        <f t="shared" si="37"/>
        <v>0</v>
      </c>
      <c r="BE28" s="1">
        <f t="shared" si="38"/>
        <v>1</v>
      </c>
      <c r="BF28" s="1">
        <f t="shared" si="39"/>
        <v>165</v>
      </c>
      <c r="BG28" s="1">
        <f t="shared" si="40"/>
        <v>132</v>
      </c>
      <c r="BH28" s="1">
        <f t="shared" si="41"/>
        <v>8</v>
      </c>
      <c r="BI28" s="1">
        <f t="shared" si="42"/>
        <v>6</v>
      </c>
      <c r="BJ28" s="1">
        <f t="shared" si="43"/>
        <v>8.0600000000000005E-2</v>
      </c>
      <c r="BK28" s="1">
        <f t="shared" si="44"/>
        <v>0</v>
      </c>
      <c r="BL28" s="1">
        <f t="shared" si="45"/>
        <v>9.8999999999999994E-5</v>
      </c>
      <c r="BM28" s="1">
        <f t="shared" si="46"/>
        <v>8.0699000000000007E-2</v>
      </c>
      <c r="BN28" s="1">
        <f t="shared" si="47"/>
        <v>0</v>
      </c>
      <c r="BO28" s="1">
        <f t="shared" si="5"/>
        <v>8</v>
      </c>
      <c r="BP28" s="1">
        <f t="shared" si="6"/>
        <v>0</v>
      </c>
      <c r="BQ28" s="1" cm="1">
        <f t="array" ref="BQ28">IF(I28="","",IF(BP28=1,"",IF(L28=0,"",IF(B28=1,"",_xlfn.XLOOKUP(1,($I$2:$I$313=$I28)*($B$2:$B$313=($B28-1)),$BO$2:$BO$313)))))</f>
        <v>16</v>
      </c>
      <c r="BR28" s="1">
        <f>IF(I28="","",IF($B28=1,_xlfn.MINIFS($BO$2:$BO$313,$B$2:$B$313,$B28),_xlfn.MINIFS(BQ$2:$BQ$313,$B$2:$B$313,$B28)))</f>
        <v>1</v>
      </c>
      <c r="BS28" s="1">
        <f t="shared" si="48"/>
        <v>3</v>
      </c>
      <c r="BT28" s="1" t="str" cm="1">
        <f t="array" ref="BT28">IF($I28="","",IF($B28=1,_xlfn.XLOOKUP(1,($B$2:$B$313=$B28)*($BO$2:$BO$313=BR28),Data!$I$2:$I$313,,0),_xlfn.XLOOKUP(1,($B$2:$B$313=$B28)*($BQ$2:$BQ$313=$BR28),$I$2:$I$313,,0)))</f>
        <v>Kaleva Latvala</v>
      </c>
      <c r="BU28" s="1" t="str" cm="1">
        <f t="array" ref="BU28">IF(I28="","",IF($B28=1,_xlfn.XLOOKUP(1,($B$2:$B$313=$B28)*($BO$2:$BO$313=$BS28),$I$2:$I$313,,0),_xlfn.XLOOKUP(1,($B$2:$B$313=$B28)*($BQ$2:$BQ$313=$BS28),$I$2:$I$313,,0)))</f>
        <v>Ossi Oksa</v>
      </c>
      <c r="BV28" s="1" t="str" cm="1">
        <f t="array" ref="BV28">IF($I28="","",IF($B28=1,"",IF($B28=2,_xlfn.XLOOKUP(1,($B$2:$B$313=1)*($BO$2:$BO$313=1),$I$2:$I$313,,0),_xlfn.XLOOKUP($B28-1,$B$2:$B$313,$CH$2:$CH$313,,0))))</f>
        <v>Kaleva Latvala</v>
      </c>
      <c r="BW28" s="1" t="str" cm="1">
        <f t="array" ref="BW28">IF($I28="","",IF($B28=1,"",IF(_xlfn.XLOOKUP(1,($B$2:$B$313=$B28)*($I$2:$I$313=$BV28),$BQ$2:$BQ$313,,0)="","NOK","OK")))</f>
        <v>OK</v>
      </c>
      <c r="BX28" s="1" t="str">
        <f t="shared" si="49"/>
        <v>Kaleva Latvala</v>
      </c>
      <c r="BY28" s="1" t="str">
        <f t="shared" si="50"/>
        <v>Ossi Oksa</v>
      </c>
      <c r="BZ28" s="1">
        <f t="shared" si="51"/>
        <v>136</v>
      </c>
      <c r="CA28" s="1">
        <f t="shared" si="52"/>
        <v>125</v>
      </c>
      <c r="CB28" s="1">
        <f t="shared" si="53"/>
        <v>9.8999999999999994E-5</v>
      </c>
      <c r="CC28" s="1">
        <f t="shared" si="54"/>
        <v>182</v>
      </c>
      <c r="CD28" s="1">
        <f t="shared" si="55"/>
        <v>126</v>
      </c>
      <c r="CE28" s="1">
        <f t="shared" si="56"/>
        <v>9.8999999999999994E-5</v>
      </c>
      <c r="CF28" s="1" t="str">
        <f t="shared" si="57"/>
        <v>Kaleva Latvala (P)</v>
      </c>
      <c r="CG28" s="1" t="str">
        <f t="shared" si="58"/>
        <v>Ossi Oksa (3)</v>
      </c>
      <c r="CH28" s="1" t="str">
        <f t="shared" si="59"/>
        <v>Ossi Oksa</v>
      </c>
      <c r="CI28" s="1">
        <f t="shared" si="60"/>
        <v>0</v>
      </c>
      <c r="CJ28" s="1" t="str">
        <f ca="1">IF(B28="","",IF(SUM(AI28:AK28)&gt;0,"+SP","")&amp;IF(CI28&gt;0,"+KK","")&amp;IF(AB28&gt;0,"+KGP1","")&amp;IF(AC28&gt;0,"+KGP2","")&amp;IF(AG28&lt;0,"-KGP1","")&amp;IF(AH28&lt;0,"-KGP2",""))</f>
        <v>+SP</v>
      </c>
      <c r="CO28" s="1">
        <v>11</v>
      </c>
      <c r="CP28" s="3">
        <v>0</v>
      </c>
      <c r="CQ28" s="6">
        <f ca="1">SUM($CP28:OFFSET($CP28,CQ$17-1,0))/CQ$17</f>
        <v>0</v>
      </c>
      <c r="CR28" s="6">
        <f ca="1">SUM($CP28:OFFSET($CP28,CR$17-1,0))/CR$17</f>
        <v>0</v>
      </c>
      <c r="CS28" s="6">
        <f ca="1">SUM($CP28:OFFSET($CP28,CS$17-1,0))/CS$17</f>
        <v>0</v>
      </c>
      <c r="CT28" s="6">
        <f ca="1">SUM($CP28:OFFSET($CP28,CT$17-1,0))/CT$17</f>
        <v>0</v>
      </c>
      <c r="CU28" s="6">
        <f ca="1">SUM($CP28:OFFSET($CP28,CU$17-1,0))/CU$17</f>
        <v>0</v>
      </c>
      <c r="CV28" s="6">
        <f ca="1">SUM($CP28:OFFSET($CP28,CV$17-1,0))/CV$17</f>
        <v>0</v>
      </c>
      <c r="CW28" s="6">
        <f ca="1">SUM($CP28:OFFSET($CP28,CW$17-1,0))/CW$17</f>
        <v>0</v>
      </c>
      <c r="CX28" s="6">
        <f ca="1">SUM($CP28:OFFSET($CP28,CX$17-1,0))/CX$17</f>
        <v>0</v>
      </c>
      <c r="CY28" s="6">
        <f ca="1">SUM($CP28:OFFSET($CP28,CY$17-1,0))/CY$17</f>
        <v>0</v>
      </c>
      <c r="CZ28" s="6">
        <f ca="1">SUM($CP28:OFFSET($CP28,CZ$17-1,0))/CZ$17</f>
        <v>0</v>
      </c>
      <c r="DA28" s="6">
        <f ca="1">SUM($CP28:OFFSET($CP28,DA$17-1,0))/DA$17</f>
        <v>0</v>
      </c>
      <c r="DB28" s="6">
        <f ca="1">SUM($CP28:OFFSET($CP28,DB$17-1,0))/DB$17</f>
        <v>0</v>
      </c>
      <c r="DC28" s="6">
        <f ca="1">SUM($CP28:OFFSET($CP28,DC$17-1,0))/DC$17</f>
        <v>0</v>
      </c>
      <c r="DD28" s="6">
        <f ca="1">SUM($CP28:OFFSET($CP28,DD$17-1,0))/DD$17</f>
        <v>0.73333333333333328</v>
      </c>
      <c r="DE28" s="6">
        <f ca="1">SUM($CP28:OFFSET($CP28,DE$17-1,0))/DE$17</f>
        <v>0.6875</v>
      </c>
      <c r="DF28" s="6">
        <f ca="1">SUM($CP28:OFFSET($CP28,DF$17-1,0))/DF$17</f>
        <v>0.6470588235294118</v>
      </c>
      <c r="DG28" s="6">
        <f ca="1">SUM($CP28:OFFSET($CP28,DG$17-1,0))/DG$17</f>
        <v>0.61111111111111116</v>
      </c>
      <c r="DH28" s="6">
        <f ca="1">SUM($CP28:OFFSET($CP28,DH$17-1,0))/DH$17</f>
        <v>0.57894736842105265</v>
      </c>
      <c r="DI28" s="6">
        <f ca="1">SUM($CP28:OFFSET($CP28,DI$17-1,0))/DI$17</f>
        <v>0.55000000000000004</v>
      </c>
      <c r="DJ28" s="6">
        <f ca="1">SUM($CP28:OFFSET($CP28,DJ$17-1,0))/DJ$17</f>
        <v>0.52380952380952384</v>
      </c>
      <c r="DK28" s="6">
        <f ca="1">SUM($CP28:OFFSET($CP28,DK$17-1,0))/DK$17</f>
        <v>0.5</v>
      </c>
      <c r="DL28" s="6">
        <f ca="1">SUM($CP28:OFFSET($CP28,DL$17-1,0))/DL$17</f>
        <v>0.47826086956521741</v>
      </c>
      <c r="DM28" s="6">
        <f ca="1">SUM($CP28:OFFSET($CP28,DM$17-1,0))/DM$17</f>
        <v>0.45833333333333331</v>
      </c>
    </row>
    <row r="29" spans="1:117" x14ac:dyDescent="0.25">
      <c r="A29" s="1">
        <f>IFERROR(IF(ROW(A28)=1,1,IF(1+A28&lt;=$CP$1*$CP$2,1+A28,"")),"")</f>
        <v>28</v>
      </c>
      <c r="B29" s="1">
        <f>IF($I29="","",IF(ROW(B28)=1,1,ROUNDUP(A29/$CP$2,0)))</f>
        <v>2</v>
      </c>
      <c r="C29" s="4">
        <f t="shared" si="7"/>
        <v>45585</v>
      </c>
      <c r="D29" s="4" t="str">
        <f t="shared" si="0"/>
        <v>Raision keilahalli</v>
      </c>
      <c r="E29" s="1">
        <f>IF($B29="","",COUNTIF($B$2:B29,B29))</f>
        <v>10</v>
      </c>
      <c r="F29" s="1" t="str">
        <f t="shared" si="1"/>
        <v>K2024GP02</v>
      </c>
      <c r="G29" s="1" t="str">
        <f t="shared" si="8"/>
        <v>K2024GP02_10</v>
      </c>
      <c r="H29" s="1">
        <f t="shared" si="9"/>
        <v>1</v>
      </c>
      <c r="I29" s="3" t="s">
        <v>236</v>
      </c>
      <c r="J29" s="3">
        <v>110</v>
      </c>
      <c r="K29" s="3">
        <v>107</v>
      </c>
      <c r="L29" s="1">
        <f t="shared" si="10"/>
        <v>217</v>
      </c>
      <c r="M29" s="1">
        <f t="shared" si="11"/>
        <v>1</v>
      </c>
      <c r="N29" s="1">
        <f t="shared" si="12"/>
        <v>15</v>
      </c>
      <c r="O29" s="1">
        <f t="shared" si="13"/>
        <v>217</v>
      </c>
      <c r="P29" s="1">
        <f t="shared" si="14"/>
        <v>116</v>
      </c>
      <c r="Q29" s="1">
        <f t="array" ref="Q29">IF($B29="","",IF(MAX(IF(B29=$B$2:$B$313,$L$2:$L$313))-L29=0,"",MAX(IF(B29=$B$2:$B$313,$L$2:$L$313))-L29))</f>
        <v>116</v>
      </c>
      <c r="R29" s="1">
        <f t="array" ref="R29">IF($B29="","",SUMPRODUCT(--($B$2:$B$313=B29),--(L29&lt;$L$2:$L$313))+1)</f>
        <v>15</v>
      </c>
      <c r="S29" s="1">
        <f t="shared" si="15"/>
        <v>2</v>
      </c>
      <c r="T29" s="1" cm="1">
        <f t="array" ref="T29">IF($B29="","",IF(M29=0,"",SUMPRODUCT(--($B$2:$B$313=B29),--(J29&lt;$J$2:$J$313))+1))</f>
        <v>12</v>
      </c>
      <c r="U29" s="1">
        <f t="shared" si="16"/>
        <v>3</v>
      </c>
      <c r="V29" s="1" t="str">
        <f t="shared" si="17"/>
        <v>0215</v>
      </c>
      <c r="W29" s="1">
        <f t="shared" si="18"/>
        <v>1</v>
      </c>
      <c r="X29" s="1">
        <f t="shared" si="2"/>
        <v>0</v>
      </c>
      <c r="Y29" s="1">
        <f>IF($B29="","",MAX(_xlfn.MAXIFS($J$2:J29,$I$2:I29,$I29),_xlfn.MAXIFS($K$2:K29,$I$2:I29,$I29)))</f>
        <v>110</v>
      </c>
      <c r="Z29" s="1">
        <f t="shared" si="3"/>
        <v>193</v>
      </c>
      <c r="AA29" s="1">
        <f t="shared" si="19"/>
        <v>0</v>
      </c>
      <c r="AB29" s="1">
        <f t="shared" si="20"/>
        <v>0</v>
      </c>
      <c r="AC29" s="1">
        <f t="shared" si="21"/>
        <v>0</v>
      </c>
      <c r="AD29" s="1">
        <f>IF($B29="","",MIN(_xlfn.MINIFS($J$2:J29,$I$2:I29,$I29),_xlfn.MINIFS($K$2:K29,$I$2:I29,$I29)))</f>
        <v>73</v>
      </c>
      <c r="AE29" s="1">
        <f t="shared" si="22"/>
        <v>91</v>
      </c>
      <c r="AF29" s="1">
        <f t="shared" si="23"/>
        <v>0</v>
      </c>
      <c r="AG29" s="1">
        <f t="shared" si="24"/>
        <v>0</v>
      </c>
      <c r="AH29" s="1">
        <f t="shared" si="25"/>
        <v>0</v>
      </c>
      <c r="AI29" s="1">
        <f ca="1">IF($B29="","",IF($K29="",0,OFFSET($CO$17,R29,W29)))</f>
        <v>0</v>
      </c>
      <c r="AJ29" s="1">
        <f t="shared" ca="1" si="26"/>
        <v>0</v>
      </c>
      <c r="AK29" s="1">
        <f ca="1">IF(AJ29="","",IF(AJ29=0,0,IF(W29=1,0,SUM(OFFSET($CO$17,N29,1):OFFSET($CO$17,N29+W29-2,1))/W29)))</f>
        <v>0</v>
      </c>
      <c r="AL29" s="1">
        <f t="shared" ca="1" si="27"/>
        <v>0</v>
      </c>
      <c r="AM29" s="1">
        <f ca="1">IF($B29="","",SUMIFS($AL$2:AL29,$I$2:I29,$I29))</f>
        <v>0</v>
      </c>
      <c r="AN29" s="1">
        <f t="shared" si="28"/>
        <v>15.000028</v>
      </c>
      <c r="AO29" s="1">
        <f>IFERROR(IF($B29="","",AVERAGEIFS($L$2:L29,$I$2:I29,I29,$L$2:L29,"&lt;&gt;0")),0)</f>
        <v>198.5</v>
      </c>
      <c r="AP29" s="1">
        <f t="shared" si="29"/>
        <v>99.25</v>
      </c>
      <c r="AQ29" s="1">
        <f>IF($B29="","",COUNTIFS($R$2:R29,1,$I$2:I29,$I29))</f>
        <v>0</v>
      </c>
      <c r="AR29" s="1">
        <f t="array" aca="1" ref="AR29" ca="1">IF($B29="","",SUMPRODUCT(--($B$2:$B$313=B29),--(AM29&lt;$AM$2:$AM$313))+1)</f>
        <v>15</v>
      </c>
      <c r="AS29" s="1">
        <f t="array" ref="AS29">IF($B29="","",SUMPRODUCT(--($B$2:$B$313=B29),--(AP29&lt;$AP$2:$AP$313))+1)</f>
        <v>17</v>
      </c>
      <c r="AT29" s="1">
        <f t="array" ref="AT29">IF($B29="","",SUMPRODUCT(--($B$2:$B$313=B29),--(AQ29&lt;$AQ$2:$AQ$313))+1)</f>
        <v>4</v>
      </c>
      <c r="AU29" s="1">
        <f t="shared" si="30"/>
        <v>2.7999999999999999E-8</v>
      </c>
      <c r="AV29" s="1">
        <f t="shared" ca="1" si="31"/>
        <v>0.15170402800000002</v>
      </c>
      <c r="AW29" s="1" t="str">
        <f t="shared" si="4"/>
        <v/>
      </c>
      <c r="AX29" s="1" t="str">
        <f t="shared" si="32"/>
        <v/>
      </c>
      <c r="AY29" s="8">
        <f t="shared" ca="1" si="33"/>
        <v>0.15170402800000002</v>
      </c>
      <c r="AZ29" s="1" cm="1">
        <f t="array" aca="1" ref="AZ29" ca="1">IF($B29="","",SUMPRODUCT(--($B$2:$B$313=B29),--(AY29&gt;$AY$2:$AY$313))+1)</f>
        <v>17</v>
      </c>
      <c r="BA29" s="1" t="str">
        <f t="shared" si="34"/>
        <v>K2024GP02_10_1</v>
      </c>
      <c r="BB29" s="1" t="str">
        <f t="shared" si="35"/>
        <v>K2024GP02_10_2</v>
      </c>
      <c r="BC29" s="1">
        <f t="shared" si="36"/>
        <v>0</v>
      </c>
      <c r="BD29" s="1">
        <f t="shared" si="37"/>
        <v>0</v>
      </c>
      <c r="BE29" s="1">
        <f t="shared" si="38"/>
        <v>1</v>
      </c>
      <c r="BF29" s="1">
        <f t="shared" si="39"/>
        <v>110</v>
      </c>
      <c r="BG29" s="1">
        <f t="shared" si="40"/>
        <v>107</v>
      </c>
      <c r="BH29" s="1">
        <f t="shared" si="41"/>
        <v>15</v>
      </c>
      <c r="BI29" s="1">
        <f t="shared" si="42"/>
        <v>12</v>
      </c>
      <c r="BJ29" s="1">
        <f t="shared" si="43"/>
        <v>0.1512</v>
      </c>
      <c r="BK29" s="1">
        <f t="shared" si="44"/>
        <v>0</v>
      </c>
      <c r="BL29" s="1">
        <f t="shared" si="45"/>
        <v>9.8999999999999994E-5</v>
      </c>
      <c r="BM29" s="1">
        <f t="shared" si="46"/>
        <v>0.15129899999999999</v>
      </c>
      <c r="BN29" s="1">
        <f t="shared" si="47"/>
        <v>0</v>
      </c>
      <c r="BO29" s="1">
        <f t="shared" si="5"/>
        <v>15</v>
      </c>
      <c r="BP29" s="1">
        <f t="shared" si="6"/>
        <v>0</v>
      </c>
      <c r="BQ29" s="1" cm="1">
        <f t="array" ref="BQ29">IF(I29="","",IF(BP29=1,"",IF(L29=0,"",IF(B29=1,"",_xlfn.XLOOKUP(1,($I$2:$I$313=$I29)*($B$2:$B$313=($B29-1)),$BO$2:$BO$313)))))</f>
        <v>10</v>
      </c>
      <c r="BR29" s="1">
        <f>IF(I29="","",IF($B29=1,_xlfn.MINIFS($BO$2:$BO$313,$B$2:$B$313,$B29),_xlfn.MINIFS(BQ$2:$BQ$313,$B$2:$B$313,$B29)))</f>
        <v>1</v>
      </c>
      <c r="BS29" s="1">
        <f t="shared" si="48"/>
        <v>3</v>
      </c>
      <c r="BT29" s="1" t="str" cm="1">
        <f t="array" ref="BT29">IF($I29="","",IF($B29=1,_xlfn.XLOOKUP(1,($B$2:$B$313=$B29)*($BO$2:$BO$313=BR29),Data!$I$2:$I$313,,0),_xlfn.XLOOKUP(1,($B$2:$B$313=$B29)*($BQ$2:$BQ$313=$BR29),$I$2:$I$313,,0)))</f>
        <v>Kaleva Latvala</v>
      </c>
      <c r="BU29" s="1" t="str" cm="1">
        <f t="array" ref="BU29">IF(I29="","",IF($B29=1,_xlfn.XLOOKUP(1,($B$2:$B$313=$B29)*($BO$2:$BO$313=$BS29),$I$2:$I$313,,0),_xlfn.XLOOKUP(1,($B$2:$B$313=$B29)*($BQ$2:$BQ$313=$BS29),$I$2:$I$313,,0)))</f>
        <v>Ossi Oksa</v>
      </c>
      <c r="BV29" s="1" t="str" cm="1">
        <f t="array" ref="BV29">IF($I29="","",IF($B29=1,"",IF($B29=2,_xlfn.XLOOKUP(1,($B$2:$B$313=1)*($BO$2:$BO$313=1),$I$2:$I$313,,0),_xlfn.XLOOKUP($B29-1,$B$2:$B$313,$CH$2:$CH$313,,0))))</f>
        <v>Kaleva Latvala</v>
      </c>
      <c r="BW29" s="1" t="str" cm="1">
        <f t="array" ref="BW29">IF($I29="","",IF($B29=1,"",IF(_xlfn.XLOOKUP(1,($B$2:$B$313=$B29)*($I$2:$I$313=$BV29),$BQ$2:$BQ$313,,0)="","NOK","OK")))</f>
        <v>OK</v>
      </c>
      <c r="BX29" s="1" t="str">
        <f t="shared" si="49"/>
        <v>Kaleva Latvala</v>
      </c>
      <c r="BY29" s="1" t="str">
        <f t="shared" si="50"/>
        <v>Ossi Oksa</v>
      </c>
      <c r="BZ29" s="1">
        <f t="shared" si="51"/>
        <v>136</v>
      </c>
      <c r="CA29" s="1">
        <f t="shared" si="52"/>
        <v>125</v>
      </c>
      <c r="CB29" s="1">
        <f t="shared" si="53"/>
        <v>9.8999999999999994E-5</v>
      </c>
      <c r="CC29" s="1">
        <f t="shared" si="54"/>
        <v>182</v>
      </c>
      <c r="CD29" s="1">
        <f t="shared" si="55"/>
        <v>126</v>
      </c>
      <c r="CE29" s="1">
        <f t="shared" si="56"/>
        <v>9.8999999999999994E-5</v>
      </c>
      <c r="CF29" s="1" t="str">
        <f t="shared" si="57"/>
        <v>Kaleva Latvala (P)</v>
      </c>
      <c r="CG29" s="1" t="str">
        <f t="shared" si="58"/>
        <v>Ossi Oksa (3)</v>
      </c>
      <c r="CH29" s="1" t="str">
        <f t="shared" si="59"/>
        <v>Ossi Oksa</v>
      </c>
      <c r="CI29" s="1">
        <f t="shared" si="60"/>
        <v>0</v>
      </c>
      <c r="CJ29" s="1" t="str">
        <f ca="1">IF(B29="","",IF(SUM(AI29:AK29)&gt;0,"+SP","")&amp;IF(CI29&gt;0,"+KK","")&amp;IF(AB29&gt;0,"+KGP1","")&amp;IF(AC29&gt;0,"+KGP2","")&amp;IF(AG29&lt;0,"-KGP1","")&amp;IF(AH29&lt;0,"-KGP2",""))</f>
        <v/>
      </c>
      <c r="CO29" s="1">
        <v>12</v>
      </c>
      <c r="CP29" s="3">
        <v>0</v>
      </c>
      <c r="CQ29" s="6">
        <f ca="1">SUM($CP29:OFFSET($CP29,CQ$17-1,0))/CQ$17</f>
        <v>0</v>
      </c>
      <c r="CR29" s="6">
        <f ca="1">SUM($CP29:OFFSET($CP29,CR$17-1,0))/CR$17</f>
        <v>0</v>
      </c>
      <c r="CS29" s="6">
        <f ca="1">SUM($CP29:OFFSET($CP29,CS$17-1,0))/CS$17</f>
        <v>0</v>
      </c>
      <c r="CT29" s="6">
        <f ca="1">SUM($CP29:OFFSET($CP29,CT$17-1,0))/CT$17</f>
        <v>0</v>
      </c>
      <c r="CU29" s="6">
        <f ca="1">SUM($CP29:OFFSET($CP29,CU$17-1,0))/CU$17</f>
        <v>0</v>
      </c>
      <c r="CV29" s="6">
        <f ca="1">SUM($CP29:OFFSET($CP29,CV$17-1,0))/CV$17</f>
        <v>0</v>
      </c>
      <c r="CW29" s="6">
        <f ca="1">SUM($CP29:OFFSET($CP29,CW$17-1,0))/CW$17</f>
        <v>0</v>
      </c>
      <c r="CX29" s="6">
        <f ca="1">SUM($CP29:OFFSET($CP29,CX$17-1,0))/CX$17</f>
        <v>0</v>
      </c>
      <c r="CY29" s="6">
        <f ca="1">SUM($CP29:OFFSET($CP29,CY$17-1,0))/CY$17</f>
        <v>0</v>
      </c>
      <c r="CZ29" s="6">
        <f ca="1">SUM($CP29:OFFSET($CP29,CZ$17-1,0))/CZ$17</f>
        <v>0</v>
      </c>
      <c r="DA29" s="6">
        <f ca="1">SUM($CP29:OFFSET($CP29,DA$17-1,0))/DA$17</f>
        <v>0</v>
      </c>
      <c r="DB29" s="6">
        <f ca="1">SUM($CP29:OFFSET($CP29,DB$17-1,0))/DB$17</f>
        <v>0</v>
      </c>
      <c r="DC29" s="6">
        <f ca="1">SUM($CP29:OFFSET($CP29,DC$17-1,0))/DC$17</f>
        <v>0.7857142857142857</v>
      </c>
      <c r="DD29" s="6">
        <f ca="1">SUM($CP29:OFFSET($CP29,DD$17-1,0))/DD$17</f>
        <v>0.73333333333333328</v>
      </c>
      <c r="DE29" s="6">
        <f ca="1">SUM($CP29:OFFSET($CP29,DE$17-1,0))/DE$17</f>
        <v>0.6875</v>
      </c>
      <c r="DF29" s="6">
        <f ca="1">SUM($CP29:OFFSET($CP29,DF$17-1,0))/DF$17</f>
        <v>0.6470588235294118</v>
      </c>
      <c r="DG29" s="6">
        <f ca="1">SUM($CP29:OFFSET($CP29,DG$17-1,0))/DG$17</f>
        <v>0.61111111111111116</v>
      </c>
      <c r="DH29" s="6">
        <f ca="1">SUM($CP29:OFFSET($CP29,DH$17-1,0))/DH$17</f>
        <v>0.57894736842105265</v>
      </c>
      <c r="DI29" s="6">
        <f ca="1">SUM($CP29:OFFSET($CP29,DI$17-1,0))/DI$17</f>
        <v>0.55000000000000004</v>
      </c>
      <c r="DJ29" s="6">
        <f ca="1">SUM($CP29:OFFSET($CP29,DJ$17-1,0))/DJ$17</f>
        <v>0.52380952380952384</v>
      </c>
      <c r="DK29" s="6">
        <f ca="1">SUM($CP29:OFFSET($CP29,DK$17-1,0))/DK$17</f>
        <v>0.5</v>
      </c>
      <c r="DL29" s="6">
        <f ca="1">SUM($CP29:OFFSET($CP29,DL$17-1,0))/DL$17</f>
        <v>0.47826086956521741</v>
      </c>
      <c r="DM29" s="6">
        <f ca="1">SUM($CP29:OFFSET($CP29,DM$17-1,0))/DM$17</f>
        <v>0.45833333333333331</v>
      </c>
    </row>
    <row r="30" spans="1:117" x14ac:dyDescent="0.25">
      <c r="A30" s="1">
        <f>IFERROR(IF(ROW(A29)=1,1,IF(1+A29&lt;=$CP$1*$CP$2,1+A29,"")),"")</f>
        <v>29</v>
      </c>
      <c r="B30" s="1">
        <f>IF($I30="","",IF(ROW(B29)=1,1,ROUNDUP(A30/$CP$2,0)))</f>
        <v>2</v>
      </c>
      <c r="C30" s="4">
        <f t="shared" si="7"/>
        <v>45585</v>
      </c>
      <c r="D30" s="4" t="str">
        <f t="shared" si="0"/>
        <v>Raision keilahalli</v>
      </c>
      <c r="E30" s="1">
        <f>IF($B30="","",COUNTIF($B$2:B30,B30))</f>
        <v>11</v>
      </c>
      <c r="F30" s="1" t="str">
        <f t="shared" si="1"/>
        <v>K2024GP02</v>
      </c>
      <c r="G30" s="1" t="str">
        <f t="shared" si="8"/>
        <v>K2024GP02_11</v>
      </c>
      <c r="H30" s="1">
        <f t="shared" si="9"/>
        <v>1</v>
      </c>
      <c r="I30" s="3" t="s">
        <v>144</v>
      </c>
      <c r="J30" s="3">
        <v>139</v>
      </c>
      <c r="K30" s="3">
        <v>193</v>
      </c>
      <c r="L30" s="1">
        <f t="shared" si="10"/>
        <v>332</v>
      </c>
      <c r="M30" s="1">
        <f t="shared" si="11"/>
        <v>1</v>
      </c>
      <c r="N30" s="1">
        <f t="shared" si="12"/>
        <v>3</v>
      </c>
      <c r="O30" s="1">
        <f t="shared" si="13"/>
        <v>332</v>
      </c>
      <c r="P30" s="1">
        <f t="shared" si="14"/>
        <v>1</v>
      </c>
      <c r="Q30" s="1">
        <f t="array" ref="Q30">IF($B30="","",IF(MAX(IF(B30=$B$2:$B$313,$L$2:$L$313))-L30=0,"",MAX(IF(B30=$B$2:$B$313,$L$2:$L$313))-L30))</f>
        <v>1</v>
      </c>
      <c r="R30" s="1">
        <f t="array" ref="R30">IF($B30="","",SUMPRODUCT(--($B$2:$B$313=B30),--(L30&lt;$L$2:$L$313))+1)</f>
        <v>3</v>
      </c>
      <c r="S30" s="1">
        <f t="shared" si="15"/>
        <v>2</v>
      </c>
      <c r="T30" s="1" cm="1">
        <f t="array" ref="T30">IF($B30="","",IF(M30=0,"",SUMPRODUCT(--($B$2:$B$313=B30),--(J30&lt;$J$2:$J$313))+1))</f>
        <v>5</v>
      </c>
      <c r="U30" s="1">
        <f t="shared" si="16"/>
        <v>-2</v>
      </c>
      <c r="V30" s="1" t="str">
        <f t="shared" si="17"/>
        <v>0203</v>
      </c>
      <c r="W30" s="1">
        <f t="shared" si="18"/>
        <v>1</v>
      </c>
      <c r="X30" s="1">
        <f t="shared" si="2"/>
        <v>0</v>
      </c>
      <c r="Y30" s="1">
        <f>IF($B30="","",MAX(_xlfn.MAXIFS($J$2:J30,$I$2:I30,$I30),_xlfn.MAXIFS($K$2:K30,$I$2:I30,$I30)))</f>
        <v>193</v>
      </c>
      <c r="Z30" s="1">
        <f t="shared" si="3"/>
        <v>193</v>
      </c>
      <c r="AA30" s="1">
        <f t="shared" si="19"/>
        <v>0</v>
      </c>
      <c r="AB30" s="1">
        <f t="shared" si="20"/>
        <v>0</v>
      </c>
      <c r="AC30" s="1">
        <f t="shared" si="21"/>
        <v>0</v>
      </c>
      <c r="AD30" s="1">
        <f>IF($B30="","",MIN(_xlfn.MINIFS($J$2:J30,$I$2:I30,$I30),_xlfn.MINIFS($K$2:K30,$I$2:I30,$I30)))</f>
        <v>82</v>
      </c>
      <c r="AE30" s="1">
        <f t="shared" si="22"/>
        <v>91</v>
      </c>
      <c r="AF30" s="1">
        <f t="shared" si="23"/>
        <v>0</v>
      </c>
      <c r="AG30" s="1">
        <f t="shared" si="24"/>
        <v>0</v>
      </c>
      <c r="AH30" s="1">
        <f t="shared" si="25"/>
        <v>0</v>
      </c>
      <c r="AI30" s="1">
        <f ca="1">IF($B30="","",IF($K30="",0,OFFSET($CO$17,R30,W30)))</f>
        <v>8</v>
      </c>
      <c r="AJ30" s="1">
        <f t="shared" ca="1" si="26"/>
        <v>0</v>
      </c>
      <c r="AK30" s="1">
        <f ca="1">IF(AJ30="","",IF(AJ30=0,0,IF(W30=1,0,SUM(OFFSET($CO$17,N30,1):OFFSET($CO$17,N30+W30-2,1))/W30)))</f>
        <v>0</v>
      </c>
      <c r="AL30" s="1">
        <f t="shared" ca="1" si="27"/>
        <v>8</v>
      </c>
      <c r="AM30" s="1">
        <f ca="1">IF($B30="","",SUMIFS($AL$2:AL30,$I$2:I30,$I30))</f>
        <v>9</v>
      </c>
      <c r="AN30" s="1">
        <f t="shared" si="28"/>
        <v>3.0000290000000001</v>
      </c>
      <c r="AO30" s="1">
        <f>IFERROR(IF($B30="","",AVERAGEIFS($L$2:L30,$I$2:I30,I30,$L$2:L30,"&lt;&gt;0")),0)</f>
        <v>262</v>
      </c>
      <c r="AP30" s="1">
        <f t="shared" si="29"/>
        <v>131</v>
      </c>
      <c r="AQ30" s="1">
        <f>IF($B30="","",COUNTIFS($R$2:R30,1,$I$2:I30,$I30))</f>
        <v>0</v>
      </c>
      <c r="AR30" s="1">
        <f t="array" aca="1" ref="AR30" ca="1">IF($B30="","",SUMPRODUCT(--($B$2:$B$313=B30),--(AM30&lt;$AM$2:$AM$313))+1)</f>
        <v>7</v>
      </c>
      <c r="AS30" s="1">
        <f t="array" ref="AS30">IF($B30="","",SUMPRODUCT(--($B$2:$B$313=B30),--(AP30&lt;$AP$2:$AP$313))+1)</f>
        <v>8</v>
      </c>
      <c r="AT30" s="1">
        <f t="array" ref="AT30">IF($B30="","",SUMPRODUCT(--($B$2:$B$313=B30),--(AQ30&lt;$AQ$2:$AQ$313))+1)</f>
        <v>4</v>
      </c>
      <c r="AU30" s="1">
        <f t="shared" si="30"/>
        <v>2.9000000000000002E-8</v>
      </c>
      <c r="AV30" s="1">
        <f t="shared" ca="1" si="31"/>
        <v>7.0804029000000004E-2</v>
      </c>
      <c r="AW30" s="1" t="str">
        <f t="shared" si="4"/>
        <v/>
      </c>
      <c r="AX30" s="1" t="str">
        <f t="shared" si="32"/>
        <v/>
      </c>
      <c r="AY30" s="8">
        <f t="shared" ca="1" si="33"/>
        <v>7.0804029000000004E-2</v>
      </c>
      <c r="AZ30" s="1" cm="1">
        <f t="array" aca="1" ref="AZ30" ca="1">IF($B30="","",SUMPRODUCT(--($B$2:$B$313=B30),--(AY30&gt;$AY$2:$AY$313))+1)</f>
        <v>8</v>
      </c>
      <c r="BA30" s="1" t="str">
        <f t="shared" si="34"/>
        <v>K2024GP02_11_1</v>
      </c>
      <c r="BB30" s="1" t="str">
        <f t="shared" si="35"/>
        <v>K2024GP02_11_2</v>
      </c>
      <c r="BC30" s="1">
        <f t="shared" si="36"/>
        <v>0</v>
      </c>
      <c r="BD30" s="1">
        <f t="shared" si="37"/>
        <v>1</v>
      </c>
      <c r="BE30" s="1">
        <f t="shared" si="38"/>
        <v>1</v>
      </c>
      <c r="BF30" s="1">
        <f t="shared" si="39"/>
        <v>193</v>
      </c>
      <c r="BG30" s="1">
        <f t="shared" si="40"/>
        <v>139</v>
      </c>
      <c r="BH30" s="1">
        <f t="shared" si="41"/>
        <v>1</v>
      </c>
      <c r="BI30" s="1">
        <f t="shared" si="42"/>
        <v>5</v>
      </c>
      <c r="BJ30" s="1">
        <f t="shared" si="43"/>
        <v>1.0500000000000001E-2</v>
      </c>
      <c r="BK30" s="1">
        <f t="shared" si="44"/>
        <v>0</v>
      </c>
      <c r="BL30" s="1">
        <f t="shared" si="45"/>
        <v>9.8999999999999994E-5</v>
      </c>
      <c r="BM30" s="1">
        <f t="shared" si="46"/>
        <v>1.0599000000000001E-2</v>
      </c>
      <c r="BN30" s="1">
        <f t="shared" si="47"/>
        <v>0</v>
      </c>
      <c r="BO30" s="1">
        <f t="shared" si="5"/>
        <v>1</v>
      </c>
      <c r="BP30" s="1">
        <f t="shared" si="6"/>
        <v>0</v>
      </c>
      <c r="BQ30" s="1" cm="1">
        <f t="array" ref="BQ30">IF(I30="","",IF(BP30=1,"",IF(L30=0,"",IF(B30=1,"",_xlfn.XLOOKUP(1,($I$2:$I$313=$I30)*($B$2:$B$313=($B30-1)),$BO$2:$BO$313)))))</f>
        <v>9</v>
      </c>
      <c r="BR30" s="1">
        <f>IF(I30="","",IF($B30=1,_xlfn.MINIFS($BO$2:$BO$313,$B$2:$B$313,$B30),_xlfn.MINIFS(BQ$2:$BQ$313,$B$2:$B$313,$B30)))</f>
        <v>1</v>
      </c>
      <c r="BS30" s="1">
        <f t="shared" si="48"/>
        <v>3</v>
      </c>
      <c r="BT30" s="1" t="str" cm="1">
        <f t="array" ref="BT30">IF($I30="","",IF($B30=1,_xlfn.XLOOKUP(1,($B$2:$B$313=$B30)*($BO$2:$BO$313=BR30),Data!$I$2:$I$313,,0),_xlfn.XLOOKUP(1,($B$2:$B$313=$B30)*($BQ$2:$BQ$313=$BR30),$I$2:$I$313,,0)))</f>
        <v>Kaleva Latvala</v>
      </c>
      <c r="BU30" s="1" t="str" cm="1">
        <f t="array" ref="BU30">IF(I30="","",IF($B30=1,_xlfn.XLOOKUP(1,($B$2:$B$313=$B30)*($BO$2:$BO$313=$BS30),$I$2:$I$313,,0),_xlfn.XLOOKUP(1,($B$2:$B$313=$B30)*($BQ$2:$BQ$313=$BS30),$I$2:$I$313,,0)))</f>
        <v>Ossi Oksa</v>
      </c>
      <c r="BV30" s="1" t="str" cm="1">
        <f t="array" ref="BV30">IF($I30="","",IF($B30=1,"",IF($B30=2,_xlfn.XLOOKUP(1,($B$2:$B$313=1)*($BO$2:$BO$313=1),$I$2:$I$313,,0),_xlfn.XLOOKUP($B30-1,$B$2:$B$313,$CH$2:$CH$313,,0))))</f>
        <v>Kaleva Latvala</v>
      </c>
      <c r="BW30" s="1" t="str" cm="1">
        <f t="array" ref="BW30">IF($I30="","",IF($B30=1,"",IF(_xlfn.XLOOKUP(1,($B$2:$B$313=$B30)*($I$2:$I$313=$BV30),$BQ$2:$BQ$313,,0)="","NOK","OK")))</f>
        <v>OK</v>
      </c>
      <c r="BX30" s="1" t="str">
        <f t="shared" si="49"/>
        <v>Kaleva Latvala</v>
      </c>
      <c r="BY30" s="1" t="str">
        <f t="shared" si="50"/>
        <v>Ossi Oksa</v>
      </c>
      <c r="BZ30" s="1">
        <f t="shared" si="51"/>
        <v>136</v>
      </c>
      <c r="CA30" s="1">
        <f t="shared" si="52"/>
        <v>125</v>
      </c>
      <c r="CB30" s="1">
        <f t="shared" si="53"/>
        <v>9.8999999999999994E-5</v>
      </c>
      <c r="CC30" s="1">
        <f t="shared" si="54"/>
        <v>182</v>
      </c>
      <c r="CD30" s="1">
        <f t="shared" si="55"/>
        <v>126</v>
      </c>
      <c r="CE30" s="1">
        <f t="shared" si="56"/>
        <v>9.8999999999999994E-5</v>
      </c>
      <c r="CF30" s="1" t="str">
        <f t="shared" si="57"/>
        <v>Kaleva Latvala (P)</v>
      </c>
      <c r="CG30" s="1" t="str">
        <f t="shared" si="58"/>
        <v>Ossi Oksa (3)</v>
      </c>
      <c r="CH30" s="1" t="str">
        <f t="shared" si="59"/>
        <v>Ossi Oksa</v>
      </c>
      <c r="CI30" s="1">
        <f t="shared" si="60"/>
        <v>0</v>
      </c>
      <c r="CJ30" s="1" t="str">
        <f ca="1">IF(B30="","",IF(SUM(AI30:AK30)&gt;0,"+SP","")&amp;IF(CI30&gt;0,"+KK","")&amp;IF(AB30&gt;0,"+KGP1","")&amp;IF(AC30&gt;0,"+KGP2","")&amp;IF(AG30&lt;0,"-KGP1","")&amp;IF(AH30&lt;0,"-KGP2",""))</f>
        <v>+SP</v>
      </c>
      <c r="CO30" s="1">
        <v>13</v>
      </c>
      <c r="CP30" s="3">
        <v>0</v>
      </c>
      <c r="CQ30" s="6">
        <f ca="1">SUM($CP30:OFFSET($CP30,CQ$17-1,0))/CQ$17</f>
        <v>0</v>
      </c>
      <c r="CR30" s="6">
        <f ca="1">SUM($CP30:OFFSET($CP30,CR$17-1,0))/CR$17</f>
        <v>0</v>
      </c>
      <c r="CS30" s="6">
        <f ca="1">SUM($CP30:OFFSET($CP30,CS$17-1,0))/CS$17</f>
        <v>0</v>
      </c>
      <c r="CT30" s="6">
        <f ca="1">SUM($CP30:OFFSET($CP30,CT$17-1,0))/CT$17</f>
        <v>0</v>
      </c>
      <c r="CU30" s="6">
        <f ca="1">SUM($CP30:OFFSET($CP30,CU$17-1,0))/CU$17</f>
        <v>0</v>
      </c>
      <c r="CV30" s="6">
        <f ca="1">SUM($CP30:OFFSET($CP30,CV$17-1,0))/CV$17</f>
        <v>0</v>
      </c>
      <c r="CW30" s="6">
        <f ca="1">SUM($CP30:OFFSET($CP30,CW$17-1,0))/CW$17</f>
        <v>0</v>
      </c>
      <c r="CX30" s="6">
        <f ca="1">SUM($CP30:OFFSET($CP30,CX$17-1,0))/CX$17</f>
        <v>0</v>
      </c>
      <c r="CY30" s="6">
        <f ca="1">SUM($CP30:OFFSET($CP30,CY$17-1,0))/CY$17</f>
        <v>0</v>
      </c>
      <c r="CZ30" s="6">
        <f ca="1">SUM($CP30:OFFSET($CP30,CZ$17-1,0))/CZ$17</f>
        <v>0</v>
      </c>
      <c r="DA30" s="6">
        <f ca="1">SUM($CP30:OFFSET($CP30,DA$17-1,0))/DA$17</f>
        <v>0</v>
      </c>
      <c r="DB30" s="6">
        <f ca="1">SUM($CP30:OFFSET($CP30,DB$17-1,0))/DB$17</f>
        <v>0.84615384615384615</v>
      </c>
      <c r="DC30" s="6">
        <f ca="1">SUM($CP30:OFFSET($CP30,DC$17-1,0))/DC$17</f>
        <v>0.7857142857142857</v>
      </c>
      <c r="DD30" s="6">
        <f ca="1">SUM($CP30:OFFSET($CP30,DD$17-1,0))/DD$17</f>
        <v>0.73333333333333328</v>
      </c>
      <c r="DE30" s="6">
        <f ca="1">SUM($CP30:OFFSET($CP30,DE$17-1,0))/DE$17</f>
        <v>0.6875</v>
      </c>
      <c r="DF30" s="6">
        <f ca="1">SUM($CP30:OFFSET($CP30,DF$17-1,0))/DF$17</f>
        <v>0.6470588235294118</v>
      </c>
      <c r="DG30" s="6">
        <f ca="1">SUM($CP30:OFFSET($CP30,DG$17-1,0))/DG$17</f>
        <v>0.61111111111111116</v>
      </c>
      <c r="DH30" s="6">
        <f ca="1">SUM($CP30:OFFSET($CP30,DH$17-1,0))/DH$17</f>
        <v>0.57894736842105265</v>
      </c>
      <c r="DI30" s="6">
        <f ca="1">SUM($CP30:OFFSET($CP30,DI$17-1,0))/DI$17</f>
        <v>0.55000000000000004</v>
      </c>
      <c r="DJ30" s="6">
        <f ca="1">SUM($CP30:OFFSET($CP30,DJ$17-1,0))/DJ$17</f>
        <v>0.52380952380952384</v>
      </c>
      <c r="DK30" s="6">
        <f ca="1">SUM($CP30:OFFSET($CP30,DK$17-1,0))/DK$17</f>
        <v>0.5</v>
      </c>
      <c r="DL30" s="6">
        <f ca="1">SUM($CP30:OFFSET($CP30,DL$17-1,0))/DL$17</f>
        <v>0.47826086956521741</v>
      </c>
      <c r="DM30" s="6">
        <f ca="1">SUM($CP30:OFFSET($CP30,DM$17-1,0))/DM$17</f>
        <v>0.45833333333333331</v>
      </c>
    </row>
    <row r="31" spans="1:117" x14ac:dyDescent="0.25">
      <c r="A31" s="1">
        <f>IFERROR(IF(ROW(A30)=1,1,IF(1+A30&lt;=$CP$1*$CP$2,1+A30,"")),"")</f>
        <v>30</v>
      </c>
      <c r="B31" s="1">
        <f>IF($I31="","",IF(ROW(B30)=1,1,ROUNDUP(A31/$CP$2,0)))</f>
        <v>2</v>
      </c>
      <c r="C31" s="4">
        <f t="shared" si="7"/>
        <v>45585</v>
      </c>
      <c r="D31" s="4" t="str">
        <f t="shared" si="0"/>
        <v>Raision keilahalli</v>
      </c>
      <c r="E31" s="1">
        <f>IF($B31="","",COUNTIF($B$2:B31,B31))</f>
        <v>12</v>
      </c>
      <c r="F31" s="1" t="str">
        <f t="shared" si="1"/>
        <v>K2024GP02</v>
      </c>
      <c r="G31" s="1" t="str">
        <f t="shared" si="8"/>
        <v>K2024GP02_12</v>
      </c>
      <c r="H31" s="1">
        <f t="shared" si="9"/>
        <v>1</v>
      </c>
      <c r="I31" s="3" t="s">
        <v>130</v>
      </c>
      <c r="J31" s="3">
        <v>187</v>
      </c>
      <c r="K31" s="3">
        <v>146</v>
      </c>
      <c r="L31" s="1">
        <f t="shared" si="10"/>
        <v>333</v>
      </c>
      <c r="M31" s="1">
        <f t="shared" si="11"/>
        <v>1</v>
      </c>
      <c r="N31" s="1">
        <f t="shared" si="12"/>
        <v>1</v>
      </c>
      <c r="O31" s="1">
        <f t="shared" si="13"/>
        <v>333</v>
      </c>
      <c r="P31" s="1" t="str">
        <f t="shared" si="14"/>
        <v/>
      </c>
      <c r="Q31" s="1" t="str">
        <f t="array" ref="Q31">IF($B31="","",IF(MAX(IF(B31=$B$2:$B$313,$L$2:$L$313))-L31=0,"",MAX(IF(B31=$B$2:$B$313,$L$2:$L$313))-L31))</f>
        <v/>
      </c>
      <c r="R31" s="1">
        <f t="array" ref="R31">IF($B31="","",SUMPRODUCT(--($B$2:$B$313=B31),--(L31&lt;$L$2:$L$313))+1)</f>
        <v>1</v>
      </c>
      <c r="S31" s="1">
        <f t="shared" si="15"/>
        <v>2</v>
      </c>
      <c r="T31" s="1" cm="1">
        <f t="array" ref="T31">IF($B31="","",IF(M31=0,"",SUMPRODUCT(--($B$2:$B$313=B31),--(J31&lt;$J$2:$J$313))+1))</f>
        <v>1</v>
      </c>
      <c r="U31" s="1">
        <f t="shared" si="16"/>
        <v>0</v>
      </c>
      <c r="V31" s="1" t="str">
        <f t="shared" si="17"/>
        <v>0201</v>
      </c>
      <c r="W31" s="1">
        <f t="shared" si="18"/>
        <v>2</v>
      </c>
      <c r="X31" s="1">
        <f t="shared" si="2"/>
        <v>0</v>
      </c>
      <c r="Y31" s="1">
        <f>IF($B31="","",MAX(_xlfn.MAXIFS($J$2:J31,$I$2:I31,$I31),_xlfn.MAXIFS($K$2:K31,$I$2:I31,$I31)))</f>
        <v>187</v>
      </c>
      <c r="Z31" s="1">
        <f t="shared" si="3"/>
        <v>193</v>
      </c>
      <c r="AA31" s="1">
        <f t="shared" si="19"/>
        <v>0</v>
      </c>
      <c r="AB31" s="1">
        <f t="shared" si="20"/>
        <v>0</v>
      </c>
      <c r="AC31" s="1">
        <f t="shared" si="21"/>
        <v>0</v>
      </c>
      <c r="AD31" s="1">
        <f>IF($B31="","",MIN(_xlfn.MINIFS($J$2:J31,$I$2:I31,$I31),_xlfn.MINIFS($K$2:K31,$I$2:I31,$I31)))</f>
        <v>111</v>
      </c>
      <c r="AE31" s="1">
        <f t="shared" si="22"/>
        <v>91</v>
      </c>
      <c r="AF31" s="1">
        <f t="shared" si="23"/>
        <v>0</v>
      </c>
      <c r="AG31" s="1">
        <f t="shared" si="24"/>
        <v>0</v>
      </c>
      <c r="AH31" s="1">
        <f t="shared" si="25"/>
        <v>0</v>
      </c>
      <c r="AI31" s="1">
        <f ca="1">IF($B31="","",IF($K31="",0,OFFSET($CO$17,R31,W31)))</f>
        <v>11</v>
      </c>
      <c r="AJ31" s="1">
        <f t="shared" ca="1" si="26"/>
        <v>0</v>
      </c>
      <c r="AK31" s="1">
        <f ca="1">IF(AJ31="","",IF(AJ31=0,0,IF(W31=1,0,SUM(OFFSET($CO$17,N31,1):OFFSET($CO$17,N31+W31-2,1))/W31)))</f>
        <v>0</v>
      </c>
      <c r="AL31" s="1">
        <f t="shared" ca="1" si="27"/>
        <v>11</v>
      </c>
      <c r="AM31" s="1">
        <f ca="1">IF($B31="","",SUMIFS($AL$2:AL31,$I$2:I31,$I31))</f>
        <v>18.5</v>
      </c>
      <c r="AN31" s="1">
        <f t="shared" si="28"/>
        <v>1.00003</v>
      </c>
      <c r="AO31" s="1">
        <f>IFERROR(IF($B31="","",AVERAGEIFS($L$2:L31,$I$2:I31,I31,$L$2:L31,"&lt;&gt;0")),0)</f>
        <v>287</v>
      </c>
      <c r="AP31" s="1">
        <f t="shared" si="29"/>
        <v>143.5</v>
      </c>
      <c r="AQ31" s="1">
        <f>IF($B31="","",COUNTIFS($R$2:R31,1,$I$2:I31,$I31))</f>
        <v>1</v>
      </c>
      <c r="AR31" s="1">
        <f t="array" aca="1" ref="AR31" ca="1">IF($B31="","",SUMPRODUCT(--($B$2:$B$313=B31),--(AM31&lt;$AM$2:$AM$313))+1)</f>
        <v>1</v>
      </c>
      <c r="AS31" s="1">
        <f t="array" ref="AS31">IF($B31="","",SUMPRODUCT(--($B$2:$B$313=B31),--(AP31&lt;$AP$2:$AP$313))+1)</f>
        <v>4</v>
      </c>
      <c r="AT31" s="1">
        <f t="array" ref="AT31">IF($B31="","",SUMPRODUCT(--($B$2:$B$313=B31),--(AQ31&lt;$AQ$2:$AQ$313))+1)</f>
        <v>1</v>
      </c>
      <c r="AU31" s="1">
        <f t="shared" si="30"/>
        <v>2.9999999999999997E-8</v>
      </c>
      <c r="AV31" s="1">
        <f t="shared" ca="1" si="31"/>
        <v>1.0401029999999999E-2</v>
      </c>
      <c r="AW31" s="1" t="str">
        <f t="shared" si="4"/>
        <v/>
      </c>
      <c r="AX31" s="1" t="str">
        <f t="shared" si="32"/>
        <v/>
      </c>
      <c r="AY31" s="8">
        <f t="shared" ca="1" si="33"/>
        <v>1.0401029999999999E-2</v>
      </c>
      <c r="AZ31" s="1" cm="1">
        <f t="array" aca="1" ref="AZ31" ca="1">IF($B31="","",SUMPRODUCT(--($B$2:$B$313=B31),--(AY31&gt;$AY$2:$AY$313))+1)</f>
        <v>1</v>
      </c>
      <c r="BA31" s="1" t="str">
        <f t="shared" si="34"/>
        <v>K2024GP02_12_1</v>
      </c>
      <c r="BB31" s="1" t="str">
        <f t="shared" si="35"/>
        <v>K2024GP02_12_2</v>
      </c>
      <c r="BC31" s="1">
        <f t="shared" si="36"/>
        <v>1</v>
      </c>
      <c r="BD31" s="1">
        <f t="shared" si="37"/>
        <v>1</v>
      </c>
      <c r="BE31" s="1">
        <f t="shared" si="38"/>
        <v>1</v>
      </c>
      <c r="BF31" s="1">
        <f t="shared" si="39"/>
        <v>187</v>
      </c>
      <c r="BG31" s="1">
        <f t="shared" si="40"/>
        <v>146</v>
      </c>
      <c r="BH31" s="1">
        <f t="shared" si="41"/>
        <v>2</v>
      </c>
      <c r="BI31" s="1">
        <f t="shared" si="42"/>
        <v>4</v>
      </c>
      <c r="BJ31" s="1">
        <f t="shared" si="43"/>
        <v>2.0400000000000001E-2</v>
      </c>
      <c r="BK31" s="1">
        <f t="shared" si="44"/>
        <v>0</v>
      </c>
      <c r="BL31" s="1">
        <f t="shared" si="45"/>
        <v>9.8999999999999994E-5</v>
      </c>
      <c r="BM31" s="1">
        <f t="shared" si="46"/>
        <v>2.0499E-2</v>
      </c>
      <c r="BN31" s="1">
        <f t="shared" si="47"/>
        <v>0</v>
      </c>
      <c r="BO31" s="1">
        <f t="shared" si="5"/>
        <v>2</v>
      </c>
      <c r="BP31" s="1">
        <f t="shared" si="6"/>
        <v>0</v>
      </c>
      <c r="BQ31" s="1" cm="1">
        <f t="array" ref="BQ31">IF(I31="","",IF(BP31=1,"",IF(L31=0,"",IF(B31=1,"",_xlfn.XLOOKUP(1,($I$2:$I$313=$I31)*($B$2:$B$313=($B31-1)),$BO$2:$BO$313)))))</f>
        <v>4</v>
      </c>
      <c r="BR31" s="1">
        <f>IF(I31="","",IF($B31=1,_xlfn.MINIFS($BO$2:$BO$313,$B$2:$B$313,$B31),_xlfn.MINIFS(BQ$2:$BQ$313,$B$2:$B$313,$B31)))</f>
        <v>1</v>
      </c>
      <c r="BS31" s="1">
        <f t="shared" si="48"/>
        <v>3</v>
      </c>
      <c r="BT31" s="1" t="str" cm="1">
        <f t="array" ref="BT31">IF($I31="","",IF($B31=1,_xlfn.XLOOKUP(1,($B$2:$B$313=$B31)*($BO$2:$BO$313=BR31),Data!$I$2:$I$313,,0),_xlfn.XLOOKUP(1,($B$2:$B$313=$B31)*($BQ$2:$BQ$313=$BR31),$I$2:$I$313,,0)))</f>
        <v>Kaleva Latvala</v>
      </c>
      <c r="BU31" s="1" t="str" cm="1">
        <f t="array" ref="BU31">IF(I31="","",IF($B31=1,_xlfn.XLOOKUP(1,($B$2:$B$313=$B31)*($BO$2:$BO$313=$BS31),$I$2:$I$313,,0),_xlfn.XLOOKUP(1,($B$2:$B$313=$B31)*($BQ$2:$BQ$313=$BS31),$I$2:$I$313,,0)))</f>
        <v>Ossi Oksa</v>
      </c>
      <c r="BV31" s="1" t="str" cm="1">
        <f t="array" ref="BV31">IF($I31="","",IF($B31=1,"",IF($B31=2,_xlfn.XLOOKUP(1,($B$2:$B$313=1)*($BO$2:$BO$313=1),$I$2:$I$313,,0),_xlfn.XLOOKUP($B31-1,$B$2:$B$313,$CH$2:$CH$313,,0))))</f>
        <v>Kaleva Latvala</v>
      </c>
      <c r="BW31" s="1" t="str" cm="1">
        <f t="array" ref="BW31">IF($I31="","",IF($B31=1,"",IF(_xlfn.XLOOKUP(1,($B$2:$B$313=$B31)*($I$2:$I$313=$BV31),$BQ$2:$BQ$313,,0)="","NOK","OK")))</f>
        <v>OK</v>
      </c>
      <c r="BX31" s="1" t="str">
        <f t="shared" si="49"/>
        <v>Kaleva Latvala</v>
      </c>
      <c r="BY31" s="1" t="str">
        <f t="shared" si="50"/>
        <v>Ossi Oksa</v>
      </c>
      <c r="BZ31" s="1">
        <f t="shared" si="51"/>
        <v>136</v>
      </c>
      <c r="CA31" s="1">
        <f t="shared" si="52"/>
        <v>125</v>
      </c>
      <c r="CB31" s="1">
        <f t="shared" si="53"/>
        <v>9.8999999999999994E-5</v>
      </c>
      <c r="CC31" s="1">
        <f t="shared" si="54"/>
        <v>182</v>
      </c>
      <c r="CD31" s="1">
        <f t="shared" si="55"/>
        <v>126</v>
      </c>
      <c r="CE31" s="1">
        <f t="shared" si="56"/>
        <v>9.8999999999999994E-5</v>
      </c>
      <c r="CF31" s="1" t="str">
        <f t="shared" si="57"/>
        <v>Kaleva Latvala (P)</v>
      </c>
      <c r="CG31" s="1" t="str">
        <f t="shared" si="58"/>
        <v>Ossi Oksa (3)</v>
      </c>
      <c r="CH31" s="1" t="str">
        <f t="shared" si="59"/>
        <v>Ossi Oksa</v>
      </c>
      <c r="CI31" s="1">
        <f t="shared" si="60"/>
        <v>0</v>
      </c>
      <c r="CJ31" s="1" t="str">
        <f ca="1">IF(B31="","",IF(SUM(AI31:AK31)&gt;0,"+SP","")&amp;IF(CI31&gt;0,"+KK","")&amp;IF(AB31&gt;0,"+KGP1","")&amp;IF(AC31&gt;0,"+KGP2","")&amp;IF(AG31&lt;0,"-KGP1","")&amp;IF(AH31&lt;0,"-KGP2",""))</f>
        <v>+SP</v>
      </c>
      <c r="CO31" s="1">
        <v>14</v>
      </c>
      <c r="CP31" s="3">
        <v>0</v>
      </c>
      <c r="CQ31" s="6">
        <f ca="1">SUM($CP31:OFFSET($CP31,CQ$17-1,0))/CQ$17</f>
        <v>0</v>
      </c>
      <c r="CR31" s="6">
        <f ca="1">SUM($CP31:OFFSET($CP31,CR$17-1,0))/CR$17</f>
        <v>0</v>
      </c>
      <c r="CS31" s="6">
        <f ca="1">SUM($CP31:OFFSET($CP31,CS$17-1,0))/CS$17</f>
        <v>0</v>
      </c>
      <c r="CT31" s="6">
        <f ca="1">SUM($CP31:OFFSET($CP31,CT$17-1,0))/CT$17</f>
        <v>0</v>
      </c>
      <c r="CU31" s="6">
        <f ca="1">SUM($CP31:OFFSET($CP31,CU$17-1,0))/CU$17</f>
        <v>0</v>
      </c>
      <c r="CV31" s="6">
        <f ca="1">SUM($CP31:OFFSET($CP31,CV$17-1,0))/CV$17</f>
        <v>0</v>
      </c>
      <c r="CW31" s="6">
        <f ca="1">SUM($CP31:OFFSET($CP31,CW$17-1,0))/CW$17</f>
        <v>0</v>
      </c>
      <c r="CX31" s="6">
        <f ca="1">SUM($CP31:OFFSET($CP31,CX$17-1,0))/CX$17</f>
        <v>0</v>
      </c>
      <c r="CY31" s="6">
        <f ca="1">SUM($CP31:OFFSET($CP31,CY$17-1,0))/CY$17</f>
        <v>0</v>
      </c>
      <c r="CZ31" s="6">
        <f ca="1">SUM($CP31:OFFSET($CP31,CZ$17-1,0))/CZ$17</f>
        <v>0</v>
      </c>
      <c r="DA31" s="6">
        <f ca="1">SUM($CP31:OFFSET($CP31,DA$17-1,0))/DA$17</f>
        <v>0.91666666666666663</v>
      </c>
      <c r="DB31" s="6">
        <f ca="1">SUM($CP31:OFFSET($CP31,DB$17-1,0))/DB$17</f>
        <v>0.84615384615384615</v>
      </c>
      <c r="DC31" s="6">
        <f ca="1">SUM($CP31:OFFSET($CP31,DC$17-1,0))/DC$17</f>
        <v>0.7857142857142857</v>
      </c>
      <c r="DD31" s="6">
        <f ca="1">SUM($CP31:OFFSET($CP31,DD$17-1,0))/DD$17</f>
        <v>0.73333333333333328</v>
      </c>
      <c r="DE31" s="6">
        <f ca="1">SUM($CP31:OFFSET($CP31,DE$17-1,0))/DE$17</f>
        <v>0.6875</v>
      </c>
      <c r="DF31" s="6">
        <f ca="1">SUM($CP31:OFFSET($CP31,DF$17-1,0))/DF$17</f>
        <v>0.6470588235294118</v>
      </c>
      <c r="DG31" s="6">
        <f ca="1">SUM($CP31:OFFSET($CP31,DG$17-1,0))/DG$17</f>
        <v>0.61111111111111116</v>
      </c>
      <c r="DH31" s="6">
        <f ca="1">SUM($CP31:OFFSET($CP31,DH$17-1,0))/DH$17</f>
        <v>0.57894736842105265</v>
      </c>
      <c r="DI31" s="6">
        <f ca="1">SUM($CP31:OFFSET($CP31,DI$17-1,0))/DI$17</f>
        <v>0.55000000000000004</v>
      </c>
      <c r="DJ31" s="6">
        <f ca="1">SUM($CP31:OFFSET($CP31,DJ$17-1,0))/DJ$17</f>
        <v>0.52380952380952384</v>
      </c>
      <c r="DK31" s="6">
        <f ca="1">SUM($CP31:OFFSET($CP31,DK$17-1,0))/DK$17</f>
        <v>0.5</v>
      </c>
      <c r="DL31" s="6">
        <f ca="1">SUM($CP31:OFFSET($CP31,DL$17-1,0))/DL$17</f>
        <v>0.47826086956521741</v>
      </c>
      <c r="DM31" s="6">
        <f ca="1">SUM($CP31:OFFSET($CP31,DM$17-1,0))/DM$17</f>
        <v>0.45833333333333331</v>
      </c>
    </row>
    <row r="32" spans="1:117" x14ac:dyDescent="0.25">
      <c r="A32" s="1">
        <f>IFERROR(IF(ROW(A31)=1,1,IF(1+A31&lt;=$CP$1*$CP$2,1+A31,"")),"")</f>
        <v>31</v>
      </c>
      <c r="B32" s="1">
        <f>IF($I32="","",IF(ROW(B31)=1,1,ROUNDUP(A32/$CP$2,0)))</f>
        <v>2</v>
      </c>
      <c r="C32" s="4">
        <f t="shared" si="7"/>
        <v>45585</v>
      </c>
      <c r="D32" s="4" t="str">
        <f t="shared" si="0"/>
        <v>Raision keilahalli</v>
      </c>
      <c r="E32" s="1">
        <f>IF($B32="","",COUNTIF($B$2:B32,B32))</f>
        <v>13</v>
      </c>
      <c r="F32" s="1" t="str">
        <f t="shared" si="1"/>
        <v>K2024GP02</v>
      </c>
      <c r="G32" s="1" t="str">
        <f t="shared" si="8"/>
        <v>K2024GP02_13</v>
      </c>
      <c r="H32" s="1">
        <f t="shared" si="9"/>
        <v>1</v>
      </c>
      <c r="I32" s="3" t="s">
        <v>117</v>
      </c>
      <c r="J32" s="3">
        <v>131</v>
      </c>
      <c r="K32" s="3">
        <v>176</v>
      </c>
      <c r="L32" s="1">
        <f t="shared" si="10"/>
        <v>307</v>
      </c>
      <c r="M32" s="1">
        <f t="shared" si="11"/>
        <v>1</v>
      </c>
      <c r="N32" s="1">
        <f t="shared" si="12"/>
        <v>7</v>
      </c>
      <c r="O32" s="1">
        <f t="shared" si="13"/>
        <v>307</v>
      </c>
      <c r="P32" s="1">
        <f t="shared" si="14"/>
        <v>26</v>
      </c>
      <c r="Q32" s="1">
        <f t="array" ref="Q32">IF($B32="","",IF(MAX(IF(B32=$B$2:$B$313,$L$2:$L$313))-L32=0,"",MAX(IF(B32=$B$2:$B$313,$L$2:$L$313))-L32))</f>
        <v>26</v>
      </c>
      <c r="R32" s="1">
        <f t="array" ref="R32">IF($B32="","",SUMPRODUCT(--($B$2:$B$313=B32),--(L32&lt;$L$2:$L$313))+1)</f>
        <v>7</v>
      </c>
      <c r="S32" s="1">
        <f t="shared" si="15"/>
        <v>2</v>
      </c>
      <c r="T32" s="1" cm="1">
        <f t="array" ref="T32">IF($B32="","",IF(M32=0,"",SUMPRODUCT(--($B$2:$B$313=B32),--(J32&lt;$J$2:$J$313))+1))</f>
        <v>8</v>
      </c>
      <c r="U32" s="1">
        <f t="shared" si="16"/>
        <v>-1</v>
      </c>
      <c r="V32" s="1" t="str">
        <f t="shared" si="17"/>
        <v>0207</v>
      </c>
      <c r="W32" s="1">
        <f t="shared" si="18"/>
        <v>1</v>
      </c>
      <c r="X32" s="1">
        <f t="shared" si="2"/>
        <v>0</v>
      </c>
      <c r="Y32" s="1">
        <f>IF($B32="","",MAX(_xlfn.MAXIFS($J$2:J32,$I$2:I32,$I32),_xlfn.MAXIFS($K$2:K32,$I$2:I32,$I32)))</f>
        <v>176</v>
      </c>
      <c r="Z32" s="1">
        <f t="shared" si="3"/>
        <v>193</v>
      </c>
      <c r="AA32" s="1">
        <f t="shared" si="19"/>
        <v>0</v>
      </c>
      <c r="AB32" s="1">
        <f t="shared" si="20"/>
        <v>0</v>
      </c>
      <c r="AC32" s="1">
        <f t="shared" si="21"/>
        <v>0</v>
      </c>
      <c r="AD32" s="1">
        <f>IF($B32="","",MIN(_xlfn.MINIFS($J$2:J32,$I$2:I32,$I32),_xlfn.MINIFS($K$2:K32,$I$2:I32,$I32)))</f>
        <v>131</v>
      </c>
      <c r="AE32" s="1">
        <f t="shared" si="22"/>
        <v>91</v>
      </c>
      <c r="AF32" s="1">
        <f t="shared" si="23"/>
        <v>0</v>
      </c>
      <c r="AG32" s="1">
        <f t="shared" si="24"/>
        <v>0</v>
      </c>
      <c r="AH32" s="1">
        <f t="shared" si="25"/>
        <v>0</v>
      </c>
      <c r="AI32" s="1">
        <f ca="1">IF($B32="","",IF($K32="",0,OFFSET($CO$17,R32,W32)))</f>
        <v>4</v>
      </c>
      <c r="AJ32" s="1">
        <f t="shared" ca="1" si="26"/>
        <v>0</v>
      </c>
      <c r="AK32" s="1">
        <f ca="1">IF(AJ32="","",IF(AJ32=0,0,IF(W32=1,0,SUM(OFFSET($CO$17,N32,1):OFFSET($CO$17,N32+W32-2,1))/W32)))</f>
        <v>0</v>
      </c>
      <c r="AL32" s="1">
        <f t="shared" ca="1" si="27"/>
        <v>4</v>
      </c>
      <c r="AM32" s="1">
        <f ca="1">IF($B32="","",SUMIFS($AL$2:AL32,$I$2:I32,$I32))</f>
        <v>4</v>
      </c>
      <c r="AN32" s="1">
        <f t="shared" si="28"/>
        <v>7.0000309999999999</v>
      </c>
      <c r="AO32" s="1">
        <f>IFERROR(IF($B32="","",AVERAGEIFS($L$2:L32,$I$2:I32,I32,$L$2:L32,"&lt;&gt;0")),0)</f>
        <v>307</v>
      </c>
      <c r="AP32" s="1">
        <f t="shared" si="29"/>
        <v>153.5</v>
      </c>
      <c r="AQ32" s="1">
        <f>IF($B32="","",COUNTIFS($R$2:R32,1,$I$2:I32,$I32))</f>
        <v>0</v>
      </c>
      <c r="AR32" s="1">
        <f t="array" aca="1" ref="AR32" ca="1">IF($B32="","",SUMPRODUCT(--($B$2:$B$313=B32),--(AM32&lt;$AM$2:$AM$313))+1)</f>
        <v>10</v>
      </c>
      <c r="AS32" s="1">
        <f t="array" ref="AS32">IF($B32="","",SUMPRODUCT(--($B$2:$B$313=B32),--(AP32&lt;$AP$2:$AP$313))+1)</f>
        <v>2</v>
      </c>
      <c r="AT32" s="1">
        <f t="array" ref="AT32">IF($B32="","",SUMPRODUCT(--($B$2:$B$313=B32),--(AQ32&lt;$AQ$2:$AQ$313))+1)</f>
        <v>4</v>
      </c>
      <c r="AU32" s="1">
        <f t="shared" si="30"/>
        <v>3.1E-8</v>
      </c>
      <c r="AV32" s="1">
        <f t="shared" ca="1" si="31"/>
        <v>0.10020403100000001</v>
      </c>
      <c r="AW32" s="1" t="str">
        <f t="shared" si="4"/>
        <v/>
      </c>
      <c r="AX32" s="1" t="str">
        <f t="shared" si="32"/>
        <v/>
      </c>
      <c r="AY32" s="8">
        <f t="shared" ca="1" si="33"/>
        <v>0.10020403100000001</v>
      </c>
      <c r="AZ32" s="1" cm="1">
        <f t="array" aca="1" ref="AZ32" ca="1">IF($B32="","",SUMPRODUCT(--($B$2:$B$313=B32),--(AY32&gt;$AY$2:$AY$313))+1)</f>
        <v>10</v>
      </c>
      <c r="BA32" s="1" t="str">
        <f t="shared" si="34"/>
        <v>K2024GP02_13_1</v>
      </c>
      <c r="BB32" s="1" t="str">
        <f t="shared" si="35"/>
        <v>K2024GP02_13_2</v>
      </c>
      <c r="BC32" s="1">
        <f t="shared" si="36"/>
        <v>0</v>
      </c>
      <c r="BD32" s="1">
        <f t="shared" si="37"/>
        <v>0</v>
      </c>
      <c r="BE32" s="1">
        <f t="shared" si="38"/>
        <v>1</v>
      </c>
      <c r="BF32" s="1">
        <f t="shared" si="39"/>
        <v>176</v>
      </c>
      <c r="BG32" s="1">
        <f t="shared" si="40"/>
        <v>131</v>
      </c>
      <c r="BH32" s="1">
        <f t="shared" si="41"/>
        <v>4</v>
      </c>
      <c r="BI32" s="1">
        <f t="shared" si="42"/>
        <v>7</v>
      </c>
      <c r="BJ32" s="1">
        <f t="shared" si="43"/>
        <v>4.07E-2</v>
      </c>
      <c r="BK32" s="1">
        <f t="shared" si="44"/>
        <v>0</v>
      </c>
      <c r="BL32" s="1">
        <f t="shared" si="45"/>
        <v>9.8999999999999994E-5</v>
      </c>
      <c r="BM32" s="1">
        <f t="shared" si="46"/>
        <v>4.0799000000000002E-2</v>
      </c>
      <c r="BN32" s="1">
        <f t="shared" si="47"/>
        <v>0</v>
      </c>
      <c r="BO32" s="1">
        <f t="shared" si="5"/>
        <v>5</v>
      </c>
      <c r="BP32" s="1">
        <f t="shared" si="6"/>
        <v>0</v>
      </c>
      <c r="BQ32" s="1" cm="1">
        <f t="array" ref="BQ32">IF(I32="","",IF(BP32=1,"",IF(L32=0,"",IF(B32=1,"",_xlfn.XLOOKUP(1,($I$2:$I$313=$I32)*($B$2:$B$313=($B32-1)),$BO$2:$BO$313)))))</f>
        <v>15</v>
      </c>
      <c r="BR32" s="1">
        <f>IF(I32="","",IF($B32=1,_xlfn.MINIFS($BO$2:$BO$313,$B$2:$B$313,$B32),_xlfn.MINIFS(BQ$2:$BQ$313,$B$2:$B$313,$B32)))</f>
        <v>1</v>
      </c>
      <c r="BS32" s="1">
        <f t="shared" si="48"/>
        <v>3</v>
      </c>
      <c r="BT32" s="1" t="str" cm="1">
        <f t="array" ref="BT32">IF($I32="","",IF($B32=1,_xlfn.XLOOKUP(1,($B$2:$B$313=$B32)*($BO$2:$BO$313=BR32),Data!$I$2:$I$313,,0),_xlfn.XLOOKUP(1,($B$2:$B$313=$B32)*($BQ$2:$BQ$313=$BR32),$I$2:$I$313,,0)))</f>
        <v>Kaleva Latvala</v>
      </c>
      <c r="BU32" s="1" t="str" cm="1">
        <f t="array" ref="BU32">IF(I32="","",IF($B32=1,_xlfn.XLOOKUP(1,($B$2:$B$313=$B32)*($BO$2:$BO$313=$BS32),$I$2:$I$313,,0),_xlfn.XLOOKUP(1,($B$2:$B$313=$B32)*($BQ$2:$BQ$313=$BS32),$I$2:$I$313,,0)))</f>
        <v>Ossi Oksa</v>
      </c>
      <c r="BV32" s="1" t="str" cm="1">
        <f t="array" ref="BV32">IF($I32="","",IF($B32=1,"",IF($B32=2,_xlfn.XLOOKUP(1,($B$2:$B$313=1)*($BO$2:$BO$313=1),$I$2:$I$313,,0),_xlfn.XLOOKUP($B32-1,$B$2:$B$313,$CH$2:$CH$313,,0))))</f>
        <v>Kaleva Latvala</v>
      </c>
      <c r="BW32" s="1" t="str" cm="1">
        <f t="array" ref="BW32">IF($I32="","",IF($B32=1,"",IF(_xlfn.XLOOKUP(1,($B$2:$B$313=$B32)*($I$2:$I$313=$BV32),$BQ$2:$BQ$313,,0)="","NOK","OK")))</f>
        <v>OK</v>
      </c>
      <c r="BX32" s="1" t="str">
        <f t="shared" si="49"/>
        <v>Kaleva Latvala</v>
      </c>
      <c r="BY32" s="1" t="str">
        <f t="shared" si="50"/>
        <v>Ossi Oksa</v>
      </c>
      <c r="BZ32" s="1">
        <f t="shared" si="51"/>
        <v>136</v>
      </c>
      <c r="CA32" s="1">
        <f t="shared" si="52"/>
        <v>125</v>
      </c>
      <c r="CB32" s="1">
        <f t="shared" si="53"/>
        <v>9.8999999999999994E-5</v>
      </c>
      <c r="CC32" s="1">
        <f t="shared" si="54"/>
        <v>182</v>
      </c>
      <c r="CD32" s="1">
        <f t="shared" si="55"/>
        <v>126</v>
      </c>
      <c r="CE32" s="1">
        <f t="shared" si="56"/>
        <v>9.8999999999999994E-5</v>
      </c>
      <c r="CF32" s="1" t="str">
        <f t="shared" si="57"/>
        <v>Kaleva Latvala (P)</v>
      </c>
      <c r="CG32" s="1" t="str">
        <f t="shared" si="58"/>
        <v>Ossi Oksa (3)</v>
      </c>
      <c r="CH32" s="1" t="str">
        <f t="shared" si="59"/>
        <v>Ossi Oksa</v>
      </c>
      <c r="CI32" s="1">
        <f t="shared" si="60"/>
        <v>0</v>
      </c>
      <c r="CJ32" s="1" t="str">
        <f ca="1">IF(B32="","",IF(SUM(AI32:AK32)&gt;0,"+SP","")&amp;IF(CI32&gt;0,"+KK","")&amp;IF(AB32&gt;0,"+KGP1","")&amp;IF(AC32&gt;0,"+KGP2","")&amp;IF(AG32&lt;0,"-KGP1","")&amp;IF(AH32&lt;0,"-KGP2",""))</f>
        <v>+SP</v>
      </c>
      <c r="CO32" s="1">
        <v>15</v>
      </c>
      <c r="CP32" s="3">
        <v>0</v>
      </c>
      <c r="CQ32" s="6">
        <f ca="1">SUM($CP32:OFFSET($CP32,CQ$17-1,0))/CQ$17</f>
        <v>0</v>
      </c>
      <c r="CR32" s="6">
        <f ca="1">SUM($CP32:OFFSET($CP32,CR$17-1,0))/CR$17</f>
        <v>0</v>
      </c>
      <c r="CS32" s="6">
        <f ca="1">SUM($CP32:OFFSET($CP32,CS$17-1,0))/CS$17</f>
        <v>0</v>
      </c>
      <c r="CT32" s="6">
        <f ca="1">SUM($CP32:OFFSET($CP32,CT$17-1,0))/CT$17</f>
        <v>0</v>
      </c>
      <c r="CU32" s="6">
        <f ca="1">SUM($CP32:OFFSET($CP32,CU$17-1,0))/CU$17</f>
        <v>0</v>
      </c>
      <c r="CV32" s="6">
        <f ca="1">SUM($CP32:OFFSET($CP32,CV$17-1,0))/CV$17</f>
        <v>0</v>
      </c>
      <c r="CW32" s="6">
        <f ca="1">SUM($CP32:OFFSET($CP32,CW$17-1,0))/CW$17</f>
        <v>0</v>
      </c>
      <c r="CX32" s="6">
        <f ca="1">SUM($CP32:OFFSET($CP32,CX$17-1,0))/CX$17</f>
        <v>0</v>
      </c>
      <c r="CY32" s="6">
        <f ca="1">SUM($CP32:OFFSET($CP32,CY$17-1,0))/CY$17</f>
        <v>0</v>
      </c>
      <c r="CZ32" s="6">
        <f ca="1">SUM($CP32:OFFSET($CP32,CZ$17-1,0))/CZ$17</f>
        <v>1</v>
      </c>
      <c r="DA32" s="6">
        <f ca="1">SUM($CP32:OFFSET($CP32,DA$17-1,0))/DA$17</f>
        <v>0.91666666666666663</v>
      </c>
      <c r="DB32" s="6">
        <f ca="1">SUM($CP32:OFFSET($CP32,DB$17-1,0))/DB$17</f>
        <v>0.84615384615384615</v>
      </c>
      <c r="DC32" s="6">
        <f ca="1">SUM($CP32:OFFSET($CP32,DC$17-1,0))/DC$17</f>
        <v>0.7857142857142857</v>
      </c>
      <c r="DD32" s="6">
        <f ca="1">SUM($CP32:OFFSET($CP32,DD$17-1,0))/DD$17</f>
        <v>0.73333333333333328</v>
      </c>
      <c r="DE32" s="6">
        <f ca="1">SUM($CP32:OFFSET($CP32,DE$17-1,0))/DE$17</f>
        <v>0.6875</v>
      </c>
      <c r="DF32" s="6">
        <f ca="1">SUM($CP32:OFFSET($CP32,DF$17-1,0))/DF$17</f>
        <v>0.6470588235294118</v>
      </c>
      <c r="DG32" s="6">
        <f ca="1">SUM($CP32:OFFSET($CP32,DG$17-1,0))/DG$17</f>
        <v>0.61111111111111116</v>
      </c>
      <c r="DH32" s="6">
        <f ca="1">SUM($CP32:OFFSET($CP32,DH$17-1,0))/DH$17</f>
        <v>0.57894736842105265</v>
      </c>
      <c r="DI32" s="6">
        <f ca="1">SUM($CP32:OFFSET($CP32,DI$17-1,0))/DI$17</f>
        <v>0.55000000000000004</v>
      </c>
      <c r="DJ32" s="6">
        <f ca="1">SUM($CP32:OFFSET($CP32,DJ$17-1,0))/DJ$17</f>
        <v>0.52380952380952384</v>
      </c>
      <c r="DK32" s="6">
        <f ca="1">SUM($CP32:OFFSET($CP32,DK$17-1,0))/DK$17</f>
        <v>0.5</v>
      </c>
      <c r="DL32" s="6">
        <f ca="1">SUM($CP32:OFFSET($CP32,DL$17-1,0))/DL$17</f>
        <v>0.47826086956521741</v>
      </c>
      <c r="DM32" s="6">
        <f ca="1">SUM($CP32:OFFSET($CP32,DM$17-1,0))/DM$17</f>
        <v>0.45833333333333331</v>
      </c>
    </row>
    <row r="33" spans="1:117" x14ac:dyDescent="0.25">
      <c r="A33" s="1">
        <f>IFERROR(IF(ROW(A32)=1,1,IF(1+A32&lt;=$CP$1*$CP$2,1+A32,"")),"")</f>
        <v>32</v>
      </c>
      <c r="B33" s="1">
        <f>IF($I33="","",IF(ROW(B32)=1,1,ROUNDUP(A33/$CP$2,0)))</f>
        <v>2</v>
      </c>
      <c r="C33" s="4">
        <f t="shared" si="7"/>
        <v>45585</v>
      </c>
      <c r="D33" s="4" t="str">
        <f t="shared" si="0"/>
        <v>Raision keilahalli</v>
      </c>
      <c r="E33" s="1">
        <f>IF($B33="","",COUNTIF($B$2:B33,B33))</f>
        <v>14</v>
      </c>
      <c r="F33" s="1" t="str">
        <f t="shared" si="1"/>
        <v>K2024GP02</v>
      </c>
      <c r="G33" s="1" t="str">
        <f t="shared" si="8"/>
        <v>K2024GP02_14</v>
      </c>
      <c r="H33" s="1">
        <f t="shared" si="9"/>
        <v>1</v>
      </c>
      <c r="I33" s="3" t="s">
        <v>143</v>
      </c>
      <c r="J33" s="3">
        <v>157</v>
      </c>
      <c r="K33" s="3">
        <v>176</v>
      </c>
      <c r="L33" s="1">
        <f t="shared" si="10"/>
        <v>333</v>
      </c>
      <c r="M33" s="1">
        <f t="shared" si="11"/>
        <v>1</v>
      </c>
      <c r="N33" s="1">
        <f t="shared" si="12"/>
        <v>1</v>
      </c>
      <c r="O33" s="1">
        <f t="shared" si="13"/>
        <v>333</v>
      </c>
      <c r="P33" s="1" t="str">
        <f t="shared" si="14"/>
        <v/>
      </c>
      <c r="Q33" s="1" t="str">
        <f t="array" ref="Q33">IF($B33="","",IF(MAX(IF(B33=$B$2:$B$313,$L$2:$L$313))-L33=0,"",MAX(IF(B33=$B$2:$B$313,$L$2:$L$313))-L33))</f>
        <v/>
      </c>
      <c r="R33" s="1">
        <f t="array" ref="R33">IF($B33="","",SUMPRODUCT(--($B$2:$B$313=B33),--(L33&lt;$L$2:$L$313))+1)</f>
        <v>1</v>
      </c>
      <c r="S33" s="1">
        <f t="shared" si="15"/>
        <v>2</v>
      </c>
      <c r="T33" s="1" cm="1">
        <f t="array" ref="T33">IF($B33="","",IF(M33=0,"",SUMPRODUCT(--($B$2:$B$313=B33),--(J33&lt;$J$2:$J$313))+1))</f>
        <v>2</v>
      </c>
      <c r="U33" s="1">
        <f t="shared" si="16"/>
        <v>-1</v>
      </c>
      <c r="V33" s="1" t="str">
        <f t="shared" si="17"/>
        <v>0201</v>
      </c>
      <c r="W33" s="1">
        <f t="shared" si="18"/>
        <v>2</v>
      </c>
      <c r="X33" s="1">
        <f t="shared" si="2"/>
        <v>0</v>
      </c>
      <c r="Y33" s="1">
        <f>IF($B33="","",MAX(_xlfn.MAXIFS($J$2:J33,$I$2:I33,$I33),_xlfn.MAXIFS($K$2:K33,$I$2:I33,$I33)))</f>
        <v>176</v>
      </c>
      <c r="Z33" s="1">
        <f t="shared" si="3"/>
        <v>193</v>
      </c>
      <c r="AA33" s="1">
        <f t="shared" si="19"/>
        <v>0</v>
      </c>
      <c r="AB33" s="1">
        <f t="shared" si="20"/>
        <v>0</v>
      </c>
      <c r="AC33" s="1">
        <f t="shared" si="21"/>
        <v>0</v>
      </c>
      <c r="AD33" s="1">
        <f>IF($B33="","",MIN(_xlfn.MINIFS($J$2:J33,$I$2:I33,$I33),_xlfn.MINIFS($K$2:K33,$I$2:I33,$I33)))</f>
        <v>157</v>
      </c>
      <c r="AE33" s="1">
        <f t="shared" si="22"/>
        <v>91</v>
      </c>
      <c r="AF33" s="1">
        <f t="shared" si="23"/>
        <v>0</v>
      </c>
      <c r="AG33" s="1">
        <f t="shared" si="24"/>
        <v>0</v>
      </c>
      <c r="AH33" s="1">
        <f t="shared" si="25"/>
        <v>0</v>
      </c>
      <c r="AI33" s="1">
        <f ca="1">IF($B33="","",IF($K33="",0,OFFSET($CO$17,R33,W33)))</f>
        <v>11</v>
      </c>
      <c r="AJ33" s="1">
        <f t="shared" ca="1" si="26"/>
        <v>0</v>
      </c>
      <c r="AK33" s="1">
        <f ca="1">IF(AJ33="","",IF(AJ33=0,0,IF(W33=1,0,SUM(OFFSET($CO$17,N33,1):OFFSET($CO$17,N33+W33-2,1))/W33)))</f>
        <v>0</v>
      </c>
      <c r="AL33" s="1">
        <f t="shared" ca="1" si="27"/>
        <v>11</v>
      </c>
      <c r="AM33" s="1">
        <f ca="1">IF($B33="","",SUMIFS($AL$2:AL33,$I$2:I33,$I33))</f>
        <v>11</v>
      </c>
      <c r="AN33" s="1">
        <f t="shared" si="28"/>
        <v>1.000032</v>
      </c>
      <c r="AO33" s="1">
        <f>IFERROR(IF($B33="","",AVERAGEIFS($L$2:L33,$I$2:I33,I33,$L$2:L33,"&lt;&gt;0")),0)</f>
        <v>333</v>
      </c>
      <c r="AP33" s="1">
        <f t="shared" si="29"/>
        <v>166.5</v>
      </c>
      <c r="AQ33" s="1">
        <f>IF($B33="","",COUNTIFS($R$2:R33,1,$I$2:I33,$I33))</f>
        <v>1</v>
      </c>
      <c r="AR33" s="1">
        <f t="array" aca="1" ref="AR33" ca="1">IF($B33="","",SUMPRODUCT(--($B$2:$B$313=B33),--(AM33&lt;$AM$2:$AM$313))+1)</f>
        <v>4</v>
      </c>
      <c r="AS33" s="1">
        <f t="array" ref="AS33">IF($B33="","",SUMPRODUCT(--($B$2:$B$313=B33),--(AP33&lt;$AP$2:$AP$313))+1)</f>
        <v>1</v>
      </c>
      <c r="AT33" s="1">
        <f t="array" ref="AT33">IF($B33="","",SUMPRODUCT(--($B$2:$B$313=B33),--(AQ33&lt;$AQ$2:$AQ$313))+1)</f>
        <v>1</v>
      </c>
      <c r="AU33" s="1">
        <f t="shared" si="30"/>
        <v>3.2000000000000002E-8</v>
      </c>
      <c r="AV33" s="1">
        <f t="shared" ca="1" si="31"/>
        <v>4.0101032000000002E-2</v>
      </c>
      <c r="AW33" s="1" t="str">
        <f t="shared" si="4"/>
        <v/>
      </c>
      <c r="AX33" s="1" t="str">
        <f t="shared" si="32"/>
        <v/>
      </c>
      <c r="AY33" s="8">
        <f t="shared" ca="1" si="33"/>
        <v>4.0101032000000002E-2</v>
      </c>
      <c r="AZ33" s="1" cm="1">
        <f t="array" aca="1" ref="AZ33" ca="1">IF($B33="","",SUMPRODUCT(--($B$2:$B$313=B33),--(AY33&gt;$AY$2:$AY$313))+1)</f>
        <v>4</v>
      </c>
      <c r="BA33" s="1" t="str">
        <f t="shared" si="34"/>
        <v>K2024GP02_14_1</v>
      </c>
      <c r="BB33" s="1" t="str">
        <f t="shared" si="35"/>
        <v>K2024GP02_14_2</v>
      </c>
      <c r="BC33" s="1">
        <f t="shared" si="36"/>
        <v>1</v>
      </c>
      <c r="BD33" s="1">
        <f t="shared" si="37"/>
        <v>1</v>
      </c>
      <c r="BE33" s="1">
        <f t="shared" si="38"/>
        <v>1</v>
      </c>
      <c r="BF33" s="1">
        <f t="shared" si="39"/>
        <v>176</v>
      </c>
      <c r="BG33" s="1">
        <f t="shared" si="40"/>
        <v>157</v>
      </c>
      <c r="BH33" s="1">
        <f t="shared" si="41"/>
        <v>4</v>
      </c>
      <c r="BI33" s="1">
        <f t="shared" si="42"/>
        <v>1</v>
      </c>
      <c r="BJ33" s="1">
        <f t="shared" si="43"/>
        <v>4.0100000000000004E-2</v>
      </c>
      <c r="BK33" s="1">
        <f t="shared" si="44"/>
        <v>0</v>
      </c>
      <c r="BL33" s="1">
        <f t="shared" si="45"/>
        <v>9.8999999999999994E-5</v>
      </c>
      <c r="BM33" s="1">
        <f t="shared" si="46"/>
        <v>4.0199000000000006E-2</v>
      </c>
      <c r="BN33" s="1">
        <f t="shared" si="47"/>
        <v>0</v>
      </c>
      <c r="BO33" s="1">
        <f t="shared" si="5"/>
        <v>4</v>
      </c>
      <c r="BP33" s="1">
        <f t="shared" si="6"/>
        <v>0</v>
      </c>
      <c r="BQ33" s="1" cm="1">
        <f t="array" ref="BQ33">IF(I33="","",IF(BP33=1,"",IF(L33=0,"",IF(B33=1,"",_xlfn.XLOOKUP(1,($I$2:$I$313=$I33)*($B$2:$B$313=($B33-1)),$BO$2:$BO$313)))))</f>
        <v>13</v>
      </c>
      <c r="BR33" s="1">
        <f>IF(I33="","",IF($B33=1,_xlfn.MINIFS($BO$2:$BO$313,$B$2:$B$313,$B33),_xlfn.MINIFS(BQ$2:$BQ$313,$B$2:$B$313,$B33)))</f>
        <v>1</v>
      </c>
      <c r="BS33" s="1">
        <f t="shared" si="48"/>
        <v>3</v>
      </c>
      <c r="BT33" s="1" t="str" cm="1">
        <f t="array" ref="BT33">IF($I33="","",IF($B33=1,_xlfn.XLOOKUP(1,($B$2:$B$313=$B33)*($BO$2:$BO$313=BR33),Data!$I$2:$I$313,,0),_xlfn.XLOOKUP(1,($B$2:$B$313=$B33)*($BQ$2:$BQ$313=$BR33),$I$2:$I$313,,0)))</f>
        <v>Kaleva Latvala</v>
      </c>
      <c r="BU33" s="1" t="str" cm="1">
        <f t="array" ref="BU33">IF(I33="","",IF($B33=1,_xlfn.XLOOKUP(1,($B$2:$B$313=$B33)*($BO$2:$BO$313=$BS33),$I$2:$I$313,,0),_xlfn.XLOOKUP(1,($B$2:$B$313=$B33)*($BQ$2:$BQ$313=$BS33),$I$2:$I$313,,0)))</f>
        <v>Ossi Oksa</v>
      </c>
      <c r="BV33" s="1" t="str" cm="1">
        <f t="array" ref="BV33">IF($I33="","",IF($B33=1,"",IF($B33=2,_xlfn.XLOOKUP(1,($B$2:$B$313=1)*($BO$2:$BO$313=1),$I$2:$I$313,,0),_xlfn.XLOOKUP($B33-1,$B$2:$B$313,$CH$2:$CH$313,,0))))</f>
        <v>Kaleva Latvala</v>
      </c>
      <c r="BW33" s="1" t="str" cm="1">
        <f t="array" ref="BW33">IF($I33="","",IF($B33=1,"",IF(_xlfn.XLOOKUP(1,($B$2:$B$313=$B33)*($I$2:$I$313=$BV33),$BQ$2:$BQ$313,,0)="","NOK","OK")))</f>
        <v>OK</v>
      </c>
      <c r="BX33" s="1" t="str">
        <f t="shared" si="49"/>
        <v>Kaleva Latvala</v>
      </c>
      <c r="BY33" s="1" t="str">
        <f t="shared" si="50"/>
        <v>Ossi Oksa</v>
      </c>
      <c r="BZ33" s="1">
        <f t="shared" si="51"/>
        <v>136</v>
      </c>
      <c r="CA33" s="1">
        <f t="shared" si="52"/>
        <v>125</v>
      </c>
      <c r="CB33" s="1">
        <f t="shared" si="53"/>
        <v>9.8999999999999994E-5</v>
      </c>
      <c r="CC33" s="1">
        <f t="shared" si="54"/>
        <v>182</v>
      </c>
      <c r="CD33" s="1">
        <f t="shared" si="55"/>
        <v>126</v>
      </c>
      <c r="CE33" s="1">
        <f t="shared" si="56"/>
        <v>9.8999999999999994E-5</v>
      </c>
      <c r="CF33" s="1" t="str">
        <f t="shared" si="57"/>
        <v>Kaleva Latvala (P)</v>
      </c>
      <c r="CG33" s="1" t="str">
        <f t="shared" si="58"/>
        <v>Ossi Oksa (3)</v>
      </c>
      <c r="CH33" s="1" t="str">
        <f t="shared" si="59"/>
        <v>Ossi Oksa</v>
      </c>
      <c r="CI33" s="1">
        <f t="shared" si="60"/>
        <v>0</v>
      </c>
      <c r="CJ33" s="1" t="str">
        <f ca="1">IF(B33="","",IF(SUM(AI33:AK33)&gt;0,"+SP","")&amp;IF(CI33&gt;0,"+KK","")&amp;IF(AB33&gt;0,"+KGP1","")&amp;IF(AC33&gt;0,"+KGP2","")&amp;IF(AG33&lt;0,"-KGP1","")&amp;IF(AH33&lt;0,"-KGP2",""))</f>
        <v>+SP</v>
      </c>
      <c r="CO33" s="1">
        <v>16</v>
      </c>
      <c r="CP33" s="3">
        <v>0</v>
      </c>
      <c r="CQ33" s="6">
        <f ca="1">SUM($CP33:OFFSET($CP33,CQ$17-1,0))/CQ$17</f>
        <v>0</v>
      </c>
      <c r="CR33" s="6">
        <f ca="1">SUM($CP33:OFFSET($CP33,CR$17-1,0))/CR$17</f>
        <v>0</v>
      </c>
      <c r="CS33" s="6">
        <f ca="1">SUM($CP33:OFFSET($CP33,CS$17-1,0))/CS$17</f>
        <v>0</v>
      </c>
      <c r="CT33" s="6">
        <f ca="1">SUM($CP33:OFFSET($CP33,CT$17-1,0))/CT$17</f>
        <v>0</v>
      </c>
      <c r="CU33" s="6">
        <f ca="1">SUM($CP33:OFFSET($CP33,CU$17-1,0))/CU$17</f>
        <v>0</v>
      </c>
      <c r="CV33" s="6">
        <f ca="1">SUM($CP33:OFFSET($CP33,CV$17-1,0))/CV$17</f>
        <v>0</v>
      </c>
      <c r="CW33" s="6">
        <f ca="1">SUM($CP33:OFFSET($CP33,CW$17-1,0))/CW$17</f>
        <v>0</v>
      </c>
      <c r="CX33" s="6">
        <f ca="1">SUM($CP33:OFFSET($CP33,CX$17-1,0))/CX$17</f>
        <v>0</v>
      </c>
      <c r="CY33" s="6">
        <f ca="1">SUM($CP33:OFFSET($CP33,CY$17-1,0))/CY$17</f>
        <v>1.1000000000000001</v>
      </c>
      <c r="CZ33" s="6">
        <f ca="1">SUM($CP33:OFFSET($CP33,CZ$17-1,0))/CZ$17</f>
        <v>1</v>
      </c>
      <c r="DA33" s="6">
        <f ca="1">SUM($CP33:OFFSET($CP33,DA$17-1,0))/DA$17</f>
        <v>0.91666666666666663</v>
      </c>
      <c r="DB33" s="6">
        <f ca="1">SUM($CP33:OFFSET($CP33,DB$17-1,0))/DB$17</f>
        <v>0.84615384615384615</v>
      </c>
      <c r="DC33" s="6">
        <f ca="1">SUM($CP33:OFFSET($CP33,DC$17-1,0))/DC$17</f>
        <v>0.7857142857142857</v>
      </c>
      <c r="DD33" s="6">
        <f ca="1">SUM($CP33:OFFSET($CP33,DD$17-1,0))/DD$17</f>
        <v>0.73333333333333328</v>
      </c>
      <c r="DE33" s="6">
        <f ca="1">SUM($CP33:OFFSET($CP33,DE$17-1,0))/DE$17</f>
        <v>0.6875</v>
      </c>
      <c r="DF33" s="6">
        <f ca="1">SUM($CP33:OFFSET($CP33,DF$17-1,0))/DF$17</f>
        <v>0.6470588235294118</v>
      </c>
      <c r="DG33" s="6">
        <f ca="1">SUM($CP33:OFFSET($CP33,DG$17-1,0))/DG$17</f>
        <v>0.61111111111111116</v>
      </c>
      <c r="DH33" s="6">
        <f ca="1">SUM($CP33:OFFSET($CP33,DH$17-1,0))/DH$17</f>
        <v>0.57894736842105265</v>
      </c>
      <c r="DI33" s="6">
        <f ca="1">SUM($CP33:OFFSET($CP33,DI$17-1,0))/DI$17</f>
        <v>0.55000000000000004</v>
      </c>
      <c r="DJ33" s="6">
        <f ca="1">SUM($CP33:OFFSET($CP33,DJ$17-1,0))/DJ$17</f>
        <v>0.52380952380952384</v>
      </c>
      <c r="DK33" s="6">
        <f ca="1">SUM($CP33:OFFSET($CP33,DK$17-1,0))/DK$17</f>
        <v>0.5</v>
      </c>
      <c r="DL33" s="6">
        <f ca="1">SUM($CP33:OFFSET($CP33,DL$17-1,0))/DL$17</f>
        <v>0.47826086956521741</v>
      </c>
      <c r="DM33" s="6">
        <f ca="1">SUM($CP33:OFFSET($CP33,DM$17-1,0))/DM$17</f>
        <v>0.45833333333333331</v>
      </c>
    </row>
    <row r="34" spans="1:117" x14ac:dyDescent="0.25">
      <c r="A34" s="1">
        <f>IFERROR(IF(ROW(A33)=1,1,IF(1+A33&lt;=$CP$1*$CP$2,1+A33,"")),"")</f>
        <v>33</v>
      </c>
      <c r="B34" s="1">
        <f>IF($I34="","",IF(ROW(B33)=1,1,ROUNDUP(A34/$CP$2,0)))</f>
        <v>2</v>
      </c>
      <c r="C34" s="4">
        <f t="shared" si="7"/>
        <v>45585</v>
      </c>
      <c r="D34" s="4" t="str">
        <f t="shared" si="0"/>
        <v>Raision keilahalli</v>
      </c>
      <c r="E34" s="1">
        <f>IF($B34="","",COUNTIF($B$2:B34,B34))</f>
        <v>15</v>
      </c>
      <c r="F34" s="1" t="str">
        <f t="shared" si="1"/>
        <v>K2024GP02</v>
      </c>
      <c r="G34" s="1" t="str">
        <f t="shared" si="8"/>
        <v>K2024GP02_15</v>
      </c>
      <c r="H34" s="1">
        <f t="shared" si="9"/>
        <v>1</v>
      </c>
      <c r="I34" s="3" t="s">
        <v>133</v>
      </c>
      <c r="J34" s="3">
        <v>91</v>
      </c>
      <c r="K34" s="3">
        <v>139</v>
      </c>
      <c r="L34" s="1">
        <f t="shared" si="10"/>
        <v>230</v>
      </c>
      <c r="M34" s="1">
        <f t="shared" si="11"/>
        <v>1</v>
      </c>
      <c r="N34" s="1">
        <f t="shared" si="12"/>
        <v>13</v>
      </c>
      <c r="O34" s="1">
        <f t="shared" si="13"/>
        <v>230</v>
      </c>
      <c r="P34" s="1">
        <f t="shared" si="14"/>
        <v>103</v>
      </c>
      <c r="Q34" s="1">
        <f t="array" ref="Q34">IF($B34="","",IF(MAX(IF(B34=$B$2:$B$313,$L$2:$L$313))-L34=0,"",MAX(IF(B34=$B$2:$B$313,$L$2:$L$313))-L34))</f>
        <v>103</v>
      </c>
      <c r="R34" s="1">
        <f t="array" ref="R34">IF($B34="","",SUMPRODUCT(--($B$2:$B$313=B34),--(L34&lt;$L$2:$L$313))+1)</f>
        <v>13</v>
      </c>
      <c r="S34" s="1">
        <f t="shared" si="15"/>
        <v>2</v>
      </c>
      <c r="T34" s="1" cm="1">
        <f t="array" ref="T34">IF($B34="","",IF(M34=0,"",SUMPRODUCT(--($B$2:$B$313=B34),--(J34&lt;$J$2:$J$313))+1))</f>
        <v>15</v>
      </c>
      <c r="U34" s="1">
        <f t="shared" si="16"/>
        <v>-2</v>
      </c>
      <c r="V34" s="1" t="str">
        <f t="shared" si="17"/>
        <v>0213</v>
      </c>
      <c r="W34" s="1">
        <f t="shared" si="18"/>
        <v>1</v>
      </c>
      <c r="X34" s="1">
        <f t="shared" si="2"/>
        <v>0</v>
      </c>
      <c r="Y34" s="1">
        <f>IF($B34="","",MAX(_xlfn.MAXIFS($J$2:J34,$I$2:I34,$I34),_xlfn.MAXIFS($K$2:K34,$I$2:I34,$I34)))</f>
        <v>139</v>
      </c>
      <c r="Z34" s="1">
        <f t="shared" si="3"/>
        <v>193</v>
      </c>
      <c r="AA34" s="1">
        <f t="shared" si="19"/>
        <v>0</v>
      </c>
      <c r="AB34" s="1">
        <f t="shared" si="20"/>
        <v>0</v>
      </c>
      <c r="AC34" s="1">
        <f t="shared" si="21"/>
        <v>0</v>
      </c>
      <c r="AD34" s="1">
        <f>IF($B34="","",MIN(_xlfn.MINIFS($J$2:J34,$I$2:I34,$I34),_xlfn.MINIFS($K$2:K34,$I$2:I34,$I34)))</f>
        <v>91</v>
      </c>
      <c r="AE34" s="1">
        <f t="shared" si="22"/>
        <v>91</v>
      </c>
      <c r="AF34" s="1">
        <f t="shared" si="23"/>
        <v>0</v>
      </c>
      <c r="AG34" s="1">
        <f t="shared" si="24"/>
        <v>0</v>
      </c>
      <c r="AH34" s="1">
        <f t="shared" si="25"/>
        <v>0</v>
      </c>
      <c r="AI34" s="1">
        <f ca="1">IF($B34="","",IF($K34="",0,OFFSET($CO$17,R34,W34)))</f>
        <v>0</v>
      </c>
      <c r="AJ34" s="1">
        <f t="shared" ca="1" si="26"/>
        <v>0</v>
      </c>
      <c r="AK34" s="1">
        <f ca="1">IF(AJ34="","",IF(AJ34=0,0,IF(W34=1,0,SUM(OFFSET($CO$17,N34,1):OFFSET($CO$17,N34+W34-2,1))/W34)))</f>
        <v>0</v>
      </c>
      <c r="AL34" s="1">
        <f t="shared" ca="1" si="27"/>
        <v>0</v>
      </c>
      <c r="AM34" s="1">
        <f ca="1">IF($B34="","",SUMIFS($AL$2:AL34,$I$2:I34,$I34))</f>
        <v>10</v>
      </c>
      <c r="AN34" s="1">
        <f t="shared" si="28"/>
        <v>13.000033</v>
      </c>
      <c r="AO34" s="1">
        <f>IFERROR(IF($B34="","",AVERAGEIFS($L$2:L34,$I$2:I34,I34,$L$2:L34,"&lt;&gt;0")),0)</f>
        <v>239</v>
      </c>
      <c r="AP34" s="1">
        <f t="shared" si="29"/>
        <v>119.5</v>
      </c>
      <c r="AQ34" s="1">
        <f>IF($B34="","",COUNTIFS($R$2:R34,1,$I$2:I34,$I34))</f>
        <v>0</v>
      </c>
      <c r="AR34" s="1">
        <f t="array" aca="1" ref="AR34" ca="1">IF($B34="","",SUMPRODUCT(--($B$2:$B$313=B34),--(AM34&lt;$AM$2:$AM$313))+1)</f>
        <v>6</v>
      </c>
      <c r="AS34" s="1">
        <f t="array" ref="AS34">IF($B34="","",SUMPRODUCT(--($B$2:$B$313=B34),--(AP34&lt;$AP$2:$AP$313))+1)</f>
        <v>13</v>
      </c>
      <c r="AT34" s="1">
        <f t="array" ref="AT34">IF($B34="","",SUMPRODUCT(--($B$2:$B$313=B34),--(AQ34&lt;$AQ$2:$AQ$313))+1)</f>
        <v>4</v>
      </c>
      <c r="AU34" s="1">
        <f t="shared" si="30"/>
        <v>3.2999999999999998E-8</v>
      </c>
      <c r="AV34" s="1">
        <f t="shared" ca="1" si="31"/>
        <v>6.1304033000000001E-2</v>
      </c>
      <c r="AW34" s="1" t="str">
        <f t="shared" si="4"/>
        <v/>
      </c>
      <c r="AX34" s="1" t="str">
        <f t="shared" si="32"/>
        <v/>
      </c>
      <c r="AY34" s="8">
        <f t="shared" ca="1" si="33"/>
        <v>6.1304033000000001E-2</v>
      </c>
      <c r="AZ34" s="1" cm="1">
        <f t="array" aca="1" ref="AZ34" ca="1">IF($B34="","",SUMPRODUCT(--($B$2:$B$313=B34),--(AY34&gt;$AY$2:$AY$313))+1)</f>
        <v>6</v>
      </c>
      <c r="BA34" s="1" t="str">
        <f t="shared" si="34"/>
        <v>K2024GP02_15_1</v>
      </c>
      <c r="BB34" s="1" t="str">
        <f t="shared" si="35"/>
        <v>K2024GP02_15_2</v>
      </c>
      <c r="BC34" s="1">
        <f t="shared" si="36"/>
        <v>0</v>
      </c>
      <c r="BD34" s="1">
        <f t="shared" si="37"/>
        <v>0</v>
      </c>
      <c r="BE34" s="1">
        <f t="shared" si="38"/>
        <v>1</v>
      </c>
      <c r="BF34" s="1">
        <f t="shared" si="39"/>
        <v>139</v>
      </c>
      <c r="BG34" s="1">
        <f t="shared" si="40"/>
        <v>91</v>
      </c>
      <c r="BH34" s="1">
        <f t="shared" si="41"/>
        <v>9</v>
      </c>
      <c r="BI34" s="1">
        <f t="shared" si="42"/>
        <v>15</v>
      </c>
      <c r="BJ34" s="1">
        <f t="shared" si="43"/>
        <v>9.1499999999999998E-2</v>
      </c>
      <c r="BK34" s="1">
        <f t="shared" si="44"/>
        <v>0</v>
      </c>
      <c r="BL34" s="1">
        <f t="shared" si="45"/>
        <v>9.8999999999999994E-5</v>
      </c>
      <c r="BM34" s="1">
        <f t="shared" si="46"/>
        <v>9.1599E-2</v>
      </c>
      <c r="BN34" s="1">
        <f t="shared" si="47"/>
        <v>0</v>
      </c>
      <c r="BO34" s="1">
        <f t="shared" si="5"/>
        <v>10</v>
      </c>
      <c r="BP34" s="1">
        <f t="shared" si="6"/>
        <v>0</v>
      </c>
      <c r="BQ34" s="1" cm="1">
        <f t="array" ref="BQ34">IF(I34="","",IF(BP34=1,"",IF(L34=0,"",IF(B34=1,"",_xlfn.XLOOKUP(1,($I$2:$I$313=$I34)*($B$2:$B$313=($B34-1)),$BO$2:$BO$313)))))</f>
        <v>6</v>
      </c>
      <c r="BR34" s="1">
        <f>IF(I34="","",IF($B34=1,_xlfn.MINIFS($BO$2:$BO$313,$B$2:$B$313,$B34),_xlfn.MINIFS(BQ$2:$BQ$313,$B$2:$B$313,$B34)))</f>
        <v>1</v>
      </c>
      <c r="BS34" s="1">
        <f t="shared" si="48"/>
        <v>3</v>
      </c>
      <c r="BT34" s="1" t="str" cm="1">
        <f t="array" ref="BT34">IF($I34="","",IF($B34=1,_xlfn.XLOOKUP(1,($B$2:$B$313=$B34)*($BO$2:$BO$313=BR34),Data!$I$2:$I$313,,0),_xlfn.XLOOKUP(1,($B$2:$B$313=$B34)*($BQ$2:$BQ$313=$BR34),$I$2:$I$313,,0)))</f>
        <v>Kaleva Latvala</v>
      </c>
      <c r="BU34" s="1" t="str" cm="1">
        <f t="array" ref="BU34">IF(I34="","",IF($B34=1,_xlfn.XLOOKUP(1,($B$2:$B$313=$B34)*($BO$2:$BO$313=$BS34),$I$2:$I$313,,0),_xlfn.XLOOKUP(1,($B$2:$B$313=$B34)*($BQ$2:$BQ$313=$BS34),$I$2:$I$313,,0)))</f>
        <v>Ossi Oksa</v>
      </c>
      <c r="BV34" s="1" t="str" cm="1">
        <f t="array" ref="BV34">IF($I34="","",IF($B34=1,"",IF($B34=2,_xlfn.XLOOKUP(1,($B$2:$B$313=1)*($BO$2:$BO$313=1),$I$2:$I$313,,0),_xlfn.XLOOKUP($B34-1,$B$2:$B$313,$CH$2:$CH$313,,0))))</f>
        <v>Kaleva Latvala</v>
      </c>
      <c r="BW34" s="1" t="str" cm="1">
        <f t="array" ref="BW34">IF($I34="","",IF($B34=1,"",IF(_xlfn.XLOOKUP(1,($B$2:$B$313=$B34)*($I$2:$I$313=$BV34),$BQ$2:$BQ$313,,0)="","NOK","OK")))</f>
        <v>OK</v>
      </c>
      <c r="BX34" s="1" t="str">
        <f t="shared" si="49"/>
        <v>Kaleva Latvala</v>
      </c>
      <c r="BY34" s="1" t="str">
        <f t="shared" si="50"/>
        <v>Ossi Oksa</v>
      </c>
      <c r="BZ34" s="1">
        <f t="shared" si="51"/>
        <v>136</v>
      </c>
      <c r="CA34" s="1">
        <f t="shared" si="52"/>
        <v>125</v>
      </c>
      <c r="CB34" s="1">
        <f t="shared" si="53"/>
        <v>9.8999999999999994E-5</v>
      </c>
      <c r="CC34" s="1">
        <f t="shared" si="54"/>
        <v>182</v>
      </c>
      <c r="CD34" s="1">
        <f t="shared" si="55"/>
        <v>126</v>
      </c>
      <c r="CE34" s="1">
        <f t="shared" si="56"/>
        <v>9.8999999999999994E-5</v>
      </c>
      <c r="CF34" s="1" t="str">
        <f t="shared" si="57"/>
        <v>Kaleva Latvala (P)</v>
      </c>
      <c r="CG34" s="1" t="str">
        <f t="shared" si="58"/>
        <v>Ossi Oksa (3)</v>
      </c>
      <c r="CH34" s="1" t="str">
        <f t="shared" si="59"/>
        <v>Ossi Oksa</v>
      </c>
      <c r="CI34" s="1">
        <f t="shared" si="60"/>
        <v>0</v>
      </c>
      <c r="CJ34" s="1" t="str">
        <f ca="1">IF(B34="","",IF(SUM(AI34:AK34)&gt;0,"+SP","")&amp;IF(CI34&gt;0,"+KK","")&amp;IF(AB34&gt;0,"+KGP1","")&amp;IF(AC34&gt;0,"+KGP2","")&amp;IF(AG34&lt;0,"-KGP1","")&amp;IF(AH34&lt;0,"-KGP2",""))</f>
        <v/>
      </c>
      <c r="CO34" s="1">
        <v>17</v>
      </c>
      <c r="CP34" s="3">
        <v>0</v>
      </c>
      <c r="CQ34" s="6">
        <f ca="1">SUM($CP34:OFFSET($CP34,CQ$17-1,0))/CQ$17</f>
        <v>0</v>
      </c>
      <c r="CR34" s="6">
        <f ca="1">SUM($CP34:OFFSET($CP34,CR$17-1,0))/CR$17</f>
        <v>0</v>
      </c>
      <c r="CS34" s="6">
        <f ca="1">SUM($CP34:OFFSET($CP34,CS$17-1,0))/CS$17</f>
        <v>0</v>
      </c>
      <c r="CT34" s="6">
        <f ca="1">SUM($CP34:OFFSET($CP34,CT$17-1,0))/CT$17</f>
        <v>0</v>
      </c>
      <c r="CU34" s="6">
        <f ca="1">SUM($CP34:OFFSET($CP34,CU$17-1,0))/CU$17</f>
        <v>0</v>
      </c>
      <c r="CV34" s="6">
        <f ca="1">SUM($CP34:OFFSET($CP34,CV$17-1,0))/CV$17</f>
        <v>0</v>
      </c>
      <c r="CW34" s="6">
        <f ca="1">SUM($CP34:OFFSET($CP34,CW$17-1,0))/CW$17</f>
        <v>0</v>
      </c>
      <c r="CX34" s="6">
        <f ca="1">SUM($CP34:OFFSET($CP34,CX$17-1,0))/CX$17</f>
        <v>1.2222222222222223</v>
      </c>
      <c r="CY34" s="6">
        <f ca="1">SUM($CP34:OFFSET($CP34,CY$17-1,0))/CY$17</f>
        <v>1.1000000000000001</v>
      </c>
      <c r="CZ34" s="6">
        <f ca="1">SUM($CP34:OFFSET($CP34,CZ$17-1,0))/CZ$17</f>
        <v>1</v>
      </c>
      <c r="DA34" s="6">
        <f ca="1">SUM($CP34:OFFSET($CP34,DA$17-1,0))/DA$17</f>
        <v>0.91666666666666663</v>
      </c>
      <c r="DB34" s="6">
        <f ca="1">SUM($CP34:OFFSET($CP34,DB$17-1,0))/DB$17</f>
        <v>0.84615384615384615</v>
      </c>
      <c r="DC34" s="6">
        <f ca="1">SUM($CP34:OFFSET($CP34,DC$17-1,0))/DC$17</f>
        <v>0.7857142857142857</v>
      </c>
      <c r="DD34" s="6">
        <f ca="1">SUM($CP34:OFFSET($CP34,DD$17-1,0))/DD$17</f>
        <v>0.73333333333333328</v>
      </c>
      <c r="DE34" s="6">
        <f ca="1">SUM($CP34:OFFSET($CP34,DE$17-1,0))/DE$17</f>
        <v>0.6875</v>
      </c>
      <c r="DF34" s="6">
        <f ca="1">SUM($CP34:OFFSET($CP34,DF$17-1,0))/DF$17</f>
        <v>0.6470588235294118</v>
      </c>
      <c r="DG34" s="6">
        <f ca="1">SUM($CP34:OFFSET($CP34,DG$17-1,0))/DG$17</f>
        <v>0.61111111111111116</v>
      </c>
      <c r="DH34" s="6">
        <f ca="1">SUM($CP34:OFFSET($CP34,DH$17-1,0))/DH$17</f>
        <v>0.57894736842105265</v>
      </c>
      <c r="DI34" s="6">
        <f ca="1">SUM($CP34:OFFSET($CP34,DI$17-1,0))/DI$17</f>
        <v>0.55000000000000004</v>
      </c>
      <c r="DJ34" s="6">
        <f ca="1">SUM($CP34:OFFSET($CP34,DJ$17-1,0))/DJ$17</f>
        <v>0.52380952380952384</v>
      </c>
      <c r="DK34" s="6">
        <f ca="1">SUM($CP34:OFFSET($CP34,DK$17-1,0))/DK$17</f>
        <v>0.5</v>
      </c>
      <c r="DL34" s="6">
        <f ca="1">SUM($CP34:OFFSET($CP34,DL$17-1,0))/DL$17</f>
        <v>0.47826086956521741</v>
      </c>
      <c r="DM34" s="6">
        <f ca="1">SUM($CP34:OFFSET($CP34,DM$17-1,0))/DM$17</f>
        <v>0.45833333333333331</v>
      </c>
    </row>
    <row r="35" spans="1:117" x14ac:dyDescent="0.25">
      <c r="A35" s="1">
        <f>IFERROR(IF(ROW(A34)=1,1,IF(1+A34&lt;=$CP$1*$CP$2,1+A34,"")),"")</f>
        <v>34</v>
      </c>
      <c r="B35" s="1">
        <f>IF($I35="","",IF(ROW(B34)=1,1,ROUNDUP(A35/$CP$2,0)))</f>
        <v>2</v>
      </c>
      <c r="C35" s="4">
        <f t="shared" si="7"/>
        <v>45585</v>
      </c>
      <c r="D35" s="4" t="str">
        <f t="shared" si="0"/>
        <v>Raision keilahalli</v>
      </c>
      <c r="E35" s="1">
        <f>IF($B35="","",COUNTIF($B$2:B35,B35))</f>
        <v>16</v>
      </c>
      <c r="F35" s="1" t="str">
        <f t="shared" si="1"/>
        <v>K2024GP02</v>
      </c>
      <c r="G35" s="1" t="str">
        <f t="shared" si="8"/>
        <v>K2024GP02_16</v>
      </c>
      <c r="H35" s="1">
        <f t="shared" si="9"/>
        <v>1</v>
      </c>
      <c r="I35" s="3" t="s">
        <v>138</v>
      </c>
      <c r="J35" s="3"/>
      <c r="K35" s="3"/>
      <c r="L35" s="1">
        <f t="shared" si="10"/>
        <v>0</v>
      </c>
      <c r="M35" s="1">
        <f t="shared" si="11"/>
        <v>0</v>
      </c>
      <c r="N35" s="1" t="str">
        <f t="shared" si="12"/>
        <v/>
      </c>
      <c r="O35" s="1" t="str">
        <f t="shared" si="13"/>
        <v/>
      </c>
      <c r="P35" s="1" t="str">
        <f t="shared" si="14"/>
        <v/>
      </c>
      <c r="Q35" s="1">
        <f t="array" ref="Q35">IF($B35="","",IF(MAX(IF(B35=$B$2:$B$313,$L$2:$L$313))-L35=0,"",MAX(IF(B35=$B$2:$B$313,$L$2:$L$313))-L35))</f>
        <v>333</v>
      </c>
      <c r="R35" s="1">
        <f t="array" ref="R35">IF($B35="","",SUMPRODUCT(--($B$2:$B$313=B35),--(L35&lt;$L$2:$L$313))+1)</f>
        <v>16</v>
      </c>
      <c r="S35" s="1">
        <f t="shared" si="15"/>
        <v>0</v>
      </c>
      <c r="T35" s="1" t="str" cm="1">
        <f t="array" ref="T35">IF($B35="","",IF(M35=0,"",SUMPRODUCT(--($B$2:$B$313=B35),--(J35&lt;$J$2:$J$313))+1))</f>
        <v/>
      </c>
      <c r="U35" s="1" t="str">
        <f t="shared" si="16"/>
        <v/>
      </c>
      <c r="V35" s="1" t="str">
        <f t="shared" si="17"/>
        <v>0216</v>
      </c>
      <c r="W35" s="1">
        <f t="shared" si="18"/>
        <v>3</v>
      </c>
      <c r="X35" s="1">
        <f t="shared" si="2"/>
        <v>0</v>
      </c>
      <c r="Y35" s="1">
        <f>IF($B35="","",MAX(_xlfn.MAXIFS($J$2:J35,$I$2:I35,$I35),_xlfn.MAXIFS($K$2:K35,$I$2:I35,$I35)))</f>
        <v>114</v>
      </c>
      <c r="Z35" s="1">
        <f t="shared" si="3"/>
        <v>193</v>
      </c>
      <c r="AA35" s="1">
        <f t="shared" si="19"/>
        <v>0</v>
      </c>
      <c r="AB35" s="1">
        <f t="shared" si="20"/>
        <v>0</v>
      </c>
      <c r="AC35" s="1">
        <f t="shared" si="21"/>
        <v>0</v>
      </c>
      <c r="AD35" s="1">
        <f>IF($B35="","",MIN(_xlfn.MINIFS($J$2:J35,$I$2:I35,$I35),_xlfn.MINIFS($K$2:K35,$I$2:I35,$I35)))</f>
        <v>87</v>
      </c>
      <c r="AE35" s="1">
        <f t="shared" si="22"/>
        <v>91</v>
      </c>
      <c r="AF35" s="1">
        <f t="shared" si="23"/>
        <v>0</v>
      </c>
      <c r="AG35" s="1">
        <f t="shared" si="24"/>
        <v>0</v>
      </c>
      <c r="AH35" s="1">
        <f t="shared" si="25"/>
        <v>0</v>
      </c>
      <c r="AI35" s="1">
        <f ca="1">IF($B35="","",IF($K35="",0,OFFSET($CO$17,R35,W35)))</f>
        <v>0</v>
      </c>
      <c r="AJ35" s="1">
        <f t="shared" ca="1" si="26"/>
        <v>0</v>
      </c>
      <c r="AK35" s="1">
        <f ca="1">IF(AJ35="","",IF(AJ35=0,0,IF(W35=1,0,SUM(OFFSET($CO$17,N35,1):OFFSET($CO$17,N35+W35-2,1))/W35)))</f>
        <v>0</v>
      </c>
      <c r="AL35" s="1">
        <f t="shared" si="27"/>
        <v>0</v>
      </c>
      <c r="AM35" s="1">
        <f ca="1">IF($B35="","",SUMIFS($AL$2:AL35,$I$2:I35,$I35))</f>
        <v>3</v>
      </c>
      <c r="AN35" s="1">
        <f t="shared" si="28"/>
        <v>16.000033999999999</v>
      </c>
      <c r="AO35" s="1">
        <f>IFERROR(IF($B35="","",AVERAGEIFS($L$2:L35,$I$2:I35,I35,$L$2:L35,"&lt;&gt;0")),0)</f>
        <v>201</v>
      </c>
      <c r="AP35" s="1">
        <f t="shared" si="29"/>
        <v>100.5</v>
      </c>
      <c r="AQ35" s="1">
        <f>IF($B35="","",COUNTIFS($R$2:R35,1,$I$2:I35,$I35))</f>
        <v>0</v>
      </c>
      <c r="AR35" s="1">
        <f t="array" aca="1" ref="AR35" ca="1">IF($B35="","",SUMPRODUCT(--($B$2:$B$313=B35),--(AM35&lt;$AM$2:$AM$313))+1)</f>
        <v>12</v>
      </c>
      <c r="AS35" s="1">
        <f t="array" ref="AS35">IF($B35="","",SUMPRODUCT(--($B$2:$B$313=B35),--(AP35&lt;$AP$2:$AP$313))+1)</f>
        <v>16</v>
      </c>
      <c r="AT35" s="1">
        <f t="array" ref="AT35">IF($B35="","",SUMPRODUCT(--($B$2:$B$313=B35),--(AQ35&lt;$AQ$2:$AQ$313))+1)</f>
        <v>4</v>
      </c>
      <c r="AU35" s="1">
        <f t="shared" si="30"/>
        <v>3.4E-8</v>
      </c>
      <c r="AV35" s="1">
        <f t="shared" ca="1" si="31"/>
        <v>0.121604034</v>
      </c>
      <c r="AW35" s="1" t="str">
        <f t="shared" si="4"/>
        <v/>
      </c>
      <c r="AX35" s="1" t="str">
        <f t="shared" si="32"/>
        <v/>
      </c>
      <c r="AY35" s="8">
        <f t="shared" ca="1" si="33"/>
        <v>0.121604034</v>
      </c>
      <c r="AZ35" s="1" cm="1">
        <f t="array" aca="1" ref="AZ35" ca="1">IF($B35="","",SUMPRODUCT(--($B$2:$B$313=B35),--(AY35&gt;$AY$2:$AY$313))+1)</f>
        <v>13</v>
      </c>
      <c r="BA35" s="1" t="str">
        <f t="shared" si="34"/>
        <v>K2024GP02_16_1</v>
      </c>
      <c r="BB35" s="1" t="str">
        <f t="shared" si="35"/>
        <v>K2024GP02_16_2</v>
      </c>
      <c r="BC35" s="1">
        <f t="shared" si="36"/>
        <v>0</v>
      </c>
      <c r="BD35" s="1">
        <f t="shared" si="37"/>
        <v>0</v>
      </c>
      <c r="BE35" s="1">
        <f t="shared" si="38"/>
        <v>1</v>
      </c>
      <c r="BF35" s="1">
        <f t="shared" si="39"/>
        <v>0</v>
      </c>
      <c r="BG35" s="1">
        <f t="shared" si="40"/>
        <v>0</v>
      </c>
      <c r="BH35" s="1">
        <f t="shared" si="41"/>
        <v>16</v>
      </c>
      <c r="BI35" s="1">
        <f t="shared" si="42"/>
        <v>16</v>
      </c>
      <c r="BJ35" s="1">
        <f t="shared" si="43"/>
        <v>0.16159999999999999</v>
      </c>
      <c r="BK35" s="1" t="str">
        <f t="shared" si="44"/>
        <v/>
      </c>
      <c r="BL35" s="1">
        <f t="shared" si="45"/>
        <v>9.8999999999999994E-5</v>
      </c>
      <c r="BM35" s="1">
        <f t="shared" si="46"/>
        <v>0.16170249999999997</v>
      </c>
      <c r="BN35" s="1" t="str">
        <f t="shared" si="47"/>
        <v/>
      </c>
      <c r="BO35" s="1">
        <f t="shared" si="5"/>
        <v>16</v>
      </c>
      <c r="BP35" s="1">
        <f t="shared" si="6"/>
        <v>0</v>
      </c>
      <c r="BQ35" s="1" t="str" cm="1">
        <f t="array" ref="BQ35">IF(I35="","",IF(BP35=1,"",IF(L35=0,"",IF(B35=1,"",_xlfn.XLOOKUP(1,($I$2:$I$313=$I35)*($B$2:$B$313=($B35-1)),$BO$2:$BO$313)))))</f>
        <v/>
      </c>
      <c r="BR35" s="1">
        <f>IF(I35="","",IF($B35=1,_xlfn.MINIFS($BO$2:$BO$313,$B$2:$B$313,$B35),_xlfn.MINIFS(BQ$2:$BQ$313,$B$2:$B$313,$B35)))</f>
        <v>1</v>
      </c>
      <c r="BS35" s="1">
        <f t="shared" si="48"/>
        <v>3</v>
      </c>
      <c r="BT35" s="1" t="str" cm="1">
        <f t="array" ref="BT35">IF($I35="","",IF($B35=1,_xlfn.XLOOKUP(1,($B$2:$B$313=$B35)*($BO$2:$BO$313=BR35),Data!$I$2:$I$313,,0),_xlfn.XLOOKUP(1,($B$2:$B$313=$B35)*($BQ$2:$BQ$313=$BR35),$I$2:$I$313,,0)))</f>
        <v>Kaleva Latvala</v>
      </c>
      <c r="BU35" s="1" t="str" cm="1">
        <f t="array" ref="BU35">IF(I35="","",IF($B35=1,_xlfn.XLOOKUP(1,($B$2:$B$313=$B35)*($BO$2:$BO$313=$BS35),$I$2:$I$313,,0),_xlfn.XLOOKUP(1,($B$2:$B$313=$B35)*($BQ$2:$BQ$313=$BS35),$I$2:$I$313,,0)))</f>
        <v>Ossi Oksa</v>
      </c>
      <c r="BV35" s="1" t="str" cm="1">
        <f t="array" ref="BV35">IF($I35="","",IF($B35=1,"",IF($B35=2,_xlfn.XLOOKUP(1,($B$2:$B$313=1)*($BO$2:$BO$313=1),$I$2:$I$313,,0),_xlfn.XLOOKUP($B35-1,$B$2:$B$313,$CH$2:$CH$313,,0))))</f>
        <v>Kaleva Latvala</v>
      </c>
      <c r="BW35" s="1" t="str" cm="1">
        <f t="array" ref="BW35">IF($I35="","",IF($B35=1,"",IF(_xlfn.XLOOKUP(1,($B$2:$B$313=$B35)*($I$2:$I$313=$BV35),$BQ$2:$BQ$313,,0)="","NOK","OK")))</f>
        <v>OK</v>
      </c>
      <c r="BX35" s="1" t="str">
        <f t="shared" si="49"/>
        <v>Kaleva Latvala</v>
      </c>
      <c r="BY35" s="1" t="str">
        <f t="shared" si="50"/>
        <v>Ossi Oksa</v>
      </c>
      <c r="BZ35" s="1">
        <f t="shared" si="51"/>
        <v>136</v>
      </c>
      <c r="CA35" s="1">
        <f t="shared" si="52"/>
        <v>125</v>
      </c>
      <c r="CB35" s="1">
        <f t="shared" si="53"/>
        <v>9.8999999999999994E-5</v>
      </c>
      <c r="CC35" s="1">
        <f t="shared" si="54"/>
        <v>182</v>
      </c>
      <c r="CD35" s="1">
        <f t="shared" si="55"/>
        <v>126</v>
      </c>
      <c r="CE35" s="1">
        <f t="shared" si="56"/>
        <v>9.8999999999999994E-5</v>
      </c>
      <c r="CF35" s="1" t="str">
        <f t="shared" si="57"/>
        <v>Kaleva Latvala (P)</v>
      </c>
      <c r="CG35" s="1" t="str">
        <f t="shared" si="58"/>
        <v>Ossi Oksa (3)</v>
      </c>
      <c r="CH35" s="1" t="str">
        <f t="shared" si="59"/>
        <v>Ossi Oksa</v>
      </c>
      <c r="CI35" s="1">
        <f t="shared" si="60"/>
        <v>0</v>
      </c>
      <c r="CJ35" s="1" t="str">
        <f ca="1">IF(B35="","",IF(SUM(AI35:AK35)&gt;0,"+SP","")&amp;IF(CI35&gt;0,"+KK","")&amp;IF(AB35&gt;0,"+KGP1","")&amp;IF(AC35&gt;0,"+KGP2","")&amp;IF(AG35&lt;0,"-KGP1","")&amp;IF(AH35&lt;0,"-KGP2",""))</f>
        <v/>
      </c>
      <c r="CO35" s="1">
        <v>18</v>
      </c>
      <c r="CP35" s="3">
        <v>0</v>
      </c>
      <c r="CQ35" s="6">
        <f ca="1">SUM($CP35:OFFSET($CP35,CQ$17-1,0))/CQ$17</f>
        <v>0</v>
      </c>
      <c r="CR35" s="6">
        <f ca="1">SUM($CP35:OFFSET($CP35,CR$17-1,0))/CR$17</f>
        <v>0</v>
      </c>
      <c r="CS35" s="6">
        <f ca="1">SUM($CP35:OFFSET($CP35,CS$17-1,0))/CS$17</f>
        <v>0</v>
      </c>
      <c r="CT35" s="6">
        <f ca="1">SUM($CP35:OFFSET($CP35,CT$17-1,0))/CT$17</f>
        <v>0</v>
      </c>
      <c r="CU35" s="6">
        <f ca="1">SUM($CP35:OFFSET($CP35,CU$17-1,0))/CU$17</f>
        <v>0</v>
      </c>
      <c r="CV35" s="6">
        <f ca="1">SUM($CP35:OFFSET($CP35,CV$17-1,0))/CV$17</f>
        <v>0</v>
      </c>
      <c r="CW35" s="6">
        <f ca="1">SUM($CP35:OFFSET($CP35,CW$17-1,0))/CW$17</f>
        <v>1.375</v>
      </c>
      <c r="CX35" s="6">
        <f ca="1">SUM($CP35:OFFSET($CP35,CX$17-1,0))/CX$17</f>
        <v>1.2222222222222223</v>
      </c>
      <c r="CY35" s="6">
        <f ca="1">SUM($CP35:OFFSET($CP35,CY$17-1,0))/CY$17</f>
        <v>1.1000000000000001</v>
      </c>
      <c r="CZ35" s="6">
        <f ca="1">SUM($CP35:OFFSET($CP35,CZ$17-1,0))/CZ$17</f>
        <v>1</v>
      </c>
      <c r="DA35" s="6">
        <f ca="1">SUM($CP35:OFFSET($CP35,DA$17-1,0))/DA$17</f>
        <v>0.91666666666666663</v>
      </c>
      <c r="DB35" s="6">
        <f ca="1">SUM($CP35:OFFSET($CP35,DB$17-1,0))/DB$17</f>
        <v>0.84615384615384615</v>
      </c>
      <c r="DC35" s="6">
        <f ca="1">SUM($CP35:OFFSET($CP35,DC$17-1,0))/DC$17</f>
        <v>0.7857142857142857</v>
      </c>
      <c r="DD35" s="6">
        <f ca="1">SUM($CP35:OFFSET($CP35,DD$17-1,0))/DD$17</f>
        <v>0.73333333333333328</v>
      </c>
      <c r="DE35" s="6">
        <f ca="1">SUM($CP35:OFFSET($CP35,DE$17-1,0))/DE$17</f>
        <v>0.6875</v>
      </c>
      <c r="DF35" s="6">
        <f ca="1">SUM($CP35:OFFSET($CP35,DF$17-1,0))/DF$17</f>
        <v>0.6470588235294118</v>
      </c>
      <c r="DG35" s="6">
        <f ca="1">SUM($CP35:OFFSET($CP35,DG$17-1,0))/DG$17</f>
        <v>0.61111111111111116</v>
      </c>
      <c r="DH35" s="6">
        <f ca="1">SUM($CP35:OFFSET($CP35,DH$17-1,0))/DH$17</f>
        <v>0.57894736842105265</v>
      </c>
      <c r="DI35" s="6">
        <f ca="1">SUM($CP35:OFFSET($CP35,DI$17-1,0))/DI$17</f>
        <v>0.55000000000000004</v>
      </c>
      <c r="DJ35" s="6">
        <f ca="1">SUM($CP35:OFFSET($CP35,DJ$17-1,0))/DJ$17</f>
        <v>0.52380952380952384</v>
      </c>
      <c r="DK35" s="6">
        <f ca="1">SUM($CP35:OFFSET($CP35,DK$17-1,0))/DK$17</f>
        <v>0.5</v>
      </c>
      <c r="DL35" s="6">
        <f ca="1">SUM($CP35:OFFSET($CP35,DL$17-1,0))/DL$17</f>
        <v>0.47826086956521741</v>
      </c>
      <c r="DM35" s="6">
        <f ca="1">SUM($CP35:OFFSET($CP35,DM$17-1,0))/DM$17</f>
        <v>0.45833333333333331</v>
      </c>
    </row>
    <row r="36" spans="1:117" x14ac:dyDescent="0.25">
      <c r="A36" s="1">
        <f>IFERROR(IF(ROW(A35)=1,1,IF(1+A35&lt;=$CP$1*$CP$2,1+A35,"")),"")</f>
        <v>35</v>
      </c>
      <c r="B36" s="1">
        <f>IF($I36="","",IF(ROW(B35)=1,1,ROUNDUP(A36/$CP$2,0)))</f>
        <v>2</v>
      </c>
      <c r="C36" s="4">
        <f t="shared" si="7"/>
        <v>45585</v>
      </c>
      <c r="D36" s="4" t="str">
        <f t="shared" si="0"/>
        <v>Raision keilahalli</v>
      </c>
      <c r="E36" s="1">
        <f>IF($B36="","",COUNTIF($B$2:B36,B36))</f>
        <v>17</v>
      </c>
      <c r="F36" s="1" t="str">
        <f t="shared" si="1"/>
        <v>K2024GP02</v>
      </c>
      <c r="G36" s="1" t="str">
        <f t="shared" si="8"/>
        <v>K2024GP02_17</v>
      </c>
      <c r="H36" s="1">
        <f t="shared" si="9"/>
        <v>1</v>
      </c>
      <c r="I36" s="3" t="s">
        <v>127</v>
      </c>
      <c r="J36" s="3"/>
      <c r="K36" s="3"/>
      <c r="L36" s="1">
        <f t="shared" si="10"/>
        <v>0</v>
      </c>
      <c r="M36" s="1">
        <f t="shared" si="11"/>
        <v>0</v>
      </c>
      <c r="N36" s="1" t="str">
        <f t="shared" si="12"/>
        <v/>
      </c>
      <c r="O36" s="1" t="str">
        <f t="shared" si="13"/>
        <v/>
      </c>
      <c r="P36" s="1" t="str">
        <f t="shared" si="14"/>
        <v/>
      </c>
      <c r="Q36" s="1">
        <f t="array" ref="Q36">IF($B36="","",IF(MAX(IF(B36=$B$2:$B$313,$L$2:$L$313))-L36=0,"",MAX(IF(B36=$B$2:$B$313,$L$2:$L$313))-L36))</f>
        <v>333</v>
      </c>
      <c r="R36" s="1">
        <f t="array" ref="R36">IF($B36="","",SUMPRODUCT(--($B$2:$B$313=B36),--(L36&lt;$L$2:$L$313))+1)</f>
        <v>16</v>
      </c>
      <c r="S36" s="1">
        <f t="shared" si="15"/>
        <v>0</v>
      </c>
      <c r="T36" s="1" t="str" cm="1">
        <f t="array" ref="T36">IF($B36="","",IF(M36=0,"",SUMPRODUCT(--($B$2:$B$313=B36),--(J36&lt;$J$2:$J$313))+1))</f>
        <v/>
      </c>
      <c r="U36" s="1" t="str">
        <f t="shared" si="16"/>
        <v/>
      </c>
      <c r="V36" s="1" t="str">
        <f t="shared" si="17"/>
        <v>0216</v>
      </c>
      <c r="W36" s="1">
        <f t="shared" si="18"/>
        <v>3</v>
      </c>
      <c r="X36" s="1">
        <f t="shared" si="2"/>
        <v>0</v>
      </c>
      <c r="Y36" s="1">
        <f>IF($B36="","",MAX(_xlfn.MAXIFS($J$2:J36,$I$2:I36,$I36),_xlfn.MAXIFS($K$2:K36,$I$2:I36,$I36)))</f>
        <v>0</v>
      </c>
      <c r="Z36" s="1">
        <f t="shared" si="3"/>
        <v>193</v>
      </c>
      <c r="AA36" s="1">
        <f t="shared" si="19"/>
        <v>0</v>
      </c>
      <c r="AB36" s="1">
        <f t="shared" si="20"/>
        <v>0</v>
      </c>
      <c r="AC36" s="1">
        <f t="shared" si="21"/>
        <v>0</v>
      </c>
      <c r="AD36" s="1">
        <f>IF($B36="","",MIN(_xlfn.MINIFS($J$2:J36,$I$2:I36,$I36),_xlfn.MINIFS($K$2:K36,$I$2:I36,$I36)))</f>
        <v>0</v>
      </c>
      <c r="AE36" s="1">
        <f t="shared" si="22"/>
        <v>91</v>
      </c>
      <c r="AF36" s="1">
        <f t="shared" si="23"/>
        <v>0</v>
      </c>
      <c r="AG36" s="1">
        <f t="shared" si="24"/>
        <v>0</v>
      </c>
      <c r="AH36" s="1">
        <f t="shared" si="25"/>
        <v>0</v>
      </c>
      <c r="AI36" s="1">
        <f ca="1">IF($B36="","",IF($K36="",0,OFFSET($CO$17,R36,W36)))</f>
        <v>0</v>
      </c>
      <c r="AJ36" s="1">
        <f t="shared" ca="1" si="26"/>
        <v>0</v>
      </c>
      <c r="AK36" s="1">
        <f ca="1">IF(AJ36="","",IF(AJ36=0,0,IF(W36=1,0,SUM(OFFSET($CO$17,N36,1):OFFSET($CO$17,N36+W36-2,1))/W36)))</f>
        <v>0</v>
      </c>
      <c r="AL36" s="1">
        <f t="shared" si="27"/>
        <v>0</v>
      </c>
      <c r="AM36" s="1">
        <f>IF($B36="","",SUMIFS($AL$2:AL36,$I$2:I36,$I36))</f>
        <v>0</v>
      </c>
      <c r="AN36" s="1">
        <f t="shared" si="28"/>
        <v>16.000035</v>
      </c>
      <c r="AO36" s="1">
        <f>IFERROR(IF($B36="","",AVERAGEIFS($L$2:L36,$I$2:I36,I36,$L$2:L36,"&lt;&gt;0")),0)</f>
        <v>0</v>
      </c>
      <c r="AP36" s="1">
        <f t="shared" si="29"/>
        <v>0</v>
      </c>
      <c r="AQ36" s="1">
        <f>IF($B36="","",COUNTIFS($R$2:R36,1,$I$2:I36,$I36))</f>
        <v>0</v>
      </c>
      <c r="AR36" s="1">
        <f t="array" aca="1" ref="AR36" ca="1">IF($B36="","",SUMPRODUCT(--($B$2:$B$313=B36),--(AM36&lt;$AM$2:$AM$313))+1)</f>
        <v>15</v>
      </c>
      <c r="AS36" s="1">
        <f t="array" ref="AS36">IF($B36="","",SUMPRODUCT(--($B$2:$B$313=B36),--(AP36&lt;$AP$2:$AP$313))+1)</f>
        <v>18</v>
      </c>
      <c r="AT36" s="1">
        <f t="array" ref="AT36">IF($B36="","",SUMPRODUCT(--($B$2:$B$313=B36),--(AQ36&lt;$AQ$2:$AQ$313))+1)</f>
        <v>4</v>
      </c>
      <c r="AU36" s="1">
        <f t="shared" si="30"/>
        <v>3.5000000000000002E-8</v>
      </c>
      <c r="AV36" s="1">
        <f t="shared" ca="1" si="31"/>
        <v>0.151804035</v>
      </c>
      <c r="AW36" s="1" t="str">
        <f t="shared" si="4"/>
        <v/>
      </c>
      <c r="AX36" s="1" t="str">
        <f t="shared" si="32"/>
        <v/>
      </c>
      <c r="AY36" s="8">
        <f t="shared" ca="1" si="33"/>
        <v>0.151804035</v>
      </c>
      <c r="AZ36" s="1" cm="1">
        <f t="array" aca="1" ref="AZ36" ca="1">IF($B36="","",SUMPRODUCT(--($B$2:$B$313=B36),--(AY36&gt;$AY$2:$AY$313))+1)</f>
        <v>18</v>
      </c>
      <c r="BA36" s="1" t="str">
        <f t="shared" si="34"/>
        <v>K2024GP02_17_1</v>
      </c>
      <c r="BB36" s="1" t="str">
        <f t="shared" si="35"/>
        <v>K2024GP02_17_2</v>
      </c>
      <c r="BC36" s="1">
        <f t="shared" si="36"/>
        <v>0</v>
      </c>
      <c r="BD36" s="1">
        <f t="shared" si="37"/>
        <v>0</v>
      </c>
      <c r="BE36" s="1">
        <f t="shared" si="38"/>
        <v>1</v>
      </c>
      <c r="BF36" s="1">
        <f t="shared" si="39"/>
        <v>0</v>
      </c>
      <c r="BG36" s="1">
        <f t="shared" si="40"/>
        <v>0</v>
      </c>
      <c r="BH36" s="1">
        <f t="shared" si="41"/>
        <v>16</v>
      </c>
      <c r="BI36" s="1">
        <f t="shared" si="42"/>
        <v>16</v>
      </c>
      <c r="BJ36" s="1">
        <f t="shared" si="43"/>
        <v>0.16159999999999999</v>
      </c>
      <c r="BK36" s="1" t="str">
        <f t="shared" si="44"/>
        <v/>
      </c>
      <c r="BL36" s="1">
        <f t="shared" si="45"/>
        <v>9.8999999999999994E-5</v>
      </c>
      <c r="BM36" s="1">
        <f t="shared" si="46"/>
        <v>0.16170259999999997</v>
      </c>
      <c r="BN36" s="1" t="str">
        <f t="shared" si="47"/>
        <v/>
      </c>
      <c r="BO36" s="1">
        <f t="shared" si="5"/>
        <v>17</v>
      </c>
      <c r="BP36" s="1">
        <f t="shared" si="6"/>
        <v>0</v>
      </c>
      <c r="BQ36" s="1" t="str" cm="1">
        <f t="array" ref="BQ36">IF(I36="","",IF(BP36=1,"",IF(L36=0,"",IF(B36=1,"",_xlfn.XLOOKUP(1,($I$2:$I$313=$I36)*($B$2:$B$313=($B36-1)),$BO$2:$BO$313)))))</f>
        <v/>
      </c>
      <c r="BR36" s="1">
        <f>IF(I36="","",IF($B36=1,_xlfn.MINIFS($BO$2:$BO$313,$B$2:$B$313,$B36),_xlfn.MINIFS(BQ$2:$BQ$313,$B$2:$B$313,$B36)))</f>
        <v>1</v>
      </c>
      <c r="BS36" s="1">
        <f t="shared" si="48"/>
        <v>3</v>
      </c>
      <c r="BT36" s="1" t="str" cm="1">
        <f t="array" ref="BT36">IF($I36="","",IF($B36=1,_xlfn.XLOOKUP(1,($B$2:$B$313=$B36)*($BO$2:$BO$313=BR36),Data!$I$2:$I$313,,0),_xlfn.XLOOKUP(1,($B$2:$B$313=$B36)*($BQ$2:$BQ$313=$BR36),$I$2:$I$313,,0)))</f>
        <v>Kaleva Latvala</v>
      </c>
      <c r="BU36" s="1" t="str" cm="1">
        <f t="array" ref="BU36">IF(I36="","",IF($B36=1,_xlfn.XLOOKUP(1,($B$2:$B$313=$B36)*($BO$2:$BO$313=$BS36),$I$2:$I$313,,0),_xlfn.XLOOKUP(1,($B$2:$B$313=$B36)*($BQ$2:$BQ$313=$BS36),$I$2:$I$313,,0)))</f>
        <v>Ossi Oksa</v>
      </c>
      <c r="BV36" s="1" t="str" cm="1">
        <f t="array" ref="BV36">IF($I36="","",IF($B36=1,"",IF($B36=2,_xlfn.XLOOKUP(1,($B$2:$B$313=1)*($BO$2:$BO$313=1),$I$2:$I$313,,0),_xlfn.XLOOKUP($B36-1,$B$2:$B$313,$CH$2:$CH$313,,0))))</f>
        <v>Kaleva Latvala</v>
      </c>
      <c r="BW36" s="1" t="str" cm="1">
        <f t="array" ref="BW36">IF($I36="","",IF($B36=1,"",IF(_xlfn.XLOOKUP(1,($B$2:$B$313=$B36)*($I$2:$I$313=$BV36),$BQ$2:$BQ$313,,0)="","NOK","OK")))</f>
        <v>OK</v>
      </c>
      <c r="BX36" s="1" t="str">
        <f t="shared" si="49"/>
        <v>Kaleva Latvala</v>
      </c>
      <c r="BY36" s="1" t="str">
        <f t="shared" si="50"/>
        <v>Ossi Oksa</v>
      </c>
      <c r="BZ36" s="1">
        <f t="shared" si="51"/>
        <v>136</v>
      </c>
      <c r="CA36" s="1">
        <f t="shared" si="52"/>
        <v>125</v>
      </c>
      <c r="CB36" s="1">
        <f t="shared" si="53"/>
        <v>9.8999999999999994E-5</v>
      </c>
      <c r="CC36" s="1">
        <f t="shared" si="54"/>
        <v>182</v>
      </c>
      <c r="CD36" s="1">
        <f t="shared" si="55"/>
        <v>126</v>
      </c>
      <c r="CE36" s="1">
        <f t="shared" si="56"/>
        <v>9.8999999999999994E-5</v>
      </c>
      <c r="CF36" s="1" t="str">
        <f t="shared" si="57"/>
        <v>Kaleva Latvala (P)</v>
      </c>
      <c r="CG36" s="1" t="str">
        <f t="shared" si="58"/>
        <v>Ossi Oksa (3)</v>
      </c>
      <c r="CH36" s="1" t="str">
        <f t="shared" si="59"/>
        <v>Ossi Oksa</v>
      </c>
      <c r="CI36" s="1">
        <f t="shared" si="60"/>
        <v>0</v>
      </c>
      <c r="CJ36" s="1" t="str">
        <f ca="1">IF(B36="","",IF(SUM(AI36:AK36)&gt;0,"+SP","")&amp;IF(CI36&gt;0,"+KK","")&amp;IF(AB36&gt;0,"+KGP1","")&amp;IF(AC36&gt;0,"+KGP2","")&amp;IF(AG36&lt;0,"-KGP1","")&amp;IF(AH36&lt;0,"-KGP2",""))</f>
        <v/>
      </c>
      <c r="CO36" s="1">
        <v>19</v>
      </c>
      <c r="CP36" s="3">
        <v>0</v>
      </c>
      <c r="CQ36" s="6">
        <f ca="1">SUM($CP36:OFFSET($CP36,CQ$17-1,0))/CQ$17</f>
        <v>0</v>
      </c>
      <c r="CR36" s="6">
        <f ca="1">SUM($CP36:OFFSET($CP36,CR$17-1,0))/CR$17</f>
        <v>0</v>
      </c>
      <c r="CS36" s="6">
        <f ca="1">SUM($CP36:OFFSET($CP36,CS$17-1,0))/CS$17</f>
        <v>0</v>
      </c>
      <c r="CT36" s="6">
        <f ca="1">SUM($CP36:OFFSET($CP36,CT$17-1,0))/CT$17</f>
        <v>0</v>
      </c>
      <c r="CU36" s="6">
        <f ca="1">SUM($CP36:OFFSET($CP36,CU$17-1,0))/CU$17</f>
        <v>0</v>
      </c>
      <c r="CV36" s="6">
        <f ca="1">SUM($CP36:OFFSET($CP36,CV$17-1,0))/CV$17</f>
        <v>1.5714285714285714</v>
      </c>
      <c r="CW36" s="6">
        <f ca="1">SUM($CP36:OFFSET($CP36,CW$17-1,0))/CW$17</f>
        <v>1.375</v>
      </c>
      <c r="CX36" s="6">
        <f ca="1">SUM($CP36:OFFSET($CP36,CX$17-1,0))/CX$17</f>
        <v>1.2222222222222223</v>
      </c>
      <c r="CY36" s="6">
        <f ca="1">SUM($CP36:OFFSET($CP36,CY$17-1,0))/CY$17</f>
        <v>1.1000000000000001</v>
      </c>
      <c r="CZ36" s="6">
        <f ca="1">SUM($CP36:OFFSET($CP36,CZ$17-1,0))/CZ$17</f>
        <v>1</v>
      </c>
      <c r="DA36" s="6">
        <f ca="1">SUM($CP36:OFFSET($CP36,DA$17-1,0))/DA$17</f>
        <v>0.91666666666666663</v>
      </c>
      <c r="DB36" s="6">
        <f ca="1">SUM($CP36:OFFSET($CP36,DB$17-1,0))/DB$17</f>
        <v>0.84615384615384615</v>
      </c>
      <c r="DC36" s="6">
        <f ca="1">SUM($CP36:OFFSET($CP36,DC$17-1,0))/DC$17</f>
        <v>0.7857142857142857</v>
      </c>
      <c r="DD36" s="6">
        <f ca="1">SUM($CP36:OFFSET($CP36,DD$17-1,0))/DD$17</f>
        <v>0.73333333333333328</v>
      </c>
      <c r="DE36" s="6">
        <f ca="1">SUM($CP36:OFFSET($CP36,DE$17-1,0))/DE$17</f>
        <v>0.6875</v>
      </c>
      <c r="DF36" s="6">
        <f ca="1">SUM($CP36:OFFSET($CP36,DF$17-1,0))/DF$17</f>
        <v>0.6470588235294118</v>
      </c>
      <c r="DG36" s="6">
        <f ca="1">SUM($CP36:OFFSET($CP36,DG$17-1,0))/DG$17</f>
        <v>0.61111111111111116</v>
      </c>
      <c r="DH36" s="6">
        <f ca="1">SUM($CP36:OFFSET($CP36,DH$17-1,0))/DH$17</f>
        <v>0.57894736842105265</v>
      </c>
      <c r="DI36" s="6">
        <f ca="1">SUM($CP36:OFFSET($CP36,DI$17-1,0))/DI$17</f>
        <v>0.55000000000000004</v>
      </c>
      <c r="DJ36" s="6">
        <f ca="1">SUM($CP36:OFFSET($CP36,DJ$17-1,0))/DJ$17</f>
        <v>0.52380952380952384</v>
      </c>
      <c r="DK36" s="6">
        <f ca="1">SUM($CP36:OFFSET($CP36,DK$17-1,0))/DK$17</f>
        <v>0.5</v>
      </c>
      <c r="DL36" s="6">
        <f ca="1">SUM($CP36:OFFSET($CP36,DL$17-1,0))/DL$17</f>
        <v>0.47826086956521741</v>
      </c>
      <c r="DM36" s="6">
        <f ca="1">SUM($CP36:OFFSET($CP36,DM$17-1,0))/DM$17</f>
        <v>0.45833333333333331</v>
      </c>
    </row>
    <row r="37" spans="1:117" x14ac:dyDescent="0.25">
      <c r="A37" s="1">
        <f>IFERROR(IF(ROW(A36)=1,1,IF(1+A36&lt;=$CP$1*$CP$2,1+A36,"")),"")</f>
        <v>36</v>
      </c>
      <c r="B37" s="1">
        <f>IF($I37="","",IF(ROW(B36)=1,1,ROUNDUP(A37/$CP$2,0)))</f>
        <v>2</v>
      </c>
      <c r="C37" s="4">
        <f t="shared" si="7"/>
        <v>45585</v>
      </c>
      <c r="D37" s="4" t="str">
        <f t="shared" si="0"/>
        <v>Raision keilahalli</v>
      </c>
      <c r="E37" s="1">
        <f>IF($B37="","",COUNTIF($B$2:B37,B37))</f>
        <v>18</v>
      </c>
      <c r="F37" s="1" t="str">
        <f t="shared" si="1"/>
        <v>K2024GP02</v>
      </c>
      <c r="G37" s="1" t="str">
        <f t="shared" si="8"/>
        <v>K2024GP02_18</v>
      </c>
      <c r="H37" s="1">
        <f t="shared" si="9"/>
        <v>1</v>
      </c>
      <c r="I37" s="3" t="s">
        <v>132</v>
      </c>
      <c r="J37" s="3"/>
      <c r="K37" s="3"/>
      <c r="L37" s="1">
        <f t="shared" si="10"/>
        <v>0</v>
      </c>
      <c r="M37" s="1">
        <f t="shared" si="11"/>
        <v>0</v>
      </c>
      <c r="N37" s="1" t="str">
        <f t="shared" si="12"/>
        <v/>
      </c>
      <c r="O37" s="1" t="str">
        <f t="shared" si="13"/>
        <v/>
      </c>
      <c r="P37" s="1" t="str">
        <f t="shared" si="14"/>
        <v/>
      </c>
      <c r="Q37" s="1">
        <f t="array" ref="Q37">IF($B37="","",IF(MAX(IF(B37=$B$2:$B$313,$L$2:$L$313))-L37=0,"",MAX(IF(B37=$B$2:$B$313,$L$2:$L$313))-L37))</f>
        <v>333</v>
      </c>
      <c r="R37" s="1">
        <f t="array" ref="R37">IF($B37="","",SUMPRODUCT(--($B$2:$B$313=B37),--(L37&lt;$L$2:$L$313))+1)</f>
        <v>16</v>
      </c>
      <c r="S37" s="1">
        <f t="shared" si="15"/>
        <v>0</v>
      </c>
      <c r="T37" s="1" t="str" cm="1">
        <f t="array" ref="T37">IF($B37="","",IF(M37=0,"",SUMPRODUCT(--($B$2:$B$313=B37),--(J37&lt;$J$2:$J$313))+1))</f>
        <v/>
      </c>
      <c r="U37" s="1" t="str">
        <f t="shared" si="16"/>
        <v/>
      </c>
      <c r="V37" s="1" t="str">
        <f t="shared" si="17"/>
        <v>0216</v>
      </c>
      <c r="W37" s="1">
        <f t="shared" si="18"/>
        <v>3</v>
      </c>
      <c r="X37" s="1">
        <f t="shared" si="2"/>
        <v>0</v>
      </c>
      <c r="Y37" s="1">
        <f>IF($B37="","",MAX(_xlfn.MAXIFS($J$2:J37,$I$2:I37,$I37),_xlfn.MAXIFS($K$2:K37,$I$2:I37,$I37)))</f>
        <v>131</v>
      </c>
      <c r="Z37" s="1">
        <f t="shared" si="3"/>
        <v>193</v>
      </c>
      <c r="AA37" s="1">
        <f t="shared" si="19"/>
        <v>0</v>
      </c>
      <c r="AB37" s="1">
        <f t="shared" si="20"/>
        <v>0</v>
      </c>
      <c r="AC37" s="1">
        <f t="shared" si="21"/>
        <v>0</v>
      </c>
      <c r="AD37" s="1">
        <f>IF($B37="","",MIN(_xlfn.MINIFS($J$2:J37,$I$2:I37,$I37),_xlfn.MINIFS($K$2:K37,$I$2:I37,$I37)))</f>
        <v>73</v>
      </c>
      <c r="AE37" s="1">
        <f t="shared" si="22"/>
        <v>91</v>
      </c>
      <c r="AF37" s="1">
        <f t="shared" si="23"/>
        <v>0</v>
      </c>
      <c r="AG37" s="1">
        <f t="shared" si="24"/>
        <v>0</v>
      </c>
      <c r="AH37" s="1">
        <f t="shared" si="25"/>
        <v>0</v>
      </c>
      <c r="AI37" s="1">
        <f ca="1">IF($B37="","",IF($K37="",0,OFFSET($CO$17,R37,W37)))</f>
        <v>0</v>
      </c>
      <c r="AJ37" s="1">
        <f t="shared" ca="1" si="26"/>
        <v>0</v>
      </c>
      <c r="AK37" s="1">
        <f ca="1">IF(AJ37="","",IF(AJ37=0,0,IF(W37=1,0,SUM(OFFSET($CO$17,N37,1):OFFSET($CO$17,N37+W37-2,1))/W37)))</f>
        <v>0</v>
      </c>
      <c r="AL37" s="1">
        <f t="shared" si="27"/>
        <v>0</v>
      </c>
      <c r="AM37" s="1">
        <f ca="1">IF($B37="","",SUMIFS($AL$2:AL37,$I$2:I37,$I37))</f>
        <v>4</v>
      </c>
      <c r="AN37" s="1">
        <f t="shared" si="28"/>
        <v>16.000036000000001</v>
      </c>
      <c r="AO37" s="1">
        <f>IFERROR(IF($B37="","",AVERAGEIFS($L$2:L37,$I$2:I37,I37,$L$2:L37,"&lt;&gt;0")),0)</f>
        <v>204</v>
      </c>
      <c r="AP37" s="1">
        <f t="shared" si="29"/>
        <v>102</v>
      </c>
      <c r="AQ37" s="1">
        <f>IF($B37="","",COUNTIFS($R$2:R37,1,$I$2:I37,$I37))</f>
        <v>0</v>
      </c>
      <c r="AR37" s="1">
        <f t="array" aca="1" ref="AR37" ca="1">IF($B37="","",SUMPRODUCT(--($B$2:$B$313=B37),--(AM37&lt;$AM$2:$AM$313))+1)</f>
        <v>10</v>
      </c>
      <c r="AS37" s="1">
        <f t="array" ref="AS37">IF($B37="","",SUMPRODUCT(--($B$2:$B$313=B37),--(AP37&lt;$AP$2:$AP$313))+1)</f>
        <v>15</v>
      </c>
      <c r="AT37" s="1">
        <f t="array" ref="AT37">IF($B37="","",SUMPRODUCT(--($B$2:$B$313=B37),--(AQ37&lt;$AQ$2:$AQ$313))+1)</f>
        <v>4</v>
      </c>
      <c r="AU37" s="1">
        <f t="shared" si="30"/>
        <v>3.5999999999999998E-8</v>
      </c>
      <c r="AV37" s="1">
        <f t="shared" ca="1" si="31"/>
        <v>0.10150403600000001</v>
      </c>
      <c r="AW37" s="1" t="str">
        <f t="shared" si="4"/>
        <v/>
      </c>
      <c r="AX37" s="1" t="str">
        <f t="shared" si="32"/>
        <v/>
      </c>
      <c r="AY37" s="8">
        <f t="shared" ca="1" si="33"/>
        <v>0.10150403600000001</v>
      </c>
      <c r="AZ37" s="1" cm="1">
        <f t="array" aca="1" ref="AZ37" ca="1">IF($B37="","",SUMPRODUCT(--($B$2:$B$313=B37),--(AY37&gt;$AY$2:$AY$313))+1)</f>
        <v>11</v>
      </c>
      <c r="BA37" s="1" t="str">
        <f t="shared" si="34"/>
        <v>K2024GP02_18_1</v>
      </c>
      <c r="BB37" s="1" t="str">
        <f t="shared" si="35"/>
        <v>K2024GP02_18_2</v>
      </c>
      <c r="BC37" s="1">
        <f t="shared" si="36"/>
        <v>0</v>
      </c>
      <c r="BD37" s="1">
        <f t="shared" si="37"/>
        <v>0</v>
      </c>
      <c r="BE37" s="1">
        <f t="shared" si="38"/>
        <v>1</v>
      </c>
      <c r="BF37" s="1">
        <f t="shared" si="39"/>
        <v>0</v>
      </c>
      <c r="BG37" s="1">
        <f t="shared" si="40"/>
        <v>0</v>
      </c>
      <c r="BH37" s="1">
        <f t="shared" si="41"/>
        <v>16</v>
      </c>
      <c r="BI37" s="1">
        <f t="shared" si="42"/>
        <v>16</v>
      </c>
      <c r="BJ37" s="1">
        <f t="shared" si="43"/>
        <v>0.16159999999999999</v>
      </c>
      <c r="BK37" s="1" t="str">
        <f t="shared" si="44"/>
        <v/>
      </c>
      <c r="BL37" s="1">
        <f t="shared" si="45"/>
        <v>9.8999999999999994E-5</v>
      </c>
      <c r="BM37" s="1">
        <f t="shared" si="46"/>
        <v>0.16170269999999998</v>
      </c>
      <c r="BN37" s="1" t="str">
        <f t="shared" si="47"/>
        <v/>
      </c>
      <c r="BO37" s="1">
        <f t="shared" si="5"/>
        <v>18</v>
      </c>
      <c r="BP37" s="1">
        <f t="shared" si="6"/>
        <v>0</v>
      </c>
      <c r="BQ37" s="1" t="str" cm="1">
        <f t="array" ref="BQ37">IF(I37="","",IF(BP37=1,"",IF(L37=0,"",IF(B37=1,"",_xlfn.XLOOKUP(1,($I$2:$I$313=$I37)*($B$2:$B$313=($B37-1)),$BO$2:$BO$313)))))</f>
        <v/>
      </c>
      <c r="BR37" s="1">
        <f>IF(I37="","",IF($B37=1,_xlfn.MINIFS($BO$2:$BO$313,$B$2:$B$313,$B37),_xlfn.MINIFS(BQ$2:$BQ$313,$B$2:$B$313,$B37)))</f>
        <v>1</v>
      </c>
      <c r="BS37" s="1">
        <f t="shared" si="48"/>
        <v>3</v>
      </c>
      <c r="BT37" s="1" t="str" cm="1">
        <f t="array" ref="BT37">IF($I37="","",IF($B37=1,_xlfn.XLOOKUP(1,($B$2:$B$313=$B37)*($BO$2:$BO$313=BR37),Data!$I$2:$I$313,,0),_xlfn.XLOOKUP(1,($B$2:$B$313=$B37)*($BQ$2:$BQ$313=$BR37),$I$2:$I$313,,0)))</f>
        <v>Kaleva Latvala</v>
      </c>
      <c r="BU37" s="1" t="str" cm="1">
        <f t="array" ref="BU37">IF(I37="","",IF($B37=1,_xlfn.XLOOKUP(1,($B$2:$B$313=$B37)*($BO$2:$BO$313=$BS37),$I$2:$I$313,,0),_xlfn.XLOOKUP(1,($B$2:$B$313=$B37)*($BQ$2:$BQ$313=$BS37),$I$2:$I$313,,0)))</f>
        <v>Ossi Oksa</v>
      </c>
      <c r="BV37" s="1" t="str" cm="1">
        <f t="array" ref="BV37">IF($I37="","",IF($B37=1,"",IF($B37=2,_xlfn.XLOOKUP(1,($B$2:$B$313=1)*($BO$2:$BO$313=1),$I$2:$I$313,,0),_xlfn.XLOOKUP($B37-1,$B$2:$B$313,$CH$2:$CH$313,,0))))</f>
        <v>Kaleva Latvala</v>
      </c>
      <c r="BW37" s="1" t="str" cm="1">
        <f t="array" ref="BW37">IF($I37="","",IF($B37=1,"",IF(_xlfn.XLOOKUP(1,($B$2:$B$313=$B37)*($I$2:$I$313=$BV37),$BQ$2:$BQ$313,,0)="","NOK","OK")))</f>
        <v>OK</v>
      </c>
      <c r="BX37" s="1" t="str">
        <f t="shared" si="49"/>
        <v>Kaleva Latvala</v>
      </c>
      <c r="BY37" s="1" t="str">
        <f t="shared" si="50"/>
        <v>Ossi Oksa</v>
      </c>
      <c r="BZ37" s="1">
        <f t="shared" si="51"/>
        <v>136</v>
      </c>
      <c r="CA37" s="1">
        <f t="shared" si="52"/>
        <v>125</v>
      </c>
      <c r="CB37" s="1">
        <f t="shared" si="53"/>
        <v>9.8999999999999994E-5</v>
      </c>
      <c r="CC37" s="1">
        <f t="shared" si="54"/>
        <v>182</v>
      </c>
      <c r="CD37" s="1">
        <f t="shared" si="55"/>
        <v>126</v>
      </c>
      <c r="CE37" s="1">
        <f t="shared" si="56"/>
        <v>9.8999999999999994E-5</v>
      </c>
      <c r="CF37" s="1" t="str">
        <f t="shared" si="57"/>
        <v>Kaleva Latvala (P)</v>
      </c>
      <c r="CG37" s="1" t="str">
        <f t="shared" si="58"/>
        <v>Ossi Oksa (3)</v>
      </c>
      <c r="CH37" s="1" t="str">
        <f t="shared" si="59"/>
        <v>Ossi Oksa</v>
      </c>
      <c r="CI37" s="1">
        <f t="shared" si="60"/>
        <v>0</v>
      </c>
      <c r="CJ37" s="1" t="str">
        <f ca="1">IF(B37="","",IF(SUM(AI37:AK37)&gt;0,"+SP","")&amp;IF(CI37&gt;0,"+KK","")&amp;IF(AB37&gt;0,"+KGP1","")&amp;IF(AC37&gt;0,"+KGP2","")&amp;IF(AG37&lt;0,"-KGP1","")&amp;IF(AH37&lt;0,"-KGP2",""))</f>
        <v/>
      </c>
      <c r="CO37" s="1">
        <v>20</v>
      </c>
      <c r="CP37" s="3">
        <v>0</v>
      </c>
      <c r="CQ37" s="6">
        <f ca="1">SUM($CP37:OFFSET($CP37,CQ$17-1,0))/CQ$17</f>
        <v>0</v>
      </c>
      <c r="CR37" s="6">
        <f ca="1">SUM($CP37:OFFSET($CP37,CR$17-1,0))/CR$17</f>
        <v>0</v>
      </c>
      <c r="CS37" s="6">
        <f ca="1">SUM($CP37:OFFSET($CP37,CS$17-1,0))/CS$17</f>
        <v>0</v>
      </c>
      <c r="CT37" s="6">
        <f ca="1">SUM($CP37:OFFSET($CP37,CT$17-1,0))/CT$17</f>
        <v>0</v>
      </c>
      <c r="CU37" s="6">
        <f ca="1">SUM($CP37:OFFSET($CP37,CU$17-1,0))/CU$17</f>
        <v>1.8333333333333333</v>
      </c>
      <c r="CV37" s="6">
        <f ca="1">SUM($CP37:OFFSET($CP37,CV$17-1,0))/CV$17</f>
        <v>1.5714285714285714</v>
      </c>
      <c r="CW37" s="6">
        <f ca="1">SUM($CP37:OFFSET($CP37,CW$17-1,0))/CW$17</f>
        <v>1.375</v>
      </c>
      <c r="CX37" s="6">
        <f ca="1">SUM($CP37:OFFSET($CP37,CX$17-1,0))/CX$17</f>
        <v>1.2222222222222223</v>
      </c>
      <c r="CY37" s="6">
        <f ca="1">SUM($CP37:OFFSET($CP37,CY$17-1,0))/CY$17</f>
        <v>1.1000000000000001</v>
      </c>
      <c r="CZ37" s="6">
        <f ca="1">SUM($CP37:OFFSET($CP37,CZ$17-1,0))/CZ$17</f>
        <v>1</v>
      </c>
      <c r="DA37" s="6">
        <f ca="1">SUM($CP37:OFFSET($CP37,DA$17-1,0))/DA$17</f>
        <v>0.91666666666666663</v>
      </c>
      <c r="DB37" s="6">
        <f ca="1">SUM($CP37:OFFSET($CP37,DB$17-1,0))/DB$17</f>
        <v>0.84615384615384615</v>
      </c>
      <c r="DC37" s="6">
        <f ca="1">SUM($CP37:OFFSET($CP37,DC$17-1,0))/DC$17</f>
        <v>0.7857142857142857</v>
      </c>
      <c r="DD37" s="6">
        <f ca="1">SUM($CP37:OFFSET($CP37,DD$17-1,0))/DD$17</f>
        <v>0.73333333333333328</v>
      </c>
      <c r="DE37" s="6">
        <f ca="1">SUM($CP37:OFFSET($CP37,DE$17-1,0))/DE$17</f>
        <v>0.6875</v>
      </c>
      <c r="DF37" s="6">
        <f ca="1">SUM($CP37:OFFSET($CP37,DF$17-1,0))/DF$17</f>
        <v>0.6470588235294118</v>
      </c>
      <c r="DG37" s="6">
        <f ca="1">SUM($CP37:OFFSET($CP37,DG$17-1,0))/DG$17</f>
        <v>0.61111111111111116</v>
      </c>
      <c r="DH37" s="6">
        <f ca="1">SUM($CP37:OFFSET($CP37,DH$17-1,0))/DH$17</f>
        <v>0.57894736842105265</v>
      </c>
      <c r="DI37" s="6">
        <f ca="1">SUM($CP37:OFFSET($CP37,DI$17-1,0))/DI$17</f>
        <v>0.55000000000000004</v>
      </c>
      <c r="DJ37" s="6">
        <f ca="1">SUM($CP37:OFFSET($CP37,DJ$17-1,0))/DJ$17</f>
        <v>0.52380952380952384</v>
      </c>
      <c r="DK37" s="6">
        <f ca="1">SUM($CP37:OFFSET($CP37,DK$17-1,0))/DK$17</f>
        <v>0.5</v>
      </c>
      <c r="DL37" s="6">
        <f ca="1">SUM($CP37:OFFSET($CP37,DL$17-1,0))/DL$17</f>
        <v>0.47826086956521741</v>
      </c>
      <c r="DM37" s="6">
        <f ca="1">SUM($CP37:OFFSET($CP37,DM$17-1,0))/DM$17</f>
        <v>0.45833333333333331</v>
      </c>
    </row>
    <row r="38" spans="1:117" x14ac:dyDescent="0.25">
      <c r="A38" s="1">
        <f>IFERROR(IF(ROW(A37)=1,1,IF(1+A37&lt;=$CP$1*$CP$2,1+A37,"")),"")</f>
        <v>37</v>
      </c>
      <c r="B38" s="1">
        <f>IF($I38="","",IF(ROW(B37)=1,1,ROUNDUP(A38/$CP$2,0)))</f>
        <v>3</v>
      </c>
      <c r="C38" s="4">
        <f t="shared" si="7"/>
        <v>45599</v>
      </c>
      <c r="D38" s="4" t="str">
        <f t="shared" si="0"/>
        <v>Kupittaan keilahalli</v>
      </c>
      <c r="E38" s="1">
        <f>IF($B38="","",COUNTIF($B$2:B38,B38))</f>
        <v>1</v>
      </c>
      <c r="F38" s="1" t="str">
        <f t="shared" si="1"/>
        <v>K2024GP03</v>
      </c>
      <c r="G38" s="1" t="str">
        <f t="shared" si="8"/>
        <v>K2024GP03_1</v>
      </c>
      <c r="H38" s="1">
        <f t="shared" si="9"/>
        <v>1</v>
      </c>
      <c r="I38" s="3" t="s">
        <v>127</v>
      </c>
      <c r="J38" s="3">
        <v>117</v>
      </c>
      <c r="K38" s="3">
        <v>92</v>
      </c>
      <c r="L38" s="1">
        <f t="shared" si="10"/>
        <v>209</v>
      </c>
      <c r="M38" s="1">
        <f t="shared" si="11"/>
        <v>1</v>
      </c>
      <c r="N38" s="1">
        <f t="shared" si="12"/>
        <v>11</v>
      </c>
      <c r="O38" s="1">
        <f t="shared" si="13"/>
        <v>209</v>
      </c>
      <c r="P38" s="1">
        <f t="shared" si="14"/>
        <v>192</v>
      </c>
      <c r="Q38" s="1">
        <f t="array" ref="Q38">IF($B38="","",IF(MAX(IF(B38=$B$2:$B$313,$L$2:$L$313))-L38=0,"",MAX(IF(B38=$B$2:$B$313,$L$2:$L$313))-L38))</f>
        <v>192</v>
      </c>
      <c r="R38" s="1">
        <f t="array" ref="R38">IF($B38="","",SUMPRODUCT(--($B$2:$B$313=B38),--(L38&lt;$L$2:$L$313))+1)</f>
        <v>11</v>
      </c>
      <c r="S38" s="1">
        <f t="shared" si="15"/>
        <v>2</v>
      </c>
      <c r="T38" s="1" cm="1">
        <f t="array" ref="T38">IF($B38="","",IF(M38=0,"",SUMPRODUCT(--($B$2:$B$313=B38),--(J38&lt;$J$2:$J$313))+1))</f>
        <v>8</v>
      </c>
      <c r="U38" s="1">
        <f t="shared" si="16"/>
        <v>3</v>
      </c>
      <c r="V38" s="1" t="str">
        <f t="shared" si="17"/>
        <v>0311</v>
      </c>
      <c r="W38" s="1">
        <f t="shared" si="18"/>
        <v>1</v>
      </c>
      <c r="X38" s="1">
        <f t="shared" si="2"/>
        <v>0</v>
      </c>
      <c r="Y38" s="1">
        <f>IF($B38="","",MAX(_xlfn.MAXIFS($J$2:J38,$I$2:I38,$I38),_xlfn.MAXIFS($K$2:K38,$I$2:I38,$I38)))</f>
        <v>117</v>
      </c>
      <c r="Z38" s="1">
        <f t="shared" si="3"/>
        <v>209</v>
      </c>
      <c r="AA38" s="1">
        <f t="shared" si="19"/>
        <v>0</v>
      </c>
      <c r="AB38" s="1">
        <f t="shared" si="20"/>
        <v>0</v>
      </c>
      <c r="AC38" s="1">
        <f t="shared" si="21"/>
        <v>0</v>
      </c>
      <c r="AD38" s="1">
        <f>IF($B38="","",MIN(_xlfn.MINIFS($J$2:J38,$I$2:I38,$I38),_xlfn.MINIFS($K$2:K38,$I$2:I38,$I38)))</f>
        <v>92</v>
      </c>
      <c r="AE38" s="1">
        <f t="shared" si="22"/>
        <v>92</v>
      </c>
      <c r="AF38" s="1">
        <f t="shared" si="23"/>
        <v>0</v>
      </c>
      <c r="AG38" s="1">
        <f t="shared" si="24"/>
        <v>0</v>
      </c>
      <c r="AH38" s="1">
        <f t="shared" si="25"/>
        <v>0</v>
      </c>
      <c r="AI38" s="1">
        <f ca="1">IF($B38="","",IF($K38="",0,OFFSET($CO$17,R38,W38)))</f>
        <v>0</v>
      </c>
      <c r="AJ38" s="1">
        <f t="shared" ca="1" si="26"/>
        <v>0</v>
      </c>
      <c r="AK38" s="1">
        <f ca="1">IF(AJ38="","",IF(AJ38=0,0,IF(W38=1,0,SUM(OFFSET($CO$17,N38,1):OFFSET($CO$17,N38+W38-2,1))/W38)))</f>
        <v>0</v>
      </c>
      <c r="AL38" s="1">
        <f t="shared" ca="1" si="27"/>
        <v>0</v>
      </c>
      <c r="AM38" s="1">
        <f ca="1">IF($B38="","",SUMIFS($AL$2:AL38,$I$2:I38,$I38))</f>
        <v>0</v>
      </c>
      <c r="AN38" s="1">
        <f t="shared" si="28"/>
        <v>11.000037000000001</v>
      </c>
      <c r="AO38" s="1">
        <f>IFERROR(IF($B38="","",AVERAGEIFS($L$2:L38,$I$2:I38,I38,$L$2:L38,"&lt;&gt;0")),0)</f>
        <v>209</v>
      </c>
      <c r="AP38" s="1">
        <f t="shared" si="29"/>
        <v>104.5</v>
      </c>
      <c r="AQ38" s="1">
        <f>IF($B38="","",COUNTIFS($R$2:R38,1,$I$2:I38,$I38))</f>
        <v>0</v>
      </c>
      <c r="AR38" s="1">
        <f t="array" aca="1" ref="AR38" ca="1">IF($B38="","",SUMPRODUCT(--($B$2:$B$313=B38),--(AM38&lt;$AM$2:$AM$313))+1)</f>
        <v>17</v>
      </c>
      <c r="AS38" s="1">
        <f t="array" ref="AS38">IF($B38="","",SUMPRODUCT(--($B$2:$B$313=B38),--(AP38&lt;$AP$2:$AP$313))+1)</f>
        <v>17</v>
      </c>
      <c r="AT38" s="1">
        <f t="array" ref="AT38">IF($B38="","",SUMPRODUCT(--($B$2:$B$313=B38),--(AQ38&lt;$AQ$2:$AQ$313))+1)</f>
        <v>5</v>
      </c>
      <c r="AU38" s="1">
        <f t="shared" si="30"/>
        <v>3.7E-8</v>
      </c>
      <c r="AV38" s="1">
        <f t="shared" ca="1" si="31"/>
        <v>0.17170503700000003</v>
      </c>
      <c r="AW38" s="1" t="str">
        <f t="shared" si="4"/>
        <v/>
      </c>
      <c r="AX38" s="1" t="str">
        <f t="shared" si="32"/>
        <v/>
      </c>
      <c r="AY38" s="8">
        <f t="shared" ca="1" si="33"/>
        <v>0.17170503700000003</v>
      </c>
      <c r="AZ38" s="1" cm="1">
        <f t="array" aca="1" ref="AZ38" ca="1">IF($B38="","",SUMPRODUCT(--($B$2:$B$313=B38),--(AY38&gt;$AY$2:$AY$313))+1)</f>
        <v>18</v>
      </c>
      <c r="BA38" s="1" t="str">
        <f t="shared" si="34"/>
        <v>K2024GP03_1_1</v>
      </c>
      <c r="BB38" s="1" t="str">
        <f t="shared" si="35"/>
        <v>K2024GP03_1_2</v>
      </c>
      <c r="BC38" s="1">
        <f t="shared" si="36"/>
        <v>0</v>
      </c>
      <c r="BD38" s="1">
        <f t="shared" si="37"/>
        <v>0</v>
      </c>
      <c r="BE38" s="1">
        <f t="shared" si="38"/>
        <v>1</v>
      </c>
      <c r="BF38" s="1">
        <f t="shared" si="39"/>
        <v>117</v>
      </c>
      <c r="BG38" s="1">
        <f t="shared" si="40"/>
        <v>92</v>
      </c>
      <c r="BH38" s="1">
        <f t="shared" si="41"/>
        <v>11</v>
      </c>
      <c r="BI38" s="1">
        <f t="shared" si="42"/>
        <v>11</v>
      </c>
      <c r="BJ38" s="1">
        <f t="shared" si="43"/>
        <v>0.1111</v>
      </c>
      <c r="BK38" s="1">
        <f t="shared" si="44"/>
        <v>0</v>
      </c>
      <c r="BL38" s="1">
        <f t="shared" si="45"/>
        <v>9.8999999999999994E-5</v>
      </c>
      <c r="BM38" s="1">
        <f t="shared" si="46"/>
        <v>0.11119900000000001</v>
      </c>
      <c r="BN38" s="1">
        <f t="shared" si="47"/>
        <v>0</v>
      </c>
      <c r="BO38" s="1">
        <f t="shared" si="5"/>
        <v>11</v>
      </c>
      <c r="BP38" s="1">
        <f t="shared" si="6"/>
        <v>0</v>
      </c>
      <c r="BQ38" s="1" cm="1">
        <f t="array" ref="BQ38">IF(I38="","",IF(BP38=1,"",IF(L38=0,"",IF(B38=1,"",_xlfn.XLOOKUP(1,($I$2:$I$313=$I38)*($B$2:$B$313=($B38-1)),$BO$2:$BO$313)))))</f>
        <v>17</v>
      </c>
      <c r="BR38" s="1">
        <f>IF(I38="","",IF($B38=1,_xlfn.MINIFS($BO$2:$BO$313,$B$2:$B$313,$B38),_xlfn.MINIFS(BQ$2:$BQ$313,$B$2:$B$313,$B38)))</f>
        <v>1</v>
      </c>
      <c r="BS38" s="1">
        <f t="shared" si="48"/>
        <v>3</v>
      </c>
      <c r="BT38" s="1" t="str" cm="1">
        <f t="array" ref="BT38">IF($I38="","",IF($B38=1,_xlfn.XLOOKUP(1,($B$2:$B$313=$B38)*($BO$2:$BO$313=BR38),Data!$I$2:$I$313,,0),_xlfn.XLOOKUP(1,($B$2:$B$313=$B38)*($BQ$2:$BQ$313=$BR38),$I$2:$I$313,,0)))</f>
        <v>Sakari Leinonen</v>
      </c>
      <c r="BU38" s="1" t="str" cm="1">
        <f t="array" ref="BU38">IF(I38="","",IF($B38=1,_xlfn.XLOOKUP(1,($B$2:$B$313=$B38)*($BO$2:$BO$313=$BS38),$I$2:$I$313,,0),_xlfn.XLOOKUP(1,($B$2:$B$313=$B38)*($BQ$2:$BQ$313=$BS38),$I$2:$I$313,,0)))</f>
        <v>Ossi Oksa</v>
      </c>
      <c r="BV38" s="1" t="str" cm="1">
        <f t="array" ref="BV38">IF($I38="","",IF($B38=1,"",IF($B38=2,_xlfn.XLOOKUP(1,($B$2:$B$313=1)*($BO$2:$BO$313=1),$I$2:$I$313,,0),_xlfn.XLOOKUP($B38-1,$B$2:$B$313,$CH$2:$CH$313,,0))))</f>
        <v>Ossi Oksa</v>
      </c>
      <c r="BW38" s="1" t="str" cm="1">
        <f t="array" ref="BW38">IF($I38="","",IF($B38=1,"",IF(_xlfn.XLOOKUP(1,($B$2:$B$313=$B38)*($I$2:$I$313=$BV38),$BQ$2:$BQ$313,,0)="","NOK","OK")))</f>
        <v>OK</v>
      </c>
      <c r="BX38" s="1" t="str">
        <f t="shared" si="49"/>
        <v>Ossi Oksa</v>
      </c>
      <c r="BY38" s="1" t="str">
        <f t="shared" si="50"/>
        <v>Sakari Leinonen</v>
      </c>
      <c r="BZ38" s="1">
        <f t="shared" si="51"/>
        <v>209</v>
      </c>
      <c r="CA38" s="1">
        <f t="shared" si="52"/>
        <v>192</v>
      </c>
      <c r="CB38" s="1">
        <f t="shared" si="53"/>
        <v>9.8999999999999994E-5</v>
      </c>
      <c r="CC38" s="1">
        <f t="shared" si="54"/>
        <v>121</v>
      </c>
      <c r="CD38" s="1">
        <f t="shared" si="55"/>
        <v>105</v>
      </c>
      <c r="CE38" s="1">
        <f t="shared" si="56"/>
        <v>9.8999999999999994E-5</v>
      </c>
      <c r="CF38" s="1" t="str">
        <f t="shared" si="57"/>
        <v>Ossi Oksa (P)</v>
      </c>
      <c r="CG38" s="1" t="str">
        <f t="shared" si="58"/>
        <v>Sakari Leinonen (1)</v>
      </c>
      <c r="CH38" s="1" t="str">
        <f t="shared" si="59"/>
        <v>Ossi Oksa</v>
      </c>
      <c r="CI38" s="1">
        <f t="shared" si="60"/>
        <v>0</v>
      </c>
      <c r="CJ38" s="1" t="str">
        <f ca="1">IF(B38="","",IF(SUM(AI38:AK38)&gt;0,"+SP","")&amp;IF(CI38&gt;0,"+KK","")&amp;IF(AB38&gt;0,"+KGP1","")&amp;IF(AC38&gt;0,"+KGP2","")&amp;IF(AG38&lt;0,"-KGP1","")&amp;IF(AH38&lt;0,"-KGP2",""))</f>
        <v/>
      </c>
      <c r="CO38" s="1">
        <v>21</v>
      </c>
      <c r="CP38" s="3">
        <v>0</v>
      </c>
      <c r="CQ38" s="6">
        <f ca="1">SUM($CP38:OFFSET($CP38,CQ$17-1,0))/CQ$17</f>
        <v>0</v>
      </c>
      <c r="CR38" s="6">
        <f ca="1">SUM($CP38:OFFSET($CP38,CR$17-1,0))/CR$17</f>
        <v>0</v>
      </c>
      <c r="CS38" s="6">
        <f ca="1">SUM($CP38:OFFSET($CP38,CS$17-1,0))/CS$17</f>
        <v>0</v>
      </c>
      <c r="CT38" s="6">
        <f ca="1">SUM($CP38:OFFSET($CP38,CT$17-1,0))/CT$17</f>
        <v>2.2000000000000002</v>
      </c>
      <c r="CU38" s="6">
        <f ca="1">SUM($CP38:OFFSET($CP38,CU$17-1,0))/CU$17</f>
        <v>1.8333333333333333</v>
      </c>
      <c r="CV38" s="6">
        <f ca="1">SUM($CP38:OFFSET($CP38,CV$17-1,0))/CV$17</f>
        <v>1.5714285714285714</v>
      </c>
      <c r="CW38" s="6">
        <f ca="1">SUM($CP38:OFFSET($CP38,CW$17-1,0))/CW$17</f>
        <v>1.375</v>
      </c>
      <c r="CX38" s="6">
        <f ca="1">SUM($CP38:OFFSET($CP38,CX$17-1,0))/CX$17</f>
        <v>1.2222222222222223</v>
      </c>
      <c r="CY38" s="6">
        <f ca="1">SUM($CP38:OFFSET($CP38,CY$17-1,0))/CY$17</f>
        <v>1.1000000000000001</v>
      </c>
      <c r="CZ38" s="6">
        <f ca="1">SUM($CP38:OFFSET($CP38,CZ$17-1,0))/CZ$17</f>
        <v>1</v>
      </c>
      <c r="DA38" s="6">
        <f ca="1">SUM($CP38:OFFSET($CP38,DA$17-1,0))/DA$17</f>
        <v>0.91666666666666663</v>
      </c>
      <c r="DB38" s="6">
        <f ca="1">SUM($CP38:OFFSET($CP38,DB$17-1,0))/DB$17</f>
        <v>0.84615384615384615</v>
      </c>
      <c r="DC38" s="6">
        <f ca="1">SUM($CP38:OFFSET($CP38,DC$17-1,0))/DC$17</f>
        <v>0.7857142857142857</v>
      </c>
      <c r="DD38" s="6">
        <f ca="1">SUM($CP38:OFFSET($CP38,DD$17-1,0))/DD$17</f>
        <v>0.73333333333333328</v>
      </c>
      <c r="DE38" s="6">
        <f ca="1">SUM($CP38:OFFSET($CP38,DE$17-1,0))/DE$17</f>
        <v>0.6875</v>
      </c>
      <c r="DF38" s="6">
        <f ca="1">SUM($CP38:OFFSET($CP38,DF$17-1,0))/DF$17</f>
        <v>0.6470588235294118</v>
      </c>
      <c r="DG38" s="6">
        <f ca="1">SUM($CP38:OFFSET($CP38,DG$17-1,0))/DG$17</f>
        <v>0.61111111111111116</v>
      </c>
      <c r="DH38" s="6">
        <f ca="1">SUM($CP38:OFFSET($CP38,DH$17-1,0))/DH$17</f>
        <v>0.57894736842105265</v>
      </c>
      <c r="DI38" s="6">
        <f ca="1">SUM($CP38:OFFSET($CP38,DI$17-1,0))/DI$17</f>
        <v>0.55000000000000004</v>
      </c>
      <c r="DJ38" s="6">
        <f ca="1">SUM($CP38:OFFSET($CP38,DJ$17-1,0))/DJ$17</f>
        <v>0.52380952380952384</v>
      </c>
      <c r="DK38" s="6">
        <f ca="1">SUM($CP38:OFFSET($CP38,DK$17-1,0))/DK$17</f>
        <v>0.5</v>
      </c>
      <c r="DL38" s="6">
        <f ca="1">SUM($CP38:OFFSET($CP38,DL$17-1,0))/DL$17</f>
        <v>0.47826086956521741</v>
      </c>
      <c r="DM38" s="6">
        <f ca="1">SUM($CP38:OFFSET($CP38,DM$17-1,0))/DM$17</f>
        <v>0.45833333333333331</v>
      </c>
    </row>
    <row r="39" spans="1:117" x14ac:dyDescent="0.25">
      <c r="A39" s="1">
        <f>IFERROR(IF(ROW(A38)=1,1,IF(1+A38&lt;=$CP$1*$CP$2,1+A38,"")),"")</f>
        <v>38</v>
      </c>
      <c r="B39" s="1">
        <f>IF($I39="","",IF(ROW(B38)=1,1,ROUNDUP(A39/$CP$2,0)))</f>
        <v>3</v>
      </c>
      <c r="C39" s="4">
        <f t="shared" si="7"/>
        <v>45599</v>
      </c>
      <c r="D39" s="4" t="str">
        <f t="shared" si="0"/>
        <v>Kupittaan keilahalli</v>
      </c>
      <c r="E39" s="1">
        <f>IF($B39="","",COUNTIF($B$2:B39,B39))</f>
        <v>2</v>
      </c>
      <c r="F39" s="1" t="str">
        <f t="shared" si="1"/>
        <v>K2024GP03</v>
      </c>
      <c r="G39" s="1" t="str">
        <f t="shared" si="8"/>
        <v>K2024GP03_2</v>
      </c>
      <c r="H39" s="1">
        <f t="shared" si="9"/>
        <v>1</v>
      </c>
      <c r="I39" s="3" t="s">
        <v>138</v>
      </c>
      <c r="J39" s="3">
        <v>148</v>
      </c>
      <c r="K39" s="3">
        <v>127</v>
      </c>
      <c r="L39" s="1">
        <f t="shared" si="10"/>
        <v>275</v>
      </c>
      <c r="M39" s="1">
        <f t="shared" si="11"/>
        <v>1</v>
      </c>
      <c r="N39" s="1">
        <f t="shared" si="12"/>
        <v>5</v>
      </c>
      <c r="O39" s="1">
        <f t="shared" si="13"/>
        <v>275</v>
      </c>
      <c r="P39" s="1">
        <f t="shared" si="14"/>
        <v>126</v>
      </c>
      <c r="Q39" s="1">
        <f t="array" ref="Q39">IF($B39="","",IF(MAX(IF(B39=$B$2:$B$313,$L$2:$L$313))-L39=0,"",MAX(IF(B39=$B$2:$B$313,$L$2:$L$313))-L39))</f>
        <v>126</v>
      </c>
      <c r="R39" s="1">
        <f t="array" ref="R39">IF($B39="","",SUMPRODUCT(--($B$2:$B$313=B39),--(L39&lt;$L$2:$L$313))+1)</f>
        <v>5</v>
      </c>
      <c r="S39" s="1">
        <f t="shared" si="15"/>
        <v>2</v>
      </c>
      <c r="T39" s="1" cm="1">
        <f t="array" ref="T39">IF($B39="","",IF(M39=0,"",SUMPRODUCT(--($B$2:$B$313=B39),--(J39&lt;$J$2:$J$313))+1))</f>
        <v>3</v>
      </c>
      <c r="U39" s="1">
        <f t="shared" si="16"/>
        <v>2</v>
      </c>
      <c r="V39" s="1" t="str">
        <f t="shared" si="17"/>
        <v>0305</v>
      </c>
      <c r="W39" s="1">
        <f t="shared" si="18"/>
        <v>1</v>
      </c>
      <c r="X39" s="1">
        <f t="shared" si="2"/>
        <v>0</v>
      </c>
      <c r="Y39" s="1">
        <f>IF($B39="","",MAX(_xlfn.MAXIFS($J$2:J39,$I$2:I39,$I39),_xlfn.MAXIFS($K$2:K39,$I$2:I39,$I39)))</f>
        <v>148</v>
      </c>
      <c r="Z39" s="1">
        <f t="shared" si="3"/>
        <v>209</v>
      </c>
      <c r="AA39" s="1">
        <f t="shared" si="19"/>
        <v>0</v>
      </c>
      <c r="AB39" s="1">
        <f t="shared" si="20"/>
        <v>0</v>
      </c>
      <c r="AC39" s="1">
        <f t="shared" si="21"/>
        <v>0</v>
      </c>
      <c r="AD39" s="1">
        <f>IF($B39="","",MIN(_xlfn.MINIFS($J$2:J39,$I$2:I39,$I39),_xlfn.MINIFS($K$2:K39,$I$2:I39,$I39)))</f>
        <v>87</v>
      </c>
      <c r="AE39" s="1">
        <f t="shared" si="22"/>
        <v>92</v>
      </c>
      <c r="AF39" s="1">
        <f t="shared" si="23"/>
        <v>0</v>
      </c>
      <c r="AG39" s="1">
        <f t="shared" si="24"/>
        <v>0</v>
      </c>
      <c r="AH39" s="1">
        <f t="shared" si="25"/>
        <v>0</v>
      </c>
      <c r="AI39" s="1">
        <f ca="1">IF($B39="","",IF($K39="",0,OFFSET($CO$17,R39,W39)))</f>
        <v>6</v>
      </c>
      <c r="AJ39" s="1">
        <f t="shared" ca="1" si="26"/>
        <v>0</v>
      </c>
      <c r="AK39" s="1">
        <f ca="1">IF(AJ39="","",IF(AJ39=0,0,IF(W39=1,0,SUM(OFFSET($CO$17,N39,1):OFFSET($CO$17,N39+W39-2,1))/W39)))</f>
        <v>0</v>
      </c>
      <c r="AL39" s="1">
        <f t="shared" ca="1" si="27"/>
        <v>6</v>
      </c>
      <c r="AM39" s="1">
        <f ca="1">IF($B39="","",SUMIFS($AL$2:AL39,$I$2:I39,$I39))</f>
        <v>9</v>
      </c>
      <c r="AN39" s="1">
        <f t="shared" si="28"/>
        <v>5.000038</v>
      </c>
      <c r="AO39" s="1">
        <f>IFERROR(IF($B39="","",AVERAGEIFS($L$2:L39,$I$2:I39,I39,$L$2:L39,"&lt;&gt;0")),0)</f>
        <v>238</v>
      </c>
      <c r="AP39" s="1">
        <f t="shared" si="29"/>
        <v>119</v>
      </c>
      <c r="AQ39" s="1">
        <f>IF($B39="","",COUNTIFS($R$2:R39,1,$I$2:I39,$I39))</f>
        <v>0</v>
      </c>
      <c r="AR39" s="1">
        <f t="array" aca="1" ref="AR39" ca="1">IF($B39="","",SUMPRODUCT(--($B$2:$B$313=B39),--(AM39&lt;$AM$2:$AM$313))+1)</f>
        <v>9</v>
      </c>
      <c r="AS39" s="1">
        <f t="array" ref="AS39">IF($B39="","",SUMPRODUCT(--($B$2:$B$313=B39),--(AP39&lt;$AP$2:$AP$313))+1)</f>
        <v>14</v>
      </c>
      <c r="AT39" s="1">
        <f t="array" ref="AT39">IF($B39="","",SUMPRODUCT(--($B$2:$B$313=B39),--(AQ39&lt;$AQ$2:$AQ$313))+1)</f>
        <v>5</v>
      </c>
      <c r="AU39" s="1">
        <f t="shared" si="30"/>
        <v>3.8000000000000003E-8</v>
      </c>
      <c r="AV39" s="1">
        <f t="shared" ca="1" si="31"/>
        <v>9.1405037999999994E-2</v>
      </c>
      <c r="AW39" s="1" t="str">
        <f t="shared" si="4"/>
        <v/>
      </c>
      <c r="AX39" s="1" t="str">
        <f t="shared" si="32"/>
        <v/>
      </c>
      <c r="AY39" s="8">
        <f t="shared" ca="1" si="33"/>
        <v>9.1405037999999994E-2</v>
      </c>
      <c r="AZ39" s="1" cm="1">
        <f t="array" aca="1" ref="AZ39" ca="1">IF($B39="","",SUMPRODUCT(--($B$2:$B$313=B39),--(AY39&gt;$AY$2:$AY$313))+1)</f>
        <v>9</v>
      </c>
      <c r="BA39" s="1" t="str">
        <f t="shared" si="34"/>
        <v>K2024GP03_2_1</v>
      </c>
      <c r="BB39" s="1" t="str">
        <f t="shared" si="35"/>
        <v>K2024GP03_2_2</v>
      </c>
      <c r="BC39" s="1">
        <f t="shared" si="36"/>
        <v>0</v>
      </c>
      <c r="BD39" s="1">
        <f t="shared" si="37"/>
        <v>0</v>
      </c>
      <c r="BE39" s="1">
        <f t="shared" si="38"/>
        <v>1</v>
      </c>
      <c r="BF39" s="1">
        <f t="shared" si="39"/>
        <v>148</v>
      </c>
      <c r="BG39" s="1">
        <f t="shared" si="40"/>
        <v>127</v>
      </c>
      <c r="BH39" s="1">
        <f t="shared" si="41"/>
        <v>4</v>
      </c>
      <c r="BI39" s="1">
        <f t="shared" si="42"/>
        <v>4</v>
      </c>
      <c r="BJ39" s="1">
        <f t="shared" si="43"/>
        <v>4.0399999999999998E-2</v>
      </c>
      <c r="BK39" s="1">
        <f t="shared" si="44"/>
        <v>0</v>
      </c>
      <c r="BL39" s="1">
        <f t="shared" si="45"/>
        <v>9.8999999999999994E-5</v>
      </c>
      <c r="BM39" s="1">
        <f t="shared" si="46"/>
        <v>4.0499E-2</v>
      </c>
      <c r="BN39" s="1">
        <f t="shared" si="47"/>
        <v>0</v>
      </c>
      <c r="BO39" s="1">
        <f t="shared" si="5"/>
        <v>5</v>
      </c>
      <c r="BP39" s="1">
        <f t="shared" si="6"/>
        <v>0</v>
      </c>
      <c r="BQ39" s="1" cm="1">
        <f t="array" ref="BQ39">IF(I39="","",IF(BP39=1,"",IF(L39=0,"",IF(B39=1,"",_xlfn.XLOOKUP(1,($I$2:$I$313=$I39)*($B$2:$B$313=($B39-1)),$BO$2:$BO$313)))))</f>
        <v>16</v>
      </c>
      <c r="BR39" s="1">
        <f>IF(I39="","",IF($B39=1,_xlfn.MINIFS($BO$2:$BO$313,$B$2:$B$313,$B39),_xlfn.MINIFS(BQ$2:$BQ$313,$B$2:$B$313,$B39)))</f>
        <v>1</v>
      </c>
      <c r="BS39" s="1">
        <f t="shared" si="48"/>
        <v>3</v>
      </c>
      <c r="BT39" s="1" t="str" cm="1">
        <f t="array" ref="BT39">IF($I39="","",IF($B39=1,_xlfn.XLOOKUP(1,($B$2:$B$313=$B39)*($BO$2:$BO$313=BR39),Data!$I$2:$I$313,,0),_xlfn.XLOOKUP(1,($B$2:$B$313=$B39)*($BQ$2:$BQ$313=$BR39),$I$2:$I$313,,0)))</f>
        <v>Sakari Leinonen</v>
      </c>
      <c r="BU39" s="1" t="str" cm="1">
        <f t="array" ref="BU39">IF(I39="","",IF($B39=1,_xlfn.XLOOKUP(1,($B$2:$B$313=$B39)*($BO$2:$BO$313=$BS39),$I$2:$I$313,,0),_xlfn.XLOOKUP(1,($B$2:$B$313=$B39)*($BQ$2:$BQ$313=$BS39),$I$2:$I$313,,0)))</f>
        <v>Ossi Oksa</v>
      </c>
      <c r="BV39" s="1" t="str" cm="1">
        <f t="array" ref="BV39">IF($I39="","",IF($B39=1,"",IF($B39=2,_xlfn.XLOOKUP(1,($B$2:$B$313=1)*($BO$2:$BO$313=1),$I$2:$I$313,,0),_xlfn.XLOOKUP($B39-1,$B$2:$B$313,$CH$2:$CH$313,,0))))</f>
        <v>Ossi Oksa</v>
      </c>
      <c r="BW39" s="1" t="str" cm="1">
        <f t="array" ref="BW39">IF($I39="","",IF($B39=1,"",IF(_xlfn.XLOOKUP(1,($B$2:$B$313=$B39)*($I$2:$I$313=$BV39),$BQ$2:$BQ$313,,0)="","NOK","OK")))</f>
        <v>OK</v>
      </c>
      <c r="BX39" s="1" t="str">
        <f t="shared" si="49"/>
        <v>Ossi Oksa</v>
      </c>
      <c r="BY39" s="1" t="str">
        <f t="shared" si="50"/>
        <v>Sakari Leinonen</v>
      </c>
      <c r="BZ39" s="1">
        <f t="shared" si="51"/>
        <v>209</v>
      </c>
      <c r="CA39" s="1">
        <f t="shared" si="52"/>
        <v>192</v>
      </c>
      <c r="CB39" s="1">
        <f t="shared" si="53"/>
        <v>9.8999999999999994E-5</v>
      </c>
      <c r="CC39" s="1">
        <f t="shared" si="54"/>
        <v>121</v>
      </c>
      <c r="CD39" s="1">
        <f t="shared" si="55"/>
        <v>105</v>
      </c>
      <c r="CE39" s="1">
        <f t="shared" si="56"/>
        <v>9.8999999999999994E-5</v>
      </c>
      <c r="CF39" s="1" t="str">
        <f t="shared" si="57"/>
        <v>Ossi Oksa (P)</v>
      </c>
      <c r="CG39" s="1" t="str">
        <f t="shared" si="58"/>
        <v>Sakari Leinonen (1)</v>
      </c>
      <c r="CH39" s="1" t="str">
        <f t="shared" si="59"/>
        <v>Ossi Oksa</v>
      </c>
      <c r="CI39" s="1">
        <f t="shared" si="60"/>
        <v>0</v>
      </c>
      <c r="CJ39" s="1" t="str">
        <f ca="1">IF(B39="","",IF(SUM(AI39:AK39)&gt;0,"+SP","")&amp;IF(CI39&gt;0,"+KK","")&amp;IF(AB39&gt;0,"+KGP1","")&amp;IF(AC39&gt;0,"+KGP2","")&amp;IF(AG39&lt;0,"-KGP1","")&amp;IF(AH39&lt;0,"-KGP2",""))</f>
        <v>+SP</v>
      </c>
      <c r="CO39" s="1">
        <v>22</v>
      </c>
      <c r="CP39" s="3">
        <v>0</v>
      </c>
      <c r="CQ39" s="6">
        <f ca="1">SUM($CP39:OFFSET($CP39,CQ$17-1,0))/CQ$17</f>
        <v>0</v>
      </c>
      <c r="CR39" s="6">
        <f ca="1">SUM($CP39:OFFSET($CP39,CR$17-1,0))/CR$17</f>
        <v>0</v>
      </c>
      <c r="CS39" s="6">
        <f ca="1">SUM($CP39:OFFSET($CP39,CS$17-1,0))/CS$17</f>
        <v>2.75</v>
      </c>
      <c r="CT39" s="6">
        <f ca="1">SUM($CP39:OFFSET($CP39,CT$17-1,0))/CT$17</f>
        <v>2.2000000000000002</v>
      </c>
      <c r="CU39" s="6">
        <f ca="1">SUM($CP39:OFFSET($CP39,CU$17-1,0))/CU$17</f>
        <v>1.8333333333333333</v>
      </c>
      <c r="CV39" s="6">
        <f ca="1">SUM($CP39:OFFSET($CP39,CV$17-1,0))/CV$17</f>
        <v>1.5714285714285714</v>
      </c>
      <c r="CW39" s="6">
        <f ca="1">SUM($CP39:OFFSET($CP39,CW$17-1,0))/CW$17</f>
        <v>1.375</v>
      </c>
      <c r="CX39" s="6">
        <f ca="1">SUM($CP39:OFFSET($CP39,CX$17-1,0))/CX$17</f>
        <v>1.2222222222222223</v>
      </c>
      <c r="CY39" s="6">
        <f ca="1">SUM($CP39:OFFSET($CP39,CY$17-1,0))/CY$17</f>
        <v>1.1000000000000001</v>
      </c>
      <c r="CZ39" s="6">
        <f ca="1">SUM($CP39:OFFSET($CP39,CZ$17-1,0))/CZ$17</f>
        <v>1</v>
      </c>
      <c r="DA39" s="6">
        <f ca="1">SUM($CP39:OFFSET($CP39,DA$17-1,0))/DA$17</f>
        <v>0.91666666666666663</v>
      </c>
      <c r="DB39" s="6">
        <f ca="1">SUM($CP39:OFFSET($CP39,DB$17-1,0))/DB$17</f>
        <v>0.84615384615384615</v>
      </c>
      <c r="DC39" s="6">
        <f ca="1">SUM($CP39:OFFSET($CP39,DC$17-1,0))/DC$17</f>
        <v>0.7857142857142857</v>
      </c>
      <c r="DD39" s="6">
        <f ca="1">SUM($CP39:OFFSET($CP39,DD$17-1,0))/DD$17</f>
        <v>0.73333333333333328</v>
      </c>
      <c r="DE39" s="6">
        <f ca="1">SUM($CP39:OFFSET($CP39,DE$17-1,0))/DE$17</f>
        <v>0.6875</v>
      </c>
      <c r="DF39" s="6">
        <f ca="1">SUM($CP39:OFFSET($CP39,DF$17-1,0))/DF$17</f>
        <v>0.6470588235294118</v>
      </c>
      <c r="DG39" s="6">
        <f ca="1">SUM($CP39:OFFSET($CP39,DG$17-1,0))/DG$17</f>
        <v>0.61111111111111116</v>
      </c>
      <c r="DH39" s="6">
        <f ca="1">SUM($CP39:OFFSET($CP39,DH$17-1,0))/DH$17</f>
        <v>0.57894736842105265</v>
      </c>
      <c r="DI39" s="6">
        <f ca="1">SUM($CP39:OFFSET($CP39,DI$17-1,0))/DI$17</f>
        <v>0.55000000000000004</v>
      </c>
      <c r="DJ39" s="6">
        <f ca="1">SUM($CP39:OFFSET($CP39,DJ$17-1,0))/DJ$17</f>
        <v>0.52380952380952384</v>
      </c>
      <c r="DK39" s="6">
        <f ca="1">SUM($CP39:OFFSET($CP39,DK$17-1,0))/DK$17</f>
        <v>0.5</v>
      </c>
      <c r="DL39" s="6">
        <f ca="1">SUM($CP39:OFFSET($CP39,DL$17-1,0))/DL$17</f>
        <v>0.47826086956521741</v>
      </c>
      <c r="DM39" s="6">
        <f ca="1">SUM($CP39:OFFSET($CP39,DM$17-1,0))/DM$17</f>
        <v>0.45833333333333331</v>
      </c>
    </row>
    <row r="40" spans="1:117" x14ac:dyDescent="0.25">
      <c r="A40" s="1">
        <f>IFERROR(IF(ROW(A39)=1,1,IF(1+A39&lt;=$CP$1*$CP$2,1+A39,"")),"")</f>
        <v>39</v>
      </c>
      <c r="B40" s="1">
        <f>IF($I40="","",IF(ROW(B39)=1,1,ROUNDUP(A40/$CP$2,0)))</f>
        <v>3</v>
      </c>
      <c r="C40" s="4">
        <f t="shared" si="7"/>
        <v>45599</v>
      </c>
      <c r="D40" s="4" t="str">
        <f t="shared" si="0"/>
        <v>Kupittaan keilahalli</v>
      </c>
      <c r="E40" s="1">
        <f>IF($B40="","",COUNTIF($B$2:B40,B40))</f>
        <v>3</v>
      </c>
      <c r="F40" s="1" t="str">
        <f t="shared" si="1"/>
        <v>K2024GP03</v>
      </c>
      <c r="G40" s="1" t="str">
        <f t="shared" si="8"/>
        <v>K2024GP03_3</v>
      </c>
      <c r="H40" s="1">
        <f t="shared" si="9"/>
        <v>1</v>
      </c>
      <c r="I40" s="3" t="s">
        <v>143</v>
      </c>
      <c r="J40" s="3">
        <v>168</v>
      </c>
      <c r="K40" s="3">
        <v>159</v>
      </c>
      <c r="L40" s="1">
        <f t="shared" si="10"/>
        <v>327</v>
      </c>
      <c r="M40" s="1">
        <f t="shared" si="11"/>
        <v>1</v>
      </c>
      <c r="N40" s="1">
        <f t="shared" si="12"/>
        <v>2</v>
      </c>
      <c r="O40" s="1">
        <f t="shared" si="13"/>
        <v>327</v>
      </c>
      <c r="P40" s="1">
        <f t="shared" si="14"/>
        <v>74</v>
      </c>
      <c r="Q40" s="1">
        <f t="array" ref="Q40">IF($B40="","",IF(MAX(IF(B40=$B$2:$B$313,$L$2:$L$313))-L40=0,"",MAX(IF(B40=$B$2:$B$313,$L$2:$L$313))-L40))</f>
        <v>74</v>
      </c>
      <c r="R40" s="1">
        <f t="array" ref="R40">IF($B40="","",SUMPRODUCT(--($B$2:$B$313=B40),--(L40&lt;$L$2:$L$313))+1)</f>
        <v>2</v>
      </c>
      <c r="S40" s="1">
        <f t="shared" si="15"/>
        <v>2</v>
      </c>
      <c r="T40" s="1" cm="1">
        <f t="array" ref="T40">IF($B40="","",IF(M40=0,"",SUMPRODUCT(--($B$2:$B$313=B40),--(J40&lt;$J$2:$J$313))+1))</f>
        <v>2</v>
      </c>
      <c r="U40" s="1">
        <f t="shared" si="16"/>
        <v>0</v>
      </c>
      <c r="V40" s="1" t="str">
        <f t="shared" si="17"/>
        <v>0302</v>
      </c>
      <c r="W40" s="1">
        <f t="shared" si="18"/>
        <v>1</v>
      </c>
      <c r="X40" s="1">
        <f t="shared" si="2"/>
        <v>0</v>
      </c>
      <c r="Y40" s="1">
        <f>IF($B40="","",MAX(_xlfn.MAXIFS($J$2:J40,$I$2:I40,$I40),_xlfn.MAXIFS($K$2:K40,$I$2:I40,$I40)))</f>
        <v>176</v>
      </c>
      <c r="Z40" s="1">
        <f t="shared" si="3"/>
        <v>209</v>
      </c>
      <c r="AA40" s="1">
        <f t="shared" si="19"/>
        <v>0</v>
      </c>
      <c r="AB40" s="1">
        <f t="shared" si="20"/>
        <v>0</v>
      </c>
      <c r="AC40" s="1">
        <f t="shared" si="21"/>
        <v>0</v>
      </c>
      <c r="AD40" s="1">
        <f>IF($B40="","",MIN(_xlfn.MINIFS($J$2:J40,$I$2:I40,$I40),_xlfn.MINIFS($K$2:K40,$I$2:I40,$I40)))</f>
        <v>157</v>
      </c>
      <c r="AE40" s="1">
        <f t="shared" si="22"/>
        <v>92</v>
      </c>
      <c r="AF40" s="1">
        <f t="shared" si="23"/>
        <v>0</v>
      </c>
      <c r="AG40" s="1">
        <f t="shared" si="24"/>
        <v>0</v>
      </c>
      <c r="AH40" s="1">
        <f t="shared" si="25"/>
        <v>0</v>
      </c>
      <c r="AI40" s="1">
        <f ca="1">IF($B40="","",IF($K40="",0,OFFSET($CO$17,R40,W40)))</f>
        <v>10</v>
      </c>
      <c r="AJ40" s="1">
        <f t="shared" ca="1" si="26"/>
        <v>0</v>
      </c>
      <c r="AK40" s="1">
        <f ca="1">IF(AJ40="","",IF(AJ40=0,0,IF(W40=1,0,SUM(OFFSET($CO$17,N40,1):OFFSET($CO$17,N40+W40-2,1))/W40)))</f>
        <v>0</v>
      </c>
      <c r="AL40" s="1">
        <f t="shared" ca="1" si="27"/>
        <v>10</v>
      </c>
      <c r="AM40" s="1">
        <f ca="1">IF($B40="","",SUMIFS($AL$2:AL40,$I$2:I40,$I40))</f>
        <v>21</v>
      </c>
      <c r="AN40" s="1">
        <f t="shared" si="28"/>
        <v>2.0000390000000001</v>
      </c>
      <c r="AO40" s="1">
        <f>IFERROR(IF($B40="","",AVERAGEIFS($L$2:L40,$I$2:I40,I40,$L$2:L40,"&lt;&gt;0")),0)</f>
        <v>330</v>
      </c>
      <c r="AP40" s="1">
        <f t="shared" si="29"/>
        <v>165</v>
      </c>
      <c r="AQ40" s="1">
        <f>IF($B40="","",COUNTIFS($R$2:R40,1,$I$2:I40,$I40))</f>
        <v>1</v>
      </c>
      <c r="AR40" s="1">
        <f t="array" aca="1" ref="AR40" ca="1">IF($B40="","",SUMPRODUCT(--($B$2:$B$313=B40),--(AM40&lt;$AM$2:$AM$313))+1)</f>
        <v>2</v>
      </c>
      <c r="AS40" s="1">
        <f t="array" ref="AS40">IF($B40="","",SUMPRODUCT(--($B$2:$B$313=B40),--(AP40&lt;$AP$2:$AP$313))+1)</f>
        <v>1</v>
      </c>
      <c r="AT40" s="1">
        <f t="array" ref="AT40">IF($B40="","",SUMPRODUCT(--($B$2:$B$313=B40),--(AQ40&lt;$AQ$2:$AQ$313))+1)</f>
        <v>1</v>
      </c>
      <c r="AU40" s="1">
        <f t="shared" si="30"/>
        <v>3.8999999999999998E-8</v>
      </c>
      <c r="AV40" s="1">
        <f t="shared" ca="1" si="31"/>
        <v>2.0101039000000001E-2</v>
      </c>
      <c r="AW40" s="1" t="str">
        <f t="shared" si="4"/>
        <v/>
      </c>
      <c r="AX40" s="1" t="str">
        <f t="shared" si="32"/>
        <v/>
      </c>
      <c r="AY40" s="8">
        <f t="shared" ca="1" si="33"/>
        <v>2.0101039000000001E-2</v>
      </c>
      <c r="AZ40" s="1" cm="1">
        <f t="array" aca="1" ref="AZ40" ca="1">IF($B40="","",SUMPRODUCT(--($B$2:$B$313=B40),--(AY40&gt;$AY$2:$AY$313))+1)</f>
        <v>2</v>
      </c>
      <c r="BA40" s="1" t="str">
        <f t="shared" si="34"/>
        <v>K2024GP03_3_1</v>
      </c>
      <c r="BB40" s="1" t="str">
        <f t="shared" si="35"/>
        <v>K2024GP03_3_2</v>
      </c>
      <c r="BC40" s="1">
        <f t="shared" si="36"/>
        <v>0</v>
      </c>
      <c r="BD40" s="1">
        <f t="shared" si="37"/>
        <v>1</v>
      </c>
      <c r="BE40" s="1">
        <f t="shared" si="38"/>
        <v>1</v>
      </c>
      <c r="BF40" s="1">
        <f t="shared" si="39"/>
        <v>168</v>
      </c>
      <c r="BG40" s="1">
        <f t="shared" si="40"/>
        <v>159</v>
      </c>
      <c r="BH40" s="1">
        <f t="shared" si="41"/>
        <v>3</v>
      </c>
      <c r="BI40" s="1">
        <f t="shared" si="42"/>
        <v>2</v>
      </c>
      <c r="BJ40" s="1">
        <f t="shared" si="43"/>
        <v>3.0199999999999998E-2</v>
      </c>
      <c r="BK40" s="1">
        <f t="shared" si="44"/>
        <v>0</v>
      </c>
      <c r="BL40" s="1">
        <f t="shared" si="45"/>
        <v>9.8999999999999994E-5</v>
      </c>
      <c r="BM40" s="1">
        <f t="shared" si="46"/>
        <v>3.0298999999999996E-2</v>
      </c>
      <c r="BN40" s="1">
        <f t="shared" si="47"/>
        <v>0</v>
      </c>
      <c r="BO40" s="1">
        <f t="shared" si="5"/>
        <v>3</v>
      </c>
      <c r="BP40" s="1">
        <f t="shared" si="6"/>
        <v>0</v>
      </c>
      <c r="BQ40" s="1" cm="1">
        <f t="array" ref="BQ40">IF(I40="","",IF(BP40=1,"",IF(L40=0,"",IF(B40=1,"",_xlfn.XLOOKUP(1,($I$2:$I$313=$I40)*($B$2:$B$313=($B40-1)),$BO$2:$BO$313)))))</f>
        <v>4</v>
      </c>
      <c r="BR40" s="1">
        <f>IF(I40="","",IF($B40=1,_xlfn.MINIFS($BO$2:$BO$313,$B$2:$B$313,$B40),_xlfn.MINIFS(BQ$2:$BQ$313,$B$2:$B$313,$B40)))</f>
        <v>1</v>
      </c>
      <c r="BS40" s="1">
        <f t="shared" si="48"/>
        <v>3</v>
      </c>
      <c r="BT40" s="1" t="str" cm="1">
        <f t="array" ref="BT40">IF($I40="","",IF($B40=1,_xlfn.XLOOKUP(1,($B$2:$B$313=$B40)*($BO$2:$BO$313=BR40),Data!$I$2:$I$313,,0),_xlfn.XLOOKUP(1,($B$2:$B$313=$B40)*($BQ$2:$BQ$313=$BR40),$I$2:$I$313,,0)))</f>
        <v>Sakari Leinonen</v>
      </c>
      <c r="BU40" s="1" t="str" cm="1">
        <f t="array" ref="BU40">IF(I40="","",IF($B40=1,_xlfn.XLOOKUP(1,($B$2:$B$313=$B40)*($BO$2:$BO$313=$BS40),$I$2:$I$313,,0),_xlfn.XLOOKUP(1,($B$2:$B$313=$B40)*($BQ$2:$BQ$313=$BS40),$I$2:$I$313,,0)))</f>
        <v>Ossi Oksa</v>
      </c>
      <c r="BV40" s="1" t="str" cm="1">
        <f t="array" ref="BV40">IF($I40="","",IF($B40=1,"",IF($B40=2,_xlfn.XLOOKUP(1,($B$2:$B$313=1)*($BO$2:$BO$313=1),$I$2:$I$313,,0),_xlfn.XLOOKUP($B40-1,$B$2:$B$313,$CH$2:$CH$313,,0))))</f>
        <v>Ossi Oksa</v>
      </c>
      <c r="BW40" s="1" t="str" cm="1">
        <f t="array" ref="BW40">IF($I40="","",IF($B40=1,"",IF(_xlfn.XLOOKUP(1,($B$2:$B$313=$B40)*($I$2:$I$313=$BV40),$BQ$2:$BQ$313,,0)="","NOK","OK")))</f>
        <v>OK</v>
      </c>
      <c r="BX40" s="1" t="str">
        <f t="shared" si="49"/>
        <v>Ossi Oksa</v>
      </c>
      <c r="BY40" s="1" t="str">
        <f t="shared" si="50"/>
        <v>Sakari Leinonen</v>
      </c>
      <c r="BZ40" s="1">
        <f t="shared" si="51"/>
        <v>209</v>
      </c>
      <c r="CA40" s="1">
        <f t="shared" si="52"/>
        <v>192</v>
      </c>
      <c r="CB40" s="1">
        <f t="shared" si="53"/>
        <v>9.8999999999999994E-5</v>
      </c>
      <c r="CC40" s="1">
        <f t="shared" si="54"/>
        <v>121</v>
      </c>
      <c r="CD40" s="1">
        <f t="shared" si="55"/>
        <v>105</v>
      </c>
      <c r="CE40" s="1">
        <f t="shared" si="56"/>
        <v>9.8999999999999994E-5</v>
      </c>
      <c r="CF40" s="1" t="str">
        <f t="shared" si="57"/>
        <v>Ossi Oksa (P)</v>
      </c>
      <c r="CG40" s="1" t="str">
        <f t="shared" si="58"/>
        <v>Sakari Leinonen (1)</v>
      </c>
      <c r="CH40" s="1" t="str">
        <f t="shared" si="59"/>
        <v>Ossi Oksa</v>
      </c>
      <c r="CI40" s="1">
        <f t="shared" si="60"/>
        <v>0</v>
      </c>
      <c r="CJ40" s="1" t="str">
        <f ca="1">IF(B40="","",IF(SUM(AI40:AK40)&gt;0,"+SP","")&amp;IF(CI40&gt;0,"+KK","")&amp;IF(AB40&gt;0,"+KGP1","")&amp;IF(AC40&gt;0,"+KGP2","")&amp;IF(AG40&lt;0,"-KGP1","")&amp;IF(AH40&lt;0,"-KGP2",""))</f>
        <v>+SP</v>
      </c>
      <c r="CO40" s="1">
        <v>23</v>
      </c>
      <c r="CP40" s="3">
        <v>0</v>
      </c>
      <c r="CQ40" s="6">
        <f ca="1">SUM($CP40:OFFSET($CP40,CQ$17-1,0))/CQ$17</f>
        <v>0</v>
      </c>
      <c r="CR40" s="6">
        <f ca="1">SUM($CP40:OFFSET($CP40,CR$17-1,0))/CR$17</f>
        <v>3.6666666666666665</v>
      </c>
      <c r="CS40" s="6">
        <f ca="1">SUM($CP40:OFFSET($CP40,CS$17-1,0))/CS$17</f>
        <v>2.75</v>
      </c>
      <c r="CT40" s="6">
        <f ca="1">SUM($CP40:OFFSET($CP40,CT$17-1,0))/CT$17</f>
        <v>2.2000000000000002</v>
      </c>
      <c r="CU40" s="6">
        <f ca="1">SUM($CP40:OFFSET($CP40,CU$17-1,0))/CU$17</f>
        <v>1.8333333333333333</v>
      </c>
      <c r="CV40" s="6">
        <f ca="1">SUM($CP40:OFFSET($CP40,CV$17-1,0))/CV$17</f>
        <v>1.5714285714285714</v>
      </c>
      <c r="CW40" s="6">
        <f ca="1">SUM($CP40:OFFSET($CP40,CW$17-1,0))/CW$17</f>
        <v>1.375</v>
      </c>
      <c r="CX40" s="6">
        <f ca="1">SUM($CP40:OFFSET($CP40,CX$17-1,0))/CX$17</f>
        <v>1.2222222222222223</v>
      </c>
      <c r="CY40" s="6">
        <f ca="1">SUM($CP40:OFFSET($CP40,CY$17-1,0))/CY$17</f>
        <v>1.1000000000000001</v>
      </c>
      <c r="CZ40" s="6">
        <f ca="1">SUM($CP40:OFFSET($CP40,CZ$17-1,0))/CZ$17</f>
        <v>1</v>
      </c>
      <c r="DA40" s="6">
        <f ca="1">SUM($CP40:OFFSET($CP40,DA$17-1,0))/DA$17</f>
        <v>0.91666666666666663</v>
      </c>
      <c r="DB40" s="6">
        <f ca="1">SUM($CP40:OFFSET($CP40,DB$17-1,0))/DB$17</f>
        <v>0.84615384615384615</v>
      </c>
      <c r="DC40" s="6">
        <f ca="1">SUM($CP40:OFFSET($CP40,DC$17-1,0))/DC$17</f>
        <v>0.7857142857142857</v>
      </c>
      <c r="DD40" s="6">
        <f ca="1">SUM($CP40:OFFSET($CP40,DD$17-1,0))/DD$17</f>
        <v>0.73333333333333328</v>
      </c>
      <c r="DE40" s="6">
        <f ca="1">SUM($CP40:OFFSET($CP40,DE$17-1,0))/DE$17</f>
        <v>0.6875</v>
      </c>
      <c r="DF40" s="6">
        <f ca="1">SUM($CP40:OFFSET($CP40,DF$17-1,0))/DF$17</f>
        <v>0.6470588235294118</v>
      </c>
      <c r="DG40" s="6">
        <f ca="1">SUM($CP40:OFFSET($CP40,DG$17-1,0))/DG$17</f>
        <v>0.61111111111111116</v>
      </c>
      <c r="DH40" s="6">
        <f ca="1">SUM($CP40:OFFSET($CP40,DH$17-1,0))/DH$17</f>
        <v>0.57894736842105265</v>
      </c>
      <c r="DI40" s="6">
        <f ca="1">SUM($CP40:OFFSET($CP40,DI$17-1,0))/DI$17</f>
        <v>0.55000000000000004</v>
      </c>
      <c r="DJ40" s="6">
        <f ca="1">SUM($CP40:OFFSET($CP40,DJ$17-1,0))/DJ$17</f>
        <v>0.52380952380952384</v>
      </c>
      <c r="DK40" s="6">
        <f ca="1">SUM($CP40:OFFSET($CP40,DK$17-1,0))/DK$17</f>
        <v>0.5</v>
      </c>
      <c r="DL40" s="6">
        <f ca="1">SUM($CP40:OFFSET($CP40,DL$17-1,0))/DL$17</f>
        <v>0.47826086956521741</v>
      </c>
      <c r="DM40" s="6">
        <f ca="1">SUM($CP40:OFFSET($CP40,DM$17-1,0))/DM$17</f>
        <v>0.45833333333333331</v>
      </c>
    </row>
    <row r="41" spans="1:117" x14ac:dyDescent="0.25">
      <c r="A41" s="1">
        <f>IFERROR(IF(ROW(A40)=1,1,IF(1+A40&lt;=$CP$1*$CP$2,1+A40,"")),"")</f>
        <v>40</v>
      </c>
      <c r="B41" s="1">
        <f>IF($I41="","",IF(ROW(B40)=1,1,ROUNDUP(A41/$CP$2,0)))</f>
        <v>3</v>
      </c>
      <c r="C41" s="4">
        <f t="shared" si="7"/>
        <v>45599</v>
      </c>
      <c r="D41" s="4" t="str">
        <f t="shared" si="0"/>
        <v>Kupittaan keilahalli</v>
      </c>
      <c r="E41" s="1">
        <f>IF($B41="","",COUNTIF($B$2:B41,B41))</f>
        <v>4</v>
      </c>
      <c r="F41" s="1" t="str">
        <f t="shared" si="1"/>
        <v>K2024GP03</v>
      </c>
      <c r="G41" s="1" t="str">
        <f t="shared" si="8"/>
        <v>K2024GP03_4</v>
      </c>
      <c r="H41" s="1">
        <f t="shared" si="9"/>
        <v>1</v>
      </c>
      <c r="I41" s="3" t="s">
        <v>139</v>
      </c>
      <c r="J41" s="3">
        <v>192</v>
      </c>
      <c r="K41" s="3">
        <v>209</v>
      </c>
      <c r="L41" s="1">
        <f t="shared" si="10"/>
        <v>401</v>
      </c>
      <c r="M41" s="1">
        <f t="shared" si="11"/>
        <v>1</v>
      </c>
      <c r="N41" s="1">
        <f t="shared" si="12"/>
        <v>1</v>
      </c>
      <c r="O41" s="1">
        <f t="shared" si="13"/>
        <v>401</v>
      </c>
      <c r="P41" s="1" t="str">
        <f t="shared" si="14"/>
        <v/>
      </c>
      <c r="Q41" s="1" t="str">
        <f t="array" ref="Q41">IF($B41="","",IF(MAX(IF(B41=$B$2:$B$313,$L$2:$L$313))-L41=0,"",MAX(IF(B41=$B$2:$B$313,$L$2:$L$313))-L41))</f>
        <v/>
      </c>
      <c r="R41" s="1">
        <f t="array" ref="R41">IF($B41="","",SUMPRODUCT(--($B$2:$B$313=B41),--(L41&lt;$L$2:$L$313))+1)</f>
        <v>1</v>
      </c>
      <c r="S41" s="1">
        <f t="shared" si="15"/>
        <v>2</v>
      </c>
      <c r="T41" s="1" cm="1">
        <f t="array" ref="T41">IF($B41="","",IF(M41=0,"",SUMPRODUCT(--($B$2:$B$313=B41),--(J41&lt;$J$2:$J$313))+1))</f>
        <v>1</v>
      </c>
      <c r="U41" s="1">
        <f t="shared" si="16"/>
        <v>0</v>
      </c>
      <c r="V41" s="1" t="str">
        <f t="shared" si="17"/>
        <v>0301</v>
      </c>
      <c r="W41" s="1">
        <f t="shared" si="18"/>
        <v>1</v>
      </c>
      <c r="X41" s="1">
        <f t="shared" si="2"/>
        <v>0</v>
      </c>
      <c r="Y41" s="1">
        <f>IF($B41="","",MAX(_xlfn.MAXIFS($J$2:J41,$I$2:I41,$I41),_xlfn.MAXIFS($K$2:K41,$I$2:I41,$I41)))</f>
        <v>209</v>
      </c>
      <c r="Z41" s="1">
        <f t="shared" si="3"/>
        <v>209</v>
      </c>
      <c r="AA41" s="1">
        <f t="shared" si="19"/>
        <v>0</v>
      </c>
      <c r="AB41" s="1">
        <f t="shared" si="20"/>
        <v>0</v>
      </c>
      <c r="AC41" s="1">
        <f t="shared" si="21"/>
        <v>0</v>
      </c>
      <c r="AD41" s="1">
        <f>IF($B41="","",MIN(_xlfn.MINIFS($J$2:J41,$I$2:I41,$I41),_xlfn.MINIFS($K$2:K41,$I$2:I41,$I41)))</f>
        <v>111</v>
      </c>
      <c r="AE41" s="1">
        <f t="shared" si="22"/>
        <v>92</v>
      </c>
      <c r="AF41" s="1">
        <f t="shared" si="23"/>
        <v>0</v>
      </c>
      <c r="AG41" s="1">
        <f t="shared" si="24"/>
        <v>0</v>
      </c>
      <c r="AH41" s="1">
        <f t="shared" si="25"/>
        <v>0</v>
      </c>
      <c r="AI41" s="1">
        <f ca="1">IF($B41="","",IF($K41="",0,OFFSET($CO$17,R41,W41)))</f>
        <v>12</v>
      </c>
      <c r="AJ41" s="1">
        <f t="shared" ca="1" si="26"/>
        <v>0</v>
      </c>
      <c r="AK41" s="1">
        <f ca="1">IF(AJ41="","",IF(AJ41=0,0,IF(W41=1,0,SUM(OFFSET($CO$17,N41,1):OFFSET($CO$17,N41+W41-2,1))/W41)))</f>
        <v>0</v>
      </c>
      <c r="AL41" s="1">
        <f t="shared" ca="1" si="27"/>
        <v>13</v>
      </c>
      <c r="AM41" s="1">
        <f ca="1">IF($B41="","",SUMIFS($AL$2:AL41,$I$2:I41,$I41))</f>
        <v>26.5</v>
      </c>
      <c r="AN41" s="1">
        <f t="shared" si="28"/>
        <v>1.00004</v>
      </c>
      <c r="AO41" s="1">
        <f>IFERROR(IF($B41="","",AVERAGEIFS($L$2:L41,$I$2:I41,I41,$L$2:L41,"&lt;&gt;0")),0)</f>
        <v>316.66666666666669</v>
      </c>
      <c r="AP41" s="1">
        <f t="shared" si="29"/>
        <v>158.33333333333334</v>
      </c>
      <c r="AQ41" s="1">
        <f>IF($B41="","",COUNTIFS($R$2:R41,1,$I$2:I41,$I41))</f>
        <v>1</v>
      </c>
      <c r="AR41" s="1">
        <f t="array" aca="1" ref="AR41" ca="1">IF($B41="","",SUMPRODUCT(--($B$2:$B$313=B41),--(AM41&lt;$AM$2:$AM$313))+1)</f>
        <v>1</v>
      </c>
      <c r="AS41" s="1">
        <f t="array" ref="AS41">IF($B41="","",SUMPRODUCT(--($B$2:$B$313=B41),--(AP41&lt;$AP$2:$AP$313))+1)</f>
        <v>2</v>
      </c>
      <c r="AT41" s="1">
        <f t="array" ref="AT41">IF($B41="","",SUMPRODUCT(--($B$2:$B$313=B41),--(AQ41&lt;$AQ$2:$AQ$313))+1)</f>
        <v>1</v>
      </c>
      <c r="AU41" s="1">
        <f t="shared" si="30"/>
        <v>4.0000000000000001E-8</v>
      </c>
      <c r="AV41" s="1">
        <f t="shared" ca="1" si="31"/>
        <v>1.020104E-2</v>
      </c>
      <c r="AW41" s="1" t="str">
        <f t="shared" si="4"/>
        <v/>
      </c>
      <c r="AX41" s="1" t="str">
        <f t="shared" si="32"/>
        <v/>
      </c>
      <c r="AY41" s="8">
        <f t="shared" ca="1" si="33"/>
        <v>1.020104E-2</v>
      </c>
      <c r="AZ41" s="1" cm="1">
        <f t="array" aca="1" ref="AZ41" ca="1">IF($B41="","",SUMPRODUCT(--($B$2:$B$313=B41),--(AY41&gt;$AY$2:$AY$313))+1)</f>
        <v>1</v>
      </c>
      <c r="BA41" s="1" t="str">
        <f t="shared" si="34"/>
        <v>K2024GP03_4_1</v>
      </c>
      <c r="BB41" s="1" t="str">
        <f t="shared" si="35"/>
        <v>K2024GP03_4_2</v>
      </c>
      <c r="BC41" s="1">
        <f t="shared" si="36"/>
        <v>1</v>
      </c>
      <c r="BD41" s="1">
        <f t="shared" si="37"/>
        <v>1</v>
      </c>
      <c r="BE41" s="1">
        <f t="shared" si="38"/>
        <v>1</v>
      </c>
      <c r="BF41" s="1">
        <f t="shared" si="39"/>
        <v>209</v>
      </c>
      <c r="BG41" s="1">
        <f t="shared" si="40"/>
        <v>192</v>
      </c>
      <c r="BH41" s="1">
        <f t="shared" si="41"/>
        <v>1</v>
      </c>
      <c r="BI41" s="1">
        <f t="shared" si="42"/>
        <v>1</v>
      </c>
      <c r="BJ41" s="1">
        <f t="shared" si="43"/>
        <v>1.01E-2</v>
      </c>
      <c r="BK41" s="1">
        <f t="shared" si="44"/>
        <v>0</v>
      </c>
      <c r="BL41" s="1">
        <f t="shared" si="45"/>
        <v>9.8999999999999994E-5</v>
      </c>
      <c r="BM41" s="1">
        <f t="shared" si="46"/>
        <v>1.0199E-2</v>
      </c>
      <c r="BN41" s="1">
        <f t="shared" si="47"/>
        <v>0</v>
      </c>
      <c r="BO41" s="1">
        <f t="shared" si="5"/>
        <v>1</v>
      </c>
      <c r="BP41" s="1">
        <f t="shared" si="6"/>
        <v>0</v>
      </c>
      <c r="BQ41" s="1" cm="1">
        <f t="array" ref="BQ41">IF(I41="","",IF(BP41=1,"",IF(L41=0,"",IF(B41=1,"",_xlfn.XLOOKUP(1,($I$2:$I$313=$I41)*($B$2:$B$313=($B41-1)),$BO$2:$BO$313)))))</f>
        <v>3</v>
      </c>
      <c r="BR41" s="1">
        <f>IF(I41="","",IF($B41=1,_xlfn.MINIFS($BO$2:$BO$313,$B$2:$B$313,$B41),_xlfn.MINIFS(BQ$2:$BQ$313,$B$2:$B$313,$B41)))</f>
        <v>1</v>
      </c>
      <c r="BS41" s="1">
        <f t="shared" si="48"/>
        <v>3</v>
      </c>
      <c r="BT41" s="1" t="str" cm="1">
        <f t="array" ref="BT41">IF($I41="","",IF($B41=1,_xlfn.XLOOKUP(1,($B$2:$B$313=$B41)*($BO$2:$BO$313=BR41),Data!$I$2:$I$313,,0),_xlfn.XLOOKUP(1,($B$2:$B$313=$B41)*($BQ$2:$BQ$313=$BR41),$I$2:$I$313,,0)))</f>
        <v>Sakari Leinonen</v>
      </c>
      <c r="BU41" s="1" t="str" cm="1">
        <f t="array" ref="BU41">IF(I41="","",IF($B41=1,_xlfn.XLOOKUP(1,($B$2:$B$313=$B41)*($BO$2:$BO$313=$BS41),$I$2:$I$313,,0),_xlfn.XLOOKUP(1,($B$2:$B$313=$B41)*($BQ$2:$BQ$313=$BS41),$I$2:$I$313,,0)))</f>
        <v>Ossi Oksa</v>
      </c>
      <c r="BV41" s="1" t="str" cm="1">
        <f t="array" ref="BV41">IF($I41="","",IF($B41=1,"",IF($B41=2,_xlfn.XLOOKUP(1,($B$2:$B$313=1)*($BO$2:$BO$313=1),$I$2:$I$313,,0),_xlfn.XLOOKUP($B41-1,$B$2:$B$313,$CH$2:$CH$313,,0))))</f>
        <v>Ossi Oksa</v>
      </c>
      <c r="BW41" s="1" t="str" cm="1">
        <f t="array" ref="BW41">IF($I41="","",IF($B41=1,"",IF(_xlfn.XLOOKUP(1,($B$2:$B$313=$B41)*($I$2:$I$313=$BV41),$BQ$2:$BQ$313,,0)="","NOK","OK")))</f>
        <v>OK</v>
      </c>
      <c r="BX41" s="1" t="str">
        <f t="shared" si="49"/>
        <v>Ossi Oksa</v>
      </c>
      <c r="BY41" s="1" t="str">
        <f t="shared" si="50"/>
        <v>Sakari Leinonen</v>
      </c>
      <c r="BZ41" s="1">
        <f t="shared" si="51"/>
        <v>209</v>
      </c>
      <c r="CA41" s="1">
        <f t="shared" si="52"/>
        <v>192</v>
      </c>
      <c r="CB41" s="1">
        <f t="shared" si="53"/>
        <v>9.8999999999999994E-5</v>
      </c>
      <c r="CC41" s="1">
        <f t="shared" si="54"/>
        <v>121</v>
      </c>
      <c r="CD41" s="1">
        <f t="shared" si="55"/>
        <v>105</v>
      </c>
      <c r="CE41" s="1">
        <f t="shared" si="56"/>
        <v>9.8999999999999994E-5</v>
      </c>
      <c r="CF41" s="1" t="str">
        <f t="shared" si="57"/>
        <v>Ossi Oksa (P)</v>
      </c>
      <c r="CG41" s="1" t="str">
        <f t="shared" si="58"/>
        <v>Sakari Leinonen (1)</v>
      </c>
      <c r="CH41" s="1" t="str">
        <f t="shared" si="59"/>
        <v>Ossi Oksa</v>
      </c>
      <c r="CI41" s="1">
        <f t="shared" si="60"/>
        <v>1</v>
      </c>
      <c r="CJ41" s="1" t="str">
        <f ca="1">IF(B41="","",IF(SUM(AI41:AK41)&gt;0,"+SP","")&amp;IF(CI41&gt;0,"+KK","")&amp;IF(AB41&gt;0,"+KGP1","")&amp;IF(AC41&gt;0,"+KGP2","")&amp;IF(AG41&lt;0,"-KGP1","")&amp;IF(AH41&lt;0,"-KGP2",""))</f>
        <v>+SP+KK</v>
      </c>
      <c r="CO41" s="1">
        <v>24</v>
      </c>
      <c r="CP41" s="3">
        <v>0</v>
      </c>
      <c r="CQ41" s="6">
        <f ca="1">SUM($CP41:OFFSET($CP41,CQ$17-1,0))/CQ$17</f>
        <v>5.5</v>
      </c>
      <c r="CR41" s="6">
        <f ca="1">SUM($CP41:OFFSET($CP41,CR$17-1,0))/CR$17</f>
        <v>3.6666666666666665</v>
      </c>
      <c r="CS41" s="6">
        <f ca="1">SUM($CP41:OFFSET($CP41,CS$17-1,0))/CS$17</f>
        <v>2.75</v>
      </c>
      <c r="CT41" s="6">
        <f ca="1">SUM($CP41:OFFSET($CP41,CT$17-1,0))/CT$17</f>
        <v>2.2000000000000002</v>
      </c>
      <c r="CU41" s="6">
        <f ca="1">SUM($CP41:OFFSET($CP41,CU$17-1,0))/CU$17</f>
        <v>1.8333333333333333</v>
      </c>
      <c r="CV41" s="6">
        <f ca="1">SUM($CP41:OFFSET($CP41,CV$17-1,0))/CV$17</f>
        <v>1.5714285714285714</v>
      </c>
      <c r="CW41" s="6">
        <f ca="1">SUM($CP41:OFFSET($CP41,CW$17-1,0))/CW$17</f>
        <v>1.375</v>
      </c>
      <c r="CX41" s="6">
        <f ca="1">SUM($CP41:OFFSET($CP41,CX$17-1,0))/CX$17</f>
        <v>1.2222222222222223</v>
      </c>
      <c r="CY41" s="6">
        <f ca="1">SUM($CP41:OFFSET($CP41,CY$17-1,0))/CY$17</f>
        <v>1.1000000000000001</v>
      </c>
      <c r="CZ41" s="6">
        <f ca="1">SUM($CP41:OFFSET($CP41,CZ$17-1,0))/CZ$17</f>
        <v>1</v>
      </c>
      <c r="DA41" s="6">
        <f ca="1">SUM($CP41:OFFSET($CP41,DA$17-1,0))/DA$17</f>
        <v>0.91666666666666663</v>
      </c>
      <c r="DB41" s="6">
        <f ca="1">SUM($CP41:OFFSET($CP41,DB$17-1,0))/DB$17</f>
        <v>0.84615384615384615</v>
      </c>
      <c r="DC41" s="6">
        <f ca="1">SUM($CP41:OFFSET($CP41,DC$17-1,0))/DC$17</f>
        <v>0.7857142857142857</v>
      </c>
      <c r="DD41" s="6">
        <f ca="1">SUM($CP41:OFFSET($CP41,DD$17-1,0))/DD$17</f>
        <v>0.73333333333333328</v>
      </c>
      <c r="DE41" s="6">
        <f ca="1">SUM($CP41:OFFSET($CP41,DE$17-1,0))/DE$17</f>
        <v>0.6875</v>
      </c>
      <c r="DF41" s="6">
        <f ca="1">SUM($CP41:OFFSET($CP41,DF$17-1,0))/DF$17</f>
        <v>0.6470588235294118</v>
      </c>
      <c r="DG41" s="6">
        <f ca="1">SUM($CP41:OFFSET($CP41,DG$17-1,0))/DG$17</f>
        <v>0.61111111111111116</v>
      </c>
      <c r="DH41" s="6">
        <f ca="1">SUM($CP41:OFFSET($CP41,DH$17-1,0))/DH$17</f>
        <v>0.57894736842105265</v>
      </c>
      <c r="DI41" s="6">
        <f ca="1">SUM($CP41:OFFSET($CP41,DI$17-1,0))/DI$17</f>
        <v>0.55000000000000004</v>
      </c>
      <c r="DJ41" s="6">
        <f ca="1">SUM($CP41:OFFSET($CP41,DJ$17-1,0))/DJ$17</f>
        <v>0.52380952380952384</v>
      </c>
      <c r="DK41" s="6">
        <f ca="1">SUM($CP41:OFFSET($CP41,DK$17-1,0))/DK$17</f>
        <v>0.5</v>
      </c>
      <c r="DL41" s="6">
        <f ca="1">SUM($CP41:OFFSET($CP41,DL$17-1,0))/DL$17</f>
        <v>0.47826086956521741</v>
      </c>
      <c r="DM41" s="6">
        <f ca="1">SUM($CP41:OFFSET($CP41,DM$17-1,0))/DM$17</f>
        <v>0.45833333333333331</v>
      </c>
    </row>
    <row r="42" spans="1:117" x14ac:dyDescent="0.25">
      <c r="A42" s="1">
        <f>IFERROR(IF(ROW(A41)=1,1,IF(1+A41&lt;=$CP$1*$CP$2,1+A41,"")),"")</f>
        <v>41</v>
      </c>
      <c r="B42" s="1">
        <f>IF($I42="","",IF(ROW(B41)=1,1,ROUNDUP(A42/$CP$2,0)))</f>
        <v>3</v>
      </c>
      <c r="C42" s="4">
        <f t="shared" si="7"/>
        <v>45599</v>
      </c>
      <c r="D42" s="4" t="str">
        <f t="shared" si="0"/>
        <v>Kupittaan keilahalli</v>
      </c>
      <c r="E42" s="1">
        <f>IF($B42="","",COUNTIF($B$2:B42,B42))</f>
        <v>5</v>
      </c>
      <c r="F42" s="1" t="str">
        <f t="shared" si="1"/>
        <v>K2024GP03</v>
      </c>
      <c r="G42" s="1" t="str">
        <f t="shared" si="8"/>
        <v>K2024GP03_5</v>
      </c>
      <c r="H42" s="1">
        <f t="shared" si="9"/>
        <v>1</v>
      </c>
      <c r="I42" s="3" t="s">
        <v>131</v>
      </c>
      <c r="J42" s="3">
        <v>140</v>
      </c>
      <c r="K42" s="3">
        <v>104</v>
      </c>
      <c r="L42" s="1">
        <f t="shared" si="10"/>
        <v>244</v>
      </c>
      <c r="M42" s="1">
        <f t="shared" si="11"/>
        <v>1</v>
      </c>
      <c r="N42" s="1">
        <f t="shared" si="12"/>
        <v>8</v>
      </c>
      <c r="O42" s="1">
        <f t="shared" si="13"/>
        <v>244</v>
      </c>
      <c r="P42" s="1">
        <f t="shared" si="14"/>
        <v>157</v>
      </c>
      <c r="Q42" s="1">
        <f t="array" ref="Q42">IF($B42="","",IF(MAX(IF(B42=$B$2:$B$313,$L$2:$L$313))-L42=0,"",MAX(IF(B42=$B$2:$B$313,$L$2:$L$313))-L42))</f>
        <v>157</v>
      </c>
      <c r="R42" s="1">
        <f t="array" ref="R42">IF($B42="","",SUMPRODUCT(--($B$2:$B$313=B42),--(L42&lt;$L$2:$L$313))+1)</f>
        <v>8</v>
      </c>
      <c r="S42" s="1">
        <f t="shared" si="15"/>
        <v>2</v>
      </c>
      <c r="T42" s="1" cm="1">
        <f t="array" ref="T42">IF($B42="","",IF(M42=0,"",SUMPRODUCT(--($B$2:$B$313=B42),--(J42&lt;$J$2:$J$313))+1))</f>
        <v>4</v>
      </c>
      <c r="U42" s="1">
        <f t="shared" si="16"/>
        <v>4</v>
      </c>
      <c r="V42" s="1" t="str">
        <f t="shared" si="17"/>
        <v>0308</v>
      </c>
      <c r="W42" s="1">
        <f t="shared" si="18"/>
        <v>1</v>
      </c>
      <c r="X42" s="1">
        <f t="shared" si="2"/>
        <v>0</v>
      </c>
      <c r="Y42" s="1">
        <f>IF($B42="","",MAX(_xlfn.MAXIFS($J$2:J42,$I$2:I42,$I42),_xlfn.MAXIFS($K$2:K42,$I$2:I42,$I42)))</f>
        <v>170</v>
      </c>
      <c r="Z42" s="1">
        <f t="shared" si="3"/>
        <v>209</v>
      </c>
      <c r="AA42" s="1">
        <f t="shared" si="19"/>
        <v>0</v>
      </c>
      <c r="AB42" s="1">
        <f t="shared" si="20"/>
        <v>0</v>
      </c>
      <c r="AC42" s="1">
        <f t="shared" si="21"/>
        <v>0</v>
      </c>
      <c r="AD42" s="1">
        <f>IF($B42="","",MIN(_xlfn.MINIFS($J$2:J42,$I$2:I42,$I42),_xlfn.MINIFS($K$2:K42,$I$2:I42,$I42)))</f>
        <v>102</v>
      </c>
      <c r="AE42" s="1">
        <f t="shared" si="22"/>
        <v>92</v>
      </c>
      <c r="AF42" s="1">
        <f t="shared" si="23"/>
        <v>0</v>
      </c>
      <c r="AG42" s="1">
        <f t="shared" si="24"/>
        <v>0</v>
      </c>
      <c r="AH42" s="1">
        <f t="shared" si="25"/>
        <v>0</v>
      </c>
      <c r="AI42" s="1">
        <f ca="1">IF($B42="","",IF($K42="",0,OFFSET($CO$17,R42,W42)))</f>
        <v>3</v>
      </c>
      <c r="AJ42" s="1">
        <f t="shared" ca="1" si="26"/>
        <v>0</v>
      </c>
      <c r="AK42" s="1">
        <f ca="1">IF(AJ42="","",IF(AJ42=0,0,IF(W42=1,0,SUM(OFFSET($CO$17,N42,1):OFFSET($CO$17,N42+W42-2,1))/W42)))</f>
        <v>0</v>
      </c>
      <c r="AL42" s="1">
        <f t="shared" ca="1" si="27"/>
        <v>3</v>
      </c>
      <c r="AM42" s="1">
        <f ca="1">IF($B42="","",SUMIFS($AL$2:AL42,$I$2:I42,$I42))</f>
        <v>14</v>
      </c>
      <c r="AN42" s="1">
        <f t="shared" si="28"/>
        <v>8.0000409999999995</v>
      </c>
      <c r="AO42" s="1">
        <f>IFERROR(IF($B42="","",AVERAGEIFS($L$2:L42,$I$2:I42,I42,$L$2:L42,"&lt;&gt;0")),0)</f>
        <v>258</v>
      </c>
      <c r="AP42" s="1">
        <f t="shared" si="29"/>
        <v>129</v>
      </c>
      <c r="AQ42" s="1">
        <f>IF($B42="","",COUNTIFS($R$2:R42,1,$I$2:I42,$I42))</f>
        <v>0</v>
      </c>
      <c r="AR42" s="1">
        <f t="array" aca="1" ref="AR42" ca="1">IF($B42="","",SUMPRODUCT(--($B$2:$B$313=B42),--(AM42&lt;$AM$2:$AM$313))+1)</f>
        <v>7</v>
      </c>
      <c r="AS42" s="1">
        <f t="array" ref="AS42">IF($B42="","",SUMPRODUCT(--($B$2:$B$313=B42),--(AP42&lt;$AP$2:$AP$313))+1)</f>
        <v>7</v>
      </c>
      <c r="AT42" s="1">
        <f t="array" ref="AT42">IF($B42="","",SUMPRODUCT(--($B$2:$B$313=B42),--(AQ42&lt;$AQ$2:$AQ$313))+1)</f>
        <v>5</v>
      </c>
      <c r="AU42" s="1">
        <f t="shared" si="30"/>
        <v>4.1000000000000003E-8</v>
      </c>
      <c r="AV42" s="1">
        <f t="shared" ca="1" si="31"/>
        <v>7.0705041000000024E-2</v>
      </c>
      <c r="AW42" s="1" t="str">
        <f t="shared" si="4"/>
        <v/>
      </c>
      <c r="AX42" s="1" t="str">
        <f t="shared" si="32"/>
        <v/>
      </c>
      <c r="AY42" s="8">
        <f t="shared" ca="1" si="33"/>
        <v>7.0705041000000024E-2</v>
      </c>
      <c r="AZ42" s="1" cm="1">
        <f t="array" aca="1" ref="AZ42" ca="1">IF($B42="","",SUMPRODUCT(--($B$2:$B$313=B42),--(AY42&gt;$AY$2:$AY$313))+1)</f>
        <v>7</v>
      </c>
      <c r="BA42" s="1" t="str">
        <f t="shared" si="34"/>
        <v>K2024GP03_5_1</v>
      </c>
      <c r="BB42" s="1" t="str">
        <f t="shared" si="35"/>
        <v>K2024GP03_5_2</v>
      </c>
      <c r="BC42" s="1">
        <f t="shared" si="36"/>
        <v>0</v>
      </c>
      <c r="BD42" s="1">
        <f t="shared" si="37"/>
        <v>0</v>
      </c>
      <c r="BE42" s="1">
        <f t="shared" si="38"/>
        <v>1</v>
      </c>
      <c r="BF42" s="1">
        <f t="shared" si="39"/>
        <v>140</v>
      </c>
      <c r="BG42" s="1">
        <f t="shared" si="40"/>
        <v>104</v>
      </c>
      <c r="BH42" s="1">
        <f t="shared" si="41"/>
        <v>6</v>
      </c>
      <c r="BI42" s="1">
        <f t="shared" si="42"/>
        <v>10</v>
      </c>
      <c r="BJ42" s="1">
        <f t="shared" si="43"/>
        <v>6.0999999999999999E-2</v>
      </c>
      <c r="BK42" s="1">
        <f t="shared" si="44"/>
        <v>0</v>
      </c>
      <c r="BL42" s="1">
        <f t="shared" si="45"/>
        <v>9.8999999999999994E-5</v>
      </c>
      <c r="BM42" s="1">
        <f t="shared" si="46"/>
        <v>6.1099000000000001E-2</v>
      </c>
      <c r="BN42" s="1">
        <f t="shared" si="47"/>
        <v>0</v>
      </c>
      <c r="BO42" s="1">
        <f t="shared" si="5"/>
        <v>6</v>
      </c>
      <c r="BP42" s="1">
        <f t="shared" si="6"/>
        <v>0</v>
      </c>
      <c r="BQ42" s="1" cm="1">
        <f t="array" ref="BQ42">IF(I42="","",IF(BP42=1,"",IF(L42=0,"",IF(B42=1,"",_xlfn.XLOOKUP(1,($I$2:$I$313=$I42)*($B$2:$B$313=($B42-1)),$BO$2:$BO$313)))))</f>
        <v>7</v>
      </c>
      <c r="BR42" s="1">
        <f>IF(I42="","",IF($B42=1,_xlfn.MINIFS($BO$2:$BO$313,$B$2:$B$313,$B42),_xlfn.MINIFS(BQ$2:$BQ$313,$B$2:$B$313,$B42)))</f>
        <v>1</v>
      </c>
      <c r="BS42" s="1">
        <f t="shared" si="48"/>
        <v>3</v>
      </c>
      <c r="BT42" s="1" t="str" cm="1">
        <f t="array" ref="BT42">IF($I42="","",IF($B42=1,_xlfn.XLOOKUP(1,($B$2:$B$313=$B42)*($BO$2:$BO$313=BR42),Data!$I$2:$I$313,,0),_xlfn.XLOOKUP(1,($B$2:$B$313=$B42)*($BQ$2:$BQ$313=$BR42),$I$2:$I$313,,0)))</f>
        <v>Sakari Leinonen</v>
      </c>
      <c r="BU42" s="1" t="str" cm="1">
        <f t="array" ref="BU42">IF(I42="","",IF($B42=1,_xlfn.XLOOKUP(1,($B$2:$B$313=$B42)*($BO$2:$BO$313=$BS42),$I$2:$I$313,,0),_xlfn.XLOOKUP(1,($B$2:$B$313=$B42)*($BQ$2:$BQ$313=$BS42),$I$2:$I$313,,0)))</f>
        <v>Ossi Oksa</v>
      </c>
      <c r="BV42" s="1" t="str" cm="1">
        <f t="array" ref="BV42">IF($I42="","",IF($B42=1,"",IF($B42=2,_xlfn.XLOOKUP(1,($B$2:$B$313=1)*($BO$2:$BO$313=1),$I$2:$I$313,,0),_xlfn.XLOOKUP($B42-1,$B$2:$B$313,$CH$2:$CH$313,,0))))</f>
        <v>Ossi Oksa</v>
      </c>
      <c r="BW42" s="1" t="str" cm="1">
        <f t="array" ref="BW42">IF($I42="","",IF($B42=1,"",IF(_xlfn.XLOOKUP(1,($B$2:$B$313=$B42)*($I$2:$I$313=$BV42),$BQ$2:$BQ$313,,0)="","NOK","OK")))</f>
        <v>OK</v>
      </c>
      <c r="BX42" s="1" t="str">
        <f t="shared" si="49"/>
        <v>Ossi Oksa</v>
      </c>
      <c r="BY42" s="1" t="str">
        <f t="shared" si="50"/>
        <v>Sakari Leinonen</v>
      </c>
      <c r="BZ42" s="1">
        <f t="shared" si="51"/>
        <v>209</v>
      </c>
      <c r="CA42" s="1">
        <f t="shared" si="52"/>
        <v>192</v>
      </c>
      <c r="CB42" s="1">
        <f t="shared" si="53"/>
        <v>9.8999999999999994E-5</v>
      </c>
      <c r="CC42" s="1">
        <f t="shared" si="54"/>
        <v>121</v>
      </c>
      <c r="CD42" s="1">
        <f t="shared" si="55"/>
        <v>105</v>
      </c>
      <c r="CE42" s="1">
        <f t="shared" si="56"/>
        <v>9.8999999999999994E-5</v>
      </c>
      <c r="CF42" s="1" t="str">
        <f t="shared" si="57"/>
        <v>Ossi Oksa (P)</v>
      </c>
      <c r="CG42" s="1" t="str">
        <f t="shared" si="58"/>
        <v>Sakari Leinonen (1)</v>
      </c>
      <c r="CH42" s="1" t="str">
        <f t="shared" si="59"/>
        <v>Ossi Oksa</v>
      </c>
      <c r="CI42" s="1">
        <f t="shared" si="60"/>
        <v>0</v>
      </c>
      <c r="CJ42" s="1" t="str">
        <f ca="1">IF(B42="","",IF(SUM(AI42:AK42)&gt;0,"+SP","")&amp;IF(CI42&gt;0,"+KK","")&amp;IF(AB42&gt;0,"+KGP1","")&amp;IF(AC42&gt;0,"+KGP2","")&amp;IF(AG42&lt;0,"-KGP1","")&amp;IF(AH42&lt;0,"-KGP2",""))</f>
        <v>+SP</v>
      </c>
      <c r="CP42" s="1">
        <f>INDEX($CO$18:$CO$41,MATCH(0,$CP$18:$CP$41,0))</f>
        <v>11</v>
      </c>
    </row>
    <row r="43" spans="1:117" x14ac:dyDescent="0.25">
      <c r="A43" s="1">
        <f>IFERROR(IF(ROW(A42)=1,1,IF(1+A42&lt;=$CP$1*$CP$2,1+A42,"")),"")</f>
        <v>42</v>
      </c>
      <c r="B43" s="1">
        <f>IF($I43="","",IF(ROW(B42)=1,1,ROUNDUP(A43/$CP$2,0)))</f>
        <v>3</v>
      </c>
      <c r="C43" s="4">
        <f t="shared" si="7"/>
        <v>45599</v>
      </c>
      <c r="D43" s="4" t="str">
        <f t="shared" si="0"/>
        <v>Kupittaan keilahalli</v>
      </c>
      <c r="E43" s="1">
        <f>IF($B43="","",COUNTIF($B$2:B43,B43))</f>
        <v>6</v>
      </c>
      <c r="F43" s="1" t="str">
        <f t="shared" si="1"/>
        <v>K2024GP03</v>
      </c>
      <c r="G43" s="1" t="str">
        <f t="shared" si="8"/>
        <v>K2024GP03_6</v>
      </c>
      <c r="H43" s="1">
        <f t="shared" si="9"/>
        <v>1</v>
      </c>
      <c r="I43" s="3" t="s">
        <v>133</v>
      </c>
      <c r="J43" s="3">
        <v>113</v>
      </c>
      <c r="K43" s="3">
        <v>178</v>
      </c>
      <c r="L43" s="1">
        <f t="shared" si="10"/>
        <v>291</v>
      </c>
      <c r="M43" s="1">
        <f t="shared" si="11"/>
        <v>1</v>
      </c>
      <c r="N43" s="1">
        <f t="shared" si="12"/>
        <v>3</v>
      </c>
      <c r="O43" s="1">
        <f t="shared" si="13"/>
        <v>291</v>
      </c>
      <c r="P43" s="1">
        <f t="shared" si="14"/>
        <v>110</v>
      </c>
      <c r="Q43" s="1">
        <f t="array" ref="Q43">IF($B43="","",IF(MAX(IF(B43=$B$2:$B$313,$L$2:$L$313))-L43=0,"",MAX(IF(B43=$B$2:$B$313,$L$2:$L$313))-L43))</f>
        <v>110</v>
      </c>
      <c r="R43" s="1">
        <f t="array" ref="R43">IF($B43="","",SUMPRODUCT(--($B$2:$B$313=B43),--(L43&lt;$L$2:$L$313))+1)</f>
        <v>3</v>
      </c>
      <c r="S43" s="1">
        <f t="shared" si="15"/>
        <v>2</v>
      </c>
      <c r="T43" s="1" cm="1">
        <f t="array" ref="T43">IF($B43="","",IF(M43=0,"",SUMPRODUCT(--($B$2:$B$313=B43),--(J43&lt;$J$2:$J$313))+1))</f>
        <v>10</v>
      </c>
      <c r="U43" s="1">
        <f t="shared" si="16"/>
        <v>-7</v>
      </c>
      <c r="V43" s="1" t="str">
        <f t="shared" si="17"/>
        <v>0303</v>
      </c>
      <c r="W43" s="1">
        <f t="shared" si="18"/>
        <v>1</v>
      </c>
      <c r="X43" s="1">
        <f t="shared" si="2"/>
        <v>0</v>
      </c>
      <c r="Y43" s="1">
        <f>IF($B43="","",MAX(_xlfn.MAXIFS($J$2:J43,$I$2:I43,$I43),_xlfn.MAXIFS($K$2:K43,$I$2:I43,$I43)))</f>
        <v>178</v>
      </c>
      <c r="Z43" s="1">
        <f t="shared" si="3"/>
        <v>209</v>
      </c>
      <c r="AA43" s="1">
        <f t="shared" si="19"/>
        <v>0</v>
      </c>
      <c r="AB43" s="1">
        <f t="shared" si="20"/>
        <v>0</v>
      </c>
      <c r="AC43" s="1">
        <f t="shared" si="21"/>
        <v>0</v>
      </c>
      <c r="AD43" s="1">
        <f>IF($B43="","",MIN(_xlfn.MINIFS($J$2:J43,$I$2:I43,$I43),_xlfn.MINIFS($K$2:K43,$I$2:I43,$I43)))</f>
        <v>91</v>
      </c>
      <c r="AE43" s="1">
        <f t="shared" si="22"/>
        <v>92</v>
      </c>
      <c r="AF43" s="1">
        <f t="shared" si="23"/>
        <v>0</v>
      </c>
      <c r="AG43" s="1">
        <f t="shared" si="24"/>
        <v>0</v>
      </c>
      <c r="AH43" s="1">
        <f t="shared" si="25"/>
        <v>0</v>
      </c>
      <c r="AI43" s="1">
        <f ca="1">IF($B43="","",IF($K43="",0,OFFSET($CO$17,R43,W43)))</f>
        <v>8</v>
      </c>
      <c r="AJ43" s="1">
        <f t="shared" ca="1" si="26"/>
        <v>0</v>
      </c>
      <c r="AK43" s="1">
        <f ca="1">IF(AJ43="","",IF(AJ43=0,0,IF(W43=1,0,SUM(OFFSET($CO$17,N43,1):OFFSET($CO$17,N43+W43-2,1))/W43)))</f>
        <v>0</v>
      </c>
      <c r="AL43" s="1">
        <f t="shared" ca="1" si="27"/>
        <v>8</v>
      </c>
      <c r="AM43" s="1">
        <f ca="1">IF($B43="","",SUMIFS($AL$2:AL43,$I$2:I43,$I43))</f>
        <v>18</v>
      </c>
      <c r="AN43" s="1">
        <f t="shared" si="28"/>
        <v>3.0000420000000001</v>
      </c>
      <c r="AO43" s="1">
        <f>IFERROR(IF($B43="","",AVERAGEIFS($L$2:L43,$I$2:I43,I43,$L$2:L43,"&lt;&gt;0")),0)</f>
        <v>256.33333333333331</v>
      </c>
      <c r="AP43" s="1">
        <f t="shared" si="29"/>
        <v>128.16666666666666</v>
      </c>
      <c r="AQ43" s="1">
        <f>IF($B43="","",COUNTIFS($R$2:R43,1,$I$2:I43,$I43))</f>
        <v>0</v>
      </c>
      <c r="AR43" s="1">
        <f t="array" aca="1" ref="AR43" ca="1">IF($B43="","",SUMPRODUCT(--($B$2:$B$313=B43),--(AM43&lt;$AM$2:$AM$313))+1)</f>
        <v>4</v>
      </c>
      <c r="AS43" s="1">
        <f t="array" ref="AS43">IF($B43="","",SUMPRODUCT(--($B$2:$B$313=B43),--(AP43&lt;$AP$2:$AP$313))+1)</f>
        <v>8</v>
      </c>
      <c r="AT43" s="1">
        <f t="array" ref="AT43">IF($B43="","",SUMPRODUCT(--($B$2:$B$313=B43),--(AQ43&lt;$AQ$2:$AQ$313))+1)</f>
        <v>5</v>
      </c>
      <c r="AU43" s="1">
        <f t="shared" si="30"/>
        <v>4.1999999999999999E-8</v>
      </c>
      <c r="AV43" s="1">
        <f t="shared" ca="1" si="31"/>
        <v>4.0805042E-2</v>
      </c>
      <c r="AW43" s="1" t="str">
        <f t="shared" si="4"/>
        <v/>
      </c>
      <c r="AX43" s="1" t="str">
        <f t="shared" si="32"/>
        <v/>
      </c>
      <c r="AY43" s="8">
        <f t="shared" ca="1" si="33"/>
        <v>4.0805042E-2</v>
      </c>
      <c r="AZ43" s="1" cm="1">
        <f t="array" aca="1" ref="AZ43" ca="1">IF($B43="","",SUMPRODUCT(--($B$2:$B$313=B43),--(AY43&gt;$AY$2:$AY$313))+1)</f>
        <v>4</v>
      </c>
      <c r="BA43" s="1" t="str">
        <f t="shared" si="34"/>
        <v>K2024GP03_6_1</v>
      </c>
      <c r="BB43" s="1" t="str">
        <f t="shared" si="35"/>
        <v>K2024GP03_6_2</v>
      </c>
      <c r="BC43" s="1">
        <f t="shared" si="36"/>
        <v>0</v>
      </c>
      <c r="BD43" s="1">
        <f t="shared" si="37"/>
        <v>1</v>
      </c>
      <c r="BE43" s="1">
        <f t="shared" si="38"/>
        <v>1</v>
      </c>
      <c r="BF43" s="1">
        <f t="shared" si="39"/>
        <v>178</v>
      </c>
      <c r="BG43" s="1">
        <f t="shared" si="40"/>
        <v>113</v>
      </c>
      <c r="BH43" s="1">
        <f t="shared" si="41"/>
        <v>2</v>
      </c>
      <c r="BI43" s="1">
        <f t="shared" si="42"/>
        <v>8</v>
      </c>
      <c r="BJ43" s="1">
        <f t="shared" si="43"/>
        <v>2.0799999999999999E-2</v>
      </c>
      <c r="BK43" s="1">
        <f t="shared" si="44"/>
        <v>0</v>
      </c>
      <c r="BL43" s="1">
        <f t="shared" si="45"/>
        <v>9.8999999999999994E-5</v>
      </c>
      <c r="BM43" s="1">
        <f t="shared" si="46"/>
        <v>2.0898999999999997E-2</v>
      </c>
      <c r="BN43" s="1">
        <f t="shared" si="47"/>
        <v>0</v>
      </c>
      <c r="BO43" s="1">
        <f t="shared" si="5"/>
        <v>2</v>
      </c>
      <c r="BP43" s="1">
        <f t="shared" si="6"/>
        <v>0</v>
      </c>
      <c r="BQ43" s="1" cm="1">
        <f t="array" ref="BQ43">IF(I43="","",IF(BP43=1,"",IF(L43=0,"",IF(B43=1,"",_xlfn.XLOOKUP(1,($I$2:$I$313=$I43)*($B$2:$B$313=($B43-1)),$BO$2:$BO$313)))))</f>
        <v>10</v>
      </c>
      <c r="BR43" s="1">
        <f>IF(I43="","",IF($B43=1,_xlfn.MINIFS($BO$2:$BO$313,$B$2:$B$313,$B43),_xlfn.MINIFS(BQ$2:$BQ$313,$B$2:$B$313,$B43)))</f>
        <v>1</v>
      </c>
      <c r="BS43" s="1">
        <f t="shared" si="48"/>
        <v>3</v>
      </c>
      <c r="BT43" s="1" t="str" cm="1">
        <f t="array" ref="BT43">IF($I43="","",IF($B43=1,_xlfn.XLOOKUP(1,($B$2:$B$313=$B43)*($BO$2:$BO$313=BR43),Data!$I$2:$I$313,,0),_xlfn.XLOOKUP(1,($B$2:$B$313=$B43)*($BQ$2:$BQ$313=$BR43),$I$2:$I$313,,0)))</f>
        <v>Sakari Leinonen</v>
      </c>
      <c r="BU43" s="1" t="str" cm="1">
        <f t="array" ref="BU43">IF(I43="","",IF($B43=1,_xlfn.XLOOKUP(1,($B$2:$B$313=$B43)*($BO$2:$BO$313=$BS43),$I$2:$I$313,,0),_xlfn.XLOOKUP(1,($B$2:$B$313=$B43)*($BQ$2:$BQ$313=$BS43),$I$2:$I$313,,0)))</f>
        <v>Ossi Oksa</v>
      </c>
      <c r="BV43" s="1" t="str" cm="1">
        <f t="array" ref="BV43">IF($I43="","",IF($B43=1,"",IF($B43=2,_xlfn.XLOOKUP(1,($B$2:$B$313=1)*($BO$2:$BO$313=1),$I$2:$I$313,,0),_xlfn.XLOOKUP($B43-1,$B$2:$B$313,$CH$2:$CH$313,,0))))</f>
        <v>Ossi Oksa</v>
      </c>
      <c r="BW43" s="1" t="str" cm="1">
        <f t="array" ref="BW43">IF($I43="","",IF($B43=1,"",IF(_xlfn.XLOOKUP(1,($B$2:$B$313=$B43)*($I$2:$I$313=$BV43),$BQ$2:$BQ$313,,0)="","NOK","OK")))</f>
        <v>OK</v>
      </c>
      <c r="BX43" s="1" t="str">
        <f t="shared" si="49"/>
        <v>Ossi Oksa</v>
      </c>
      <c r="BY43" s="1" t="str">
        <f t="shared" si="50"/>
        <v>Sakari Leinonen</v>
      </c>
      <c r="BZ43" s="1">
        <f t="shared" si="51"/>
        <v>209</v>
      </c>
      <c r="CA43" s="1">
        <f t="shared" si="52"/>
        <v>192</v>
      </c>
      <c r="CB43" s="1">
        <f t="shared" si="53"/>
        <v>9.8999999999999994E-5</v>
      </c>
      <c r="CC43" s="1">
        <f t="shared" si="54"/>
        <v>121</v>
      </c>
      <c r="CD43" s="1">
        <f t="shared" si="55"/>
        <v>105</v>
      </c>
      <c r="CE43" s="1">
        <f t="shared" si="56"/>
        <v>9.8999999999999994E-5</v>
      </c>
      <c r="CF43" s="1" t="str">
        <f t="shared" si="57"/>
        <v>Ossi Oksa (P)</v>
      </c>
      <c r="CG43" s="1" t="str">
        <f t="shared" si="58"/>
        <v>Sakari Leinonen (1)</v>
      </c>
      <c r="CH43" s="1" t="str">
        <f t="shared" si="59"/>
        <v>Ossi Oksa</v>
      </c>
      <c r="CI43" s="1">
        <f t="shared" si="60"/>
        <v>0</v>
      </c>
      <c r="CJ43" s="1" t="str">
        <f ca="1">IF(B43="","",IF(SUM(AI43:AK43)&gt;0,"+SP","")&amp;IF(CI43&gt;0,"+KK","")&amp;IF(AB43&gt;0,"+KGP1","")&amp;IF(AC43&gt;0,"+KGP2","")&amp;IF(AG43&lt;0,"-KGP1","")&amp;IF(AH43&lt;0,"-KGP2",""))</f>
        <v>+SP</v>
      </c>
    </row>
    <row r="44" spans="1:117" x14ac:dyDescent="0.25">
      <c r="A44" s="1">
        <f>IFERROR(IF(ROW(A43)=1,1,IF(1+A43&lt;=$CP$1*$CP$2,1+A43,"")),"")</f>
        <v>43</v>
      </c>
      <c r="B44" s="1">
        <f>IF($I44="","",IF(ROW(B43)=1,1,ROUNDUP(A44/$CP$2,0)))</f>
        <v>3</v>
      </c>
      <c r="C44" s="4">
        <f t="shared" si="7"/>
        <v>45599</v>
      </c>
      <c r="D44" s="4" t="str">
        <f t="shared" si="0"/>
        <v>Kupittaan keilahalli</v>
      </c>
      <c r="E44" s="1">
        <f>IF($B44="","",COUNTIF($B$2:B44,B44))</f>
        <v>7</v>
      </c>
      <c r="F44" s="1" t="str">
        <f t="shared" si="1"/>
        <v>K2024GP03</v>
      </c>
      <c r="G44" s="1" t="str">
        <f t="shared" si="8"/>
        <v>K2024GP03_7</v>
      </c>
      <c r="H44" s="1">
        <f t="shared" si="9"/>
        <v>1</v>
      </c>
      <c r="I44" s="3" t="s">
        <v>144</v>
      </c>
      <c r="J44" s="3">
        <v>105</v>
      </c>
      <c r="K44" s="3">
        <v>121</v>
      </c>
      <c r="L44" s="1">
        <f t="shared" si="10"/>
        <v>226</v>
      </c>
      <c r="M44" s="1">
        <f t="shared" si="11"/>
        <v>1</v>
      </c>
      <c r="N44" s="1">
        <f t="shared" si="12"/>
        <v>10</v>
      </c>
      <c r="O44" s="1">
        <f t="shared" si="13"/>
        <v>226</v>
      </c>
      <c r="P44" s="1">
        <f t="shared" si="14"/>
        <v>175</v>
      </c>
      <c r="Q44" s="1">
        <f t="array" ref="Q44">IF($B44="","",IF(MAX(IF(B44=$B$2:$B$313,$L$2:$L$313))-L44=0,"",MAX(IF(B44=$B$2:$B$313,$L$2:$L$313))-L44))</f>
        <v>175</v>
      </c>
      <c r="R44" s="1">
        <f t="array" ref="R44">IF($B44="","",SUMPRODUCT(--($B$2:$B$313=B44),--(L44&lt;$L$2:$L$313))+1)</f>
        <v>10</v>
      </c>
      <c r="S44" s="1">
        <f t="shared" si="15"/>
        <v>2</v>
      </c>
      <c r="T44" s="1" cm="1">
        <f t="array" ref="T44">IF($B44="","",IF(M44=0,"",SUMPRODUCT(--($B$2:$B$313=B44),--(J44&lt;$J$2:$J$313))+1))</f>
        <v>11</v>
      </c>
      <c r="U44" s="1">
        <f t="shared" si="16"/>
        <v>-1</v>
      </c>
      <c r="V44" s="1" t="str">
        <f t="shared" si="17"/>
        <v>0310</v>
      </c>
      <c r="W44" s="1">
        <f t="shared" si="18"/>
        <v>1</v>
      </c>
      <c r="X44" s="1">
        <f t="shared" si="2"/>
        <v>0</v>
      </c>
      <c r="Y44" s="1">
        <f>IF($B44="","",MAX(_xlfn.MAXIFS($J$2:J44,$I$2:I44,$I44),_xlfn.MAXIFS($K$2:K44,$I$2:I44,$I44)))</f>
        <v>193</v>
      </c>
      <c r="Z44" s="1">
        <f t="shared" si="3"/>
        <v>209</v>
      </c>
      <c r="AA44" s="1">
        <f t="shared" si="19"/>
        <v>0</v>
      </c>
      <c r="AB44" s="1">
        <f t="shared" si="20"/>
        <v>0</v>
      </c>
      <c r="AC44" s="1">
        <f t="shared" si="21"/>
        <v>0</v>
      </c>
      <c r="AD44" s="1">
        <f>IF($B44="","",MIN(_xlfn.MINIFS($J$2:J44,$I$2:I44,$I44),_xlfn.MINIFS($K$2:K44,$I$2:I44,$I44)))</f>
        <v>82</v>
      </c>
      <c r="AE44" s="1">
        <f t="shared" si="22"/>
        <v>92</v>
      </c>
      <c r="AF44" s="1">
        <f t="shared" si="23"/>
        <v>0</v>
      </c>
      <c r="AG44" s="1">
        <f t="shared" si="24"/>
        <v>0</v>
      </c>
      <c r="AH44" s="1">
        <f t="shared" si="25"/>
        <v>0</v>
      </c>
      <c r="AI44" s="1">
        <f ca="1">IF($B44="","",IF($K44="",0,OFFSET($CO$17,R44,W44)))</f>
        <v>1</v>
      </c>
      <c r="AJ44" s="1">
        <f t="shared" ca="1" si="26"/>
        <v>0</v>
      </c>
      <c r="AK44" s="1">
        <f ca="1">IF(AJ44="","",IF(AJ44=0,0,IF(W44=1,0,SUM(OFFSET($CO$17,N44,1):OFFSET($CO$17,N44+W44-2,1))/W44)))</f>
        <v>0</v>
      </c>
      <c r="AL44" s="1">
        <f t="shared" ca="1" si="27"/>
        <v>1</v>
      </c>
      <c r="AM44" s="1">
        <f ca="1">IF($B44="","",SUMIFS($AL$2:AL44,$I$2:I44,$I44))</f>
        <v>10</v>
      </c>
      <c r="AN44" s="1">
        <f t="shared" si="28"/>
        <v>10.000043</v>
      </c>
      <c r="AO44" s="1">
        <f>IFERROR(IF($B44="","",AVERAGEIFS($L$2:L44,$I$2:I44,I44,$L$2:L44,"&lt;&gt;0")),0)</f>
        <v>250</v>
      </c>
      <c r="AP44" s="1">
        <f t="shared" si="29"/>
        <v>125</v>
      </c>
      <c r="AQ44" s="1">
        <f>IF($B44="","",COUNTIFS($R$2:R44,1,$I$2:I44,$I44))</f>
        <v>0</v>
      </c>
      <c r="AR44" s="1">
        <f t="array" aca="1" ref="AR44" ca="1">IF($B44="","",SUMPRODUCT(--($B$2:$B$313=B44),--(AM44&lt;$AM$2:$AM$313))+1)</f>
        <v>8</v>
      </c>
      <c r="AS44" s="1">
        <f t="array" ref="AS44">IF($B44="","",SUMPRODUCT(--($B$2:$B$313=B44),--(AP44&lt;$AP$2:$AP$313))+1)</f>
        <v>11</v>
      </c>
      <c r="AT44" s="1">
        <f t="array" ref="AT44">IF($B44="","",SUMPRODUCT(--($B$2:$B$313=B44),--(AQ44&lt;$AQ$2:$AQ$313))+1)</f>
        <v>5</v>
      </c>
      <c r="AU44" s="1">
        <f t="shared" si="30"/>
        <v>4.3000000000000001E-8</v>
      </c>
      <c r="AV44" s="1">
        <f t="shared" ca="1" si="31"/>
        <v>8.1105043000000016E-2</v>
      </c>
      <c r="AW44" s="1" t="str">
        <f t="shared" si="4"/>
        <v/>
      </c>
      <c r="AX44" s="1" t="str">
        <f t="shared" si="32"/>
        <v/>
      </c>
      <c r="AY44" s="8">
        <f t="shared" ca="1" si="33"/>
        <v>8.1105043000000016E-2</v>
      </c>
      <c r="AZ44" s="1" cm="1">
        <f t="array" aca="1" ref="AZ44" ca="1">IF($B44="","",SUMPRODUCT(--($B$2:$B$313=B44),--(AY44&gt;$AY$2:$AY$313))+1)</f>
        <v>8</v>
      </c>
      <c r="BA44" s="1" t="str">
        <f t="shared" si="34"/>
        <v>K2024GP03_7_1</v>
      </c>
      <c r="BB44" s="1" t="str">
        <f t="shared" si="35"/>
        <v>K2024GP03_7_2</v>
      </c>
      <c r="BC44" s="1">
        <f t="shared" si="36"/>
        <v>0</v>
      </c>
      <c r="BD44" s="1">
        <f t="shared" si="37"/>
        <v>0</v>
      </c>
      <c r="BE44" s="1">
        <f t="shared" si="38"/>
        <v>1</v>
      </c>
      <c r="BF44" s="1">
        <f t="shared" si="39"/>
        <v>121</v>
      </c>
      <c r="BG44" s="1">
        <f t="shared" si="40"/>
        <v>105</v>
      </c>
      <c r="BH44" s="1">
        <f t="shared" si="41"/>
        <v>9</v>
      </c>
      <c r="BI44" s="1">
        <f t="shared" si="42"/>
        <v>9</v>
      </c>
      <c r="BJ44" s="1">
        <f t="shared" si="43"/>
        <v>9.0899999999999995E-2</v>
      </c>
      <c r="BK44" s="1">
        <f t="shared" si="44"/>
        <v>0</v>
      </c>
      <c r="BL44" s="1">
        <f t="shared" si="45"/>
        <v>9.8999999999999994E-5</v>
      </c>
      <c r="BM44" s="1">
        <f t="shared" si="46"/>
        <v>9.0998999999999997E-2</v>
      </c>
      <c r="BN44" s="1">
        <f t="shared" si="47"/>
        <v>0</v>
      </c>
      <c r="BO44" s="1">
        <f t="shared" si="5"/>
        <v>9</v>
      </c>
      <c r="BP44" s="1">
        <f t="shared" si="6"/>
        <v>0</v>
      </c>
      <c r="BQ44" s="1" cm="1">
        <f t="array" ref="BQ44">IF(I44="","",IF(BP44=1,"",IF(L44=0,"",IF(B44=1,"",_xlfn.XLOOKUP(1,($I$2:$I$313=$I44)*($B$2:$B$313=($B44-1)),$BO$2:$BO$313)))))</f>
        <v>1</v>
      </c>
      <c r="BR44" s="1">
        <f>IF(I44="","",IF($B44=1,_xlfn.MINIFS($BO$2:$BO$313,$B$2:$B$313,$B44),_xlfn.MINIFS(BQ$2:$BQ$313,$B$2:$B$313,$B44)))</f>
        <v>1</v>
      </c>
      <c r="BS44" s="1">
        <f t="shared" si="48"/>
        <v>3</v>
      </c>
      <c r="BT44" s="1" t="str" cm="1">
        <f t="array" ref="BT44">IF($I44="","",IF($B44=1,_xlfn.XLOOKUP(1,($B$2:$B$313=$B44)*($BO$2:$BO$313=BR44),Data!$I$2:$I$313,,0),_xlfn.XLOOKUP(1,($B$2:$B$313=$B44)*($BQ$2:$BQ$313=$BR44),$I$2:$I$313,,0)))</f>
        <v>Sakari Leinonen</v>
      </c>
      <c r="BU44" s="1" t="str" cm="1">
        <f t="array" ref="BU44">IF(I44="","",IF($B44=1,_xlfn.XLOOKUP(1,($B$2:$B$313=$B44)*($BO$2:$BO$313=$BS44),$I$2:$I$313,,0),_xlfn.XLOOKUP(1,($B$2:$B$313=$B44)*($BQ$2:$BQ$313=$BS44),$I$2:$I$313,,0)))</f>
        <v>Ossi Oksa</v>
      </c>
      <c r="BV44" s="1" t="str" cm="1">
        <f t="array" ref="BV44">IF($I44="","",IF($B44=1,"",IF($B44=2,_xlfn.XLOOKUP(1,($B$2:$B$313=1)*($BO$2:$BO$313=1),$I$2:$I$313,,0),_xlfn.XLOOKUP($B44-1,$B$2:$B$313,$CH$2:$CH$313,,0))))</f>
        <v>Ossi Oksa</v>
      </c>
      <c r="BW44" s="1" t="str" cm="1">
        <f t="array" ref="BW44">IF($I44="","",IF($B44=1,"",IF(_xlfn.XLOOKUP(1,($B$2:$B$313=$B44)*($I$2:$I$313=$BV44),$BQ$2:$BQ$313,,0)="","NOK","OK")))</f>
        <v>OK</v>
      </c>
      <c r="BX44" s="1" t="str">
        <f t="shared" si="49"/>
        <v>Ossi Oksa</v>
      </c>
      <c r="BY44" s="1" t="str">
        <f t="shared" si="50"/>
        <v>Sakari Leinonen</v>
      </c>
      <c r="BZ44" s="1">
        <f t="shared" si="51"/>
        <v>209</v>
      </c>
      <c r="CA44" s="1">
        <f t="shared" si="52"/>
        <v>192</v>
      </c>
      <c r="CB44" s="1">
        <f t="shared" si="53"/>
        <v>9.8999999999999994E-5</v>
      </c>
      <c r="CC44" s="1">
        <f t="shared" si="54"/>
        <v>121</v>
      </c>
      <c r="CD44" s="1">
        <f t="shared" si="55"/>
        <v>105</v>
      </c>
      <c r="CE44" s="1">
        <f t="shared" si="56"/>
        <v>9.8999999999999994E-5</v>
      </c>
      <c r="CF44" s="1" t="str">
        <f t="shared" si="57"/>
        <v>Ossi Oksa (P)</v>
      </c>
      <c r="CG44" s="1" t="str">
        <f t="shared" si="58"/>
        <v>Sakari Leinonen (1)</v>
      </c>
      <c r="CH44" s="1" t="str">
        <f t="shared" si="59"/>
        <v>Ossi Oksa</v>
      </c>
      <c r="CI44" s="1">
        <f t="shared" si="60"/>
        <v>0</v>
      </c>
      <c r="CJ44" s="1" t="str">
        <f ca="1">IF(B44="","",IF(SUM(AI44:AK44)&gt;0,"+SP","")&amp;IF(CI44&gt;0,"+KK","")&amp;IF(AB44&gt;0,"+KGP1","")&amp;IF(AC44&gt;0,"+KGP2","")&amp;IF(AG44&lt;0,"-KGP1","")&amp;IF(AH44&lt;0,"-KGP2",""))</f>
        <v>+SP</v>
      </c>
    </row>
    <row r="45" spans="1:117" x14ac:dyDescent="0.25">
      <c r="A45" s="1">
        <f>IFERROR(IF(ROW(A44)=1,1,IF(1+A44&lt;=$CP$1*$CP$2,1+A44,"")),"")</f>
        <v>44</v>
      </c>
      <c r="B45" s="1">
        <f>IF($I45="","",IF(ROW(B44)=1,1,ROUNDUP(A45/$CP$2,0)))</f>
        <v>3</v>
      </c>
      <c r="C45" s="4">
        <f t="shared" si="7"/>
        <v>45599</v>
      </c>
      <c r="D45" s="4" t="str">
        <f t="shared" si="0"/>
        <v>Kupittaan keilahalli</v>
      </c>
      <c r="E45" s="1">
        <f>IF($B45="","",COUNTIF($B$2:B45,B45))</f>
        <v>8</v>
      </c>
      <c r="F45" s="1" t="str">
        <f t="shared" si="1"/>
        <v>K2024GP03</v>
      </c>
      <c r="G45" s="1" t="str">
        <f t="shared" si="8"/>
        <v>K2024GP03_8</v>
      </c>
      <c r="H45" s="1">
        <f t="shared" si="9"/>
        <v>1</v>
      </c>
      <c r="I45" s="3" t="s">
        <v>134</v>
      </c>
      <c r="J45" s="3">
        <v>134</v>
      </c>
      <c r="K45" s="3">
        <v>148</v>
      </c>
      <c r="L45" s="1">
        <f t="shared" si="10"/>
        <v>282</v>
      </c>
      <c r="M45" s="1">
        <f t="shared" si="11"/>
        <v>1</v>
      </c>
      <c r="N45" s="1">
        <f t="shared" si="12"/>
        <v>4</v>
      </c>
      <c r="O45" s="1">
        <f t="shared" si="13"/>
        <v>282</v>
      </c>
      <c r="P45" s="1">
        <f t="shared" si="14"/>
        <v>119</v>
      </c>
      <c r="Q45" s="1">
        <f t="array" ref="Q45">IF($B45="","",IF(MAX(IF(B45=$B$2:$B$313,$L$2:$L$313))-L45=0,"",MAX(IF(B45=$B$2:$B$313,$L$2:$L$313))-L45))</f>
        <v>119</v>
      </c>
      <c r="R45" s="1">
        <f t="array" ref="R45">IF($B45="","",SUMPRODUCT(--($B$2:$B$313=B45),--(L45&lt;$L$2:$L$313))+1)</f>
        <v>4</v>
      </c>
      <c r="S45" s="1">
        <f t="shared" si="15"/>
        <v>2</v>
      </c>
      <c r="T45" s="1" cm="1">
        <f t="array" ref="T45">IF($B45="","",IF(M45=0,"",SUMPRODUCT(--($B$2:$B$313=B45),--(J45&lt;$J$2:$J$313))+1))</f>
        <v>6</v>
      </c>
      <c r="U45" s="1">
        <f t="shared" si="16"/>
        <v>-2</v>
      </c>
      <c r="V45" s="1" t="str">
        <f t="shared" si="17"/>
        <v>0304</v>
      </c>
      <c r="W45" s="1">
        <f t="shared" si="18"/>
        <v>1</v>
      </c>
      <c r="X45" s="1">
        <f t="shared" si="2"/>
        <v>0</v>
      </c>
      <c r="Y45" s="1">
        <f>IF($B45="","",MAX(_xlfn.MAXIFS($J$2:J45,$I$2:I45,$I45),_xlfn.MAXIFS($K$2:K45,$I$2:I45,$I45)))</f>
        <v>170</v>
      </c>
      <c r="Z45" s="1">
        <f t="shared" si="3"/>
        <v>209</v>
      </c>
      <c r="AA45" s="1">
        <f t="shared" si="19"/>
        <v>0</v>
      </c>
      <c r="AB45" s="1">
        <f t="shared" si="20"/>
        <v>0</v>
      </c>
      <c r="AC45" s="1">
        <f t="shared" si="21"/>
        <v>0</v>
      </c>
      <c r="AD45" s="1">
        <f>IF($B45="","",MIN(_xlfn.MINIFS($J$2:J45,$I$2:I45,$I45),_xlfn.MINIFS($K$2:K45,$I$2:I45,$I45)))</f>
        <v>97</v>
      </c>
      <c r="AE45" s="1">
        <f t="shared" si="22"/>
        <v>92</v>
      </c>
      <c r="AF45" s="1">
        <f t="shared" si="23"/>
        <v>0</v>
      </c>
      <c r="AG45" s="1">
        <f t="shared" si="24"/>
        <v>0</v>
      </c>
      <c r="AH45" s="1">
        <f t="shared" si="25"/>
        <v>0</v>
      </c>
      <c r="AI45" s="1">
        <f ca="1">IF($B45="","",IF($K45="",0,OFFSET($CO$17,R45,W45)))</f>
        <v>7</v>
      </c>
      <c r="AJ45" s="1">
        <f t="shared" ca="1" si="26"/>
        <v>0</v>
      </c>
      <c r="AK45" s="1">
        <f ca="1">IF(AJ45="","",IF(AJ45=0,0,IF(W45=1,0,SUM(OFFSET($CO$17,N45,1):OFFSET($CO$17,N45+W45-2,1))/W45)))</f>
        <v>0</v>
      </c>
      <c r="AL45" s="1">
        <f t="shared" ca="1" si="27"/>
        <v>7</v>
      </c>
      <c r="AM45" s="1">
        <f ca="1">IF($B45="","",SUMIFS($AL$2:AL45,$I$2:I45,$I45))</f>
        <v>16</v>
      </c>
      <c r="AN45" s="1">
        <f t="shared" si="28"/>
        <v>4.0000439999999999</v>
      </c>
      <c r="AO45" s="1">
        <f>IFERROR(IF($B45="","",AVERAGEIFS($L$2:L45,$I$2:I45,I45,$L$2:L45,"&lt;&gt;0")),0)</f>
        <v>269</v>
      </c>
      <c r="AP45" s="1">
        <f t="shared" si="29"/>
        <v>134.5</v>
      </c>
      <c r="AQ45" s="1">
        <f>IF($B45="","",COUNTIFS($R$2:R45,1,$I$2:I45,$I45))</f>
        <v>0</v>
      </c>
      <c r="AR45" s="1">
        <f t="array" aca="1" ref="AR45" ca="1">IF($B45="","",SUMPRODUCT(--($B$2:$B$313=B45),--(AM45&lt;$AM$2:$AM$313))+1)</f>
        <v>6</v>
      </c>
      <c r="AS45" s="1">
        <f t="array" ref="AS45">IF($B45="","",SUMPRODUCT(--($B$2:$B$313=B45),--(AP45&lt;$AP$2:$AP$313))+1)</f>
        <v>6</v>
      </c>
      <c r="AT45" s="1">
        <f t="array" ref="AT45">IF($B45="","",SUMPRODUCT(--($B$2:$B$313=B45),--(AQ45&lt;$AQ$2:$AQ$313))+1)</f>
        <v>5</v>
      </c>
      <c r="AU45" s="1">
        <f t="shared" si="30"/>
        <v>4.3999999999999997E-8</v>
      </c>
      <c r="AV45" s="1">
        <f t="shared" ca="1" si="31"/>
        <v>6.0605043999999997E-2</v>
      </c>
      <c r="AW45" s="1" t="str">
        <f t="shared" si="4"/>
        <v/>
      </c>
      <c r="AX45" s="1" t="str">
        <f t="shared" si="32"/>
        <v/>
      </c>
      <c r="AY45" s="8">
        <f t="shared" ca="1" si="33"/>
        <v>6.0605043999999997E-2</v>
      </c>
      <c r="AZ45" s="1" cm="1">
        <f t="array" aca="1" ref="AZ45" ca="1">IF($B45="","",SUMPRODUCT(--($B$2:$B$313=B45),--(AY45&gt;$AY$2:$AY$313))+1)</f>
        <v>6</v>
      </c>
      <c r="BA45" s="1" t="str">
        <f t="shared" si="34"/>
        <v>K2024GP03_8_1</v>
      </c>
      <c r="BB45" s="1" t="str">
        <f t="shared" si="35"/>
        <v>K2024GP03_8_2</v>
      </c>
      <c r="BC45" s="1">
        <f t="shared" si="36"/>
        <v>0</v>
      </c>
      <c r="BD45" s="1">
        <f t="shared" si="37"/>
        <v>0</v>
      </c>
      <c r="BE45" s="1">
        <f t="shared" si="38"/>
        <v>1</v>
      </c>
      <c r="BF45" s="1">
        <f t="shared" si="39"/>
        <v>148</v>
      </c>
      <c r="BG45" s="1">
        <f t="shared" si="40"/>
        <v>134</v>
      </c>
      <c r="BH45" s="1">
        <f t="shared" si="41"/>
        <v>4</v>
      </c>
      <c r="BI45" s="1">
        <f t="shared" si="42"/>
        <v>3</v>
      </c>
      <c r="BJ45" s="1">
        <f t="shared" si="43"/>
        <v>4.0300000000000002E-2</v>
      </c>
      <c r="BK45" s="1">
        <f t="shared" si="44"/>
        <v>0</v>
      </c>
      <c r="BL45" s="1">
        <f t="shared" si="45"/>
        <v>9.8999999999999994E-5</v>
      </c>
      <c r="BM45" s="1">
        <f t="shared" si="46"/>
        <v>4.0399000000000004E-2</v>
      </c>
      <c r="BN45" s="1">
        <f t="shared" si="47"/>
        <v>0</v>
      </c>
      <c r="BO45" s="1">
        <f t="shared" si="5"/>
        <v>4</v>
      </c>
      <c r="BP45" s="1">
        <f t="shared" si="6"/>
        <v>0</v>
      </c>
      <c r="BQ45" s="1" cm="1">
        <f t="array" ref="BQ45">IF(I45="","",IF(BP45=1,"",IF(L45=0,"",IF(B45=1,"",_xlfn.XLOOKUP(1,($I$2:$I$313=$I45)*($B$2:$B$313=($B45-1)),$BO$2:$BO$313)))))</f>
        <v>6</v>
      </c>
      <c r="BR45" s="1">
        <f>IF(I45="","",IF($B45=1,_xlfn.MINIFS($BO$2:$BO$313,$B$2:$B$313,$B45),_xlfn.MINIFS(BQ$2:$BQ$313,$B$2:$B$313,$B45)))</f>
        <v>1</v>
      </c>
      <c r="BS45" s="1">
        <f t="shared" si="48"/>
        <v>3</v>
      </c>
      <c r="BT45" s="1" t="str" cm="1">
        <f t="array" ref="BT45">IF($I45="","",IF($B45=1,_xlfn.XLOOKUP(1,($B$2:$B$313=$B45)*($BO$2:$BO$313=BR45),Data!$I$2:$I$313,,0),_xlfn.XLOOKUP(1,($B$2:$B$313=$B45)*($BQ$2:$BQ$313=$BR45),$I$2:$I$313,,0)))</f>
        <v>Sakari Leinonen</v>
      </c>
      <c r="BU45" s="1" t="str" cm="1">
        <f t="array" ref="BU45">IF(I45="","",IF($B45=1,_xlfn.XLOOKUP(1,($B$2:$B$313=$B45)*($BO$2:$BO$313=$BS45),$I$2:$I$313,,0),_xlfn.XLOOKUP(1,($B$2:$B$313=$B45)*($BQ$2:$BQ$313=$BS45),$I$2:$I$313,,0)))</f>
        <v>Ossi Oksa</v>
      </c>
      <c r="BV45" s="1" t="str" cm="1">
        <f t="array" ref="BV45">IF($I45="","",IF($B45=1,"",IF($B45=2,_xlfn.XLOOKUP(1,($B$2:$B$313=1)*($BO$2:$BO$313=1),$I$2:$I$313,,0),_xlfn.XLOOKUP($B45-1,$B$2:$B$313,$CH$2:$CH$313,,0))))</f>
        <v>Ossi Oksa</v>
      </c>
      <c r="BW45" s="1" t="str" cm="1">
        <f t="array" ref="BW45">IF($I45="","",IF($B45=1,"",IF(_xlfn.XLOOKUP(1,($B$2:$B$313=$B45)*($I$2:$I$313=$BV45),$BQ$2:$BQ$313,,0)="","NOK","OK")))</f>
        <v>OK</v>
      </c>
      <c r="BX45" s="1" t="str">
        <f t="shared" si="49"/>
        <v>Ossi Oksa</v>
      </c>
      <c r="BY45" s="1" t="str">
        <f t="shared" si="50"/>
        <v>Sakari Leinonen</v>
      </c>
      <c r="BZ45" s="1">
        <f t="shared" si="51"/>
        <v>209</v>
      </c>
      <c r="CA45" s="1">
        <f t="shared" si="52"/>
        <v>192</v>
      </c>
      <c r="CB45" s="1">
        <f t="shared" si="53"/>
        <v>9.8999999999999994E-5</v>
      </c>
      <c r="CC45" s="1">
        <f t="shared" si="54"/>
        <v>121</v>
      </c>
      <c r="CD45" s="1">
        <f t="shared" si="55"/>
        <v>105</v>
      </c>
      <c r="CE45" s="1">
        <f t="shared" si="56"/>
        <v>9.8999999999999994E-5</v>
      </c>
      <c r="CF45" s="1" t="str">
        <f t="shared" si="57"/>
        <v>Ossi Oksa (P)</v>
      </c>
      <c r="CG45" s="1" t="str">
        <f t="shared" si="58"/>
        <v>Sakari Leinonen (1)</v>
      </c>
      <c r="CH45" s="1" t="str">
        <f t="shared" si="59"/>
        <v>Ossi Oksa</v>
      </c>
      <c r="CI45" s="1">
        <f t="shared" si="60"/>
        <v>0</v>
      </c>
      <c r="CJ45" s="1" t="str">
        <f ca="1">IF(B45="","",IF(SUM(AI45:AK45)&gt;0,"+SP","")&amp;IF(CI45&gt;0,"+KK","")&amp;IF(AB45&gt;0,"+KGP1","")&amp;IF(AC45&gt;0,"+KGP2","")&amp;IF(AG45&lt;0,"-KGP1","")&amp;IF(AH45&lt;0,"-KGP2",""))</f>
        <v>+SP</v>
      </c>
    </row>
    <row r="46" spans="1:117" x14ac:dyDescent="0.25">
      <c r="A46" s="1">
        <f>IFERROR(IF(ROW(A45)=1,1,IF(1+A45&lt;=$CP$1*$CP$2,1+A45,"")),"")</f>
        <v>45</v>
      </c>
      <c r="B46" s="1">
        <f>IF($I46="","",IF(ROW(B45)=1,1,ROUNDUP(A46/$CP$2,0)))</f>
        <v>3</v>
      </c>
      <c r="C46" s="4">
        <f t="shared" si="7"/>
        <v>45599</v>
      </c>
      <c r="D46" s="4" t="str">
        <f t="shared" si="0"/>
        <v>Kupittaan keilahalli</v>
      </c>
      <c r="E46" s="1">
        <f>IF($B46="","",COUNTIF($B$2:B46,B46))</f>
        <v>9</v>
      </c>
      <c r="F46" s="1" t="str">
        <f t="shared" si="1"/>
        <v>K2024GP03</v>
      </c>
      <c r="G46" s="1" t="str">
        <f t="shared" si="8"/>
        <v>K2024GP03_9</v>
      </c>
      <c r="H46" s="1">
        <f t="shared" si="9"/>
        <v>1</v>
      </c>
      <c r="I46" s="3" t="s">
        <v>141</v>
      </c>
      <c r="J46" s="3">
        <v>130</v>
      </c>
      <c r="K46" s="3">
        <v>120</v>
      </c>
      <c r="L46" s="1">
        <f t="shared" si="10"/>
        <v>250</v>
      </c>
      <c r="M46" s="1">
        <f t="shared" si="11"/>
        <v>1</v>
      </c>
      <c r="N46" s="1">
        <f t="shared" si="12"/>
        <v>7</v>
      </c>
      <c r="O46" s="1">
        <f t="shared" si="13"/>
        <v>250</v>
      </c>
      <c r="P46" s="1">
        <f t="shared" si="14"/>
        <v>151</v>
      </c>
      <c r="Q46" s="1">
        <f t="array" ref="Q46">IF($B46="","",IF(MAX(IF(B46=$B$2:$B$313,$L$2:$L$313))-L46=0,"",MAX(IF(B46=$B$2:$B$313,$L$2:$L$313))-L46))</f>
        <v>151</v>
      </c>
      <c r="R46" s="1">
        <f t="array" ref="R46">IF($B46="","",SUMPRODUCT(--($B$2:$B$313=B46),--(L46&lt;$L$2:$L$313))+1)</f>
        <v>7</v>
      </c>
      <c r="S46" s="1">
        <f t="shared" si="15"/>
        <v>2</v>
      </c>
      <c r="T46" s="1" cm="1">
        <f t="array" ref="T46">IF($B46="","",IF(M46=0,"",SUMPRODUCT(--($B$2:$B$313=B46),--(J46&lt;$J$2:$J$313))+1))</f>
        <v>7</v>
      </c>
      <c r="U46" s="1">
        <f t="shared" si="16"/>
        <v>0</v>
      </c>
      <c r="V46" s="1" t="str">
        <f t="shared" si="17"/>
        <v>0307</v>
      </c>
      <c r="W46" s="1">
        <f t="shared" si="18"/>
        <v>1</v>
      </c>
      <c r="X46" s="1">
        <f t="shared" si="2"/>
        <v>0</v>
      </c>
      <c r="Y46" s="1">
        <f>IF($B46="","",MAX(_xlfn.MAXIFS($J$2:J46,$I$2:I46,$I46),_xlfn.MAXIFS($K$2:K46,$I$2:I46,$I46)))</f>
        <v>139</v>
      </c>
      <c r="Z46" s="1">
        <f t="shared" si="3"/>
        <v>209</v>
      </c>
      <c r="AA46" s="1">
        <f t="shared" si="19"/>
        <v>0</v>
      </c>
      <c r="AB46" s="1">
        <f t="shared" si="20"/>
        <v>0</v>
      </c>
      <c r="AC46" s="1">
        <f t="shared" si="21"/>
        <v>0</v>
      </c>
      <c r="AD46" s="1">
        <f>IF($B46="","",MIN(_xlfn.MINIFS($J$2:J46,$I$2:I46,$I46),_xlfn.MINIFS($K$2:K46,$I$2:I46,$I46)))</f>
        <v>102</v>
      </c>
      <c r="AE46" s="1">
        <f t="shared" si="22"/>
        <v>92</v>
      </c>
      <c r="AF46" s="1">
        <f t="shared" si="23"/>
        <v>0</v>
      </c>
      <c r="AG46" s="1">
        <f t="shared" si="24"/>
        <v>0</v>
      </c>
      <c r="AH46" s="1">
        <f t="shared" si="25"/>
        <v>0</v>
      </c>
      <c r="AI46" s="1">
        <f ca="1">IF($B46="","",IF($K46="",0,OFFSET($CO$17,R46,W46)))</f>
        <v>4</v>
      </c>
      <c r="AJ46" s="1">
        <f t="shared" ca="1" si="26"/>
        <v>0</v>
      </c>
      <c r="AK46" s="1">
        <f ca="1">IF(AJ46="","",IF(AJ46=0,0,IF(W46=1,0,SUM(OFFSET($CO$17,N46,1):OFFSET($CO$17,N46+W46-2,1))/W46)))</f>
        <v>0</v>
      </c>
      <c r="AL46" s="1">
        <f t="shared" ca="1" si="27"/>
        <v>4</v>
      </c>
      <c r="AM46" s="1">
        <f ca="1">IF($B46="","",SUMIFS($AL$2:AL46,$I$2:I46,$I46))</f>
        <v>4</v>
      </c>
      <c r="AN46" s="1">
        <f t="shared" si="28"/>
        <v>7.0000450000000001</v>
      </c>
      <c r="AO46" s="1">
        <f>IFERROR(IF($B46="","",AVERAGEIFS($L$2:L46,$I$2:I46,I46,$L$2:L46,"&lt;&gt;0")),0)</f>
        <v>245.5</v>
      </c>
      <c r="AP46" s="1">
        <f t="shared" si="29"/>
        <v>122.75</v>
      </c>
      <c r="AQ46" s="1">
        <f>IF($B46="","",COUNTIFS($R$2:R46,1,$I$2:I46,$I46))</f>
        <v>0</v>
      </c>
      <c r="AR46" s="1">
        <f t="array" aca="1" ref="AR46" ca="1">IF($B46="","",SUMPRODUCT(--($B$2:$B$313=B46),--(AM46&lt;$AM$2:$AM$313))+1)</f>
        <v>12</v>
      </c>
      <c r="AS46" s="1">
        <f t="array" ref="AS46">IF($B46="","",SUMPRODUCT(--($B$2:$B$313=B46),--(AP46&lt;$AP$2:$AP$313))+1)</f>
        <v>13</v>
      </c>
      <c r="AT46" s="1">
        <f t="array" ref="AT46">IF($B46="","",SUMPRODUCT(--($B$2:$B$313=B46),--(AQ46&lt;$AQ$2:$AQ$313))+1)</f>
        <v>5</v>
      </c>
      <c r="AU46" s="1">
        <f t="shared" si="30"/>
        <v>4.4999999999999999E-8</v>
      </c>
      <c r="AV46" s="1">
        <f t="shared" ca="1" si="31"/>
        <v>0.121305045</v>
      </c>
      <c r="AW46" s="1" t="str">
        <f t="shared" si="4"/>
        <v/>
      </c>
      <c r="AX46" s="1" t="str">
        <f t="shared" si="32"/>
        <v/>
      </c>
      <c r="AY46" s="8">
        <f t="shared" ca="1" si="33"/>
        <v>0.121305045</v>
      </c>
      <c r="AZ46" s="1" cm="1">
        <f t="array" aca="1" ref="AZ46" ca="1">IF($B46="","",SUMPRODUCT(--($B$2:$B$313=B46),--(AY46&gt;$AY$2:$AY$313))+1)</f>
        <v>13</v>
      </c>
      <c r="BA46" s="1" t="str">
        <f t="shared" si="34"/>
        <v>K2024GP03_9_1</v>
      </c>
      <c r="BB46" s="1" t="str">
        <f t="shared" si="35"/>
        <v>K2024GP03_9_2</v>
      </c>
      <c r="BC46" s="1">
        <f t="shared" si="36"/>
        <v>0</v>
      </c>
      <c r="BD46" s="1">
        <f t="shared" si="37"/>
        <v>0</v>
      </c>
      <c r="BE46" s="1">
        <f t="shared" si="38"/>
        <v>1</v>
      </c>
      <c r="BF46" s="1">
        <f t="shared" si="39"/>
        <v>130</v>
      </c>
      <c r="BG46" s="1">
        <f t="shared" si="40"/>
        <v>120</v>
      </c>
      <c r="BH46" s="1">
        <f t="shared" si="41"/>
        <v>8</v>
      </c>
      <c r="BI46" s="1">
        <f t="shared" si="42"/>
        <v>6</v>
      </c>
      <c r="BJ46" s="1">
        <f t="shared" si="43"/>
        <v>8.0600000000000005E-2</v>
      </c>
      <c r="BK46" s="1">
        <f t="shared" si="44"/>
        <v>0</v>
      </c>
      <c r="BL46" s="1">
        <f t="shared" si="45"/>
        <v>9.8999999999999994E-5</v>
      </c>
      <c r="BM46" s="1">
        <f t="shared" si="46"/>
        <v>8.0699000000000007E-2</v>
      </c>
      <c r="BN46" s="1">
        <f t="shared" si="47"/>
        <v>0</v>
      </c>
      <c r="BO46" s="1">
        <f t="shared" si="5"/>
        <v>8</v>
      </c>
      <c r="BP46" s="1">
        <f t="shared" si="6"/>
        <v>0</v>
      </c>
      <c r="BQ46" s="1" cm="1">
        <f t="array" ref="BQ46">IF(I46="","",IF(BP46=1,"",IF(L46=0,"",IF(B46=1,"",_xlfn.XLOOKUP(1,($I$2:$I$313=$I46)*($B$2:$B$313=($B46-1)),$BO$2:$BO$313)))))</f>
        <v>9</v>
      </c>
      <c r="BR46" s="1">
        <f>IF(I46="","",IF($B46=1,_xlfn.MINIFS($BO$2:$BO$313,$B$2:$B$313,$B46),_xlfn.MINIFS(BQ$2:$BQ$313,$B$2:$B$313,$B46)))</f>
        <v>1</v>
      </c>
      <c r="BS46" s="1">
        <f t="shared" si="48"/>
        <v>3</v>
      </c>
      <c r="BT46" s="1" t="str" cm="1">
        <f t="array" ref="BT46">IF($I46="","",IF($B46=1,_xlfn.XLOOKUP(1,($B$2:$B$313=$B46)*($BO$2:$BO$313=BR46),Data!$I$2:$I$313,,0),_xlfn.XLOOKUP(1,($B$2:$B$313=$B46)*($BQ$2:$BQ$313=$BR46),$I$2:$I$313,,0)))</f>
        <v>Sakari Leinonen</v>
      </c>
      <c r="BU46" s="1" t="str" cm="1">
        <f t="array" ref="BU46">IF(I46="","",IF($B46=1,_xlfn.XLOOKUP(1,($B$2:$B$313=$B46)*($BO$2:$BO$313=$BS46),$I$2:$I$313,,0),_xlfn.XLOOKUP(1,($B$2:$B$313=$B46)*($BQ$2:$BQ$313=$BS46),$I$2:$I$313,,0)))</f>
        <v>Ossi Oksa</v>
      </c>
      <c r="BV46" s="1" t="str" cm="1">
        <f t="array" ref="BV46">IF($I46="","",IF($B46=1,"",IF($B46=2,_xlfn.XLOOKUP(1,($B$2:$B$313=1)*($BO$2:$BO$313=1),$I$2:$I$313,,0),_xlfn.XLOOKUP($B46-1,$B$2:$B$313,$CH$2:$CH$313,,0))))</f>
        <v>Ossi Oksa</v>
      </c>
      <c r="BW46" s="1" t="str" cm="1">
        <f t="array" ref="BW46">IF($I46="","",IF($B46=1,"",IF(_xlfn.XLOOKUP(1,($B$2:$B$313=$B46)*($I$2:$I$313=$BV46),$BQ$2:$BQ$313,,0)="","NOK","OK")))</f>
        <v>OK</v>
      </c>
      <c r="BX46" s="1" t="str">
        <f t="shared" si="49"/>
        <v>Ossi Oksa</v>
      </c>
      <c r="BY46" s="1" t="str">
        <f t="shared" si="50"/>
        <v>Sakari Leinonen</v>
      </c>
      <c r="BZ46" s="1">
        <f t="shared" si="51"/>
        <v>209</v>
      </c>
      <c r="CA46" s="1">
        <f t="shared" si="52"/>
        <v>192</v>
      </c>
      <c r="CB46" s="1">
        <f t="shared" si="53"/>
        <v>9.8999999999999994E-5</v>
      </c>
      <c r="CC46" s="1">
        <f t="shared" si="54"/>
        <v>121</v>
      </c>
      <c r="CD46" s="1">
        <f t="shared" si="55"/>
        <v>105</v>
      </c>
      <c r="CE46" s="1">
        <f t="shared" si="56"/>
        <v>9.8999999999999994E-5</v>
      </c>
      <c r="CF46" s="1" t="str">
        <f t="shared" si="57"/>
        <v>Ossi Oksa (P)</v>
      </c>
      <c r="CG46" s="1" t="str">
        <f t="shared" si="58"/>
        <v>Sakari Leinonen (1)</v>
      </c>
      <c r="CH46" s="1" t="str">
        <f t="shared" si="59"/>
        <v>Ossi Oksa</v>
      </c>
      <c r="CI46" s="1">
        <f t="shared" si="60"/>
        <v>0</v>
      </c>
      <c r="CJ46" s="1" t="str">
        <f ca="1">IF(B46="","",IF(SUM(AI46:AK46)&gt;0,"+SP","")&amp;IF(CI46&gt;0,"+KK","")&amp;IF(AB46&gt;0,"+KGP1","")&amp;IF(AC46&gt;0,"+KGP2","")&amp;IF(AG46&lt;0,"-KGP1","")&amp;IF(AH46&lt;0,"-KGP2",""))</f>
        <v>+SP</v>
      </c>
    </row>
    <row r="47" spans="1:117" x14ac:dyDescent="0.25">
      <c r="A47" s="1">
        <f>IFERROR(IF(ROW(A46)=1,1,IF(1+A46&lt;=$CP$1*$CP$2,1+A46,"")),"")</f>
        <v>46</v>
      </c>
      <c r="B47" s="1">
        <f>IF($I47="","",IF(ROW(B46)=1,1,ROUNDUP(A47/$CP$2,0)))</f>
        <v>3</v>
      </c>
      <c r="C47" s="4">
        <f t="shared" si="7"/>
        <v>45599</v>
      </c>
      <c r="D47" s="4" t="str">
        <f t="shared" si="0"/>
        <v>Kupittaan keilahalli</v>
      </c>
      <c r="E47" s="1">
        <f>IF($B47="","",COUNTIF($B$2:B47,B47))</f>
        <v>10</v>
      </c>
      <c r="F47" s="1" t="str">
        <f t="shared" si="1"/>
        <v>K2024GP03</v>
      </c>
      <c r="G47" s="1" t="str">
        <f t="shared" si="8"/>
        <v>K2024GP03_10</v>
      </c>
      <c r="H47" s="1">
        <f t="shared" si="9"/>
        <v>1</v>
      </c>
      <c r="I47" s="3" t="s">
        <v>128</v>
      </c>
      <c r="J47" s="3">
        <v>114</v>
      </c>
      <c r="K47" s="3">
        <v>118</v>
      </c>
      <c r="L47" s="1">
        <f t="shared" si="10"/>
        <v>232</v>
      </c>
      <c r="M47" s="1">
        <f t="shared" si="11"/>
        <v>1</v>
      </c>
      <c r="N47" s="1">
        <f t="shared" si="12"/>
        <v>9</v>
      </c>
      <c r="O47" s="1">
        <f t="shared" si="13"/>
        <v>232</v>
      </c>
      <c r="P47" s="1">
        <f t="shared" si="14"/>
        <v>169</v>
      </c>
      <c r="Q47" s="1">
        <f t="array" ref="Q47">IF($B47="","",IF(MAX(IF(B47=$B$2:$B$313,$L$2:$L$313))-L47=0,"",MAX(IF(B47=$B$2:$B$313,$L$2:$L$313))-L47))</f>
        <v>169</v>
      </c>
      <c r="R47" s="1">
        <f t="array" ref="R47">IF($B47="","",SUMPRODUCT(--($B$2:$B$313=B47),--(L47&lt;$L$2:$L$313))+1)</f>
        <v>9</v>
      </c>
      <c r="S47" s="1">
        <f t="shared" si="15"/>
        <v>2</v>
      </c>
      <c r="T47" s="1" cm="1">
        <f t="array" ref="T47">IF($B47="","",IF(M47=0,"",SUMPRODUCT(--($B$2:$B$313=B47),--(J47&lt;$J$2:$J$313))+1))</f>
        <v>9</v>
      </c>
      <c r="U47" s="1">
        <f t="shared" si="16"/>
        <v>0</v>
      </c>
      <c r="V47" s="1" t="str">
        <f t="shared" si="17"/>
        <v>0309</v>
      </c>
      <c r="W47" s="1">
        <f t="shared" si="18"/>
        <v>1</v>
      </c>
      <c r="X47" s="1">
        <f t="shared" si="2"/>
        <v>0</v>
      </c>
      <c r="Y47" s="1">
        <f>IF($B47="","",MAX(_xlfn.MAXIFS($J$2:J47,$I$2:I47,$I47),_xlfn.MAXIFS($K$2:K47,$I$2:I47,$I47)))</f>
        <v>141</v>
      </c>
      <c r="Z47" s="1">
        <f t="shared" si="3"/>
        <v>209</v>
      </c>
      <c r="AA47" s="1">
        <f t="shared" si="19"/>
        <v>0</v>
      </c>
      <c r="AB47" s="1">
        <f t="shared" si="20"/>
        <v>0</v>
      </c>
      <c r="AC47" s="1">
        <f t="shared" si="21"/>
        <v>0</v>
      </c>
      <c r="AD47" s="1">
        <f>IF($B47="","",MIN(_xlfn.MINIFS($J$2:J47,$I$2:I47,$I47),_xlfn.MINIFS($K$2:K47,$I$2:I47,$I47)))</f>
        <v>114</v>
      </c>
      <c r="AE47" s="1">
        <f t="shared" si="22"/>
        <v>92</v>
      </c>
      <c r="AF47" s="1">
        <f t="shared" si="23"/>
        <v>0</v>
      </c>
      <c r="AG47" s="1">
        <f t="shared" si="24"/>
        <v>0</v>
      </c>
      <c r="AH47" s="1">
        <f t="shared" si="25"/>
        <v>0</v>
      </c>
      <c r="AI47" s="1">
        <f ca="1">IF($B47="","",IF($K47="",0,OFFSET($CO$17,R47,W47)))</f>
        <v>2</v>
      </c>
      <c r="AJ47" s="1">
        <f t="shared" ca="1" si="26"/>
        <v>0</v>
      </c>
      <c r="AK47" s="1">
        <f ca="1">IF(AJ47="","",IF(AJ47=0,0,IF(W47=1,0,SUM(OFFSET($CO$17,N47,1):OFFSET($CO$17,N47+W47-2,1))/W47)))</f>
        <v>0</v>
      </c>
      <c r="AL47" s="1">
        <f t="shared" ca="1" si="27"/>
        <v>2</v>
      </c>
      <c r="AM47" s="1">
        <f ca="1">IF($B47="","",SUMIFS($AL$2:AL47,$I$2:I47,$I47))</f>
        <v>17</v>
      </c>
      <c r="AN47" s="1">
        <f t="shared" si="28"/>
        <v>9.0000459999999993</v>
      </c>
      <c r="AO47" s="1">
        <f>IFERROR(IF($B47="","",AVERAGEIFS($L$2:L47,$I$2:I47,I47,$L$2:L47,"&lt;&gt;0")),0)</f>
        <v>250.66666666666666</v>
      </c>
      <c r="AP47" s="1">
        <f t="shared" si="29"/>
        <v>125.33333333333333</v>
      </c>
      <c r="AQ47" s="1">
        <f>IF($B47="","",COUNTIFS($R$2:R47,1,$I$2:I47,$I47))</f>
        <v>1</v>
      </c>
      <c r="AR47" s="1">
        <f t="array" aca="1" ref="AR47" ca="1">IF($B47="","",SUMPRODUCT(--($B$2:$B$313=B47),--(AM47&lt;$AM$2:$AM$313))+1)</f>
        <v>5</v>
      </c>
      <c r="AS47" s="1">
        <f t="array" ref="AS47">IF($B47="","",SUMPRODUCT(--($B$2:$B$313=B47),--(AP47&lt;$AP$2:$AP$313))+1)</f>
        <v>10</v>
      </c>
      <c r="AT47" s="1">
        <f t="array" ref="AT47">IF($B47="","",SUMPRODUCT(--($B$2:$B$313=B47),--(AQ47&lt;$AQ$2:$AQ$313))+1)</f>
        <v>1</v>
      </c>
      <c r="AU47" s="1">
        <f t="shared" si="30"/>
        <v>4.6000000000000002E-8</v>
      </c>
      <c r="AV47" s="1">
        <f t="shared" ca="1" si="31"/>
        <v>5.1001046000000001E-2</v>
      </c>
      <c r="AW47" s="1" t="str">
        <f t="shared" si="4"/>
        <v/>
      </c>
      <c r="AX47" s="1" t="str">
        <f t="shared" si="32"/>
        <v/>
      </c>
      <c r="AY47" s="8">
        <f t="shared" ca="1" si="33"/>
        <v>5.1001046000000001E-2</v>
      </c>
      <c r="AZ47" s="1" cm="1">
        <f t="array" aca="1" ref="AZ47" ca="1">IF($B47="","",SUMPRODUCT(--($B$2:$B$313=B47),--(AY47&gt;$AY$2:$AY$313))+1)</f>
        <v>5</v>
      </c>
      <c r="BA47" s="1" t="str">
        <f t="shared" si="34"/>
        <v>K2024GP03_10_1</v>
      </c>
      <c r="BB47" s="1" t="str">
        <f t="shared" si="35"/>
        <v>K2024GP03_10_2</v>
      </c>
      <c r="BC47" s="1">
        <f t="shared" si="36"/>
        <v>0</v>
      </c>
      <c r="BD47" s="1">
        <f t="shared" si="37"/>
        <v>0</v>
      </c>
      <c r="BE47" s="1">
        <f t="shared" si="38"/>
        <v>1</v>
      </c>
      <c r="BF47" s="1">
        <f t="shared" si="39"/>
        <v>118</v>
      </c>
      <c r="BG47" s="1">
        <f t="shared" si="40"/>
        <v>114</v>
      </c>
      <c r="BH47" s="1">
        <f t="shared" si="41"/>
        <v>10</v>
      </c>
      <c r="BI47" s="1">
        <f t="shared" si="42"/>
        <v>7</v>
      </c>
      <c r="BJ47" s="1">
        <f t="shared" si="43"/>
        <v>0.10070000000000001</v>
      </c>
      <c r="BK47" s="1">
        <f t="shared" si="44"/>
        <v>0</v>
      </c>
      <c r="BL47" s="1">
        <f t="shared" si="45"/>
        <v>9.8999999999999994E-5</v>
      </c>
      <c r="BM47" s="1">
        <f t="shared" si="46"/>
        <v>0.10079900000000001</v>
      </c>
      <c r="BN47" s="1">
        <f t="shared" si="47"/>
        <v>0</v>
      </c>
      <c r="BO47" s="1">
        <f t="shared" si="5"/>
        <v>10</v>
      </c>
      <c r="BP47" s="1">
        <f t="shared" si="6"/>
        <v>0</v>
      </c>
      <c r="BQ47" s="1" cm="1">
        <f t="array" ref="BQ47">IF(I47="","",IF(BP47=1,"",IF(L47=0,"",IF(B47=1,"",_xlfn.XLOOKUP(1,($I$2:$I$313=$I47)*($B$2:$B$313=($B47-1)),$BO$2:$BO$313)))))</f>
        <v>11</v>
      </c>
      <c r="BR47" s="1">
        <f>IF(I47="","",IF($B47=1,_xlfn.MINIFS($BO$2:$BO$313,$B$2:$B$313,$B47),_xlfn.MINIFS(BQ$2:$BQ$313,$B$2:$B$313,$B47)))</f>
        <v>1</v>
      </c>
      <c r="BS47" s="1">
        <f t="shared" si="48"/>
        <v>3</v>
      </c>
      <c r="BT47" s="1" t="str" cm="1">
        <f t="array" ref="BT47">IF($I47="","",IF($B47=1,_xlfn.XLOOKUP(1,($B$2:$B$313=$B47)*($BO$2:$BO$313=BR47),Data!$I$2:$I$313,,0),_xlfn.XLOOKUP(1,($B$2:$B$313=$B47)*($BQ$2:$BQ$313=$BR47),$I$2:$I$313,,0)))</f>
        <v>Sakari Leinonen</v>
      </c>
      <c r="BU47" s="1" t="str" cm="1">
        <f t="array" ref="BU47">IF(I47="","",IF($B47=1,_xlfn.XLOOKUP(1,($B$2:$B$313=$B47)*($BO$2:$BO$313=$BS47),$I$2:$I$313,,0),_xlfn.XLOOKUP(1,($B$2:$B$313=$B47)*($BQ$2:$BQ$313=$BS47),$I$2:$I$313,,0)))</f>
        <v>Ossi Oksa</v>
      </c>
      <c r="BV47" s="1" t="str" cm="1">
        <f t="array" ref="BV47">IF($I47="","",IF($B47=1,"",IF($B47=2,_xlfn.XLOOKUP(1,($B$2:$B$313=1)*($BO$2:$BO$313=1),$I$2:$I$313,,0),_xlfn.XLOOKUP($B47-1,$B$2:$B$313,$CH$2:$CH$313,,0))))</f>
        <v>Ossi Oksa</v>
      </c>
      <c r="BW47" s="1" t="str" cm="1">
        <f t="array" ref="BW47">IF($I47="","",IF($B47=1,"",IF(_xlfn.XLOOKUP(1,($B$2:$B$313=$B47)*($I$2:$I$313=$BV47),$BQ$2:$BQ$313,,0)="","NOK","OK")))</f>
        <v>OK</v>
      </c>
      <c r="BX47" s="1" t="str">
        <f t="shared" si="49"/>
        <v>Ossi Oksa</v>
      </c>
      <c r="BY47" s="1" t="str">
        <f t="shared" si="50"/>
        <v>Sakari Leinonen</v>
      </c>
      <c r="BZ47" s="1">
        <f t="shared" si="51"/>
        <v>209</v>
      </c>
      <c r="CA47" s="1">
        <f t="shared" si="52"/>
        <v>192</v>
      </c>
      <c r="CB47" s="1">
        <f t="shared" si="53"/>
        <v>9.8999999999999994E-5</v>
      </c>
      <c r="CC47" s="1">
        <f t="shared" si="54"/>
        <v>121</v>
      </c>
      <c r="CD47" s="1">
        <f t="shared" si="55"/>
        <v>105</v>
      </c>
      <c r="CE47" s="1">
        <f t="shared" si="56"/>
        <v>9.8999999999999994E-5</v>
      </c>
      <c r="CF47" s="1" t="str">
        <f t="shared" si="57"/>
        <v>Ossi Oksa (P)</v>
      </c>
      <c r="CG47" s="1" t="str">
        <f t="shared" si="58"/>
        <v>Sakari Leinonen (1)</v>
      </c>
      <c r="CH47" s="1" t="str">
        <f t="shared" si="59"/>
        <v>Ossi Oksa</v>
      </c>
      <c r="CI47" s="1">
        <f t="shared" si="60"/>
        <v>0</v>
      </c>
      <c r="CJ47" s="1" t="str">
        <f ca="1">IF(B47="","",IF(SUM(AI47:AK47)&gt;0,"+SP","")&amp;IF(CI47&gt;0,"+KK","")&amp;IF(AB47&gt;0,"+KGP1","")&amp;IF(AC47&gt;0,"+KGP2","")&amp;IF(AG47&lt;0,"-KGP1","")&amp;IF(AH47&lt;0,"-KGP2",""))</f>
        <v>+SP</v>
      </c>
    </row>
    <row r="48" spans="1:117" x14ac:dyDescent="0.25">
      <c r="A48" s="1">
        <f>IFERROR(IF(ROW(A47)=1,1,IF(1+A47&lt;=$CP$1*$CP$2,1+A47,"")),"")</f>
        <v>47</v>
      </c>
      <c r="B48" s="1">
        <f>IF($I48="","",IF(ROW(B47)=1,1,ROUNDUP(A48/$CP$2,0)))</f>
        <v>3</v>
      </c>
      <c r="C48" s="4">
        <f t="shared" si="7"/>
        <v>45599</v>
      </c>
      <c r="D48" s="4" t="str">
        <f t="shared" si="0"/>
        <v>Kupittaan keilahalli</v>
      </c>
      <c r="E48" s="1">
        <f>IF($B48="","",COUNTIF($B$2:B48,B48))</f>
        <v>11</v>
      </c>
      <c r="F48" s="1" t="str">
        <f t="shared" si="1"/>
        <v>K2024GP03</v>
      </c>
      <c r="G48" s="1" t="str">
        <f t="shared" si="8"/>
        <v>K2024GP03_11</v>
      </c>
      <c r="H48" s="1">
        <f t="shared" si="9"/>
        <v>1</v>
      </c>
      <c r="I48" s="3" t="s">
        <v>236</v>
      </c>
      <c r="J48" s="3">
        <v>136</v>
      </c>
      <c r="K48" s="3">
        <v>122</v>
      </c>
      <c r="L48" s="1">
        <f t="shared" si="10"/>
        <v>258</v>
      </c>
      <c r="M48" s="1">
        <f t="shared" si="11"/>
        <v>1</v>
      </c>
      <c r="N48" s="1">
        <f t="shared" si="12"/>
        <v>6</v>
      </c>
      <c r="O48" s="1">
        <f t="shared" si="13"/>
        <v>258</v>
      </c>
      <c r="P48" s="1">
        <f t="shared" si="14"/>
        <v>143</v>
      </c>
      <c r="Q48" s="1">
        <f t="array" ref="Q48">IF($B48="","",IF(MAX(IF(B48=$B$2:$B$313,$L$2:$L$313))-L48=0,"",MAX(IF(B48=$B$2:$B$313,$L$2:$L$313))-L48))</f>
        <v>143</v>
      </c>
      <c r="R48" s="1">
        <f t="array" ref="R48">IF($B48="","",SUMPRODUCT(--($B$2:$B$313=B48),--(L48&lt;$L$2:$L$313))+1)</f>
        <v>6</v>
      </c>
      <c r="S48" s="1">
        <f t="shared" si="15"/>
        <v>2</v>
      </c>
      <c r="T48" s="1" cm="1">
        <f t="array" ref="T48">IF($B48="","",IF(M48=0,"",SUMPRODUCT(--($B$2:$B$313=B48),--(J48&lt;$J$2:$J$313))+1))</f>
        <v>5</v>
      </c>
      <c r="U48" s="1">
        <f t="shared" si="16"/>
        <v>1</v>
      </c>
      <c r="V48" s="1" t="str">
        <f t="shared" si="17"/>
        <v>0306</v>
      </c>
      <c r="W48" s="1">
        <f t="shared" si="18"/>
        <v>1</v>
      </c>
      <c r="X48" s="1">
        <f t="shared" si="2"/>
        <v>0</v>
      </c>
      <c r="Y48" s="1">
        <f>IF($B48="","",MAX(_xlfn.MAXIFS($J$2:J48,$I$2:I48,$I48),_xlfn.MAXIFS($K$2:K48,$I$2:I48,$I48)))</f>
        <v>136</v>
      </c>
      <c r="Z48" s="1">
        <f t="shared" si="3"/>
        <v>209</v>
      </c>
      <c r="AA48" s="1">
        <f t="shared" si="19"/>
        <v>0</v>
      </c>
      <c r="AB48" s="1">
        <f t="shared" si="20"/>
        <v>0</v>
      </c>
      <c r="AC48" s="1">
        <f t="shared" si="21"/>
        <v>0</v>
      </c>
      <c r="AD48" s="1">
        <f>IF($B48="","",MIN(_xlfn.MINIFS($J$2:J48,$I$2:I48,$I48),_xlfn.MINIFS($K$2:K48,$I$2:I48,$I48)))</f>
        <v>73</v>
      </c>
      <c r="AE48" s="1">
        <f t="shared" si="22"/>
        <v>92</v>
      </c>
      <c r="AF48" s="1">
        <f t="shared" si="23"/>
        <v>0</v>
      </c>
      <c r="AG48" s="1">
        <f t="shared" si="24"/>
        <v>0</v>
      </c>
      <c r="AH48" s="1">
        <f t="shared" si="25"/>
        <v>0</v>
      </c>
      <c r="AI48" s="1">
        <f ca="1">IF($B48="","",IF($K48="",0,OFFSET($CO$17,R48,W48)))</f>
        <v>5</v>
      </c>
      <c r="AJ48" s="1">
        <f t="shared" ca="1" si="26"/>
        <v>0</v>
      </c>
      <c r="AK48" s="1">
        <f ca="1">IF(AJ48="","",IF(AJ48=0,0,IF(W48=1,0,SUM(OFFSET($CO$17,N48,1):OFFSET($CO$17,N48+W48-2,1))/W48)))</f>
        <v>0</v>
      </c>
      <c r="AL48" s="1">
        <f t="shared" ca="1" si="27"/>
        <v>5</v>
      </c>
      <c r="AM48" s="1">
        <f ca="1">IF($B48="","",SUMIFS($AL$2:AL48,$I$2:I48,$I48))</f>
        <v>5</v>
      </c>
      <c r="AN48" s="1">
        <f t="shared" si="28"/>
        <v>6.0000470000000004</v>
      </c>
      <c r="AO48" s="1">
        <f>IFERROR(IF($B48="","",AVERAGEIFS($L$2:L48,$I$2:I48,I48,$L$2:L48,"&lt;&gt;0")),0)</f>
        <v>218.33333333333334</v>
      </c>
      <c r="AP48" s="1">
        <f t="shared" si="29"/>
        <v>109.16666666666667</v>
      </c>
      <c r="AQ48" s="1">
        <f>IF($B48="","",COUNTIFS($R$2:R48,1,$I$2:I48,$I48))</f>
        <v>0</v>
      </c>
      <c r="AR48" s="1">
        <f t="array" aca="1" ref="AR48" ca="1">IF($B48="","",SUMPRODUCT(--($B$2:$B$313=B48),--(AM48&lt;$AM$2:$AM$313))+1)</f>
        <v>11</v>
      </c>
      <c r="AS48" s="1">
        <f t="array" ref="AS48">IF($B48="","",SUMPRODUCT(--($B$2:$B$313=B48),--(AP48&lt;$AP$2:$AP$313))+1)</f>
        <v>16</v>
      </c>
      <c r="AT48" s="1">
        <f t="array" ref="AT48">IF($B48="","",SUMPRODUCT(--($B$2:$B$313=B48),--(AQ48&lt;$AQ$2:$AQ$313))+1)</f>
        <v>5</v>
      </c>
      <c r="AU48" s="1">
        <f t="shared" si="30"/>
        <v>4.6999999999999997E-8</v>
      </c>
      <c r="AV48" s="1">
        <f t="shared" ca="1" si="31"/>
        <v>0.11160504700000001</v>
      </c>
      <c r="AW48" s="1" t="str">
        <f t="shared" si="4"/>
        <v/>
      </c>
      <c r="AX48" s="1" t="str">
        <f t="shared" si="32"/>
        <v/>
      </c>
      <c r="AY48" s="8">
        <f t="shared" ca="1" si="33"/>
        <v>0.11160504700000001</v>
      </c>
      <c r="AZ48" s="1" cm="1">
        <f t="array" aca="1" ref="AZ48" ca="1">IF($B48="","",SUMPRODUCT(--($B$2:$B$313=B48),--(AY48&gt;$AY$2:$AY$313))+1)</f>
        <v>11</v>
      </c>
      <c r="BA48" s="1" t="str">
        <f t="shared" si="34"/>
        <v>K2024GP03_11_1</v>
      </c>
      <c r="BB48" s="1" t="str">
        <f t="shared" si="35"/>
        <v>K2024GP03_11_2</v>
      </c>
      <c r="BC48" s="1">
        <f t="shared" si="36"/>
        <v>0</v>
      </c>
      <c r="BD48" s="1">
        <f t="shared" si="37"/>
        <v>0</v>
      </c>
      <c r="BE48" s="1">
        <f t="shared" si="38"/>
        <v>1</v>
      </c>
      <c r="BF48" s="1">
        <f t="shared" si="39"/>
        <v>136</v>
      </c>
      <c r="BG48" s="1">
        <f t="shared" si="40"/>
        <v>122</v>
      </c>
      <c r="BH48" s="1">
        <f t="shared" si="41"/>
        <v>7</v>
      </c>
      <c r="BI48" s="1">
        <f t="shared" si="42"/>
        <v>5</v>
      </c>
      <c r="BJ48" s="1">
        <f t="shared" si="43"/>
        <v>7.0500000000000007E-2</v>
      </c>
      <c r="BK48" s="1">
        <f t="shared" si="44"/>
        <v>0</v>
      </c>
      <c r="BL48" s="1">
        <f t="shared" si="45"/>
        <v>9.8999999999999994E-5</v>
      </c>
      <c r="BM48" s="1">
        <f t="shared" si="46"/>
        <v>7.0599000000000009E-2</v>
      </c>
      <c r="BN48" s="1">
        <f t="shared" si="47"/>
        <v>0</v>
      </c>
      <c r="BO48" s="1">
        <f t="shared" si="5"/>
        <v>7</v>
      </c>
      <c r="BP48" s="1">
        <f t="shared" si="6"/>
        <v>0</v>
      </c>
      <c r="BQ48" s="1" cm="1">
        <f t="array" ref="BQ48">IF(I48="","",IF(BP48=1,"",IF(L48=0,"",IF(B48=1,"",_xlfn.XLOOKUP(1,($I$2:$I$313=$I48)*($B$2:$B$313=($B48-1)),$BO$2:$BO$313)))))</f>
        <v>15</v>
      </c>
      <c r="BR48" s="1">
        <f>IF(I48="","",IF($B48=1,_xlfn.MINIFS($BO$2:$BO$313,$B$2:$B$313,$B48),_xlfn.MINIFS(BQ$2:$BQ$313,$B$2:$B$313,$B48)))</f>
        <v>1</v>
      </c>
      <c r="BS48" s="1">
        <f t="shared" si="48"/>
        <v>3</v>
      </c>
      <c r="BT48" s="1" t="str" cm="1">
        <f t="array" ref="BT48">IF($I48="","",IF($B48=1,_xlfn.XLOOKUP(1,($B$2:$B$313=$B48)*($BO$2:$BO$313=BR48),Data!$I$2:$I$313,,0),_xlfn.XLOOKUP(1,($B$2:$B$313=$B48)*($BQ$2:$BQ$313=$BR48),$I$2:$I$313,,0)))</f>
        <v>Sakari Leinonen</v>
      </c>
      <c r="BU48" s="1" t="str" cm="1">
        <f t="array" ref="BU48">IF(I48="","",IF($B48=1,_xlfn.XLOOKUP(1,($B$2:$B$313=$B48)*($BO$2:$BO$313=$BS48),$I$2:$I$313,,0),_xlfn.XLOOKUP(1,($B$2:$B$313=$B48)*($BQ$2:$BQ$313=$BS48),$I$2:$I$313,,0)))</f>
        <v>Ossi Oksa</v>
      </c>
      <c r="BV48" s="1" t="str" cm="1">
        <f t="array" ref="BV48">IF($I48="","",IF($B48=1,"",IF($B48=2,_xlfn.XLOOKUP(1,($B$2:$B$313=1)*($BO$2:$BO$313=1),$I$2:$I$313,,0),_xlfn.XLOOKUP($B48-1,$B$2:$B$313,$CH$2:$CH$313,,0))))</f>
        <v>Ossi Oksa</v>
      </c>
      <c r="BW48" s="1" t="str" cm="1">
        <f t="array" ref="BW48">IF($I48="","",IF($B48=1,"",IF(_xlfn.XLOOKUP(1,($B$2:$B$313=$B48)*($I$2:$I$313=$BV48),$BQ$2:$BQ$313,,0)="","NOK","OK")))</f>
        <v>OK</v>
      </c>
      <c r="BX48" s="1" t="str">
        <f t="shared" si="49"/>
        <v>Ossi Oksa</v>
      </c>
      <c r="BY48" s="1" t="str">
        <f t="shared" si="50"/>
        <v>Sakari Leinonen</v>
      </c>
      <c r="BZ48" s="1">
        <f t="shared" si="51"/>
        <v>209</v>
      </c>
      <c r="CA48" s="1">
        <f t="shared" si="52"/>
        <v>192</v>
      </c>
      <c r="CB48" s="1">
        <f t="shared" si="53"/>
        <v>9.8999999999999994E-5</v>
      </c>
      <c r="CC48" s="1">
        <f t="shared" si="54"/>
        <v>121</v>
      </c>
      <c r="CD48" s="1">
        <f t="shared" si="55"/>
        <v>105</v>
      </c>
      <c r="CE48" s="1">
        <f t="shared" si="56"/>
        <v>9.8999999999999994E-5</v>
      </c>
      <c r="CF48" s="1" t="str">
        <f t="shared" si="57"/>
        <v>Ossi Oksa (P)</v>
      </c>
      <c r="CG48" s="1" t="str">
        <f t="shared" si="58"/>
        <v>Sakari Leinonen (1)</v>
      </c>
      <c r="CH48" s="1" t="str">
        <f t="shared" si="59"/>
        <v>Ossi Oksa</v>
      </c>
      <c r="CI48" s="1">
        <f t="shared" si="60"/>
        <v>0</v>
      </c>
      <c r="CJ48" s="1" t="str">
        <f ca="1">IF(B48="","",IF(SUM(AI48:AK48)&gt;0,"+SP","")&amp;IF(CI48&gt;0,"+KK","")&amp;IF(AB48&gt;0,"+KGP1","")&amp;IF(AC48&gt;0,"+KGP2","")&amp;IF(AG48&lt;0,"-KGP1","")&amp;IF(AH48&lt;0,"-KGP2",""))</f>
        <v>+SP</v>
      </c>
    </row>
    <row r="49" spans="1:88" x14ac:dyDescent="0.25">
      <c r="A49" s="1">
        <f>IFERROR(IF(ROW(A48)=1,1,IF(1+A48&lt;=$CP$1*$CP$2,1+A48,"")),"")</f>
        <v>48</v>
      </c>
      <c r="B49" s="1">
        <f>IF($I49="","",IF(ROW(B48)=1,1,ROUNDUP(A49/$CP$2,0)))</f>
        <v>3</v>
      </c>
      <c r="C49" s="4">
        <f t="shared" si="7"/>
        <v>45599</v>
      </c>
      <c r="D49" s="4" t="str">
        <f t="shared" si="0"/>
        <v>Kupittaan keilahalli</v>
      </c>
      <c r="E49" s="1">
        <f>IF($B49="","",COUNTIF($B$2:B49,B49))</f>
        <v>12</v>
      </c>
      <c r="F49" s="1" t="str">
        <f t="shared" si="1"/>
        <v>K2024GP03</v>
      </c>
      <c r="G49" s="1" t="str">
        <f t="shared" si="8"/>
        <v>K2024GP03_12</v>
      </c>
      <c r="H49" s="1">
        <f t="shared" si="9"/>
        <v>1</v>
      </c>
      <c r="I49" s="3" t="s">
        <v>126</v>
      </c>
      <c r="J49" s="3"/>
      <c r="K49" s="3"/>
      <c r="L49" s="1">
        <f t="shared" si="10"/>
        <v>0</v>
      </c>
      <c r="M49" s="1">
        <f t="shared" si="11"/>
        <v>0</v>
      </c>
      <c r="N49" s="1" t="str">
        <f t="shared" si="12"/>
        <v/>
      </c>
      <c r="O49" s="1" t="str">
        <f t="shared" si="13"/>
        <v/>
      </c>
      <c r="P49" s="1" t="str">
        <f t="shared" si="14"/>
        <v/>
      </c>
      <c r="Q49" s="1">
        <f t="array" ref="Q49">IF($B49="","",IF(MAX(IF(B49=$B$2:$B$313,$L$2:$L$313))-L49=0,"",MAX(IF(B49=$B$2:$B$313,$L$2:$L$313))-L49))</f>
        <v>401</v>
      </c>
      <c r="R49" s="1">
        <f t="array" ref="R49">IF($B49="","",SUMPRODUCT(--($B$2:$B$313=B49),--(L49&lt;$L$2:$L$313))+1)</f>
        <v>12</v>
      </c>
      <c r="S49" s="1">
        <f t="shared" si="15"/>
        <v>0</v>
      </c>
      <c r="T49" s="1" t="str" cm="1">
        <f t="array" ref="T49">IF($B49="","",IF(M49=0,"",SUMPRODUCT(--($B$2:$B$313=B49),--(J49&lt;$J$2:$J$313))+1))</f>
        <v/>
      </c>
      <c r="U49" s="1" t="str">
        <f t="shared" si="16"/>
        <v/>
      </c>
      <c r="V49" s="1" t="str">
        <f t="shared" si="17"/>
        <v>0312</v>
      </c>
      <c r="W49" s="1">
        <f t="shared" si="18"/>
        <v>7</v>
      </c>
      <c r="X49" s="1">
        <f t="shared" si="2"/>
        <v>0</v>
      </c>
      <c r="Y49" s="1">
        <f>IF($B49="","",MAX(_xlfn.MAXIFS($J$2:J49,$I$2:I49,$I49),_xlfn.MAXIFS($K$2:K49,$I$2:I49,$I49)))</f>
        <v>126</v>
      </c>
      <c r="Z49" s="1">
        <f t="shared" si="3"/>
        <v>209</v>
      </c>
      <c r="AA49" s="1">
        <f t="shared" si="19"/>
        <v>0</v>
      </c>
      <c r="AB49" s="1">
        <f t="shared" si="20"/>
        <v>0</v>
      </c>
      <c r="AC49" s="1">
        <f t="shared" si="21"/>
        <v>0</v>
      </c>
      <c r="AD49" s="1">
        <f>IF($B49="","",MIN(_xlfn.MINIFS($J$2:J49,$I$2:I49,$I49),_xlfn.MINIFS($K$2:K49,$I$2:I49,$I49)))</f>
        <v>121</v>
      </c>
      <c r="AE49" s="1">
        <f t="shared" si="22"/>
        <v>92</v>
      </c>
      <c r="AF49" s="1">
        <f t="shared" si="23"/>
        <v>0</v>
      </c>
      <c r="AG49" s="1">
        <f t="shared" si="24"/>
        <v>0</v>
      </c>
      <c r="AH49" s="1">
        <f t="shared" si="25"/>
        <v>0</v>
      </c>
      <c r="AI49" s="1">
        <f ca="1">IF($B49="","",IF($K49="",0,OFFSET($CO$17,R49,W49)))</f>
        <v>0</v>
      </c>
      <c r="AJ49" s="1">
        <f t="shared" ca="1" si="26"/>
        <v>0</v>
      </c>
      <c r="AK49" s="1">
        <f ca="1">IF(AJ49="","",IF(AJ49=0,0,IF(W49=1,0,SUM(OFFSET($CO$17,N49,1):OFFSET($CO$17,N49+W49-2,1))/W49)))</f>
        <v>0</v>
      </c>
      <c r="AL49" s="1">
        <f t="shared" si="27"/>
        <v>0</v>
      </c>
      <c r="AM49" s="1">
        <f ca="1">IF($B49="","",SUMIFS($AL$2:AL49,$I$2:I49,$I49))</f>
        <v>0</v>
      </c>
      <c r="AN49" s="1">
        <f t="shared" si="28"/>
        <v>12.000048</v>
      </c>
      <c r="AO49" s="1">
        <f>IFERROR(IF($B49="","",AVERAGEIFS($L$2:L49,$I$2:I49,I49,$L$2:L49,"&lt;&gt;0")),0)</f>
        <v>247</v>
      </c>
      <c r="AP49" s="1">
        <f t="shared" si="29"/>
        <v>123.5</v>
      </c>
      <c r="AQ49" s="1">
        <f>IF($B49="","",COUNTIFS($R$2:R49,1,$I$2:I49,$I49))</f>
        <v>0</v>
      </c>
      <c r="AR49" s="1">
        <f t="array" aca="1" ref="AR49" ca="1">IF($B49="","",SUMPRODUCT(--($B$2:$B$313=B49),--(AM49&lt;$AM$2:$AM$313))+1)</f>
        <v>17</v>
      </c>
      <c r="AS49" s="1">
        <f t="array" ref="AS49">IF($B49="","",SUMPRODUCT(--($B$2:$B$313=B49),--(AP49&lt;$AP$2:$AP$313))+1)</f>
        <v>12</v>
      </c>
      <c r="AT49" s="1">
        <f t="array" ref="AT49">IF($B49="","",SUMPRODUCT(--($B$2:$B$313=B49),--(AQ49&lt;$AQ$2:$AQ$313))+1)</f>
        <v>5</v>
      </c>
      <c r="AU49" s="1">
        <f t="shared" si="30"/>
        <v>4.8E-8</v>
      </c>
      <c r="AV49" s="1">
        <f t="shared" ca="1" si="31"/>
        <v>0.17120504800000003</v>
      </c>
      <c r="AW49" s="1" t="str">
        <f t="shared" si="4"/>
        <v/>
      </c>
      <c r="AX49" s="1" t="str">
        <f t="shared" si="32"/>
        <v/>
      </c>
      <c r="AY49" s="8">
        <f t="shared" ca="1" si="33"/>
        <v>0.17120504800000003</v>
      </c>
      <c r="AZ49" s="1" cm="1">
        <f t="array" aca="1" ref="AZ49" ca="1">IF($B49="","",SUMPRODUCT(--($B$2:$B$313=B49),--(AY49&gt;$AY$2:$AY$313))+1)</f>
        <v>17</v>
      </c>
      <c r="BA49" s="1" t="str">
        <f t="shared" si="34"/>
        <v>K2024GP03_12_1</v>
      </c>
      <c r="BB49" s="1" t="str">
        <f t="shared" si="35"/>
        <v>K2024GP03_12_2</v>
      </c>
      <c r="BC49" s="1">
        <f t="shared" si="36"/>
        <v>0</v>
      </c>
      <c r="BD49" s="1">
        <f t="shared" si="37"/>
        <v>0</v>
      </c>
      <c r="BE49" s="1">
        <f t="shared" si="38"/>
        <v>1</v>
      </c>
      <c r="BF49" s="1">
        <f t="shared" si="39"/>
        <v>0</v>
      </c>
      <c r="BG49" s="1">
        <f t="shared" si="40"/>
        <v>0</v>
      </c>
      <c r="BH49" s="1">
        <f t="shared" si="41"/>
        <v>12</v>
      </c>
      <c r="BI49" s="1">
        <f t="shared" si="42"/>
        <v>12</v>
      </c>
      <c r="BJ49" s="1">
        <f t="shared" si="43"/>
        <v>0.1212</v>
      </c>
      <c r="BK49" s="1" t="str">
        <f t="shared" si="44"/>
        <v/>
      </c>
      <c r="BL49" s="1">
        <f t="shared" si="45"/>
        <v>9.8999999999999994E-5</v>
      </c>
      <c r="BM49" s="1">
        <f t="shared" si="46"/>
        <v>0.12130390000000001</v>
      </c>
      <c r="BN49" s="1" t="str">
        <f t="shared" si="47"/>
        <v/>
      </c>
      <c r="BO49" s="1">
        <f t="shared" si="5"/>
        <v>12</v>
      </c>
      <c r="BP49" s="1">
        <f t="shared" si="6"/>
        <v>0</v>
      </c>
      <c r="BQ49" s="1" t="str" cm="1">
        <f t="array" ref="BQ49">IF(I49="","",IF(BP49=1,"",IF(L49=0,"",IF(B49=1,"",_xlfn.XLOOKUP(1,($I$2:$I$313=$I49)*($B$2:$B$313=($B49-1)),$BO$2:$BO$313)))))</f>
        <v/>
      </c>
      <c r="BR49" s="1">
        <f>IF(I49="","",IF($B49=1,_xlfn.MINIFS($BO$2:$BO$313,$B$2:$B$313,$B49),_xlfn.MINIFS(BQ$2:$BQ$313,$B$2:$B$313,$B49)))</f>
        <v>1</v>
      </c>
      <c r="BS49" s="1">
        <f t="shared" si="48"/>
        <v>3</v>
      </c>
      <c r="BT49" s="1" t="str" cm="1">
        <f t="array" ref="BT49">IF($I49="","",IF($B49=1,_xlfn.XLOOKUP(1,($B$2:$B$313=$B49)*($BO$2:$BO$313=BR49),Data!$I$2:$I$313,,0),_xlfn.XLOOKUP(1,($B$2:$B$313=$B49)*($BQ$2:$BQ$313=$BR49),$I$2:$I$313,,0)))</f>
        <v>Sakari Leinonen</v>
      </c>
      <c r="BU49" s="1" t="str" cm="1">
        <f t="array" ref="BU49">IF(I49="","",IF($B49=1,_xlfn.XLOOKUP(1,($B$2:$B$313=$B49)*($BO$2:$BO$313=$BS49),$I$2:$I$313,,0),_xlfn.XLOOKUP(1,($B$2:$B$313=$B49)*($BQ$2:$BQ$313=$BS49),$I$2:$I$313,,0)))</f>
        <v>Ossi Oksa</v>
      </c>
      <c r="BV49" s="1" t="str" cm="1">
        <f t="array" ref="BV49">IF($I49="","",IF($B49=1,"",IF($B49=2,_xlfn.XLOOKUP(1,($B$2:$B$313=1)*($BO$2:$BO$313=1),$I$2:$I$313,,0),_xlfn.XLOOKUP($B49-1,$B$2:$B$313,$CH$2:$CH$313,,0))))</f>
        <v>Ossi Oksa</v>
      </c>
      <c r="BW49" s="1" t="str" cm="1">
        <f t="array" ref="BW49">IF($I49="","",IF($B49=1,"",IF(_xlfn.XLOOKUP(1,($B$2:$B$313=$B49)*($I$2:$I$313=$BV49),$BQ$2:$BQ$313,,0)="","NOK","OK")))</f>
        <v>OK</v>
      </c>
      <c r="BX49" s="1" t="str">
        <f t="shared" si="49"/>
        <v>Ossi Oksa</v>
      </c>
      <c r="BY49" s="1" t="str">
        <f t="shared" si="50"/>
        <v>Sakari Leinonen</v>
      </c>
      <c r="BZ49" s="1">
        <f t="shared" si="51"/>
        <v>209</v>
      </c>
      <c r="CA49" s="1">
        <f t="shared" si="52"/>
        <v>192</v>
      </c>
      <c r="CB49" s="1">
        <f t="shared" si="53"/>
        <v>9.8999999999999994E-5</v>
      </c>
      <c r="CC49" s="1">
        <f t="shared" si="54"/>
        <v>121</v>
      </c>
      <c r="CD49" s="1">
        <f t="shared" si="55"/>
        <v>105</v>
      </c>
      <c r="CE49" s="1">
        <f t="shared" si="56"/>
        <v>9.8999999999999994E-5</v>
      </c>
      <c r="CF49" s="1" t="str">
        <f t="shared" si="57"/>
        <v>Ossi Oksa (P)</v>
      </c>
      <c r="CG49" s="1" t="str">
        <f t="shared" si="58"/>
        <v>Sakari Leinonen (1)</v>
      </c>
      <c r="CH49" s="1" t="str">
        <f t="shared" si="59"/>
        <v>Ossi Oksa</v>
      </c>
      <c r="CI49" s="1">
        <f t="shared" si="60"/>
        <v>0</v>
      </c>
      <c r="CJ49" s="1" t="str">
        <f ca="1">IF(B49="","",IF(SUM(AI49:AK49)&gt;0,"+SP","")&amp;IF(CI49&gt;0,"+KK","")&amp;IF(AB49&gt;0,"+KGP1","")&amp;IF(AC49&gt;0,"+KGP2","")&amp;IF(AG49&lt;0,"-KGP1","")&amp;IF(AH49&lt;0,"-KGP2",""))</f>
        <v/>
      </c>
    </row>
    <row r="50" spans="1:88" x14ac:dyDescent="0.25">
      <c r="A50" s="1">
        <f>IFERROR(IF(ROW(A49)=1,1,IF(1+A49&lt;=$CP$1*$CP$2,1+A49,"")),"")</f>
        <v>49</v>
      </c>
      <c r="B50" s="1">
        <f>IF($I50="","",IF(ROW(B49)=1,1,ROUNDUP(A50/$CP$2,0)))</f>
        <v>3</v>
      </c>
      <c r="C50" s="4">
        <f t="shared" si="7"/>
        <v>45599</v>
      </c>
      <c r="D50" s="4" t="str">
        <f t="shared" si="0"/>
        <v>Kupittaan keilahalli</v>
      </c>
      <c r="E50" s="1">
        <f>IF($B50="","",COUNTIF($B$2:B50,B50))</f>
        <v>13</v>
      </c>
      <c r="F50" s="1" t="str">
        <f t="shared" si="1"/>
        <v>K2024GP03</v>
      </c>
      <c r="G50" s="1" t="str">
        <f t="shared" si="8"/>
        <v>K2024GP03_13</v>
      </c>
      <c r="H50" s="1">
        <f t="shared" si="9"/>
        <v>1</v>
      </c>
      <c r="I50" s="3" t="s">
        <v>135</v>
      </c>
      <c r="J50" s="3"/>
      <c r="K50" s="3"/>
      <c r="L50" s="1">
        <f t="shared" si="10"/>
        <v>0</v>
      </c>
      <c r="M50" s="1">
        <f t="shared" si="11"/>
        <v>0</v>
      </c>
      <c r="N50" s="1" t="str">
        <f t="shared" si="12"/>
        <v/>
      </c>
      <c r="O50" s="1" t="str">
        <f t="shared" si="13"/>
        <v/>
      </c>
      <c r="P50" s="1" t="str">
        <f t="shared" si="14"/>
        <v/>
      </c>
      <c r="Q50" s="1">
        <f t="array" ref="Q50">IF($B50="","",IF(MAX(IF(B50=$B$2:$B$313,$L$2:$L$313))-L50=0,"",MAX(IF(B50=$B$2:$B$313,$L$2:$L$313))-L50))</f>
        <v>401</v>
      </c>
      <c r="R50" s="1">
        <f t="array" ref="R50">IF($B50="","",SUMPRODUCT(--($B$2:$B$313=B50),--(L50&lt;$L$2:$L$313))+1)</f>
        <v>12</v>
      </c>
      <c r="S50" s="1">
        <f t="shared" si="15"/>
        <v>0</v>
      </c>
      <c r="T50" s="1" t="str" cm="1">
        <f t="array" ref="T50">IF($B50="","",IF(M50=0,"",SUMPRODUCT(--($B$2:$B$313=B50),--(J50&lt;$J$2:$J$313))+1))</f>
        <v/>
      </c>
      <c r="U50" s="1" t="str">
        <f t="shared" si="16"/>
        <v/>
      </c>
      <c r="V50" s="1" t="str">
        <f t="shared" si="17"/>
        <v>0312</v>
      </c>
      <c r="W50" s="1">
        <f t="shared" si="18"/>
        <v>7</v>
      </c>
      <c r="X50" s="1">
        <f t="shared" si="2"/>
        <v>0</v>
      </c>
      <c r="Y50" s="1">
        <f>IF($B50="","",MAX(_xlfn.MAXIFS($J$2:J50,$I$2:I50,$I50),_xlfn.MAXIFS($K$2:K50,$I$2:I50,$I50)))</f>
        <v>129</v>
      </c>
      <c r="Z50" s="1">
        <f t="shared" si="3"/>
        <v>209</v>
      </c>
      <c r="AA50" s="1">
        <f t="shared" si="19"/>
        <v>0</v>
      </c>
      <c r="AB50" s="1">
        <f t="shared" si="20"/>
        <v>0</v>
      </c>
      <c r="AC50" s="1">
        <f t="shared" si="21"/>
        <v>0</v>
      </c>
      <c r="AD50" s="1">
        <f>IF($B50="","",MIN(_xlfn.MINIFS($J$2:J50,$I$2:I50,$I50),_xlfn.MINIFS($K$2:K50,$I$2:I50,$I50)))</f>
        <v>101</v>
      </c>
      <c r="AE50" s="1">
        <f t="shared" si="22"/>
        <v>92</v>
      </c>
      <c r="AF50" s="1">
        <f t="shared" si="23"/>
        <v>0</v>
      </c>
      <c r="AG50" s="1">
        <f t="shared" si="24"/>
        <v>0</v>
      </c>
      <c r="AH50" s="1">
        <f t="shared" si="25"/>
        <v>0</v>
      </c>
      <c r="AI50" s="1">
        <f ca="1">IF($B50="","",IF($K50="",0,OFFSET($CO$17,R50,W50)))</f>
        <v>0</v>
      </c>
      <c r="AJ50" s="1">
        <f t="shared" ca="1" si="26"/>
        <v>0</v>
      </c>
      <c r="AK50" s="1">
        <f ca="1">IF(AJ50="","",IF(AJ50=0,0,IF(W50=1,0,SUM(OFFSET($CO$17,N50,1):OFFSET($CO$17,N50+W50-2,1))/W50)))</f>
        <v>0</v>
      </c>
      <c r="AL50" s="1">
        <f t="shared" si="27"/>
        <v>0</v>
      </c>
      <c r="AM50" s="1">
        <f ca="1">IF($B50="","",SUMIFS($AL$2:AL50,$I$2:I50,$I50))</f>
        <v>6</v>
      </c>
      <c r="AN50" s="1">
        <f t="shared" si="28"/>
        <v>12.000049000000001</v>
      </c>
      <c r="AO50" s="1">
        <f>IFERROR(IF($B50="","",AVERAGEIFS($L$2:L50,$I$2:I50,I50,$L$2:L50,"&lt;&gt;0")),0)</f>
        <v>226.5</v>
      </c>
      <c r="AP50" s="1">
        <f t="shared" si="29"/>
        <v>113.25</v>
      </c>
      <c r="AQ50" s="1">
        <f>IF($B50="","",COUNTIFS($R$2:R50,1,$I$2:I50,$I50))</f>
        <v>0</v>
      </c>
      <c r="AR50" s="1">
        <f t="array" aca="1" ref="AR50" ca="1">IF($B50="","",SUMPRODUCT(--($B$2:$B$313=B50),--(AM50&lt;$AM$2:$AM$313))+1)</f>
        <v>10</v>
      </c>
      <c r="AS50" s="1">
        <f t="array" ref="AS50">IF($B50="","",SUMPRODUCT(--($B$2:$B$313=B50),--(AP50&lt;$AP$2:$AP$313))+1)</f>
        <v>15</v>
      </c>
      <c r="AT50" s="1">
        <f t="array" ref="AT50">IF($B50="","",SUMPRODUCT(--($B$2:$B$313=B50),--(AQ50&lt;$AQ$2:$AQ$313))+1)</f>
        <v>5</v>
      </c>
      <c r="AU50" s="1">
        <f t="shared" si="30"/>
        <v>4.9000000000000002E-8</v>
      </c>
      <c r="AV50" s="1">
        <f t="shared" ca="1" si="31"/>
        <v>0.10150504900000001</v>
      </c>
      <c r="AW50" s="1" t="str">
        <f t="shared" si="4"/>
        <v/>
      </c>
      <c r="AX50" s="1" t="str">
        <f t="shared" si="32"/>
        <v/>
      </c>
      <c r="AY50" s="8">
        <f t="shared" ca="1" si="33"/>
        <v>0.10150504900000001</v>
      </c>
      <c r="AZ50" s="1" cm="1">
        <f t="array" aca="1" ref="AZ50" ca="1">IF($B50="","",SUMPRODUCT(--($B$2:$B$313=B50),--(AY50&gt;$AY$2:$AY$313))+1)</f>
        <v>10</v>
      </c>
      <c r="BA50" s="1" t="str">
        <f t="shared" si="34"/>
        <v>K2024GP03_13_1</v>
      </c>
      <c r="BB50" s="1" t="str">
        <f t="shared" si="35"/>
        <v>K2024GP03_13_2</v>
      </c>
      <c r="BC50" s="1">
        <f t="shared" si="36"/>
        <v>0</v>
      </c>
      <c r="BD50" s="1">
        <f t="shared" si="37"/>
        <v>0</v>
      </c>
      <c r="BE50" s="1">
        <f t="shared" si="38"/>
        <v>1</v>
      </c>
      <c r="BF50" s="1">
        <f t="shared" si="39"/>
        <v>0</v>
      </c>
      <c r="BG50" s="1">
        <f t="shared" si="40"/>
        <v>0</v>
      </c>
      <c r="BH50" s="1">
        <f t="shared" si="41"/>
        <v>12</v>
      </c>
      <c r="BI50" s="1">
        <f t="shared" si="42"/>
        <v>12</v>
      </c>
      <c r="BJ50" s="1">
        <f t="shared" si="43"/>
        <v>0.1212</v>
      </c>
      <c r="BK50" s="1" t="str">
        <f t="shared" si="44"/>
        <v/>
      </c>
      <c r="BL50" s="1">
        <f t="shared" si="45"/>
        <v>9.8999999999999994E-5</v>
      </c>
      <c r="BM50" s="1">
        <f t="shared" si="46"/>
        <v>0.12130400000000001</v>
      </c>
      <c r="BN50" s="1" t="str">
        <f t="shared" si="47"/>
        <v/>
      </c>
      <c r="BO50" s="1">
        <f t="shared" si="5"/>
        <v>13</v>
      </c>
      <c r="BP50" s="1">
        <f t="shared" si="6"/>
        <v>0</v>
      </c>
      <c r="BQ50" s="1" t="str" cm="1">
        <f t="array" ref="BQ50">IF(I50="","",IF(BP50=1,"",IF(L50=0,"",IF(B50=1,"",_xlfn.XLOOKUP(1,($I$2:$I$313=$I50)*($B$2:$B$313=($B50-1)),$BO$2:$BO$313)))))</f>
        <v/>
      </c>
      <c r="BR50" s="1">
        <f>IF(I50="","",IF($B50=1,_xlfn.MINIFS($BO$2:$BO$313,$B$2:$B$313,$B50),_xlfn.MINIFS(BQ$2:$BQ$313,$B$2:$B$313,$B50)))</f>
        <v>1</v>
      </c>
      <c r="BS50" s="1">
        <f t="shared" si="48"/>
        <v>3</v>
      </c>
      <c r="BT50" s="1" t="str" cm="1">
        <f t="array" ref="BT50">IF($I50="","",IF($B50=1,_xlfn.XLOOKUP(1,($B$2:$B$313=$B50)*($BO$2:$BO$313=BR50),Data!$I$2:$I$313,,0),_xlfn.XLOOKUP(1,($B$2:$B$313=$B50)*($BQ$2:$BQ$313=$BR50),$I$2:$I$313,,0)))</f>
        <v>Sakari Leinonen</v>
      </c>
      <c r="BU50" s="1" t="str" cm="1">
        <f t="array" ref="BU50">IF(I50="","",IF($B50=1,_xlfn.XLOOKUP(1,($B$2:$B$313=$B50)*($BO$2:$BO$313=$BS50),$I$2:$I$313,,0),_xlfn.XLOOKUP(1,($B$2:$B$313=$B50)*($BQ$2:$BQ$313=$BS50),$I$2:$I$313,,0)))</f>
        <v>Ossi Oksa</v>
      </c>
      <c r="BV50" s="1" t="str" cm="1">
        <f t="array" ref="BV50">IF($I50="","",IF($B50=1,"",IF($B50=2,_xlfn.XLOOKUP(1,($B$2:$B$313=1)*($BO$2:$BO$313=1),$I$2:$I$313,,0),_xlfn.XLOOKUP($B50-1,$B$2:$B$313,$CH$2:$CH$313,,0))))</f>
        <v>Ossi Oksa</v>
      </c>
      <c r="BW50" s="1" t="str" cm="1">
        <f t="array" ref="BW50">IF($I50="","",IF($B50=1,"",IF(_xlfn.XLOOKUP(1,($B$2:$B$313=$B50)*($I$2:$I$313=$BV50),$BQ$2:$BQ$313,,0)="","NOK","OK")))</f>
        <v>OK</v>
      </c>
      <c r="BX50" s="1" t="str">
        <f t="shared" si="49"/>
        <v>Ossi Oksa</v>
      </c>
      <c r="BY50" s="1" t="str">
        <f t="shared" si="50"/>
        <v>Sakari Leinonen</v>
      </c>
      <c r="BZ50" s="1">
        <f t="shared" si="51"/>
        <v>209</v>
      </c>
      <c r="CA50" s="1">
        <f t="shared" si="52"/>
        <v>192</v>
      </c>
      <c r="CB50" s="1">
        <f t="shared" si="53"/>
        <v>9.8999999999999994E-5</v>
      </c>
      <c r="CC50" s="1">
        <f t="shared" si="54"/>
        <v>121</v>
      </c>
      <c r="CD50" s="1">
        <f t="shared" si="55"/>
        <v>105</v>
      </c>
      <c r="CE50" s="1">
        <f t="shared" si="56"/>
        <v>9.8999999999999994E-5</v>
      </c>
      <c r="CF50" s="1" t="str">
        <f t="shared" si="57"/>
        <v>Ossi Oksa (P)</v>
      </c>
      <c r="CG50" s="1" t="str">
        <f t="shared" si="58"/>
        <v>Sakari Leinonen (1)</v>
      </c>
      <c r="CH50" s="1" t="str">
        <f t="shared" si="59"/>
        <v>Ossi Oksa</v>
      </c>
      <c r="CI50" s="1">
        <f t="shared" si="60"/>
        <v>0</v>
      </c>
      <c r="CJ50" s="1" t="str">
        <f ca="1">IF(B50="","",IF(SUM(AI50:AK50)&gt;0,"+SP","")&amp;IF(CI50&gt;0,"+KK","")&amp;IF(AB50&gt;0,"+KGP1","")&amp;IF(AC50&gt;0,"+KGP2","")&amp;IF(AG50&lt;0,"-KGP1","")&amp;IF(AH50&lt;0,"-KGP2",""))</f>
        <v/>
      </c>
    </row>
    <row r="51" spans="1:88" x14ac:dyDescent="0.25">
      <c r="A51" s="1">
        <f>IFERROR(IF(ROW(A50)=1,1,IF(1+A50&lt;=$CP$1*$CP$2,1+A50,"")),"")</f>
        <v>50</v>
      </c>
      <c r="B51" s="1">
        <f>IF($I51="","",IF(ROW(B50)=1,1,ROUNDUP(A51/$CP$2,0)))</f>
        <v>3</v>
      </c>
      <c r="C51" s="4">
        <f t="shared" si="7"/>
        <v>45599</v>
      </c>
      <c r="D51" s="4" t="str">
        <f t="shared" si="0"/>
        <v>Kupittaan keilahalli</v>
      </c>
      <c r="E51" s="1">
        <f>IF($B51="","",COUNTIF($B$2:B51,B51))</f>
        <v>14</v>
      </c>
      <c r="F51" s="1" t="str">
        <f t="shared" si="1"/>
        <v>K2024GP03</v>
      </c>
      <c r="G51" s="1" t="str">
        <f t="shared" si="8"/>
        <v>K2024GP03_14</v>
      </c>
      <c r="H51" s="1">
        <f t="shared" si="9"/>
        <v>1</v>
      </c>
      <c r="I51" s="3" t="s">
        <v>137</v>
      </c>
      <c r="J51" s="3"/>
      <c r="K51" s="3"/>
      <c r="L51" s="1">
        <f t="shared" si="10"/>
        <v>0</v>
      </c>
      <c r="M51" s="1">
        <f t="shared" si="11"/>
        <v>0</v>
      </c>
      <c r="N51" s="1" t="str">
        <f t="shared" si="12"/>
        <v/>
      </c>
      <c r="O51" s="1" t="str">
        <f t="shared" si="13"/>
        <v/>
      </c>
      <c r="P51" s="1" t="str">
        <f t="shared" si="14"/>
        <v/>
      </c>
      <c r="Q51" s="1">
        <f t="array" ref="Q51">IF($B51="","",IF(MAX(IF(B51=$B$2:$B$313,$L$2:$L$313))-L51=0,"",MAX(IF(B51=$B$2:$B$313,$L$2:$L$313))-L51))</f>
        <v>401</v>
      </c>
      <c r="R51" s="1">
        <f t="array" ref="R51">IF($B51="","",SUMPRODUCT(--($B$2:$B$313=B51),--(L51&lt;$L$2:$L$313))+1)</f>
        <v>12</v>
      </c>
      <c r="S51" s="1">
        <f t="shared" si="15"/>
        <v>0</v>
      </c>
      <c r="T51" s="1" t="str" cm="1">
        <f t="array" ref="T51">IF($B51="","",IF(M51=0,"",SUMPRODUCT(--($B$2:$B$313=B51),--(J51&lt;$J$2:$J$313))+1))</f>
        <v/>
      </c>
      <c r="U51" s="1" t="str">
        <f t="shared" si="16"/>
        <v/>
      </c>
      <c r="V51" s="1" t="str">
        <f t="shared" si="17"/>
        <v>0312</v>
      </c>
      <c r="W51" s="1">
        <f t="shared" si="18"/>
        <v>7</v>
      </c>
      <c r="X51" s="1">
        <f t="shared" si="2"/>
        <v>0</v>
      </c>
      <c r="Y51" s="1">
        <f>IF($B51="","",MAX(_xlfn.MAXIFS($J$2:J51,$I$2:I51,$I51),_xlfn.MAXIFS($K$2:K51,$I$2:I51,$I51)))</f>
        <v>127</v>
      </c>
      <c r="Z51" s="1">
        <f t="shared" si="3"/>
        <v>209</v>
      </c>
      <c r="AA51" s="1">
        <f t="shared" si="19"/>
        <v>0</v>
      </c>
      <c r="AB51" s="1">
        <f t="shared" si="20"/>
        <v>0</v>
      </c>
      <c r="AC51" s="1">
        <f t="shared" si="21"/>
        <v>0</v>
      </c>
      <c r="AD51" s="1">
        <f>IF($B51="","",MIN(_xlfn.MINIFS($J$2:J51,$I$2:I51,$I51),_xlfn.MINIFS($K$2:K51,$I$2:I51,$I51)))</f>
        <v>126</v>
      </c>
      <c r="AE51" s="1">
        <f t="shared" si="22"/>
        <v>92</v>
      </c>
      <c r="AF51" s="1">
        <f t="shared" si="23"/>
        <v>0</v>
      </c>
      <c r="AG51" s="1">
        <f t="shared" si="24"/>
        <v>0</v>
      </c>
      <c r="AH51" s="1">
        <f t="shared" si="25"/>
        <v>0</v>
      </c>
      <c r="AI51" s="1">
        <f ca="1">IF($B51="","",IF($K51="",0,OFFSET($CO$17,R51,W51)))</f>
        <v>0</v>
      </c>
      <c r="AJ51" s="1">
        <f t="shared" ca="1" si="26"/>
        <v>0</v>
      </c>
      <c r="AK51" s="1">
        <f ca="1">IF(AJ51="","",IF(AJ51=0,0,IF(W51=1,0,SUM(OFFSET($CO$17,N51,1):OFFSET($CO$17,N51+W51-2,1))/W51)))</f>
        <v>0</v>
      </c>
      <c r="AL51" s="1">
        <f t="shared" si="27"/>
        <v>0</v>
      </c>
      <c r="AM51" s="1">
        <f ca="1">IF($B51="","",SUMIFS($AL$2:AL51,$I$2:I51,$I51))</f>
        <v>1</v>
      </c>
      <c r="AN51" s="1">
        <f t="shared" si="28"/>
        <v>12.00005</v>
      </c>
      <c r="AO51" s="1">
        <f>IFERROR(IF($B51="","",AVERAGEIFS($L$2:L51,$I$2:I51,I51,$L$2:L51,"&lt;&gt;0")),0)</f>
        <v>253</v>
      </c>
      <c r="AP51" s="1">
        <f t="shared" si="29"/>
        <v>126.5</v>
      </c>
      <c r="AQ51" s="1">
        <f>IF($B51="","",COUNTIFS($R$2:R51,1,$I$2:I51,$I51))</f>
        <v>0</v>
      </c>
      <c r="AR51" s="1">
        <f t="array" aca="1" ref="AR51" ca="1">IF($B51="","",SUMPRODUCT(--($B$2:$B$313=B51),--(AM51&lt;$AM$2:$AM$313))+1)</f>
        <v>16</v>
      </c>
      <c r="AS51" s="1">
        <f t="array" ref="AS51">IF($B51="","",SUMPRODUCT(--($B$2:$B$313=B51),--(AP51&lt;$AP$2:$AP$313))+1)</f>
        <v>9</v>
      </c>
      <c r="AT51" s="1">
        <f t="array" ref="AT51">IF($B51="","",SUMPRODUCT(--($B$2:$B$313=B51),--(AQ51&lt;$AQ$2:$AQ$313))+1)</f>
        <v>5</v>
      </c>
      <c r="AU51" s="1">
        <f t="shared" si="30"/>
        <v>4.9999999999999998E-8</v>
      </c>
      <c r="AV51" s="1">
        <f t="shared" ca="1" si="31"/>
        <v>0.16090505000000002</v>
      </c>
      <c r="AW51" s="1" t="str">
        <f t="shared" si="4"/>
        <v/>
      </c>
      <c r="AX51" s="1" t="str">
        <f t="shared" si="32"/>
        <v/>
      </c>
      <c r="AY51" s="8">
        <f t="shared" ca="1" si="33"/>
        <v>0.16090505000000002</v>
      </c>
      <c r="AZ51" s="1" cm="1">
        <f t="array" aca="1" ref="AZ51" ca="1">IF($B51="","",SUMPRODUCT(--($B$2:$B$313=B51),--(AY51&gt;$AY$2:$AY$313))+1)</f>
        <v>16</v>
      </c>
      <c r="BA51" s="1" t="str">
        <f t="shared" si="34"/>
        <v>K2024GP03_14_1</v>
      </c>
      <c r="BB51" s="1" t="str">
        <f t="shared" si="35"/>
        <v>K2024GP03_14_2</v>
      </c>
      <c r="BC51" s="1">
        <f t="shared" si="36"/>
        <v>0</v>
      </c>
      <c r="BD51" s="1">
        <f t="shared" si="37"/>
        <v>0</v>
      </c>
      <c r="BE51" s="1">
        <f t="shared" si="38"/>
        <v>1</v>
      </c>
      <c r="BF51" s="1">
        <f t="shared" si="39"/>
        <v>0</v>
      </c>
      <c r="BG51" s="1">
        <f t="shared" si="40"/>
        <v>0</v>
      </c>
      <c r="BH51" s="1">
        <f t="shared" si="41"/>
        <v>12</v>
      </c>
      <c r="BI51" s="1">
        <f t="shared" si="42"/>
        <v>12</v>
      </c>
      <c r="BJ51" s="1">
        <f t="shared" si="43"/>
        <v>0.1212</v>
      </c>
      <c r="BK51" s="1" t="str">
        <f t="shared" si="44"/>
        <v/>
      </c>
      <c r="BL51" s="1">
        <f t="shared" si="45"/>
        <v>9.8999999999999994E-5</v>
      </c>
      <c r="BM51" s="1">
        <f t="shared" si="46"/>
        <v>0.1213041</v>
      </c>
      <c r="BN51" s="1" t="str">
        <f t="shared" si="47"/>
        <v/>
      </c>
      <c r="BO51" s="1">
        <f t="shared" si="5"/>
        <v>14</v>
      </c>
      <c r="BP51" s="1">
        <f t="shared" si="6"/>
        <v>0</v>
      </c>
      <c r="BQ51" s="1" t="str" cm="1">
        <f t="array" ref="BQ51">IF(I51="","",IF(BP51=1,"",IF(L51=0,"",IF(B51=1,"",_xlfn.XLOOKUP(1,($I$2:$I$313=$I51)*($B$2:$B$313=($B51-1)),$BO$2:$BO$313)))))</f>
        <v/>
      </c>
      <c r="BR51" s="1">
        <f>IF(I51="","",IF($B51=1,_xlfn.MINIFS($BO$2:$BO$313,$B$2:$B$313,$B51),_xlfn.MINIFS(BQ$2:$BQ$313,$B$2:$B$313,$B51)))</f>
        <v>1</v>
      </c>
      <c r="BS51" s="1">
        <f t="shared" si="48"/>
        <v>3</v>
      </c>
      <c r="BT51" s="1" t="str" cm="1">
        <f t="array" ref="BT51">IF($I51="","",IF($B51=1,_xlfn.XLOOKUP(1,($B$2:$B$313=$B51)*($BO$2:$BO$313=BR51),Data!$I$2:$I$313,,0),_xlfn.XLOOKUP(1,($B$2:$B$313=$B51)*($BQ$2:$BQ$313=$BR51),$I$2:$I$313,,0)))</f>
        <v>Sakari Leinonen</v>
      </c>
      <c r="BU51" s="1" t="str" cm="1">
        <f t="array" ref="BU51">IF(I51="","",IF($B51=1,_xlfn.XLOOKUP(1,($B$2:$B$313=$B51)*($BO$2:$BO$313=$BS51),$I$2:$I$313,,0),_xlfn.XLOOKUP(1,($B$2:$B$313=$B51)*($BQ$2:$BQ$313=$BS51),$I$2:$I$313,,0)))</f>
        <v>Ossi Oksa</v>
      </c>
      <c r="BV51" s="1" t="str" cm="1">
        <f t="array" ref="BV51">IF($I51="","",IF($B51=1,"",IF($B51=2,_xlfn.XLOOKUP(1,($B$2:$B$313=1)*($BO$2:$BO$313=1),$I$2:$I$313,,0),_xlfn.XLOOKUP($B51-1,$B$2:$B$313,$CH$2:$CH$313,,0))))</f>
        <v>Ossi Oksa</v>
      </c>
      <c r="BW51" s="1" t="str" cm="1">
        <f t="array" ref="BW51">IF($I51="","",IF($B51=1,"",IF(_xlfn.XLOOKUP(1,($B$2:$B$313=$B51)*($I$2:$I$313=$BV51),$BQ$2:$BQ$313,,0)="","NOK","OK")))</f>
        <v>OK</v>
      </c>
      <c r="BX51" s="1" t="str">
        <f t="shared" si="49"/>
        <v>Ossi Oksa</v>
      </c>
      <c r="BY51" s="1" t="str">
        <f t="shared" si="50"/>
        <v>Sakari Leinonen</v>
      </c>
      <c r="BZ51" s="1">
        <f t="shared" si="51"/>
        <v>209</v>
      </c>
      <c r="CA51" s="1">
        <f t="shared" si="52"/>
        <v>192</v>
      </c>
      <c r="CB51" s="1">
        <f t="shared" si="53"/>
        <v>9.8999999999999994E-5</v>
      </c>
      <c r="CC51" s="1">
        <f t="shared" si="54"/>
        <v>121</v>
      </c>
      <c r="CD51" s="1">
        <f t="shared" si="55"/>
        <v>105</v>
      </c>
      <c r="CE51" s="1">
        <f t="shared" si="56"/>
        <v>9.8999999999999994E-5</v>
      </c>
      <c r="CF51" s="1" t="str">
        <f t="shared" si="57"/>
        <v>Ossi Oksa (P)</v>
      </c>
      <c r="CG51" s="1" t="str">
        <f t="shared" si="58"/>
        <v>Sakari Leinonen (1)</v>
      </c>
      <c r="CH51" s="1" t="str">
        <f t="shared" si="59"/>
        <v>Ossi Oksa</v>
      </c>
      <c r="CI51" s="1">
        <f t="shared" si="60"/>
        <v>0</v>
      </c>
      <c r="CJ51" s="1" t="str">
        <f ca="1">IF(B51="","",IF(SUM(AI51:AK51)&gt;0,"+SP","")&amp;IF(CI51&gt;0,"+KK","")&amp;IF(AB51&gt;0,"+KGP1","")&amp;IF(AC51&gt;0,"+KGP2","")&amp;IF(AG51&lt;0,"-KGP1","")&amp;IF(AH51&lt;0,"-KGP2",""))</f>
        <v/>
      </c>
    </row>
    <row r="52" spans="1:88" x14ac:dyDescent="0.25">
      <c r="A52" s="1">
        <f>IFERROR(IF(ROW(A51)=1,1,IF(1+A51&lt;=$CP$1*$CP$2,1+A51,"")),"")</f>
        <v>51</v>
      </c>
      <c r="B52" s="1">
        <f>IF($I52="","",IF(ROW(B51)=1,1,ROUNDUP(A52/$CP$2,0)))</f>
        <v>3</v>
      </c>
      <c r="C52" s="4">
        <f t="shared" si="7"/>
        <v>45599</v>
      </c>
      <c r="D52" s="4" t="str">
        <f t="shared" si="0"/>
        <v>Kupittaan keilahalli</v>
      </c>
      <c r="E52" s="1">
        <f>IF($B52="","",COUNTIF($B$2:B52,B52))</f>
        <v>15</v>
      </c>
      <c r="F52" s="1" t="str">
        <f t="shared" si="1"/>
        <v>K2024GP03</v>
      </c>
      <c r="G52" s="1" t="str">
        <f t="shared" si="8"/>
        <v>K2024GP03_15</v>
      </c>
      <c r="H52" s="1">
        <f t="shared" si="9"/>
        <v>1</v>
      </c>
      <c r="I52" s="3" t="s">
        <v>136</v>
      </c>
      <c r="J52" s="3"/>
      <c r="K52" s="3"/>
      <c r="L52" s="1">
        <f t="shared" si="10"/>
        <v>0</v>
      </c>
      <c r="M52" s="1">
        <f t="shared" si="11"/>
        <v>0</v>
      </c>
      <c r="N52" s="1" t="str">
        <f t="shared" si="12"/>
        <v/>
      </c>
      <c r="O52" s="1" t="str">
        <f t="shared" si="13"/>
        <v/>
      </c>
      <c r="P52" s="1" t="str">
        <f t="shared" si="14"/>
        <v/>
      </c>
      <c r="Q52" s="1">
        <f t="array" ref="Q52">IF($B52="","",IF(MAX(IF(B52=$B$2:$B$313,$L$2:$L$313))-L52=0,"",MAX(IF(B52=$B$2:$B$313,$L$2:$L$313))-L52))</f>
        <v>401</v>
      </c>
      <c r="R52" s="1">
        <f t="array" ref="R52">IF($B52="","",SUMPRODUCT(--($B$2:$B$313=B52),--(L52&lt;$L$2:$L$313))+1)</f>
        <v>12</v>
      </c>
      <c r="S52" s="1">
        <f t="shared" si="15"/>
        <v>0</v>
      </c>
      <c r="T52" s="1" t="str" cm="1">
        <f t="array" ref="T52">IF($B52="","",IF(M52=0,"",SUMPRODUCT(--($B$2:$B$313=B52),--(J52&lt;$J$2:$J$313))+1))</f>
        <v/>
      </c>
      <c r="U52" s="1" t="str">
        <f t="shared" si="16"/>
        <v/>
      </c>
      <c r="V52" s="1" t="str">
        <f t="shared" si="17"/>
        <v>0312</v>
      </c>
      <c r="W52" s="1">
        <f t="shared" si="18"/>
        <v>7</v>
      </c>
      <c r="X52" s="1">
        <f t="shared" si="2"/>
        <v>0</v>
      </c>
      <c r="Y52" s="1">
        <f>IF($B52="","",MAX(_xlfn.MAXIFS($J$2:J52,$I$2:I52,$I52),_xlfn.MAXIFS($K$2:K52,$I$2:I52,$I52)))</f>
        <v>165</v>
      </c>
      <c r="Z52" s="1">
        <f t="shared" si="3"/>
        <v>209</v>
      </c>
      <c r="AA52" s="1">
        <f t="shared" si="19"/>
        <v>0</v>
      </c>
      <c r="AB52" s="1">
        <f t="shared" si="20"/>
        <v>0</v>
      </c>
      <c r="AC52" s="1">
        <f t="shared" si="21"/>
        <v>0</v>
      </c>
      <c r="AD52" s="1">
        <f>IF($B52="","",MIN(_xlfn.MINIFS($J$2:J52,$I$2:I52,$I52),_xlfn.MINIFS($K$2:K52,$I$2:I52,$I52)))</f>
        <v>132</v>
      </c>
      <c r="AE52" s="1">
        <f t="shared" si="22"/>
        <v>92</v>
      </c>
      <c r="AF52" s="1">
        <f t="shared" si="23"/>
        <v>0</v>
      </c>
      <c r="AG52" s="1">
        <f t="shared" si="24"/>
        <v>0</v>
      </c>
      <c r="AH52" s="1">
        <f t="shared" si="25"/>
        <v>0</v>
      </c>
      <c r="AI52" s="1">
        <f ca="1">IF($B52="","",IF($K52="",0,OFFSET($CO$17,R52,W52)))</f>
        <v>0</v>
      </c>
      <c r="AJ52" s="1">
        <f t="shared" ca="1" si="26"/>
        <v>0</v>
      </c>
      <c r="AK52" s="1">
        <f ca="1">IF(AJ52="","",IF(AJ52=0,0,IF(W52=1,0,SUM(OFFSET($CO$17,N52,1):OFFSET($CO$17,N52+W52-2,1))/W52)))</f>
        <v>0</v>
      </c>
      <c r="AL52" s="1">
        <f t="shared" si="27"/>
        <v>0</v>
      </c>
      <c r="AM52" s="1">
        <f ca="1">IF($B52="","",SUMIFS($AL$2:AL52,$I$2:I52,$I52))</f>
        <v>3</v>
      </c>
      <c r="AN52" s="1">
        <f t="shared" si="28"/>
        <v>12.000050999999999</v>
      </c>
      <c r="AO52" s="1">
        <f>IFERROR(IF($B52="","",AVERAGEIFS($L$2:L52,$I$2:I52,I52,$L$2:L52,"&lt;&gt;0")),0)</f>
        <v>297</v>
      </c>
      <c r="AP52" s="1">
        <f t="shared" si="29"/>
        <v>148.5</v>
      </c>
      <c r="AQ52" s="1">
        <f>IF($B52="","",COUNTIFS($R$2:R52,1,$I$2:I52,$I52))</f>
        <v>0</v>
      </c>
      <c r="AR52" s="1">
        <f t="array" aca="1" ref="AR52" ca="1">IF($B52="","",SUMPRODUCT(--($B$2:$B$313=B52),--(AM52&lt;$AM$2:$AM$313))+1)</f>
        <v>15</v>
      </c>
      <c r="AS52" s="1">
        <f t="array" ref="AS52">IF($B52="","",SUMPRODUCT(--($B$2:$B$313=B52),--(AP52&lt;$AP$2:$AP$313))+1)</f>
        <v>4</v>
      </c>
      <c r="AT52" s="1">
        <f t="array" ref="AT52">IF($B52="","",SUMPRODUCT(--($B$2:$B$313=B52),--(AQ52&lt;$AQ$2:$AQ$313))+1)</f>
        <v>5</v>
      </c>
      <c r="AU52" s="1">
        <f t="shared" si="30"/>
        <v>5.1E-8</v>
      </c>
      <c r="AV52" s="1">
        <f t="shared" ca="1" si="31"/>
        <v>0.15040505100000001</v>
      </c>
      <c r="AW52" s="1" t="str">
        <f t="shared" si="4"/>
        <v/>
      </c>
      <c r="AX52" s="1" t="str">
        <f t="shared" si="32"/>
        <v/>
      </c>
      <c r="AY52" s="8">
        <f t="shared" ca="1" si="33"/>
        <v>0.15040505100000001</v>
      </c>
      <c r="AZ52" s="1" cm="1">
        <f t="array" aca="1" ref="AZ52" ca="1">IF($B52="","",SUMPRODUCT(--($B$2:$B$313=B52),--(AY52&gt;$AY$2:$AY$313))+1)</f>
        <v>15</v>
      </c>
      <c r="BA52" s="1" t="str">
        <f t="shared" si="34"/>
        <v>K2024GP03_15_1</v>
      </c>
      <c r="BB52" s="1" t="str">
        <f t="shared" si="35"/>
        <v>K2024GP03_15_2</v>
      </c>
      <c r="BC52" s="1">
        <f t="shared" si="36"/>
        <v>0</v>
      </c>
      <c r="BD52" s="1">
        <f t="shared" si="37"/>
        <v>0</v>
      </c>
      <c r="BE52" s="1">
        <f t="shared" si="38"/>
        <v>1</v>
      </c>
      <c r="BF52" s="1">
        <f t="shared" si="39"/>
        <v>0</v>
      </c>
      <c r="BG52" s="1">
        <f t="shared" si="40"/>
        <v>0</v>
      </c>
      <c r="BH52" s="1">
        <f t="shared" si="41"/>
        <v>12</v>
      </c>
      <c r="BI52" s="1">
        <f t="shared" si="42"/>
        <v>12</v>
      </c>
      <c r="BJ52" s="1">
        <f t="shared" si="43"/>
        <v>0.1212</v>
      </c>
      <c r="BK52" s="1" t="str">
        <f t="shared" si="44"/>
        <v/>
      </c>
      <c r="BL52" s="1">
        <f t="shared" si="45"/>
        <v>9.8999999999999994E-5</v>
      </c>
      <c r="BM52" s="1">
        <f t="shared" si="46"/>
        <v>0.1213042</v>
      </c>
      <c r="BN52" s="1" t="str">
        <f t="shared" si="47"/>
        <v/>
      </c>
      <c r="BO52" s="1">
        <f t="shared" si="5"/>
        <v>15</v>
      </c>
      <c r="BP52" s="1">
        <f t="shared" si="6"/>
        <v>0</v>
      </c>
      <c r="BQ52" s="1" t="str" cm="1">
        <f t="array" ref="BQ52">IF(I52="","",IF(BP52=1,"",IF(L52=0,"",IF(B52=1,"",_xlfn.XLOOKUP(1,($I$2:$I$313=$I52)*($B$2:$B$313=($B52-1)),$BO$2:$BO$313)))))</f>
        <v/>
      </c>
      <c r="BR52" s="1">
        <f>IF(I52="","",IF($B52=1,_xlfn.MINIFS($BO$2:$BO$313,$B$2:$B$313,$B52),_xlfn.MINIFS(BQ$2:$BQ$313,$B$2:$B$313,$B52)))</f>
        <v>1</v>
      </c>
      <c r="BS52" s="1">
        <f t="shared" si="48"/>
        <v>3</v>
      </c>
      <c r="BT52" s="1" t="str" cm="1">
        <f t="array" ref="BT52">IF($I52="","",IF($B52=1,_xlfn.XLOOKUP(1,($B$2:$B$313=$B52)*($BO$2:$BO$313=BR52),Data!$I$2:$I$313,,0),_xlfn.XLOOKUP(1,($B$2:$B$313=$B52)*($BQ$2:$BQ$313=$BR52),$I$2:$I$313,,0)))</f>
        <v>Sakari Leinonen</v>
      </c>
      <c r="BU52" s="1" t="str" cm="1">
        <f t="array" ref="BU52">IF(I52="","",IF($B52=1,_xlfn.XLOOKUP(1,($B$2:$B$313=$B52)*($BO$2:$BO$313=$BS52),$I$2:$I$313,,0),_xlfn.XLOOKUP(1,($B$2:$B$313=$B52)*($BQ$2:$BQ$313=$BS52),$I$2:$I$313,,0)))</f>
        <v>Ossi Oksa</v>
      </c>
      <c r="BV52" s="1" t="str" cm="1">
        <f t="array" ref="BV52">IF($I52="","",IF($B52=1,"",IF($B52=2,_xlfn.XLOOKUP(1,($B$2:$B$313=1)*($BO$2:$BO$313=1),$I$2:$I$313,,0),_xlfn.XLOOKUP($B52-1,$B$2:$B$313,$CH$2:$CH$313,,0))))</f>
        <v>Ossi Oksa</v>
      </c>
      <c r="BW52" s="1" t="str" cm="1">
        <f t="array" ref="BW52">IF($I52="","",IF($B52=1,"",IF(_xlfn.XLOOKUP(1,($B$2:$B$313=$B52)*($I$2:$I$313=$BV52),$BQ$2:$BQ$313,,0)="","NOK","OK")))</f>
        <v>OK</v>
      </c>
      <c r="BX52" s="1" t="str">
        <f t="shared" si="49"/>
        <v>Ossi Oksa</v>
      </c>
      <c r="BY52" s="1" t="str">
        <f t="shared" si="50"/>
        <v>Sakari Leinonen</v>
      </c>
      <c r="BZ52" s="1">
        <f t="shared" si="51"/>
        <v>209</v>
      </c>
      <c r="CA52" s="1">
        <f t="shared" si="52"/>
        <v>192</v>
      </c>
      <c r="CB52" s="1">
        <f t="shared" si="53"/>
        <v>9.8999999999999994E-5</v>
      </c>
      <c r="CC52" s="1">
        <f t="shared" si="54"/>
        <v>121</v>
      </c>
      <c r="CD52" s="1">
        <f t="shared" si="55"/>
        <v>105</v>
      </c>
      <c r="CE52" s="1">
        <f t="shared" si="56"/>
        <v>9.8999999999999994E-5</v>
      </c>
      <c r="CF52" s="1" t="str">
        <f t="shared" si="57"/>
        <v>Ossi Oksa (P)</v>
      </c>
      <c r="CG52" s="1" t="str">
        <f t="shared" si="58"/>
        <v>Sakari Leinonen (1)</v>
      </c>
      <c r="CH52" s="1" t="str">
        <f t="shared" si="59"/>
        <v>Ossi Oksa</v>
      </c>
      <c r="CI52" s="1">
        <f t="shared" si="60"/>
        <v>0</v>
      </c>
      <c r="CJ52" s="1" t="str">
        <f ca="1">IF(B52="","",IF(SUM(AI52:AK52)&gt;0,"+SP","")&amp;IF(CI52&gt;0,"+KK","")&amp;IF(AB52&gt;0,"+KGP1","")&amp;IF(AC52&gt;0,"+KGP2","")&amp;IF(AG52&lt;0,"-KGP1","")&amp;IF(AH52&lt;0,"-KGP2",""))</f>
        <v/>
      </c>
    </row>
    <row r="53" spans="1:88" x14ac:dyDescent="0.25">
      <c r="A53" s="1">
        <f>IFERROR(IF(ROW(A52)=1,1,IF(1+A52&lt;=$CP$1*$CP$2,1+A52,"")),"")</f>
        <v>52</v>
      </c>
      <c r="B53" s="1">
        <f>IF($I53="","",IF(ROW(B52)=1,1,ROUNDUP(A53/$CP$2,0)))</f>
        <v>3</v>
      </c>
      <c r="C53" s="4">
        <f t="shared" si="7"/>
        <v>45599</v>
      </c>
      <c r="D53" s="4" t="str">
        <f t="shared" si="0"/>
        <v>Kupittaan keilahalli</v>
      </c>
      <c r="E53" s="1">
        <f>IF($B53="","",COUNTIF($B$2:B53,B53))</f>
        <v>16</v>
      </c>
      <c r="F53" s="1" t="str">
        <f t="shared" si="1"/>
        <v>K2024GP03</v>
      </c>
      <c r="G53" s="1" t="str">
        <f t="shared" si="8"/>
        <v>K2024GP03_16</v>
      </c>
      <c r="H53" s="1">
        <f t="shared" si="9"/>
        <v>1</v>
      </c>
      <c r="I53" s="3" t="s">
        <v>130</v>
      </c>
      <c r="J53" s="3"/>
      <c r="K53" s="3"/>
      <c r="L53" s="1">
        <f t="shared" si="10"/>
        <v>0</v>
      </c>
      <c r="M53" s="1">
        <f t="shared" si="11"/>
        <v>0</v>
      </c>
      <c r="N53" s="1" t="str">
        <f t="shared" si="12"/>
        <v/>
      </c>
      <c r="O53" s="1" t="str">
        <f t="shared" si="13"/>
        <v/>
      </c>
      <c r="P53" s="1" t="str">
        <f t="shared" si="14"/>
        <v/>
      </c>
      <c r="Q53" s="1">
        <f t="array" ref="Q53">IF($B53="","",IF(MAX(IF(B53=$B$2:$B$313,$L$2:$L$313))-L53=0,"",MAX(IF(B53=$B$2:$B$313,$L$2:$L$313))-L53))</f>
        <v>401</v>
      </c>
      <c r="R53" s="1">
        <f t="array" ref="R53">IF($B53="","",SUMPRODUCT(--($B$2:$B$313=B53),--(L53&lt;$L$2:$L$313))+1)</f>
        <v>12</v>
      </c>
      <c r="S53" s="1">
        <f t="shared" si="15"/>
        <v>0</v>
      </c>
      <c r="T53" s="1" t="str" cm="1">
        <f t="array" ref="T53">IF($B53="","",IF(M53=0,"",SUMPRODUCT(--($B$2:$B$313=B53),--(J53&lt;$J$2:$J$313))+1))</f>
        <v/>
      </c>
      <c r="U53" s="1" t="str">
        <f t="shared" si="16"/>
        <v/>
      </c>
      <c r="V53" s="1" t="str">
        <f t="shared" si="17"/>
        <v>0312</v>
      </c>
      <c r="W53" s="1">
        <f t="shared" si="18"/>
        <v>7</v>
      </c>
      <c r="X53" s="1">
        <f t="shared" si="2"/>
        <v>0</v>
      </c>
      <c r="Y53" s="1">
        <f>IF($B53="","",MAX(_xlfn.MAXIFS($J$2:J53,$I$2:I53,$I53),_xlfn.MAXIFS($K$2:K53,$I$2:I53,$I53)))</f>
        <v>187</v>
      </c>
      <c r="Z53" s="1">
        <f t="shared" si="3"/>
        <v>209</v>
      </c>
      <c r="AA53" s="1">
        <f t="shared" si="19"/>
        <v>0</v>
      </c>
      <c r="AB53" s="1">
        <f t="shared" si="20"/>
        <v>0</v>
      </c>
      <c r="AC53" s="1">
        <f t="shared" si="21"/>
        <v>0</v>
      </c>
      <c r="AD53" s="1">
        <f>IF($B53="","",MIN(_xlfn.MINIFS($J$2:J53,$I$2:I53,$I53),_xlfn.MINIFS($K$2:K53,$I$2:I53,$I53)))</f>
        <v>111</v>
      </c>
      <c r="AE53" s="1">
        <f t="shared" si="22"/>
        <v>92</v>
      </c>
      <c r="AF53" s="1">
        <f t="shared" si="23"/>
        <v>0</v>
      </c>
      <c r="AG53" s="1">
        <f t="shared" si="24"/>
        <v>0</v>
      </c>
      <c r="AH53" s="1">
        <f t="shared" si="25"/>
        <v>0</v>
      </c>
      <c r="AI53" s="1">
        <f ca="1">IF($B53="","",IF($K53="",0,OFFSET($CO$17,R53,W53)))</f>
        <v>0</v>
      </c>
      <c r="AJ53" s="1">
        <f t="shared" ca="1" si="26"/>
        <v>0</v>
      </c>
      <c r="AK53" s="1">
        <f ca="1">IF(AJ53="","",IF(AJ53=0,0,IF(W53=1,0,SUM(OFFSET($CO$17,N53,1):OFFSET($CO$17,N53+W53-2,1))/W53)))</f>
        <v>0</v>
      </c>
      <c r="AL53" s="1">
        <f t="shared" si="27"/>
        <v>0</v>
      </c>
      <c r="AM53" s="1">
        <f ca="1">IF($B53="","",SUMIFS($AL$2:AL53,$I$2:I53,$I53))</f>
        <v>18.5</v>
      </c>
      <c r="AN53" s="1">
        <f t="shared" si="28"/>
        <v>12.000052</v>
      </c>
      <c r="AO53" s="1">
        <f>IFERROR(IF($B53="","",AVERAGEIFS($L$2:L53,$I$2:I53,I53,$L$2:L53,"&lt;&gt;0")),0)</f>
        <v>287</v>
      </c>
      <c r="AP53" s="1">
        <f t="shared" si="29"/>
        <v>143.5</v>
      </c>
      <c r="AQ53" s="1">
        <f>IF($B53="","",COUNTIFS($R$2:R53,1,$I$2:I53,$I53))</f>
        <v>1</v>
      </c>
      <c r="AR53" s="1">
        <f t="array" aca="1" ref="AR53" ca="1">IF($B53="","",SUMPRODUCT(--($B$2:$B$313=B53),--(AM53&lt;$AM$2:$AM$313))+1)</f>
        <v>3</v>
      </c>
      <c r="AS53" s="1">
        <f t="array" ref="AS53">IF($B53="","",SUMPRODUCT(--($B$2:$B$313=B53),--(AP53&lt;$AP$2:$AP$313))+1)</f>
        <v>5</v>
      </c>
      <c r="AT53" s="1">
        <f t="array" ref="AT53">IF($B53="","",SUMPRODUCT(--($B$2:$B$313=B53),--(AQ53&lt;$AQ$2:$AQ$313))+1)</f>
        <v>1</v>
      </c>
      <c r="AU53" s="1">
        <f t="shared" si="30"/>
        <v>5.2000000000000002E-8</v>
      </c>
      <c r="AV53" s="1">
        <f t="shared" ca="1" si="31"/>
        <v>3.0501052000000001E-2</v>
      </c>
      <c r="AW53" s="1" t="str">
        <f t="shared" si="4"/>
        <v/>
      </c>
      <c r="AX53" s="1" t="str">
        <f t="shared" si="32"/>
        <v/>
      </c>
      <c r="AY53" s="8">
        <f t="shared" ca="1" si="33"/>
        <v>3.0501052000000001E-2</v>
      </c>
      <c r="AZ53" s="1" cm="1">
        <f t="array" aca="1" ref="AZ53" ca="1">IF($B53="","",SUMPRODUCT(--($B$2:$B$313=B53),--(AY53&gt;$AY$2:$AY$313))+1)</f>
        <v>3</v>
      </c>
      <c r="BA53" s="1" t="str">
        <f t="shared" si="34"/>
        <v>K2024GP03_16_1</v>
      </c>
      <c r="BB53" s="1" t="str">
        <f t="shared" si="35"/>
        <v>K2024GP03_16_2</v>
      </c>
      <c r="BC53" s="1">
        <f t="shared" si="36"/>
        <v>0</v>
      </c>
      <c r="BD53" s="1">
        <f t="shared" si="37"/>
        <v>0</v>
      </c>
      <c r="BE53" s="1">
        <f t="shared" si="38"/>
        <v>1</v>
      </c>
      <c r="BF53" s="1">
        <f t="shared" si="39"/>
        <v>0</v>
      </c>
      <c r="BG53" s="1">
        <f t="shared" si="40"/>
        <v>0</v>
      </c>
      <c r="BH53" s="1">
        <f t="shared" si="41"/>
        <v>12</v>
      </c>
      <c r="BI53" s="1">
        <f t="shared" si="42"/>
        <v>12</v>
      </c>
      <c r="BJ53" s="1">
        <f t="shared" si="43"/>
        <v>0.1212</v>
      </c>
      <c r="BK53" s="1" t="str">
        <f t="shared" si="44"/>
        <v/>
      </c>
      <c r="BL53" s="1">
        <f t="shared" si="45"/>
        <v>9.8999999999999994E-5</v>
      </c>
      <c r="BM53" s="1">
        <f t="shared" si="46"/>
        <v>0.1213043</v>
      </c>
      <c r="BN53" s="1" t="str">
        <f t="shared" si="47"/>
        <v/>
      </c>
      <c r="BO53" s="1">
        <f t="shared" si="5"/>
        <v>16</v>
      </c>
      <c r="BP53" s="1">
        <f t="shared" si="6"/>
        <v>0</v>
      </c>
      <c r="BQ53" s="1" t="str" cm="1">
        <f t="array" ref="BQ53">IF(I53="","",IF(BP53=1,"",IF(L53=0,"",IF(B53=1,"",_xlfn.XLOOKUP(1,($I$2:$I$313=$I53)*($B$2:$B$313=($B53-1)),$BO$2:$BO$313)))))</f>
        <v/>
      </c>
      <c r="BR53" s="1">
        <f>IF(I53="","",IF($B53=1,_xlfn.MINIFS($BO$2:$BO$313,$B$2:$B$313,$B53),_xlfn.MINIFS(BQ$2:$BQ$313,$B$2:$B$313,$B53)))</f>
        <v>1</v>
      </c>
      <c r="BS53" s="1">
        <f t="shared" si="48"/>
        <v>3</v>
      </c>
      <c r="BT53" s="1" t="str" cm="1">
        <f t="array" ref="BT53">IF($I53="","",IF($B53=1,_xlfn.XLOOKUP(1,($B$2:$B$313=$B53)*($BO$2:$BO$313=BR53),Data!$I$2:$I$313,,0),_xlfn.XLOOKUP(1,($B$2:$B$313=$B53)*($BQ$2:$BQ$313=$BR53),$I$2:$I$313,,0)))</f>
        <v>Sakari Leinonen</v>
      </c>
      <c r="BU53" s="1" t="str" cm="1">
        <f t="array" ref="BU53">IF(I53="","",IF($B53=1,_xlfn.XLOOKUP(1,($B$2:$B$313=$B53)*($BO$2:$BO$313=$BS53),$I$2:$I$313,,0),_xlfn.XLOOKUP(1,($B$2:$B$313=$B53)*($BQ$2:$BQ$313=$BS53),$I$2:$I$313,,0)))</f>
        <v>Ossi Oksa</v>
      </c>
      <c r="BV53" s="1" t="str" cm="1">
        <f t="array" ref="BV53">IF($I53="","",IF($B53=1,"",IF($B53=2,_xlfn.XLOOKUP(1,($B$2:$B$313=1)*($BO$2:$BO$313=1),$I$2:$I$313,,0),_xlfn.XLOOKUP($B53-1,$B$2:$B$313,$CH$2:$CH$313,,0))))</f>
        <v>Ossi Oksa</v>
      </c>
      <c r="BW53" s="1" t="str" cm="1">
        <f t="array" ref="BW53">IF($I53="","",IF($B53=1,"",IF(_xlfn.XLOOKUP(1,($B$2:$B$313=$B53)*($I$2:$I$313=$BV53),$BQ$2:$BQ$313,,0)="","NOK","OK")))</f>
        <v>OK</v>
      </c>
      <c r="BX53" s="1" t="str">
        <f t="shared" si="49"/>
        <v>Ossi Oksa</v>
      </c>
      <c r="BY53" s="1" t="str">
        <f t="shared" si="50"/>
        <v>Sakari Leinonen</v>
      </c>
      <c r="BZ53" s="1">
        <f t="shared" si="51"/>
        <v>209</v>
      </c>
      <c r="CA53" s="1">
        <f t="shared" si="52"/>
        <v>192</v>
      </c>
      <c r="CB53" s="1">
        <f t="shared" si="53"/>
        <v>9.8999999999999994E-5</v>
      </c>
      <c r="CC53" s="1">
        <f t="shared" si="54"/>
        <v>121</v>
      </c>
      <c r="CD53" s="1">
        <f t="shared" si="55"/>
        <v>105</v>
      </c>
      <c r="CE53" s="1">
        <f t="shared" si="56"/>
        <v>9.8999999999999994E-5</v>
      </c>
      <c r="CF53" s="1" t="str">
        <f t="shared" si="57"/>
        <v>Ossi Oksa (P)</v>
      </c>
      <c r="CG53" s="1" t="str">
        <f t="shared" si="58"/>
        <v>Sakari Leinonen (1)</v>
      </c>
      <c r="CH53" s="1" t="str">
        <f t="shared" si="59"/>
        <v>Ossi Oksa</v>
      </c>
      <c r="CI53" s="1">
        <f t="shared" si="60"/>
        <v>0</v>
      </c>
      <c r="CJ53" s="1" t="str">
        <f ca="1">IF(B53="","",IF(SUM(AI53:AK53)&gt;0,"+SP","")&amp;IF(CI53&gt;0,"+KK","")&amp;IF(AB53&gt;0,"+KGP1","")&amp;IF(AC53&gt;0,"+KGP2","")&amp;IF(AG53&lt;0,"-KGP1","")&amp;IF(AH53&lt;0,"-KGP2",""))</f>
        <v/>
      </c>
    </row>
    <row r="54" spans="1:88" x14ac:dyDescent="0.25">
      <c r="A54" s="1">
        <f>IFERROR(IF(ROW(A53)=1,1,IF(1+A53&lt;=$CP$1*$CP$2,1+A53,"")),"")</f>
        <v>53</v>
      </c>
      <c r="B54" s="1">
        <f>IF($I54="","",IF(ROW(B53)=1,1,ROUNDUP(A54/$CP$2,0)))</f>
        <v>3</v>
      </c>
      <c r="C54" s="4">
        <f t="shared" si="7"/>
        <v>45599</v>
      </c>
      <c r="D54" s="4" t="str">
        <f t="shared" si="0"/>
        <v>Kupittaan keilahalli</v>
      </c>
      <c r="E54" s="1">
        <f>IF($B54="","",COUNTIF($B$2:B54,B54))</f>
        <v>17</v>
      </c>
      <c r="F54" s="1" t="str">
        <f t="shared" si="1"/>
        <v>K2024GP03</v>
      </c>
      <c r="G54" s="1" t="str">
        <f t="shared" si="8"/>
        <v>K2024GP03_17</v>
      </c>
      <c r="H54" s="1">
        <f t="shared" si="9"/>
        <v>1</v>
      </c>
      <c r="I54" s="3" t="s">
        <v>117</v>
      </c>
      <c r="J54" s="3"/>
      <c r="K54" s="3"/>
      <c r="L54" s="1">
        <f t="shared" si="10"/>
        <v>0</v>
      </c>
      <c r="M54" s="1">
        <f t="shared" si="11"/>
        <v>0</v>
      </c>
      <c r="N54" s="1" t="str">
        <f t="shared" si="12"/>
        <v/>
      </c>
      <c r="O54" s="1" t="str">
        <f t="shared" si="13"/>
        <v/>
      </c>
      <c r="P54" s="1" t="str">
        <f t="shared" si="14"/>
        <v/>
      </c>
      <c r="Q54" s="1">
        <f t="array" ref="Q54">IF($B54="","",IF(MAX(IF(B54=$B$2:$B$313,$L$2:$L$313))-L54=0,"",MAX(IF(B54=$B$2:$B$313,$L$2:$L$313))-L54))</f>
        <v>401</v>
      </c>
      <c r="R54" s="1">
        <f t="array" ref="R54">IF($B54="","",SUMPRODUCT(--($B$2:$B$313=B54),--(L54&lt;$L$2:$L$313))+1)</f>
        <v>12</v>
      </c>
      <c r="S54" s="1">
        <f t="shared" si="15"/>
        <v>0</v>
      </c>
      <c r="T54" s="1" t="str" cm="1">
        <f t="array" ref="T54">IF($B54="","",IF(M54=0,"",SUMPRODUCT(--($B$2:$B$313=B54),--(J54&lt;$J$2:$J$313))+1))</f>
        <v/>
      </c>
      <c r="U54" s="1" t="str">
        <f t="shared" si="16"/>
        <v/>
      </c>
      <c r="V54" s="1" t="str">
        <f t="shared" si="17"/>
        <v>0312</v>
      </c>
      <c r="W54" s="1">
        <f t="shared" si="18"/>
        <v>7</v>
      </c>
      <c r="X54" s="1">
        <f t="shared" si="2"/>
        <v>0</v>
      </c>
      <c r="Y54" s="1">
        <f>IF($B54="","",MAX(_xlfn.MAXIFS($J$2:J54,$I$2:I54,$I54),_xlfn.MAXIFS($K$2:K54,$I$2:I54,$I54)))</f>
        <v>176</v>
      </c>
      <c r="Z54" s="1">
        <f t="shared" si="3"/>
        <v>209</v>
      </c>
      <c r="AA54" s="1">
        <f t="shared" si="19"/>
        <v>0</v>
      </c>
      <c r="AB54" s="1">
        <f t="shared" si="20"/>
        <v>0</v>
      </c>
      <c r="AC54" s="1">
        <f t="shared" si="21"/>
        <v>0</v>
      </c>
      <c r="AD54" s="1">
        <f>IF($B54="","",MIN(_xlfn.MINIFS($J$2:J54,$I$2:I54,$I54),_xlfn.MINIFS($K$2:K54,$I$2:I54,$I54)))</f>
        <v>131</v>
      </c>
      <c r="AE54" s="1">
        <f t="shared" si="22"/>
        <v>92</v>
      </c>
      <c r="AF54" s="1">
        <f t="shared" si="23"/>
        <v>0</v>
      </c>
      <c r="AG54" s="1">
        <f t="shared" si="24"/>
        <v>0</v>
      </c>
      <c r="AH54" s="1">
        <f t="shared" si="25"/>
        <v>0</v>
      </c>
      <c r="AI54" s="1">
        <f ca="1">IF($B54="","",IF($K54="",0,OFFSET($CO$17,R54,W54)))</f>
        <v>0</v>
      </c>
      <c r="AJ54" s="1">
        <f t="shared" ca="1" si="26"/>
        <v>0</v>
      </c>
      <c r="AK54" s="1">
        <f ca="1">IF(AJ54="","",IF(AJ54=0,0,IF(W54=1,0,SUM(OFFSET($CO$17,N54,1):OFFSET($CO$17,N54+W54-2,1))/W54)))</f>
        <v>0</v>
      </c>
      <c r="AL54" s="1">
        <f t="shared" si="27"/>
        <v>0</v>
      </c>
      <c r="AM54" s="1">
        <f ca="1">IF($B54="","",SUMIFS($AL$2:AL54,$I$2:I54,$I54))</f>
        <v>4</v>
      </c>
      <c r="AN54" s="1">
        <f t="shared" si="28"/>
        <v>12.000052999999999</v>
      </c>
      <c r="AO54" s="1">
        <f>IFERROR(IF($B54="","",AVERAGEIFS($L$2:L54,$I$2:I54,I54,$L$2:L54,"&lt;&gt;0")),0)</f>
        <v>307</v>
      </c>
      <c r="AP54" s="1">
        <f t="shared" si="29"/>
        <v>153.5</v>
      </c>
      <c r="AQ54" s="1">
        <f>IF($B54="","",COUNTIFS($R$2:R54,1,$I$2:I54,$I54))</f>
        <v>0</v>
      </c>
      <c r="AR54" s="1">
        <f t="array" aca="1" ref="AR54" ca="1">IF($B54="","",SUMPRODUCT(--($B$2:$B$313=B54),--(AM54&lt;$AM$2:$AM$313))+1)</f>
        <v>12</v>
      </c>
      <c r="AS54" s="1">
        <f t="array" ref="AS54">IF($B54="","",SUMPRODUCT(--($B$2:$B$313=B54),--(AP54&lt;$AP$2:$AP$313))+1)</f>
        <v>3</v>
      </c>
      <c r="AT54" s="1">
        <f t="array" ref="AT54">IF($B54="","",SUMPRODUCT(--($B$2:$B$313=B54),--(AQ54&lt;$AQ$2:$AQ$313))+1)</f>
        <v>5</v>
      </c>
      <c r="AU54" s="1">
        <f t="shared" si="30"/>
        <v>5.2999999999999998E-8</v>
      </c>
      <c r="AV54" s="1">
        <f t="shared" ca="1" si="31"/>
        <v>0.120305053</v>
      </c>
      <c r="AW54" s="1" t="str">
        <f t="shared" si="4"/>
        <v/>
      </c>
      <c r="AX54" s="1" t="str">
        <f t="shared" si="32"/>
        <v/>
      </c>
      <c r="AY54" s="8">
        <f t="shared" ca="1" si="33"/>
        <v>0.120305053</v>
      </c>
      <c r="AZ54" s="1" cm="1">
        <f t="array" aca="1" ref="AZ54" ca="1">IF($B54="","",SUMPRODUCT(--($B$2:$B$313=B54),--(AY54&gt;$AY$2:$AY$313))+1)</f>
        <v>12</v>
      </c>
      <c r="BA54" s="1" t="str">
        <f t="shared" si="34"/>
        <v>K2024GP03_17_1</v>
      </c>
      <c r="BB54" s="1" t="str">
        <f t="shared" si="35"/>
        <v>K2024GP03_17_2</v>
      </c>
      <c r="BC54" s="1">
        <f t="shared" si="36"/>
        <v>0</v>
      </c>
      <c r="BD54" s="1">
        <f t="shared" si="37"/>
        <v>0</v>
      </c>
      <c r="BE54" s="1">
        <f t="shared" si="38"/>
        <v>1</v>
      </c>
      <c r="BF54" s="1">
        <f t="shared" si="39"/>
        <v>0</v>
      </c>
      <c r="BG54" s="1">
        <f t="shared" si="40"/>
        <v>0</v>
      </c>
      <c r="BH54" s="1">
        <f t="shared" si="41"/>
        <v>12</v>
      </c>
      <c r="BI54" s="1">
        <f t="shared" si="42"/>
        <v>12</v>
      </c>
      <c r="BJ54" s="1">
        <f t="shared" si="43"/>
        <v>0.1212</v>
      </c>
      <c r="BK54" s="1" t="str">
        <f t="shared" si="44"/>
        <v/>
      </c>
      <c r="BL54" s="1">
        <f t="shared" si="45"/>
        <v>9.8999999999999994E-5</v>
      </c>
      <c r="BM54" s="1">
        <f t="shared" si="46"/>
        <v>0.12130440000000001</v>
      </c>
      <c r="BN54" s="1" t="str">
        <f t="shared" si="47"/>
        <v/>
      </c>
      <c r="BO54" s="1">
        <f t="shared" si="5"/>
        <v>17</v>
      </c>
      <c r="BP54" s="1">
        <f t="shared" si="6"/>
        <v>0</v>
      </c>
      <c r="BQ54" s="1" t="str" cm="1">
        <f t="array" ref="BQ54">IF(I54="","",IF(BP54=1,"",IF(L54=0,"",IF(B54=1,"",_xlfn.XLOOKUP(1,($I$2:$I$313=$I54)*($B$2:$B$313=($B54-1)),$BO$2:$BO$313)))))</f>
        <v/>
      </c>
      <c r="BR54" s="1">
        <f>IF(I54="","",IF($B54=1,_xlfn.MINIFS($BO$2:$BO$313,$B$2:$B$313,$B54),_xlfn.MINIFS(BQ$2:$BQ$313,$B$2:$B$313,$B54)))</f>
        <v>1</v>
      </c>
      <c r="BS54" s="1">
        <f t="shared" si="48"/>
        <v>3</v>
      </c>
      <c r="BT54" s="1" t="str" cm="1">
        <f t="array" ref="BT54">IF($I54="","",IF($B54=1,_xlfn.XLOOKUP(1,($B$2:$B$313=$B54)*($BO$2:$BO$313=BR54),Data!$I$2:$I$313,,0),_xlfn.XLOOKUP(1,($B$2:$B$313=$B54)*($BQ$2:$BQ$313=$BR54),$I$2:$I$313,,0)))</f>
        <v>Sakari Leinonen</v>
      </c>
      <c r="BU54" s="1" t="str" cm="1">
        <f t="array" ref="BU54">IF(I54="","",IF($B54=1,_xlfn.XLOOKUP(1,($B$2:$B$313=$B54)*($BO$2:$BO$313=$BS54),$I$2:$I$313,,0),_xlfn.XLOOKUP(1,($B$2:$B$313=$B54)*($BQ$2:$BQ$313=$BS54),$I$2:$I$313,,0)))</f>
        <v>Ossi Oksa</v>
      </c>
      <c r="BV54" s="1" t="str" cm="1">
        <f t="array" ref="BV54">IF($I54="","",IF($B54=1,"",IF($B54=2,_xlfn.XLOOKUP(1,($B$2:$B$313=1)*($BO$2:$BO$313=1),$I$2:$I$313,,0),_xlfn.XLOOKUP($B54-1,$B$2:$B$313,$CH$2:$CH$313,,0))))</f>
        <v>Ossi Oksa</v>
      </c>
      <c r="BW54" s="1" t="str" cm="1">
        <f t="array" ref="BW54">IF($I54="","",IF($B54=1,"",IF(_xlfn.XLOOKUP(1,($B$2:$B$313=$B54)*($I$2:$I$313=$BV54),$BQ$2:$BQ$313,,0)="","NOK","OK")))</f>
        <v>OK</v>
      </c>
      <c r="BX54" s="1" t="str">
        <f t="shared" si="49"/>
        <v>Ossi Oksa</v>
      </c>
      <c r="BY54" s="1" t="str">
        <f t="shared" si="50"/>
        <v>Sakari Leinonen</v>
      </c>
      <c r="BZ54" s="1">
        <f t="shared" si="51"/>
        <v>209</v>
      </c>
      <c r="CA54" s="1">
        <f t="shared" si="52"/>
        <v>192</v>
      </c>
      <c r="CB54" s="1">
        <f t="shared" si="53"/>
        <v>9.8999999999999994E-5</v>
      </c>
      <c r="CC54" s="1">
        <f t="shared" si="54"/>
        <v>121</v>
      </c>
      <c r="CD54" s="1">
        <f t="shared" si="55"/>
        <v>105</v>
      </c>
      <c r="CE54" s="1">
        <f t="shared" si="56"/>
        <v>9.8999999999999994E-5</v>
      </c>
      <c r="CF54" s="1" t="str">
        <f t="shared" si="57"/>
        <v>Ossi Oksa (P)</v>
      </c>
      <c r="CG54" s="1" t="str">
        <f t="shared" si="58"/>
        <v>Sakari Leinonen (1)</v>
      </c>
      <c r="CH54" s="1" t="str">
        <f t="shared" si="59"/>
        <v>Ossi Oksa</v>
      </c>
      <c r="CI54" s="1">
        <f t="shared" si="60"/>
        <v>0</v>
      </c>
      <c r="CJ54" s="1" t="str">
        <f ca="1">IF(B54="","",IF(SUM(AI54:AK54)&gt;0,"+SP","")&amp;IF(CI54&gt;0,"+KK","")&amp;IF(AB54&gt;0,"+KGP1","")&amp;IF(AC54&gt;0,"+KGP2","")&amp;IF(AG54&lt;0,"-KGP1","")&amp;IF(AH54&lt;0,"-KGP2",""))</f>
        <v/>
      </c>
    </row>
    <row r="55" spans="1:88" x14ac:dyDescent="0.25">
      <c r="A55" s="1">
        <f>IFERROR(IF(ROW(A54)=1,1,IF(1+A54&lt;=$CP$1*$CP$2,1+A54,"")),"")</f>
        <v>54</v>
      </c>
      <c r="B55" s="1">
        <f>IF($I55="","",IF(ROW(B54)=1,1,ROUNDUP(A55/$CP$2,0)))</f>
        <v>3</v>
      </c>
      <c r="C55" s="4">
        <f t="shared" si="7"/>
        <v>45599</v>
      </c>
      <c r="D55" s="4" t="str">
        <f t="shared" si="0"/>
        <v>Kupittaan keilahalli</v>
      </c>
      <c r="E55" s="1">
        <f>IF($B55="","",COUNTIF($B$2:B55,B55))</f>
        <v>18</v>
      </c>
      <c r="F55" s="1" t="str">
        <f t="shared" si="1"/>
        <v>K2024GP03</v>
      </c>
      <c r="G55" s="1" t="str">
        <f t="shared" si="8"/>
        <v>K2024GP03_18</v>
      </c>
      <c r="H55" s="1">
        <f t="shared" si="9"/>
        <v>1</v>
      </c>
      <c r="I55" s="3" t="s">
        <v>132</v>
      </c>
      <c r="J55" s="3"/>
      <c r="K55" s="3"/>
      <c r="L55" s="1">
        <f t="shared" si="10"/>
        <v>0</v>
      </c>
      <c r="M55" s="1">
        <f t="shared" si="11"/>
        <v>0</v>
      </c>
      <c r="N55" s="1" t="str">
        <f t="shared" si="12"/>
        <v/>
      </c>
      <c r="O55" s="1" t="str">
        <f t="shared" si="13"/>
        <v/>
      </c>
      <c r="P55" s="1" t="str">
        <f t="shared" si="14"/>
        <v/>
      </c>
      <c r="Q55" s="1">
        <f t="array" ref="Q55">IF($B55="","",IF(MAX(IF(B55=$B$2:$B$313,$L$2:$L$313))-L55=0,"",MAX(IF(B55=$B$2:$B$313,$L$2:$L$313))-L55))</f>
        <v>401</v>
      </c>
      <c r="R55" s="1">
        <f t="array" ref="R55">IF($B55="","",SUMPRODUCT(--($B$2:$B$313=B55),--(L55&lt;$L$2:$L$313))+1)</f>
        <v>12</v>
      </c>
      <c r="S55" s="1">
        <f t="shared" si="15"/>
        <v>0</v>
      </c>
      <c r="T55" s="1" t="str" cm="1">
        <f t="array" ref="T55">IF($B55="","",IF(M55=0,"",SUMPRODUCT(--($B$2:$B$313=B55),--(J55&lt;$J$2:$J$313))+1))</f>
        <v/>
      </c>
      <c r="U55" s="1" t="str">
        <f t="shared" si="16"/>
        <v/>
      </c>
      <c r="V55" s="1" t="str">
        <f t="shared" si="17"/>
        <v>0312</v>
      </c>
      <c r="W55" s="1">
        <f t="shared" si="18"/>
        <v>7</v>
      </c>
      <c r="X55" s="1">
        <f t="shared" si="2"/>
        <v>0</v>
      </c>
      <c r="Y55" s="1">
        <f>IF($B55="","",MAX(_xlfn.MAXIFS($J$2:J55,$I$2:I55,$I55),_xlfn.MAXIFS($K$2:K55,$I$2:I55,$I55)))</f>
        <v>131</v>
      </c>
      <c r="Z55" s="1">
        <f t="shared" si="3"/>
        <v>209</v>
      </c>
      <c r="AA55" s="1">
        <f t="shared" si="19"/>
        <v>0</v>
      </c>
      <c r="AB55" s="1">
        <f t="shared" si="20"/>
        <v>0</v>
      </c>
      <c r="AC55" s="1">
        <f t="shared" si="21"/>
        <v>0</v>
      </c>
      <c r="AD55" s="1">
        <f>IF($B55="","",MIN(_xlfn.MINIFS($J$2:J55,$I$2:I55,$I55),_xlfn.MINIFS($K$2:K55,$I$2:I55,$I55)))</f>
        <v>73</v>
      </c>
      <c r="AE55" s="1">
        <f t="shared" si="22"/>
        <v>92</v>
      </c>
      <c r="AF55" s="1">
        <f t="shared" si="23"/>
        <v>0</v>
      </c>
      <c r="AG55" s="1">
        <f t="shared" si="24"/>
        <v>0</v>
      </c>
      <c r="AH55" s="1">
        <f t="shared" si="25"/>
        <v>0</v>
      </c>
      <c r="AI55" s="1">
        <f ca="1">IF($B55="","",IF($K55="",0,OFFSET($CO$17,R55,W55)))</f>
        <v>0</v>
      </c>
      <c r="AJ55" s="1">
        <f t="shared" ca="1" si="26"/>
        <v>0</v>
      </c>
      <c r="AK55" s="1">
        <f ca="1">IF(AJ55="","",IF(AJ55=0,0,IF(W55=1,0,SUM(OFFSET($CO$17,N55,1):OFFSET($CO$17,N55+W55-2,1))/W55)))</f>
        <v>0</v>
      </c>
      <c r="AL55" s="1">
        <f t="shared" si="27"/>
        <v>0</v>
      </c>
      <c r="AM55" s="1">
        <f ca="1">IF($B55="","",SUMIFS($AL$2:AL55,$I$2:I55,$I55))</f>
        <v>4</v>
      </c>
      <c r="AN55" s="1">
        <f t="shared" si="28"/>
        <v>12.000054</v>
      </c>
      <c r="AO55" s="1">
        <f>IFERROR(IF($B55="","",AVERAGEIFS($L$2:L55,$I$2:I55,I55,$L$2:L55,"&lt;&gt;0")),0)</f>
        <v>204</v>
      </c>
      <c r="AP55" s="1">
        <f t="shared" si="29"/>
        <v>102</v>
      </c>
      <c r="AQ55" s="1">
        <f>IF($B55="","",COUNTIFS($R$2:R55,1,$I$2:I55,$I55))</f>
        <v>0</v>
      </c>
      <c r="AR55" s="1">
        <f t="array" aca="1" ref="AR55" ca="1">IF($B55="","",SUMPRODUCT(--($B$2:$B$313=B55),--(AM55&lt;$AM$2:$AM$313))+1)</f>
        <v>12</v>
      </c>
      <c r="AS55" s="1">
        <f t="array" ref="AS55">IF($B55="","",SUMPRODUCT(--($B$2:$B$313=B55),--(AP55&lt;$AP$2:$AP$313))+1)</f>
        <v>18</v>
      </c>
      <c r="AT55" s="1">
        <f t="array" ref="AT55">IF($B55="","",SUMPRODUCT(--($B$2:$B$313=B55),--(AQ55&lt;$AQ$2:$AQ$313))+1)</f>
        <v>5</v>
      </c>
      <c r="AU55" s="1">
        <f t="shared" si="30"/>
        <v>5.4E-8</v>
      </c>
      <c r="AV55" s="1">
        <f t="shared" ca="1" si="31"/>
        <v>0.121805054</v>
      </c>
      <c r="AW55" s="1" t="str">
        <f t="shared" si="4"/>
        <v/>
      </c>
      <c r="AX55" s="1" t="str">
        <f t="shared" si="32"/>
        <v/>
      </c>
      <c r="AY55" s="8">
        <f t="shared" ca="1" si="33"/>
        <v>0.121805054</v>
      </c>
      <c r="AZ55" s="1" cm="1">
        <f t="array" aca="1" ref="AZ55" ca="1">IF($B55="","",SUMPRODUCT(--($B$2:$B$313=B55),--(AY55&gt;$AY$2:$AY$313))+1)</f>
        <v>14</v>
      </c>
      <c r="BA55" s="1" t="str">
        <f t="shared" si="34"/>
        <v>K2024GP03_18_1</v>
      </c>
      <c r="BB55" s="1" t="str">
        <f t="shared" si="35"/>
        <v>K2024GP03_18_2</v>
      </c>
      <c r="BC55" s="1">
        <f t="shared" si="36"/>
        <v>0</v>
      </c>
      <c r="BD55" s="1">
        <f t="shared" si="37"/>
        <v>0</v>
      </c>
      <c r="BE55" s="1">
        <f t="shared" si="38"/>
        <v>1</v>
      </c>
      <c r="BF55" s="1">
        <f t="shared" si="39"/>
        <v>0</v>
      </c>
      <c r="BG55" s="1">
        <f t="shared" si="40"/>
        <v>0</v>
      </c>
      <c r="BH55" s="1">
        <f t="shared" si="41"/>
        <v>12</v>
      </c>
      <c r="BI55" s="1">
        <f t="shared" si="42"/>
        <v>12</v>
      </c>
      <c r="BJ55" s="1">
        <f t="shared" si="43"/>
        <v>0.1212</v>
      </c>
      <c r="BK55" s="1" t="str">
        <f t="shared" si="44"/>
        <v/>
      </c>
      <c r="BL55" s="1">
        <f t="shared" si="45"/>
        <v>9.8999999999999994E-5</v>
      </c>
      <c r="BM55" s="1">
        <f t="shared" si="46"/>
        <v>0.12130450000000001</v>
      </c>
      <c r="BN55" s="1" t="str">
        <f t="shared" si="47"/>
        <v/>
      </c>
      <c r="BO55" s="1">
        <f t="shared" si="5"/>
        <v>18</v>
      </c>
      <c r="BP55" s="1">
        <f t="shared" si="6"/>
        <v>0</v>
      </c>
      <c r="BQ55" s="1" t="str" cm="1">
        <f t="array" ref="BQ55">IF(I55="","",IF(BP55=1,"",IF(L55=0,"",IF(B55=1,"",_xlfn.XLOOKUP(1,($I$2:$I$313=$I55)*($B$2:$B$313=($B55-1)),$BO$2:$BO$313)))))</f>
        <v/>
      </c>
      <c r="BR55" s="1">
        <f>IF(I55="","",IF($B55=1,_xlfn.MINIFS($BO$2:$BO$313,$B$2:$B$313,$B55),_xlfn.MINIFS(BQ$2:$BQ$313,$B$2:$B$313,$B55)))</f>
        <v>1</v>
      </c>
      <c r="BS55" s="1">
        <f t="shared" si="48"/>
        <v>3</v>
      </c>
      <c r="BT55" s="1" t="str" cm="1">
        <f t="array" ref="BT55">IF($I55="","",IF($B55=1,_xlfn.XLOOKUP(1,($B$2:$B$313=$B55)*($BO$2:$BO$313=BR55),Data!$I$2:$I$313,,0),_xlfn.XLOOKUP(1,($B$2:$B$313=$B55)*($BQ$2:$BQ$313=$BR55),$I$2:$I$313,,0)))</f>
        <v>Sakari Leinonen</v>
      </c>
      <c r="BU55" s="1" t="str" cm="1">
        <f t="array" ref="BU55">IF(I55="","",IF($B55=1,_xlfn.XLOOKUP(1,($B$2:$B$313=$B55)*($BO$2:$BO$313=$BS55),$I$2:$I$313,,0),_xlfn.XLOOKUP(1,($B$2:$B$313=$B55)*($BQ$2:$BQ$313=$BS55),$I$2:$I$313,,0)))</f>
        <v>Ossi Oksa</v>
      </c>
      <c r="BV55" s="1" t="str" cm="1">
        <f t="array" ref="BV55">IF($I55="","",IF($B55=1,"",IF($B55=2,_xlfn.XLOOKUP(1,($B$2:$B$313=1)*($BO$2:$BO$313=1),$I$2:$I$313,,0),_xlfn.XLOOKUP($B55-1,$B$2:$B$313,$CH$2:$CH$313,,0))))</f>
        <v>Ossi Oksa</v>
      </c>
      <c r="BW55" s="1" t="str" cm="1">
        <f t="array" ref="BW55">IF($I55="","",IF($B55=1,"",IF(_xlfn.XLOOKUP(1,($B$2:$B$313=$B55)*($I$2:$I$313=$BV55),$BQ$2:$BQ$313,,0)="","NOK","OK")))</f>
        <v>OK</v>
      </c>
      <c r="BX55" s="1" t="str">
        <f t="shared" si="49"/>
        <v>Ossi Oksa</v>
      </c>
      <c r="BY55" s="1" t="str">
        <f t="shared" si="50"/>
        <v>Sakari Leinonen</v>
      </c>
      <c r="BZ55" s="1">
        <f t="shared" si="51"/>
        <v>209</v>
      </c>
      <c r="CA55" s="1">
        <f t="shared" si="52"/>
        <v>192</v>
      </c>
      <c r="CB55" s="1">
        <f t="shared" si="53"/>
        <v>9.8999999999999994E-5</v>
      </c>
      <c r="CC55" s="1">
        <f t="shared" si="54"/>
        <v>121</v>
      </c>
      <c r="CD55" s="1">
        <f t="shared" si="55"/>
        <v>105</v>
      </c>
      <c r="CE55" s="1">
        <f t="shared" si="56"/>
        <v>9.8999999999999994E-5</v>
      </c>
      <c r="CF55" s="1" t="str">
        <f t="shared" si="57"/>
        <v>Ossi Oksa (P)</v>
      </c>
      <c r="CG55" s="1" t="str">
        <f t="shared" si="58"/>
        <v>Sakari Leinonen (1)</v>
      </c>
      <c r="CH55" s="1" t="str">
        <f t="shared" si="59"/>
        <v>Ossi Oksa</v>
      </c>
      <c r="CI55" s="1">
        <f t="shared" si="60"/>
        <v>0</v>
      </c>
      <c r="CJ55" s="1" t="str">
        <f ca="1">IF(B55="","",IF(SUM(AI55:AK55)&gt;0,"+SP","")&amp;IF(CI55&gt;0,"+KK","")&amp;IF(AB55&gt;0,"+KGP1","")&amp;IF(AC55&gt;0,"+KGP2","")&amp;IF(AG55&lt;0,"-KGP1","")&amp;IF(AH55&lt;0,"-KGP2",""))</f>
        <v/>
      </c>
    </row>
    <row r="56" spans="1:88" x14ac:dyDescent="0.25">
      <c r="A56" s="1">
        <f>IFERROR(IF(ROW(A55)=1,1,IF(1+A55&lt;=$CP$1*$CP$2,1+A55,"")),"")</f>
        <v>55</v>
      </c>
      <c r="B56" s="1">
        <f>IF($I56="","",IF(ROW(B55)=1,1,ROUNDUP(A56/$CP$2,0)))</f>
        <v>4</v>
      </c>
      <c r="C56" s="4">
        <f t="shared" si="7"/>
        <v>45620</v>
      </c>
      <c r="D56" s="4" t="str">
        <f t="shared" si="0"/>
        <v>Kupittaan keilahalli</v>
      </c>
      <c r="E56" s="1">
        <f>IF($B56="","",COUNTIF($B$2:B56,B56))</f>
        <v>1</v>
      </c>
      <c r="F56" s="1" t="str">
        <f t="shared" si="1"/>
        <v>K2024GP04</v>
      </c>
      <c r="G56" s="1" t="str">
        <f t="shared" si="8"/>
        <v>K2024GP04_1</v>
      </c>
      <c r="H56" s="1">
        <f t="shared" si="9"/>
        <v>1</v>
      </c>
      <c r="I56" s="3" t="s">
        <v>138</v>
      </c>
      <c r="J56" s="3">
        <v>178</v>
      </c>
      <c r="K56" s="3">
        <v>155</v>
      </c>
      <c r="L56" s="1">
        <f t="shared" si="10"/>
        <v>333</v>
      </c>
      <c r="M56" s="1">
        <f t="shared" si="11"/>
        <v>1</v>
      </c>
      <c r="N56" s="1">
        <f t="shared" si="12"/>
        <v>2</v>
      </c>
      <c r="O56" s="1">
        <f t="shared" si="13"/>
        <v>333</v>
      </c>
      <c r="P56" s="1">
        <f t="shared" si="14"/>
        <v>53</v>
      </c>
      <c r="Q56" s="1">
        <f t="array" ref="Q56">IF($B56="","",IF(MAX(IF(B56=$B$2:$B$313,$L$2:$L$313))-L56=0,"",MAX(IF(B56=$B$2:$B$313,$L$2:$L$313))-L56))</f>
        <v>53</v>
      </c>
      <c r="R56" s="1">
        <f t="array" ref="R56">IF($B56="","",SUMPRODUCT(--($B$2:$B$313=B56),--(L56&lt;$L$2:$L$313))+1)</f>
        <v>2</v>
      </c>
      <c r="S56" s="1">
        <f t="shared" si="15"/>
        <v>2</v>
      </c>
      <c r="T56" s="1" cm="1">
        <f t="array" ref="T56">IF($B56="","",IF(M56=0,"",SUMPRODUCT(--($B$2:$B$313=B56),--(J56&lt;$J$2:$J$313))+1))</f>
        <v>2</v>
      </c>
      <c r="U56" s="1">
        <f t="shared" si="16"/>
        <v>0</v>
      </c>
      <c r="V56" s="1" t="str">
        <f t="shared" si="17"/>
        <v>0402</v>
      </c>
      <c r="W56" s="1">
        <f t="shared" si="18"/>
        <v>1</v>
      </c>
      <c r="X56" s="1">
        <f t="shared" si="2"/>
        <v>0</v>
      </c>
      <c r="Y56" s="1">
        <f>IF($B56="","",MAX(_xlfn.MAXIFS($J$2:J56,$I$2:I56,$I56),_xlfn.MAXIFS($K$2:K56,$I$2:I56,$I56)))</f>
        <v>178</v>
      </c>
      <c r="Z56" s="1">
        <f t="shared" si="3"/>
        <v>196</v>
      </c>
      <c r="AA56" s="1">
        <f t="shared" si="19"/>
        <v>0</v>
      </c>
      <c r="AB56" s="1">
        <f t="shared" si="20"/>
        <v>0</v>
      </c>
      <c r="AC56" s="1">
        <f t="shared" si="21"/>
        <v>0</v>
      </c>
      <c r="AD56" s="1">
        <f>IF($B56="","",MIN(_xlfn.MINIFS($J$2:J56,$I$2:I56,$I56),_xlfn.MINIFS($K$2:K56,$I$2:I56,$I56)))</f>
        <v>87</v>
      </c>
      <c r="AE56" s="1">
        <f t="shared" si="22"/>
        <v>72</v>
      </c>
      <c r="AF56" s="1">
        <f t="shared" si="23"/>
        <v>0</v>
      </c>
      <c r="AG56" s="1">
        <f t="shared" si="24"/>
        <v>0</v>
      </c>
      <c r="AH56" s="1">
        <f t="shared" si="25"/>
        <v>0</v>
      </c>
      <c r="AI56" s="1">
        <f ca="1">IF($B56="","",IF($K56="",0,OFFSET($CO$17,R56,W56)))</f>
        <v>10</v>
      </c>
      <c r="AJ56" s="1">
        <f t="shared" ca="1" si="26"/>
        <v>0</v>
      </c>
      <c r="AK56" s="1">
        <f ca="1">IF(AJ56="","",IF(AJ56=0,0,IF(W56=1,0,SUM(OFFSET($CO$17,N56,1):OFFSET($CO$17,N56+W56-2,1))/W56)))</f>
        <v>0</v>
      </c>
      <c r="AL56" s="1">
        <f t="shared" ca="1" si="27"/>
        <v>10</v>
      </c>
      <c r="AM56" s="1">
        <f ca="1">IF($B56="","",SUMIFS($AL$2:AL56,$I$2:I56,$I56))</f>
        <v>19</v>
      </c>
      <c r="AN56" s="1">
        <f t="shared" si="28"/>
        <v>2.0000550000000001</v>
      </c>
      <c r="AO56" s="1">
        <f>IFERROR(IF($B56="","",AVERAGEIFS($L$2:L56,$I$2:I56,I56,$L$2:L56,"&lt;&gt;0")),0)</f>
        <v>269.66666666666669</v>
      </c>
      <c r="AP56" s="1">
        <f t="shared" si="29"/>
        <v>134.83333333333334</v>
      </c>
      <c r="AQ56" s="1">
        <f>IF($B56="","",COUNTIFS($R$2:R56,1,$I$2:I56,$I56))</f>
        <v>0</v>
      </c>
      <c r="AR56" s="1">
        <f t="array" aca="1" ref="AR56" ca="1">IF($B56="","",SUMPRODUCT(--($B$2:$B$313=B56),--(AM56&lt;$AM$2:$AM$313))+1)</f>
        <v>6</v>
      </c>
      <c r="AS56" s="1">
        <f t="array" ref="AS56">IF($B56="","",SUMPRODUCT(--($B$2:$B$313=B56),--(AP56&lt;$AP$2:$AP$313))+1)</f>
        <v>8</v>
      </c>
      <c r="AT56" s="1">
        <f t="array" ref="AT56">IF($B56="","",SUMPRODUCT(--($B$2:$B$313=B56),--(AQ56&lt;$AQ$2:$AQ$313))+1)</f>
        <v>6</v>
      </c>
      <c r="AU56" s="1">
        <f t="shared" si="30"/>
        <v>5.5000000000000003E-8</v>
      </c>
      <c r="AV56" s="1">
        <f t="shared" ca="1" si="31"/>
        <v>6.0806054999999998E-2</v>
      </c>
      <c r="AW56" s="1" t="str">
        <f t="shared" si="4"/>
        <v/>
      </c>
      <c r="AX56" s="1" t="str">
        <f t="shared" si="32"/>
        <v/>
      </c>
      <c r="AY56" s="8">
        <f t="shared" ca="1" si="33"/>
        <v>6.0806054999999998E-2</v>
      </c>
      <c r="AZ56" s="1" cm="1">
        <f t="array" aca="1" ref="AZ56" ca="1">IF($B56="","",SUMPRODUCT(--($B$2:$B$313=B56),--(AY56&gt;$AY$2:$AY$313))+1)</f>
        <v>6</v>
      </c>
      <c r="BA56" s="1" t="str">
        <f t="shared" si="34"/>
        <v>K2024GP04_1_1</v>
      </c>
      <c r="BB56" s="1" t="str">
        <f t="shared" si="35"/>
        <v>K2024GP04_1_2</v>
      </c>
      <c r="BC56" s="1">
        <f t="shared" si="36"/>
        <v>0</v>
      </c>
      <c r="BD56" s="1">
        <f t="shared" si="37"/>
        <v>1</v>
      </c>
      <c r="BE56" s="1">
        <f t="shared" si="38"/>
        <v>1</v>
      </c>
      <c r="BF56" s="1">
        <f t="shared" si="39"/>
        <v>178</v>
      </c>
      <c r="BG56" s="1">
        <f t="shared" si="40"/>
        <v>155</v>
      </c>
      <c r="BH56" s="1">
        <f t="shared" si="41"/>
        <v>2</v>
      </c>
      <c r="BI56" s="1">
        <f t="shared" si="42"/>
        <v>2</v>
      </c>
      <c r="BJ56" s="1">
        <f t="shared" si="43"/>
        <v>2.0199999999999999E-2</v>
      </c>
      <c r="BK56" s="1">
        <f t="shared" si="44"/>
        <v>0</v>
      </c>
      <c r="BL56" s="1">
        <f t="shared" si="45"/>
        <v>9.8999999999999994E-5</v>
      </c>
      <c r="BM56" s="1">
        <f t="shared" si="46"/>
        <v>2.0298999999999998E-2</v>
      </c>
      <c r="BN56" s="1">
        <f t="shared" si="47"/>
        <v>0</v>
      </c>
      <c r="BO56" s="1">
        <f t="shared" si="5"/>
        <v>2</v>
      </c>
      <c r="BP56" s="1">
        <f t="shared" si="6"/>
        <v>0</v>
      </c>
      <c r="BQ56" s="1" cm="1">
        <f t="array" ref="BQ56">IF(I56="","",IF(BP56=1,"",IF(L56=0,"",IF(B56=1,"",_xlfn.XLOOKUP(1,($I$2:$I$313=$I56)*($B$2:$B$313=($B56-1)),$BO$2:$BO$313)))))</f>
        <v>5</v>
      </c>
      <c r="BR56" s="1">
        <f>IF(I56="","",IF($B56=1,_xlfn.MINIFS($BO$2:$BO$313,$B$2:$B$313,$B56),_xlfn.MINIFS(BQ$2:$BQ$313,$B$2:$B$313,$B56)))</f>
        <v>2</v>
      </c>
      <c r="BS56" s="1">
        <f t="shared" si="48"/>
        <v>3</v>
      </c>
      <c r="BT56" s="1" t="str" cm="1">
        <f t="array" ref="BT56">IF($I56="","",IF($B56=1,_xlfn.XLOOKUP(1,($B$2:$B$313=$B56)*($BO$2:$BO$313=BR56),Data!$I$2:$I$313,,0),_xlfn.XLOOKUP(1,($B$2:$B$313=$B56)*($BQ$2:$BQ$313=$BR56),$I$2:$I$313,,0)))</f>
        <v>Mika Sola</v>
      </c>
      <c r="BU56" s="1" t="str" cm="1">
        <f t="array" ref="BU56">IF(I56="","",IF($B56=1,_xlfn.XLOOKUP(1,($B$2:$B$313=$B56)*($BO$2:$BO$313=$BS56),$I$2:$I$313,,0),_xlfn.XLOOKUP(1,($B$2:$B$313=$B56)*($BQ$2:$BQ$313=$BS56),$I$2:$I$313,,0)))</f>
        <v>Miika Nordblad</v>
      </c>
      <c r="BV56" s="1" t="str" cm="1">
        <f t="array" ref="BV56">IF($I56="","",IF($B56=1,"",IF($B56=2,_xlfn.XLOOKUP(1,($B$2:$B$313=1)*($BO$2:$BO$313=1),$I$2:$I$313,,0),_xlfn.XLOOKUP($B56-1,$B$2:$B$313,$CH$2:$CH$313,,0))))</f>
        <v>Ossi Oksa</v>
      </c>
      <c r="BW56" s="1" t="str" cm="1">
        <f t="array" ref="BW56">IF($I56="","",IF($B56=1,"",IF(_xlfn.XLOOKUP(1,($B$2:$B$313=$B56)*($I$2:$I$313=$BV56),$BQ$2:$BQ$313,,0)="","NOK","OK")))</f>
        <v>NOK</v>
      </c>
      <c r="BX56" s="1" t="str">
        <f t="shared" si="49"/>
        <v>Mika Sola</v>
      </c>
      <c r="BY56" s="1" t="str">
        <f t="shared" si="50"/>
        <v>Miika Nordblad</v>
      </c>
      <c r="BZ56" s="1">
        <f t="shared" si="51"/>
        <v>127</v>
      </c>
      <c r="CA56" s="1">
        <f t="shared" si="52"/>
        <v>118</v>
      </c>
      <c r="CB56" s="1">
        <f t="shared" si="53"/>
        <v>9.8999999999999994E-5</v>
      </c>
      <c r="CC56" s="1">
        <f t="shared" si="54"/>
        <v>158</v>
      </c>
      <c r="CD56" s="1">
        <f t="shared" si="55"/>
        <v>123</v>
      </c>
      <c r="CE56" s="1">
        <f t="shared" si="56"/>
        <v>9.8999999999999994E-5</v>
      </c>
      <c r="CF56" s="1" t="str">
        <f t="shared" si="57"/>
        <v>Mika Sola (2)</v>
      </c>
      <c r="CG56" s="1" t="str">
        <f t="shared" si="58"/>
        <v>Miika Nordblad (3)</v>
      </c>
      <c r="CH56" s="1" t="str">
        <f t="shared" si="59"/>
        <v>Miika Nordblad</v>
      </c>
      <c r="CI56" s="1">
        <f t="shared" si="60"/>
        <v>0</v>
      </c>
      <c r="CJ56" s="1" t="str">
        <f ca="1">IF(B56="","",IF(SUM(AI56:AK56)&gt;0,"+SP","")&amp;IF(CI56&gt;0,"+KK","")&amp;IF(AB56&gt;0,"+KGP1","")&amp;IF(AC56&gt;0,"+KGP2","")&amp;IF(AG56&lt;0,"-KGP1","")&amp;IF(AH56&lt;0,"-KGP2",""))</f>
        <v>+SP</v>
      </c>
    </row>
    <row r="57" spans="1:88" x14ac:dyDescent="0.25">
      <c r="A57" s="1">
        <f>IFERROR(IF(ROW(A56)=1,1,IF(1+A56&lt;=$CP$1*$CP$2,1+A56,"")),"")</f>
        <v>56</v>
      </c>
      <c r="B57" s="1">
        <f>IF($I57="","",IF(ROW(B56)=1,1,ROUNDUP(A57/$CP$2,0)))</f>
        <v>4</v>
      </c>
      <c r="C57" s="4">
        <f t="shared" si="7"/>
        <v>45620</v>
      </c>
      <c r="D57" s="4" t="str">
        <f t="shared" si="0"/>
        <v>Kupittaan keilahalli</v>
      </c>
      <c r="E57" s="1">
        <f>IF($B57="","",COUNTIF($B$2:B57,B57))</f>
        <v>2</v>
      </c>
      <c r="F57" s="1" t="str">
        <f t="shared" si="1"/>
        <v>K2024GP04</v>
      </c>
      <c r="G57" s="1" t="str">
        <f t="shared" si="8"/>
        <v>K2024GP04_2</v>
      </c>
      <c r="H57" s="1">
        <f t="shared" si="9"/>
        <v>1</v>
      </c>
      <c r="I57" s="3" t="s">
        <v>132</v>
      </c>
      <c r="J57" s="3">
        <v>102</v>
      </c>
      <c r="K57" s="3">
        <v>122</v>
      </c>
      <c r="L57" s="1">
        <f t="shared" si="10"/>
        <v>224</v>
      </c>
      <c r="M57" s="1">
        <f t="shared" si="11"/>
        <v>1</v>
      </c>
      <c r="N57" s="1">
        <f t="shared" si="12"/>
        <v>12</v>
      </c>
      <c r="O57" s="1">
        <f t="shared" si="13"/>
        <v>224</v>
      </c>
      <c r="P57" s="1">
        <f t="shared" si="14"/>
        <v>162</v>
      </c>
      <c r="Q57" s="1">
        <f t="array" ref="Q57">IF($B57="","",IF(MAX(IF(B57=$B$2:$B$313,$L$2:$L$313))-L57=0,"",MAX(IF(B57=$B$2:$B$313,$L$2:$L$313))-L57))</f>
        <v>162</v>
      </c>
      <c r="R57" s="1">
        <f t="array" ref="R57">IF($B57="","",SUMPRODUCT(--($B$2:$B$313=B57),--(L57&lt;$L$2:$L$313))+1)</f>
        <v>12</v>
      </c>
      <c r="S57" s="1">
        <f t="shared" si="15"/>
        <v>2</v>
      </c>
      <c r="T57" s="1" cm="1">
        <f t="array" ref="T57">IF($B57="","",IF(M57=0,"",SUMPRODUCT(--($B$2:$B$313=B57),--(J57&lt;$J$2:$J$313))+1))</f>
        <v>12</v>
      </c>
      <c r="U57" s="1">
        <f t="shared" si="16"/>
        <v>0</v>
      </c>
      <c r="V57" s="1" t="str">
        <f t="shared" si="17"/>
        <v>0412</v>
      </c>
      <c r="W57" s="1">
        <f t="shared" si="18"/>
        <v>1</v>
      </c>
      <c r="X57" s="1">
        <f t="shared" si="2"/>
        <v>0</v>
      </c>
      <c r="Y57" s="1">
        <f>IF($B57="","",MAX(_xlfn.MAXIFS($J$2:J57,$I$2:I57,$I57),_xlfn.MAXIFS($K$2:K57,$I$2:I57,$I57)))</f>
        <v>131</v>
      </c>
      <c r="Z57" s="1">
        <f t="shared" si="3"/>
        <v>196</v>
      </c>
      <c r="AA57" s="1">
        <f t="shared" si="19"/>
        <v>0</v>
      </c>
      <c r="AB57" s="1">
        <f t="shared" si="20"/>
        <v>0</v>
      </c>
      <c r="AC57" s="1">
        <f t="shared" si="21"/>
        <v>0</v>
      </c>
      <c r="AD57" s="1">
        <f>IF($B57="","",MIN(_xlfn.MINIFS($J$2:J57,$I$2:I57,$I57),_xlfn.MINIFS($K$2:K57,$I$2:I57,$I57)))</f>
        <v>73</v>
      </c>
      <c r="AE57" s="1">
        <f t="shared" si="22"/>
        <v>72</v>
      </c>
      <c r="AF57" s="1">
        <f t="shared" si="23"/>
        <v>0</v>
      </c>
      <c r="AG57" s="1">
        <f t="shared" si="24"/>
        <v>0</v>
      </c>
      <c r="AH57" s="1">
        <f t="shared" si="25"/>
        <v>0</v>
      </c>
      <c r="AI57" s="1">
        <f ca="1">IF($B57="","",IF($K57="",0,OFFSET($CO$17,R57,W57)))</f>
        <v>0</v>
      </c>
      <c r="AJ57" s="1">
        <f t="shared" ca="1" si="26"/>
        <v>0</v>
      </c>
      <c r="AK57" s="1">
        <f ca="1">IF(AJ57="","",IF(AJ57=0,0,IF(W57=1,0,SUM(OFFSET($CO$17,N57,1):OFFSET($CO$17,N57+W57-2,1))/W57)))</f>
        <v>0</v>
      </c>
      <c r="AL57" s="1">
        <f t="shared" ca="1" si="27"/>
        <v>0</v>
      </c>
      <c r="AM57" s="1">
        <f ca="1">IF($B57="","",SUMIFS($AL$2:AL57,$I$2:I57,$I57))</f>
        <v>4</v>
      </c>
      <c r="AN57" s="1">
        <f t="shared" si="28"/>
        <v>12.000056000000001</v>
      </c>
      <c r="AO57" s="1">
        <f>IFERROR(IF($B57="","",AVERAGEIFS($L$2:L57,$I$2:I57,I57,$L$2:L57,"&lt;&gt;0")),0)</f>
        <v>214</v>
      </c>
      <c r="AP57" s="1">
        <f t="shared" si="29"/>
        <v>107</v>
      </c>
      <c r="AQ57" s="1">
        <f>IF($B57="","",COUNTIFS($R$2:R57,1,$I$2:I57,$I57))</f>
        <v>0</v>
      </c>
      <c r="AR57" s="1">
        <f t="array" aca="1" ref="AR57" ca="1">IF($B57="","",SUMPRODUCT(--($B$2:$B$313=B57),--(AM57&lt;$AM$2:$AM$313))+1)</f>
        <v>15</v>
      </c>
      <c r="AS57" s="1">
        <f t="array" ref="AS57">IF($B57="","",SUMPRODUCT(--($B$2:$B$313=B57),--(AP57&lt;$AP$2:$AP$313))+1)</f>
        <v>17</v>
      </c>
      <c r="AT57" s="1">
        <f t="array" ref="AT57">IF($B57="","",SUMPRODUCT(--($B$2:$B$313=B57),--(AQ57&lt;$AQ$2:$AQ$313))+1)</f>
        <v>6</v>
      </c>
      <c r="AU57" s="1">
        <f t="shared" si="30"/>
        <v>5.5999999999999999E-8</v>
      </c>
      <c r="AV57" s="1">
        <f t="shared" ca="1" si="31"/>
        <v>0.15170605600000001</v>
      </c>
      <c r="AW57" s="1" t="str">
        <f t="shared" si="4"/>
        <v/>
      </c>
      <c r="AX57" s="1" t="str">
        <f t="shared" si="32"/>
        <v/>
      </c>
      <c r="AY57" s="8">
        <f t="shared" ca="1" si="33"/>
        <v>0.15170605600000001</v>
      </c>
      <c r="AZ57" s="1" cm="1">
        <f t="array" aca="1" ref="AZ57" ca="1">IF($B57="","",SUMPRODUCT(--($B$2:$B$313=B57),--(AY57&gt;$AY$2:$AY$313))+1)</f>
        <v>16</v>
      </c>
      <c r="BA57" s="1" t="str">
        <f t="shared" si="34"/>
        <v>K2024GP04_2_1</v>
      </c>
      <c r="BB57" s="1" t="str">
        <f t="shared" si="35"/>
        <v>K2024GP04_2_2</v>
      </c>
      <c r="BC57" s="1">
        <f t="shared" si="36"/>
        <v>0</v>
      </c>
      <c r="BD57" s="1">
        <f t="shared" si="37"/>
        <v>0</v>
      </c>
      <c r="BE57" s="1">
        <f t="shared" si="38"/>
        <v>1</v>
      </c>
      <c r="BF57" s="1">
        <f t="shared" si="39"/>
        <v>122</v>
      </c>
      <c r="BG57" s="1">
        <f t="shared" si="40"/>
        <v>102</v>
      </c>
      <c r="BH57" s="1">
        <f t="shared" si="41"/>
        <v>11</v>
      </c>
      <c r="BI57" s="1">
        <f t="shared" si="42"/>
        <v>12</v>
      </c>
      <c r="BJ57" s="1">
        <f t="shared" si="43"/>
        <v>0.11120000000000001</v>
      </c>
      <c r="BK57" s="1">
        <f t="shared" si="44"/>
        <v>0</v>
      </c>
      <c r="BL57" s="1">
        <f t="shared" si="45"/>
        <v>9.8999999999999994E-5</v>
      </c>
      <c r="BM57" s="1">
        <f t="shared" si="46"/>
        <v>0.11129900000000001</v>
      </c>
      <c r="BN57" s="1">
        <f t="shared" si="47"/>
        <v>0</v>
      </c>
      <c r="BO57" s="1">
        <f t="shared" si="5"/>
        <v>11</v>
      </c>
      <c r="BP57" s="1">
        <f t="shared" si="6"/>
        <v>0</v>
      </c>
      <c r="BQ57" s="1" cm="1">
        <f t="array" ref="BQ57">IF(I57="","",IF(BP57=1,"",IF(L57=0,"",IF(B57=1,"",_xlfn.XLOOKUP(1,($I$2:$I$313=$I57)*($B$2:$B$313=($B57-1)),$BO$2:$BO$313)))))</f>
        <v>18</v>
      </c>
      <c r="BR57" s="1">
        <f>IF(I57="","",IF($B57=1,_xlfn.MINIFS($BO$2:$BO$313,$B$2:$B$313,$B57),_xlfn.MINIFS(BQ$2:$BQ$313,$B$2:$B$313,$B57)))</f>
        <v>2</v>
      </c>
      <c r="BS57" s="1">
        <f t="shared" si="48"/>
        <v>3</v>
      </c>
      <c r="BT57" s="1" t="str" cm="1">
        <f t="array" ref="BT57">IF($I57="","",IF($B57=1,_xlfn.XLOOKUP(1,($B$2:$B$313=$B57)*($BO$2:$BO$313=BR57),Data!$I$2:$I$313,,0),_xlfn.XLOOKUP(1,($B$2:$B$313=$B57)*($BQ$2:$BQ$313=$BR57),$I$2:$I$313,,0)))</f>
        <v>Mika Sola</v>
      </c>
      <c r="BU57" s="1" t="str" cm="1">
        <f t="array" ref="BU57">IF(I57="","",IF($B57=1,_xlfn.XLOOKUP(1,($B$2:$B$313=$B57)*($BO$2:$BO$313=$BS57),$I$2:$I$313,,0),_xlfn.XLOOKUP(1,($B$2:$B$313=$B57)*($BQ$2:$BQ$313=$BS57),$I$2:$I$313,,0)))</f>
        <v>Miika Nordblad</v>
      </c>
      <c r="BV57" s="1" t="str" cm="1">
        <f t="array" ref="BV57">IF($I57="","",IF($B57=1,"",IF($B57=2,_xlfn.XLOOKUP(1,($B$2:$B$313=1)*($BO$2:$BO$313=1),$I$2:$I$313,,0),_xlfn.XLOOKUP($B57-1,$B$2:$B$313,$CH$2:$CH$313,,0))))</f>
        <v>Ossi Oksa</v>
      </c>
      <c r="BW57" s="1" t="str" cm="1">
        <f t="array" ref="BW57">IF($I57="","",IF($B57=1,"",IF(_xlfn.XLOOKUP(1,($B$2:$B$313=$B57)*($I$2:$I$313=$BV57),$BQ$2:$BQ$313,,0)="","NOK","OK")))</f>
        <v>NOK</v>
      </c>
      <c r="BX57" s="1" t="str">
        <f t="shared" si="49"/>
        <v>Mika Sola</v>
      </c>
      <c r="BY57" s="1" t="str">
        <f t="shared" si="50"/>
        <v>Miika Nordblad</v>
      </c>
      <c r="BZ57" s="1">
        <f t="shared" si="51"/>
        <v>127</v>
      </c>
      <c r="CA57" s="1">
        <f t="shared" si="52"/>
        <v>118</v>
      </c>
      <c r="CB57" s="1">
        <f t="shared" si="53"/>
        <v>9.8999999999999994E-5</v>
      </c>
      <c r="CC57" s="1">
        <f t="shared" si="54"/>
        <v>158</v>
      </c>
      <c r="CD57" s="1">
        <f t="shared" si="55"/>
        <v>123</v>
      </c>
      <c r="CE57" s="1">
        <f t="shared" si="56"/>
        <v>9.8999999999999994E-5</v>
      </c>
      <c r="CF57" s="1" t="str">
        <f t="shared" si="57"/>
        <v>Mika Sola (2)</v>
      </c>
      <c r="CG57" s="1" t="str">
        <f t="shared" si="58"/>
        <v>Miika Nordblad (3)</v>
      </c>
      <c r="CH57" s="1" t="str">
        <f t="shared" si="59"/>
        <v>Miika Nordblad</v>
      </c>
      <c r="CI57" s="1">
        <f t="shared" si="60"/>
        <v>0</v>
      </c>
      <c r="CJ57" s="1" t="str">
        <f ca="1">IF(B57="","",IF(SUM(AI57:AK57)&gt;0,"+SP","")&amp;IF(CI57&gt;0,"+KK","")&amp;IF(AB57&gt;0,"+KGP1","")&amp;IF(AC57&gt;0,"+KGP2","")&amp;IF(AG57&lt;0,"-KGP1","")&amp;IF(AH57&lt;0,"-KGP2",""))</f>
        <v/>
      </c>
    </row>
    <row r="58" spans="1:88" x14ac:dyDescent="0.25">
      <c r="A58" s="1">
        <f>IFERROR(IF(ROW(A57)=1,1,IF(1+A57&lt;=$CP$1*$CP$2,1+A57,"")),"")</f>
        <v>57</v>
      </c>
      <c r="B58" s="1">
        <f>IF($I58="","",IF(ROW(B57)=1,1,ROUNDUP(A58/$CP$2,0)))</f>
        <v>4</v>
      </c>
      <c r="C58" s="4">
        <f t="shared" si="7"/>
        <v>45620</v>
      </c>
      <c r="D58" s="4" t="str">
        <f t="shared" si="0"/>
        <v>Kupittaan keilahalli</v>
      </c>
      <c r="E58" s="1">
        <f>IF($B58="","",COUNTIF($B$2:B58,B58))</f>
        <v>3</v>
      </c>
      <c r="F58" s="1" t="str">
        <f t="shared" si="1"/>
        <v>K2024GP04</v>
      </c>
      <c r="G58" s="1" t="str">
        <f t="shared" si="8"/>
        <v>K2024GP04_3</v>
      </c>
      <c r="H58" s="1">
        <f t="shared" si="9"/>
        <v>1</v>
      </c>
      <c r="I58" s="3" t="s">
        <v>236</v>
      </c>
      <c r="J58" s="3">
        <v>144</v>
      </c>
      <c r="K58" s="3">
        <v>122</v>
      </c>
      <c r="L58" s="1">
        <f t="shared" si="10"/>
        <v>266</v>
      </c>
      <c r="M58" s="1">
        <f t="shared" si="11"/>
        <v>1</v>
      </c>
      <c r="N58" s="1">
        <f t="shared" si="12"/>
        <v>9</v>
      </c>
      <c r="O58" s="1">
        <f t="shared" si="13"/>
        <v>266</v>
      </c>
      <c r="P58" s="1">
        <f t="shared" si="14"/>
        <v>120</v>
      </c>
      <c r="Q58" s="1">
        <f t="array" ref="Q58">IF($B58="","",IF(MAX(IF(B58=$B$2:$B$313,$L$2:$L$313))-L58=0,"",MAX(IF(B58=$B$2:$B$313,$L$2:$L$313))-L58))</f>
        <v>120</v>
      </c>
      <c r="R58" s="1">
        <f t="array" ref="R58">IF($B58="","",SUMPRODUCT(--($B$2:$B$313=B58),--(L58&lt;$L$2:$L$313))+1)</f>
        <v>9</v>
      </c>
      <c r="S58" s="1">
        <f t="shared" si="15"/>
        <v>2</v>
      </c>
      <c r="T58" s="1" cm="1">
        <f t="array" ref="T58">IF($B58="","",IF(M58=0,"",SUMPRODUCT(--($B$2:$B$313=B58),--(J58&lt;$J$2:$J$313))+1))</f>
        <v>8</v>
      </c>
      <c r="U58" s="1">
        <f t="shared" si="16"/>
        <v>1</v>
      </c>
      <c r="V58" s="1" t="str">
        <f t="shared" si="17"/>
        <v>0409</v>
      </c>
      <c r="W58" s="1">
        <f t="shared" si="18"/>
        <v>1</v>
      </c>
      <c r="X58" s="1">
        <f t="shared" si="2"/>
        <v>0</v>
      </c>
      <c r="Y58" s="1">
        <f>IF($B58="","",MAX(_xlfn.MAXIFS($J$2:J58,$I$2:I58,$I58),_xlfn.MAXIFS($K$2:K58,$I$2:I58,$I58)))</f>
        <v>144</v>
      </c>
      <c r="Z58" s="1">
        <f t="shared" si="3"/>
        <v>196</v>
      </c>
      <c r="AA58" s="1">
        <f t="shared" si="19"/>
        <v>0</v>
      </c>
      <c r="AB58" s="1">
        <f t="shared" si="20"/>
        <v>0</v>
      </c>
      <c r="AC58" s="1">
        <f t="shared" si="21"/>
        <v>0</v>
      </c>
      <c r="AD58" s="1">
        <f>IF($B58="","",MIN(_xlfn.MINIFS($J$2:J58,$I$2:I58,$I58),_xlfn.MINIFS($K$2:K58,$I$2:I58,$I58)))</f>
        <v>73</v>
      </c>
      <c r="AE58" s="1">
        <f t="shared" si="22"/>
        <v>72</v>
      </c>
      <c r="AF58" s="1">
        <f t="shared" si="23"/>
        <v>0</v>
      </c>
      <c r="AG58" s="1">
        <f t="shared" si="24"/>
        <v>0</v>
      </c>
      <c r="AH58" s="1">
        <f t="shared" si="25"/>
        <v>0</v>
      </c>
      <c r="AI58" s="1">
        <f ca="1">IF($B58="","",IF($K58="",0,OFFSET($CO$17,R58,W58)))</f>
        <v>2</v>
      </c>
      <c r="AJ58" s="1">
        <f t="shared" ca="1" si="26"/>
        <v>0</v>
      </c>
      <c r="AK58" s="1">
        <f ca="1">IF(AJ58="","",IF(AJ58=0,0,IF(W58=1,0,SUM(OFFSET($CO$17,N58,1):OFFSET($CO$17,N58+W58-2,1))/W58)))</f>
        <v>0</v>
      </c>
      <c r="AL58" s="1">
        <f t="shared" ca="1" si="27"/>
        <v>2</v>
      </c>
      <c r="AM58" s="1">
        <f ca="1">IF($B58="","",SUMIFS($AL$2:AL58,$I$2:I58,$I58))</f>
        <v>7</v>
      </c>
      <c r="AN58" s="1">
        <f t="shared" si="28"/>
        <v>9.000057</v>
      </c>
      <c r="AO58" s="1">
        <f>IFERROR(IF($B58="","",AVERAGEIFS($L$2:L58,$I$2:I58,I58,$L$2:L58,"&lt;&gt;0")),0)</f>
        <v>230.25</v>
      </c>
      <c r="AP58" s="1">
        <f t="shared" si="29"/>
        <v>115.125</v>
      </c>
      <c r="AQ58" s="1">
        <f>IF($B58="","",COUNTIFS($R$2:R58,1,$I$2:I58,$I58))</f>
        <v>0</v>
      </c>
      <c r="AR58" s="1">
        <f t="array" aca="1" ref="AR58" ca="1">IF($B58="","",SUMPRODUCT(--($B$2:$B$313=B58),--(AM58&lt;$AM$2:$AM$313))+1)</f>
        <v>11</v>
      </c>
      <c r="AS58" s="1">
        <f t="array" ref="AS58">IF($B58="","",SUMPRODUCT(--($B$2:$B$313=B58),--(AP58&lt;$AP$2:$AP$313))+1)</f>
        <v>14</v>
      </c>
      <c r="AT58" s="1">
        <f t="array" ref="AT58">IF($B58="","",SUMPRODUCT(--($B$2:$B$313=B58),--(AQ58&lt;$AQ$2:$AQ$313))+1)</f>
        <v>6</v>
      </c>
      <c r="AU58" s="1">
        <f t="shared" si="30"/>
        <v>5.7000000000000001E-8</v>
      </c>
      <c r="AV58" s="1">
        <f t="shared" ca="1" si="31"/>
        <v>0.111406057</v>
      </c>
      <c r="AW58" s="1" t="str">
        <f t="shared" si="4"/>
        <v/>
      </c>
      <c r="AX58" s="1" t="str">
        <f t="shared" si="32"/>
        <v/>
      </c>
      <c r="AY58" s="8">
        <f t="shared" ca="1" si="33"/>
        <v>0.111406057</v>
      </c>
      <c r="AZ58" s="1" cm="1">
        <f t="array" aca="1" ref="AZ58" ca="1">IF($B58="","",SUMPRODUCT(--($B$2:$B$313=B58),--(AY58&gt;$AY$2:$AY$313))+1)</f>
        <v>12</v>
      </c>
      <c r="BA58" s="1" t="str">
        <f t="shared" si="34"/>
        <v>K2024GP04_3_1</v>
      </c>
      <c r="BB58" s="1" t="str">
        <f t="shared" si="35"/>
        <v>K2024GP04_3_2</v>
      </c>
      <c r="BC58" s="1">
        <f t="shared" si="36"/>
        <v>0</v>
      </c>
      <c r="BD58" s="1">
        <f t="shared" si="37"/>
        <v>0</v>
      </c>
      <c r="BE58" s="1">
        <f t="shared" si="38"/>
        <v>1</v>
      </c>
      <c r="BF58" s="1">
        <f t="shared" si="39"/>
        <v>144</v>
      </c>
      <c r="BG58" s="1">
        <f t="shared" si="40"/>
        <v>122</v>
      </c>
      <c r="BH58" s="1">
        <f t="shared" si="41"/>
        <v>9</v>
      </c>
      <c r="BI58" s="1">
        <f t="shared" si="42"/>
        <v>8</v>
      </c>
      <c r="BJ58" s="1">
        <f t="shared" si="43"/>
        <v>9.0799999999999992E-2</v>
      </c>
      <c r="BK58" s="1">
        <f t="shared" si="44"/>
        <v>0</v>
      </c>
      <c r="BL58" s="1">
        <f t="shared" si="45"/>
        <v>9.8999999999999994E-5</v>
      </c>
      <c r="BM58" s="1">
        <f t="shared" si="46"/>
        <v>9.0898999999999994E-2</v>
      </c>
      <c r="BN58" s="1">
        <f t="shared" si="47"/>
        <v>0</v>
      </c>
      <c r="BO58" s="1">
        <f t="shared" si="5"/>
        <v>9</v>
      </c>
      <c r="BP58" s="1">
        <f t="shared" si="6"/>
        <v>0</v>
      </c>
      <c r="BQ58" s="1" cm="1">
        <f t="array" ref="BQ58">IF(I58="","",IF(BP58=1,"",IF(L58=0,"",IF(B58=1,"",_xlfn.XLOOKUP(1,($I$2:$I$313=$I58)*($B$2:$B$313=($B58-1)),$BO$2:$BO$313)))))</f>
        <v>7</v>
      </c>
      <c r="BR58" s="1">
        <f>IF(I58="","",IF($B58=1,_xlfn.MINIFS($BO$2:$BO$313,$B$2:$B$313,$B58),_xlfn.MINIFS(BQ$2:$BQ$313,$B$2:$B$313,$B58)))</f>
        <v>2</v>
      </c>
      <c r="BS58" s="1">
        <f t="shared" si="48"/>
        <v>3</v>
      </c>
      <c r="BT58" s="1" t="str" cm="1">
        <f t="array" ref="BT58">IF($I58="","",IF($B58=1,_xlfn.XLOOKUP(1,($B$2:$B$313=$B58)*($BO$2:$BO$313=BR58),Data!$I$2:$I$313,,0),_xlfn.XLOOKUP(1,($B$2:$B$313=$B58)*($BQ$2:$BQ$313=$BR58),$I$2:$I$313,,0)))</f>
        <v>Mika Sola</v>
      </c>
      <c r="BU58" s="1" t="str" cm="1">
        <f t="array" ref="BU58">IF(I58="","",IF($B58=1,_xlfn.XLOOKUP(1,($B$2:$B$313=$B58)*($BO$2:$BO$313=$BS58),$I$2:$I$313,,0),_xlfn.XLOOKUP(1,($B$2:$B$313=$B58)*($BQ$2:$BQ$313=$BS58),$I$2:$I$313,,0)))</f>
        <v>Miika Nordblad</v>
      </c>
      <c r="BV58" s="1" t="str" cm="1">
        <f t="array" ref="BV58">IF($I58="","",IF($B58=1,"",IF($B58=2,_xlfn.XLOOKUP(1,($B$2:$B$313=1)*($BO$2:$BO$313=1),$I$2:$I$313,,0),_xlfn.XLOOKUP($B58-1,$B$2:$B$313,$CH$2:$CH$313,,0))))</f>
        <v>Ossi Oksa</v>
      </c>
      <c r="BW58" s="1" t="str" cm="1">
        <f t="array" ref="BW58">IF($I58="","",IF($B58=1,"",IF(_xlfn.XLOOKUP(1,($B$2:$B$313=$B58)*($I$2:$I$313=$BV58),$BQ$2:$BQ$313,,0)="","NOK","OK")))</f>
        <v>NOK</v>
      </c>
      <c r="BX58" s="1" t="str">
        <f t="shared" si="49"/>
        <v>Mika Sola</v>
      </c>
      <c r="BY58" s="1" t="str">
        <f t="shared" si="50"/>
        <v>Miika Nordblad</v>
      </c>
      <c r="BZ58" s="1">
        <f t="shared" si="51"/>
        <v>127</v>
      </c>
      <c r="CA58" s="1">
        <f t="shared" si="52"/>
        <v>118</v>
      </c>
      <c r="CB58" s="1">
        <f t="shared" si="53"/>
        <v>9.8999999999999994E-5</v>
      </c>
      <c r="CC58" s="1">
        <f t="shared" si="54"/>
        <v>158</v>
      </c>
      <c r="CD58" s="1">
        <f t="shared" si="55"/>
        <v>123</v>
      </c>
      <c r="CE58" s="1">
        <f t="shared" si="56"/>
        <v>9.8999999999999994E-5</v>
      </c>
      <c r="CF58" s="1" t="str">
        <f t="shared" si="57"/>
        <v>Mika Sola (2)</v>
      </c>
      <c r="CG58" s="1" t="str">
        <f t="shared" si="58"/>
        <v>Miika Nordblad (3)</v>
      </c>
      <c r="CH58" s="1" t="str">
        <f t="shared" si="59"/>
        <v>Miika Nordblad</v>
      </c>
      <c r="CI58" s="1">
        <f t="shared" si="60"/>
        <v>0</v>
      </c>
      <c r="CJ58" s="1" t="str">
        <f ca="1">IF(B58="","",IF(SUM(AI58:AK58)&gt;0,"+SP","")&amp;IF(CI58&gt;0,"+KK","")&amp;IF(AB58&gt;0,"+KGP1","")&amp;IF(AC58&gt;0,"+KGP2","")&amp;IF(AG58&lt;0,"-KGP1","")&amp;IF(AH58&lt;0,"-KGP2",""))</f>
        <v>+SP</v>
      </c>
    </row>
    <row r="59" spans="1:88" x14ac:dyDescent="0.25">
      <c r="A59" s="1">
        <f>IFERROR(IF(ROW(A58)=1,1,IF(1+A58&lt;=$CP$1*$CP$2,1+A58,"")),"")</f>
        <v>58</v>
      </c>
      <c r="B59" s="1">
        <f>IF($I59="","",IF(ROW(B58)=1,1,ROUNDUP(A59/$CP$2,0)))</f>
        <v>4</v>
      </c>
      <c r="C59" s="4">
        <f t="shared" si="7"/>
        <v>45620</v>
      </c>
      <c r="D59" s="4" t="str">
        <f t="shared" si="0"/>
        <v>Kupittaan keilahalli</v>
      </c>
      <c r="E59" s="1">
        <f>IF($B59="","",COUNTIF($B$2:B59,B59))</f>
        <v>4</v>
      </c>
      <c r="F59" s="1" t="str">
        <f t="shared" si="1"/>
        <v>K2024GP04</v>
      </c>
      <c r="G59" s="1" t="str">
        <f t="shared" si="8"/>
        <v>K2024GP04_4</v>
      </c>
      <c r="H59" s="1">
        <f t="shared" si="9"/>
        <v>1</v>
      </c>
      <c r="I59" s="3" t="s">
        <v>126</v>
      </c>
      <c r="J59" s="3">
        <v>95</v>
      </c>
      <c r="K59" s="3">
        <v>108</v>
      </c>
      <c r="L59" s="1">
        <f t="shared" si="10"/>
        <v>203</v>
      </c>
      <c r="M59" s="1">
        <f t="shared" si="11"/>
        <v>1</v>
      </c>
      <c r="N59" s="1">
        <f t="shared" si="12"/>
        <v>13</v>
      </c>
      <c r="O59" s="1">
        <f t="shared" si="13"/>
        <v>203</v>
      </c>
      <c r="P59" s="1">
        <f t="shared" si="14"/>
        <v>183</v>
      </c>
      <c r="Q59" s="1">
        <f t="array" ref="Q59">IF($B59="","",IF(MAX(IF(B59=$B$2:$B$313,$L$2:$L$313))-L59=0,"",MAX(IF(B59=$B$2:$B$313,$L$2:$L$313))-L59))</f>
        <v>183</v>
      </c>
      <c r="R59" s="1">
        <f t="array" ref="R59">IF($B59="","",SUMPRODUCT(--($B$2:$B$313=B59),--(L59&lt;$L$2:$L$313))+1)</f>
        <v>13</v>
      </c>
      <c r="S59" s="1">
        <f t="shared" si="15"/>
        <v>2</v>
      </c>
      <c r="T59" s="1" cm="1">
        <f t="array" ref="T59">IF($B59="","",IF(M59=0,"",SUMPRODUCT(--($B$2:$B$313=B59),--(J59&lt;$J$2:$J$313))+1))</f>
        <v>13</v>
      </c>
      <c r="U59" s="1">
        <f t="shared" si="16"/>
        <v>0</v>
      </c>
      <c r="V59" s="1" t="str">
        <f t="shared" si="17"/>
        <v>0413</v>
      </c>
      <c r="W59" s="1">
        <f t="shared" si="18"/>
        <v>1</v>
      </c>
      <c r="X59" s="1">
        <f t="shared" si="2"/>
        <v>0</v>
      </c>
      <c r="Y59" s="1">
        <f>IF($B59="","",MAX(_xlfn.MAXIFS($J$2:J59,$I$2:I59,$I59),_xlfn.MAXIFS($K$2:K59,$I$2:I59,$I59)))</f>
        <v>126</v>
      </c>
      <c r="Z59" s="1">
        <f t="shared" si="3"/>
        <v>196</v>
      </c>
      <c r="AA59" s="1">
        <f t="shared" si="19"/>
        <v>0</v>
      </c>
      <c r="AB59" s="1">
        <f t="shared" si="20"/>
        <v>0</v>
      </c>
      <c r="AC59" s="1">
        <f t="shared" si="21"/>
        <v>0</v>
      </c>
      <c r="AD59" s="1">
        <f>IF($B59="","",MIN(_xlfn.MINIFS($J$2:J59,$I$2:I59,$I59),_xlfn.MINIFS($K$2:K59,$I$2:I59,$I59)))</f>
        <v>95</v>
      </c>
      <c r="AE59" s="1">
        <f t="shared" si="22"/>
        <v>72</v>
      </c>
      <c r="AF59" s="1">
        <f t="shared" si="23"/>
        <v>0</v>
      </c>
      <c r="AG59" s="1">
        <f t="shared" si="24"/>
        <v>0</v>
      </c>
      <c r="AH59" s="1">
        <f t="shared" si="25"/>
        <v>0</v>
      </c>
      <c r="AI59" s="1">
        <f ca="1">IF($B59="","",IF($K59="",0,OFFSET($CO$17,R59,W59)))</f>
        <v>0</v>
      </c>
      <c r="AJ59" s="1">
        <f t="shared" ca="1" si="26"/>
        <v>0</v>
      </c>
      <c r="AK59" s="1">
        <f ca="1">IF(AJ59="","",IF(AJ59=0,0,IF(W59=1,0,SUM(OFFSET($CO$17,N59,1):OFFSET($CO$17,N59+W59-2,1))/W59)))</f>
        <v>0</v>
      </c>
      <c r="AL59" s="1">
        <f t="shared" ca="1" si="27"/>
        <v>0</v>
      </c>
      <c r="AM59" s="1">
        <f ca="1">IF($B59="","",SUMIFS($AL$2:AL59,$I$2:I59,$I59))</f>
        <v>0</v>
      </c>
      <c r="AN59" s="1">
        <f t="shared" si="28"/>
        <v>13.000057999999999</v>
      </c>
      <c r="AO59" s="1">
        <f>IFERROR(IF($B59="","",AVERAGEIFS($L$2:L59,$I$2:I59,I59,$L$2:L59,"&lt;&gt;0")),0)</f>
        <v>225</v>
      </c>
      <c r="AP59" s="1">
        <f t="shared" si="29"/>
        <v>112.5</v>
      </c>
      <c r="AQ59" s="1">
        <f>IF($B59="","",COUNTIFS($R$2:R59,1,$I$2:I59,$I59))</f>
        <v>0</v>
      </c>
      <c r="AR59" s="1">
        <f t="array" aca="1" ref="AR59" ca="1">IF($B59="","",SUMPRODUCT(--($B$2:$B$313=B59),--(AM59&lt;$AM$2:$AM$313))+1)</f>
        <v>17</v>
      </c>
      <c r="AS59" s="1">
        <f t="array" ref="AS59">IF($B59="","",SUMPRODUCT(--($B$2:$B$313=B59),--(AP59&lt;$AP$2:$AP$313))+1)</f>
        <v>16</v>
      </c>
      <c r="AT59" s="1">
        <f t="array" ref="AT59">IF($B59="","",SUMPRODUCT(--($B$2:$B$313=B59),--(AQ59&lt;$AQ$2:$AQ$313))+1)</f>
        <v>6</v>
      </c>
      <c r="AU59" s="1">
        <f t="shared" si="30"/>
        <v>5.8000000000000003E-8</v>
      </c>
      <c r="AV59" s="1">
        <f t="shared" ca="1" si="31"/>
        <v>0.17160605800000001</v>
      </c>
      <c r="AW59" s="1" t="str">
        <f t="shared" si="4"/>
        <v/>
      </c>
      <c r="AX59" s="1" t="str">
        <f t="shared" si="32"/>
        <v/>
      </c>
      <c r="AY59" s="8">
        <f t="shared" ca="1" si="33"/>
        <v>0.17160605800000001</v>
      </c>
      <c r="AZ59" s="1" cm="1">
        <f t="array" aca="1" ref="AZ59" ca="1">IF($B59="","",SUMPRODUCT(--($B$2:$B$313=B59),--(AY59&gt;$AY$2:$AY$313))+1)</f>
        <v>17</v>
      </c>
      <c r="BA59" s="1" t="str">
        <f t="shared" si="34"/>
        <v>K2024GP04_4_1</v>
      </c>
      <c r="BB59" s="1" t="str">
        <f t="shared" si="35"/>
        <v>K2024GP04_4_2</v>
      </c>
      <c r="BC59" s="1">
        <f t="shared" si="36"/>
        <v>0</v>
      </c>
      <c r="BD59" s="1">
        <f t="shared" si="37"/>
        <v>0</v>
      </c>
      <c r="BE59" s="1">
        <f t="shared" si="38"/>
        <v>1</v>
      </c>
      <c r="BF59" s="1">
        <f t="shared" si="39"/>
        <v>108</v>
      </c>
      <c r="BG59" s="1">
        <f t="shared" si="40"/>
        <v>95</v>
      </c>
      <c r="BH59" s="1">
        <f t="shared" si="41"/>
        <v>13</v>
      </c>
      <c r="BI59" s="1">
        <f t="shared" si="42"/>
        <v>13</v>
      </c>
      <c r="BJ59" s="1">
        <f t="shared" si="43"/>
        <v>0.1313</v>
      </c>
      <c r="BK59" s="1">
        <f t="shared" si="44"/>
        <v>0</v>
      </c>
      <c r="BL59" s="1">
        <f t="shared" si="45"/>
        <v>9.8999999999999994E-5</v>
      </c>
      <c r="BM59" s="1">
        <f t="shared" si="46"/>
        <v>0.13139899999999999</v>
      </c>
      <c r="BN59" s="1">
        <f t="shared" si="47"/>
        <v>0</v>
      </c>
      <c r="BO59" s="1">
        <f t="shared" si="5"/>
        <v>13</v>
      </c>
      <c r="BP59" s="1">
        <f t="shared" si="6"/>
        <v>0</v>
      </c>
      <c r="BQ59" s="1" cm="1">
        <f t="array" ref="BQ59">IF(I59="","",IF(BP59=1,"",IF(L59=0,"",IF(B59=1,"",_xlfn.XLOOKUP(1,($I$2:$I$313=$I59)*($B$2:$B$313=($B59-1)),$BO$2:$BO$313)))))</f>
        <v>12</v>
      </c>
      <c r="BR59" s="1">
        <f>IF(I59="","",IF($B59=1,_xlfn.MINIFS($BO$2:$BO$313,$B$2:$B$313,$B59),_xlfn.MINIFS(BQ$2:$BQ$313,$B$2:$B$313,$B59)))</f>
        <v>2</v>
      </c>
      <c r="BS59" s="1">
        <f t="shared" si="48"/>
        <v>3</v>
      </c>
      <c r="BT59" s="1" t="str" cm="1">
        <f t="array" ref="BT59">IF($I59="","",IF($B59=1,_xlfn.XLOOKUP(1,($B$2:$B$313=$B59)*($BO$2:$BO$313=BR59),Data!$I$2:$I$313,,0),_xlfn.XLOOKUP(1,($B$2:$B$313=$B59)*($BQ$2:$BQ$313=$BR59),$I$2:$I$313,,0)))</f>
        <v>Mika Sola</v>
      </c>
      <c r="BU59" s="1" t="str" cm="1">
        <f t="array" ref="BU59">IF(I59="","",IF($B59=1,_xlfn.XLOOKUP(1,($B$2:$B$313=$B59)*($BO$2:$BO$313=$BS59),$I$2:$I$313,,0),_xlfn.XLOOKUP(1,($B$2:$B$313=$B59)*($BQ$2:$BQ$313=$BS59),$I$2:$I$313,,0)))</f>
        <v>Miika Nordblad</v>
      </c>
      <c r="BV59" s="1" t="str" cm="1">
        <f t="array" ref="BV59">IF($I59="","",IF($B59=1,"",IF($B59=2,_xlfn.XLOOKUP(1,($B$2:$B$313=1)*($BO$2:$BO$313=1),$I$2:$I$313,,0),_xlfn.XLOOKUP($B59-1,$B$2:$B$313,$CH$2:$CH$313,,0))))</f>
        <v>Ossi Oksa</v>
      </c>
      <c r="BW59" s="1" t="str" cm="1">
        <f t="array" ref="BW59">IF($I59="","",IF($B59=1,"",IF(_xlfn.XLOOKUP(1,($B$2:$B$313=$B59)*($I$2:$I$313=$BV59),$BQ$2:$BQ$313,,0)="","NOK","OK")))</f>
        <v>NOK</v>
      </c>
      <c r="BX59" s="1" t="str">
        <f t="shared" si="49"/>
        <v>Mika Sola</v>
      </c>
      <c r="BY59" s="1" t="str">
        <f t="shared" si="50"/>
        <v>Miika Nordblad</v>
      </c>
      <c r="BZ59" s="1">
        <f t="shared" si="51"/>
        <v>127</v>
      </c>
      <c r="CA59" s="1">
        <f t="shared" si="52"/>
        <v>118</v>
      </c>
      <c r="CB59" s="1">
        <f t="shared" si="53"/>
        <v>9.8999999999999994E-5</v>
      </c>
      <c r="CC59" s="1">
        <f t="shared" si="54"/>
        <v>158</v>
      </c>
      <c r="CD59" s="1">
        <f t="shared" si="55"/>
        <v>123</v>
      </c>
      <c r="CE59" s="1">
        <f t="shared" si="56"/>
        <v>9.8999999999999994E-5</v>
      </c>
      <c r="CF59" s="1" t="str">
        <f t="shared" si="57"/>
        <v>Mika Sola (2)</v>
      </c>
      <c r="CG59" s="1" t="str">
        <f t="shared" si="58"/>
        <v>Miika Nordblad (3)</v>
      </c>
      <c r="CH59" s="1" t="str">
        <f t="shared" si="59"/>
        <v>Miika Nordblad</v>
      </c>
      <c r="CI59" s="1">
        <f t="shared" si="60"/>
        <v>0</v>
      </c>
      <c r="CJ59" s="1" t="str">
        <f ca="1">IF(B59="","",IF(SUM(AI59:AK59)&gt;0,"+SP","")&amp;IF(CI59&gt;0,"+KK","")&amp;IF(AB59&gt;0,"+KGP1","")&amp;IF(AC59&gt;0,"+KGP2","")&amp;IF(AG59&lt;0,"-KGP1","")&amp;IF(AH59&lt;0,"-KGP2",""))</f>
        <v/>
      </c>
    </row>
    <row r="60" spans="1:88" x14ac:dyDescent="0.25">
      <c r="A60" s="1">
        <f>IFERROR(IF(ROW(A59)=1,1,IF(1+A59&lt;=$CP$1*$CP$2,1+A59,"")),"")</f>
        <v>59</v>
      </c>
      <c r="B60" s="1">
        <f>IF($I60="","",IF(ROW(B59)=1,1,ROUNDUP(A60/$CP$2,0)))</f>
        <v>4</v>
      </c>
      <c r="C60" s="4">
        <f t="shared" si="7"/>
        <v>45620</v>
      </c>
      <c r="D60" s="4" t="str">
        <f t="shared" si="0"/>
        <v>Kupittaan keilahalli</v>
      </c>
      <c r="E60" s="1">
        <f>IF($B60="","",COUNTIF($B$2:B60,B60))</f>
        <v>5</v>
      </c>
      <c r="F60" s="1" t="str">
        <f t="shared" si="1"/>
        <v>K2024GP04</v>
      </c>
      <c r="G60" s="1" t="str">
        <f t="shared" si="8"/>
        <v>K2024GP04_5</v>
      </c>
      <c r="H60" s="1">
        <f t="shared" si="9"/>
        <v>1</v>
      </c>
      <c r="I60" s="3" t="s">
        <v>136</v>
      </c>
      <c r="J60" s="3">
        <v>148</v>
      </c>
      <c r="K60" s="3">
        <v>127</v>
      </c>
      <c r="L60" s="1">
        <f t="shared" si="10"/>
        <v>275</v>
      </c>
      <c r="M60" s="1">
        <f t="shared" si="11"/>
        <v>1</v>
      </c>
      <c r="N60" s="1">
        <f t="shared" si="12"/>
        <v>8</v>
      </c>
      <c r="O60" s="1">
        <f t="shared" si="13"/>
        <v>275</v>
      </c>
      <c r="P60" s="1">
        <f t="shared" si="14"/>
        <v>111</v>
      </c>
      <c r="Q60" s="1">
        <f t="array" ref="Q60">IF($B60="","",IF(MAX(IF(B60=$B$2:$B$313,$L$2:$L$313))-L60=0,"",MAX(IF(B60=$B$2:$B$313,$L$2:$L$313))-L60))</f>
        <v>111</v>
      </c>
      <c r="R60" s="1">
        <f t="array" ref="R60">IF($B60="","",SUMPRODUCT(--($B$2:$B$313=B60),--(L60&lt;$L$2:$L$313))+1)</f>
        <v>8</v>
      </c>
      <c r="S60" s="1">
        <f t="shared" si="15"/>
        <v>2</v>
      </c>
      <c r="T60" s="1" cm="1">
        <f t="array" ref="T60">IF($B60="","",IF(M60=0,"",SUMPRODUCT(--($B$2:$B$313=B60),--(J60&lt;$J$2:$J$313))+1))</f>
        <v>7</v>
      </c>
      <c r="U60" s="1">
        <f t="shared" si="16"/>
        <v>1</v>
      </c>
      <c r="V60" s="1" t="str">
        <f t="shared" si="17"/>
        <v>0408</v>
      </c>
      <c r="W60" s="1">
        <f t="shared" si="18"/>
        <v>1</v>
      </c>
      <c r="X60" s="1">
        <f t="shared" si="2"/>
        <v>0</v>
      </c>
      <c r="Y60" s="1">
        <f>IF($B60="","",MAX(_xlfn.MAXIFS($J$2:J60,$I$2:I60,$I60),_xlfn.MAXIFS($K$2:K60,$I$2:I60,$I60)))</f>
        <v>165</v>
      </c>
      <c r="Z60" s="1">
        <f t="shared" si="3"/>
        <v>196</v>
      </c>
      <c r="AA60" s="1">
        <f t="shared" si="19"/>
        <v>0</v>
      </c>
      <c r="AB60" s="1">
        <f t="shared" si="20"/>
        <v>0</v>
      </c>
      <c r="AC60" s="1">
        <f t="shared" si="21"/>
        <v>0</v>
      </c>
      <c r="AD60" s="1">
        <f>IF($B60="","",MIN(_xlfn.MINIFS($J$2:J60,$I$2:I60,$I60),_xlfn.MINIFS($K$2:K60,$I$2:I60,$I60)))</f>
        <v>127</v>
      </c>
      <c r="AE60" s="1">
        <f t="shared" si="22"/>
        <v>72</v>
      </c>
      <c r="AF60" s="1">
        <f t="shared" si="23"/>
        <v>0</v>
      </c>
      <c r="AG60" s="1">
        <f t="shared" si="24"/>
        <v>0</v>
      </c>
      <c r="AH60" s="1">
        <f t="shared" si="25"/>
        <v>0</v>
      </c>
      <c r="AI60" s="1">
        <f ca="1">IF($B60="","",IF($K60="",0,OFFSET($CO$17,R60,W60)))</f>
        <v>3</v>
      </c>
      <c r="AJ60" s="1">
        <f t="shared" ca="1" si="26"/>
        <v>0</v>
      </c>
      <c r="AK60" s="1">
        <f ca="1">IF(AJ60="","",IF(AJ60=0,0,IF(W60=1,0,SUM(OFFSET($CO$17,N60,1):OFFSET($CO$17,N60+W60-2,1))/W60)))</f>
        <v>0</v>
      </c>
      <c r="AL60" s="1">
        <f t="shared" ca="1" si="27"/>
        <v>3</v>
      </c>
      <c r="AM60" s="1">
        <f ca="1">IF($B60="","",SUMIFS($AL$2:AL60,$I$2:I60,$I60))</f>
        <v>6</v>
      </c>
      <c r="AN60" s="1">
        <f t="shared" si="28"/>
        <v>8.0000590000000003</v>
      </c>
      <c r="AO60" s="1">
        <f>IFERROR(IF($B60="","",AVERAGEIFS($L$2:L60,$I$2:I60,I60,$L$2:L60,"&lt;&gt;0")),0)</f>
        <v>286</v>
      </c>
      <c r="AP60" s="1">
        <f t="shared" si="29"/>
        <v>143</v>
      </c>
      <c r="AQ60" s="1">
        <f>IF($B60="","",COUNTIFS($R$2:R60,1,$I$2:I60,$I60))</f>
        <v>0</v>
      </c>
      <c r="AR60" s="1">
        <f t="array" aca="1" ref="AR60" ca="1">IF($B60="","",SUMPRODUCT(--($B$2:$B$313=B60),--(AM60&lt;$AM$2:$AM$313))+1)</f>
        <v>13</v>
      </c>
      <c r="AS60" s="1">
        <f t="array" ref="AS60">IF($B60="","",SUMPRODUCT(--($B$2:$B$313=B60),--(AP60&lt;$AP$2:$AP$313))+1)</f>
        <v>6</v>
      </c>
      <c r="AT60" s="1">
        <f t="array" ref="AT60">IF($B60="","",SUMPRODUCT(--($B$2:$B$313=B60),--(AQ60&lt;$AQ$2:$AQ$313))+1)</f>
        <v>6</v>
      </c>
      <c r="AU60" s="1">
        <f t="shared" si="30"/>
        <v>5.8999999999999999E-8</v>
      </c>
      <c r="AV60" s="1">
        <f t="shared" ca="1" si="31"/>
        <v>0.130606059</v>
      </c>
      <c r="AW60" s="1" t="str">
        <f t="shared" si="4"/>
        <v/>
      </c>
      <c r="AX60" s="1" t="str">
        <f t="shared" si="32"/>
        <v/>
      </c>
      <c r="AY60" s="8">
        <f t="shared" ca="1" si="33"/>
        <v>0.130606059</v>
      </c>
      <c r="AZ60" s="1" cm="1">
        <f t="array" aca="1" ref="AZ60" ca="1">IF($B60="","",SUMPRODUCT(--($B$2:$B$313=B60),--(AY60&gt;$AY$2:$AY$313))+1)</f>
        <v>13</v>
      </c>
      <c r="BA60" s="1" t="str">
        <f t="shared" si="34"/>
        <v>K2024GP04_5_1</v>
      </c>
      <c r="BB60" s="1" t="str">
        <f t="shared" si="35"/>
        <v>K2024GP04_5_2</v>
      </c>
      <c r="BC60" s="1">
        <f t="shared" si="36"/>
        <v>0</v>
      </c>
      <c r="BD60" s="1">
        <f t="shared" si="37"/>
        <v>0</v>
      </c>
      <c r="BE60" s="1">
        <f t="shared" si="38"/>
        <v>1</v>
      </c>
      <c r="BF60" s="1">
        <f t="shared" si="39"/>
        <v>148</v>
      </c>
      <c r="BG60" s="1">
        <f t="shared" si="40"/>
        <v>127</v>
      </c>
      <c r="BH60" s="1">
        <f t="shared" si="41"/>
        <v>7</v>
      </c>
      <c r="BI60" s="1">
        <f t="shared" si="42"/>
        <v>5</v>
      </c>
      <c r="BJ60" s="1">
        <f t="shared" si="43"/>
        <v>7.0500000000000007E-2</v>
      </c>
      <c r="BK60" s="1">
        <f t="shared" si="44"/>
        <v>0</v>
      </c>
      <c r="BL60" s="1">
        <f t="shared" si="45"/>
        <v>9.8999999999999994E-5</v>
      </c>
      <c r="BM60" s="1">
        <f t="shared" si="46"/>
        <v>7.0599000000000009E-2</v>
      </c>
      <c r="BN60" s="1">
        <f t="shared" si="47"/>
        <v>0</v>
      </c>
      <c r="BO60" s="1">
        <f t="shared" si="5"/>
        <v>7</v>
      </c>
      <c r="BP60" s="1">
        <f t="shared" si="6"/>
        <v>0</v>
      </c>
      <c r="BQ60" s="1" cm="1">
        <f t="array" ref="BQ60">IF(I60="","",IF(BP60=1,"",IF(L60=0,"",IF(B60=1,"",_xlfn.XLOOKUP(1,($I$2:$I$313=$I60)*($B$2:$B$313=($B60-1)),$BO$2:$BO$313)))))</f>
        <v>15</v>
      </c>
      <c r="BR60" s="1">
        <f>IF(I60="","",IF($B60=1,_xlfn.MINIFS($BO$2:$BO$313,$B$2:$B$313,$B60),_xlfn.MINIFS(BQ$2:$BQ$313,$B$2:$B$313,$B60)))</f>
        <v>2</v>
      </c>
      <c r="BS60" s="1">
        <f t="shared" si="48"/>
        <v>3</v>
      </c>
      <c r="BT60" s="1" t="str" cm="1">
        <f t="array" ref="BT60">IF($I60="","",IF($B60=1,_xlfn.XLOOKUP(1,($B$2:$B$313=$B60)*($BO$2:$BO$313=BR60),Data!$I$2:$I$313,,0),_xlfn.XLOOKUP(1,($B$2:$B$313=$B60)*($BQ$2:$BQ$313=$BR60),$I$2:$I$313,,0)))</f>
        <v>Mika Sola</v>
      </c>
      <c r="BU60" s="1" t="str" cm="1">
        <f t="array" ref="BU60">IF(I60="","",IF($B60=1,_xlfn.XLOOKUP(1,($B$2:$B$313=$B60)*($BO$2:$BO$313=$BS60),$I$2:$I$313,,0),_xlfn.XLOOKUP(1,($B$2:$B$313=$B60)*($BQ$2:$BQ$313=$BS60),$I$2:$I$313,,0)))</f>
        <v>Miika Nordblad</v>
      </c>
      <c r="BV60" s="1" t="str" cm="1">
        <f t="array" ref="BV60">IF($I60="","",IF($B60=1,"",IF($B60=2,_xlfn.XLOOKUP(1,($B$2:$B$313=1)*($BO$2:$BO$313=1),$I$2:$I$313,,0),_xlfn.XLOOKUP($B60-1,$B$2:$B$313,$CH$2:$CH$313,,0))))</f>
        <v>Ossi Oksa</v>
      </c>
      <c r="BW60" s="1" t="str" cm="1">
        <f t="array" ref="BW60">IF($I60="","",IF($B60=1,"",IF(_xlfn.XLOOKUP(1,($B$2:$B$313=$B60)*($I$2:$I$313=$BV60),$BQ$2:$BQ$313,,0)="","NOK","OK")))</f>
        <v>NOK</v>
      </c>
      <c r="BX60" s="1" t="str">
        <f t="shared" si="49"/>
        <v>Mika Sola</v>
      </c>
      <c r="BY60" s="1" t="str">
        <f t="shared" si="50"/>
        <v>Miika Nordblad</v>
      </c>
      <c r="BZ60" s="1">
        <f t="shared" si="51"/>
        <v>127</v>
      </c>
      <c r="CA60" s="1">
        <f t="shared" si="52"/>
        <v>118</v>
      </c>
      <c r="CB60" s="1">
        <f t="shared" si="53"/>
        <v>9.8999999999999994E-5</v>
      </c>
      <c r="CC60" s="1">
        <f t="shared" si="54"/>
        <v>158</v>
      </c>
      <c r="CD60" s="1">
        <f t="shared" si="55"/>
        <v>123</v>
      </c>
      <c r="CE60" s="1">
        <f t="shared" si="56"/>
        <v>9.8999999999999994E-5</v>
      </c>
      <c r="CF60" s="1" t="str">
        <f t="shared" si="57"/>
        <v>Mika Sola (2)</v>
      </c>
      <c r="CG60" s="1" t="str">
        <f t="shared" si="58"/>
        <v>Miika Nordblad (3)</v>
      </c>
      <c r="CH60" s="1" t="str">
        <f t="shared" si="59"/>
        <v>Miika Nordblad</v>
      </c>
      <c r="CI60" s="1">
        <f t="shared" si="60"/>
        <v>0</v>
      </c>
      <c r="CJ60" s="1" t="str">
        <f ca="1">IF(B60="","",IF(SUM(AI60:AK60)&gt;0,"+SP","")&amp;IF(CI60&gt;0,"+KK","")&amp;IF(AB60&gt;0,"+KGP1","")&amp;IF(AC60&gt;0,"+KGP2","")&amp;IF(AG60&lt;0,"-KGP1","")&amp;IF(AH60&lt;0,"-KGP2",""))</f>
        <v>+SP</v>
      </c>
    </row>
    <row r="61" spans="1:88" x14ac:dyDescent="0.25">
      <c r="A61" s="1">
        <f>IFERROR(IF(ROW(A60)=1,1,IF(1+A60&lt;=$CP$1*$CP$2,1+A60,"")),"")</f>
        <v>60</v>
      </c>
      <c r="B61" s="1">
        <f>IF($I61="","",IF(ROW(B60)=1,1,ROUNDUP(A61/$CP$2,0)))</f>
        <v>4</v>
      </c>
      <c r="C61" s="4">
        <f t="shared" si="7"/>
        <v>45620</v>
      </c>
      <c r="D61" s="4" t="str">
        <f t="shared" si="0"/>
        <v>Kupittaan keilahalli</v>
      </c>
      <c r="E61" s="1">
        <f>IF($B61="","",COUNTIF($B$2:B61,B61))</f>
        <v>6</v>
      </c>
      <c r="F61" s="1" t="str">
        <f t="shared" si="1"/>
        <v>K2024GP04</v>
      </c>
      <c r="G61" s="1" t="str">
        <f t="shared" si="8"/>
        <v>K2024GP04_6</v>
      </c>
      <c r="H61" s="1">
        <f t="shared" si="9"/>
        <v>1</v>
      </c>
      <c r="I61" s="3" t="s">
        <v>141</v>
      </c>
      <c r="J61" s="3">
        <v>109</v>
      </c>
      <c r="K61" s="3">
        <v>120</v>
      </c>
      <c r="L61" s="1">
        <f t="shared" si="10"/>
        <v>229</v>
      </c>
      <c r="M61" s="1">
        <f t="shared" si="11"/>
        <v>1</v>
      </c>
      <c r="N61" s="1">
        <f t="shared" si="12"/>
        <v>11</v>
      </c>
      <c r="O61" s="1">
        <f t="shared" si="13"/>
        <v>229</v>
      </c>
      <c r="P61" s="1">
        <f t="shared" si="14"/>
        <v>157</v>
      </c>
      <c r="Q61" s="1">
        <f t="array" ref="Q61">IF($B61="","",IF(MAX(IF(B61=$B$2:$B$313,$L$2:$L$313))-L61=0,"",MAX(IF(B61=$B$2:$B$313,$L$2:$L$313))-L61))</f>
        <v>157</v>
      </c>
      <c r="R61" s="1">
        <f t="array" ref="R61">IF($B61="","",SUMPRODUCT(--($B$2:$B$313=B61),--(L61&lt;$L$2:$L$313))+1)</f>
        <v>11</v>
      </c>
      <c r="S61" s="1">
        <f t="shared" si="15"/>
        <v>2</v>
      </c>
      <c r="T61" s="1" cm="1">
        <f t="array" ref="T61">IF($B61="","",IF(M61=0,"",SUMPRODUCT(--($B$2:$B$313=B61),--(J61&lt;$J$2:$J$313))+1))</f>
        <v>11</v>
      </c>
      <c r="U61" s="1">
        <f t="shared" si="16"/>
        <v>0</v>
      </c>
      <c r="V61" s="1" t="str">
        <f t="shared" si="17"/>
        <v>0411</v>
      </c>
      <c r="W61" s="1">
        <f t="shared" si="18"/>
        <v>1</v>
      </c>
      <c r="X61" s="1">
        <f t="shared" si="2"/>
        <v>0</v>
      </c>
      <c r="Y61" s="1">
        <f>IF($B61="","",MAX(_xlfn.MAXIFS($J$2:J61,$I$2:I61,$I61),_xlfn.MAXIFS($K$2:K61,$I$2:I61,$I61)))</f>
        <v>139</v>
      </c>
      <c r="Z61" s="1">
        <f t="shared" si="3"/>
        <v>196</v>
      </c>
      <c r="AA61" s="1">
        <f t="shared" si="19"/>
        <v>0</v>
      </c>
      <c r="AB61" s="1">
        <f t="shared" si="20"/>
        <v>0</v>
      </c>
      <c r="AC61" s="1">
        <f t="shared" si="21"/>
        <v>0</v>
      </c>
      <c r="AD61" s="1">
        <f>IF($B61="","",MIN(_xlfn.MINIFS($J$2:J61,$I$2:I61,$I61),_xlfn.MINIFS($K$2:K61,$I$2:I61,$I61)))</f>
        <v>102</v>
      </c>
      <c r="AE61" s="1">
        <f t="shared" si="22"/>
        <v>72</v>
      </c>
      <c r="AF61" s="1">
        <f t="shared" si="23"/>
        <v>0</v>
      </c>
      <c r="AG61" s="1">
        <f t="shared" si="24"/>
        <v>0</v>
      </c>
      <c r="AH61" s="1">
        <f t="shared" si="25"/>
        <v>0</v>
      </c>
      <c r="AI61" s="1">
        <f ca="1">IF($B61="","",IF($K61="",0,OFFSET($CO$17,R61,W61)))</f>
        <v>0</v>
      </c>
      <c r="AJ61" s="1">
        <f t="shared" ca="1" si="26"/>
        <v>0</v>
      </c>
      <c r="AK61" s="1">
        <f ca="1">IF(AJ61="","",IF(AJ61=0,0,IF(W61=1,0,SUM(OFFSET($CO$17,N61,1):OFFSET($CO$17,N61+W61-2,1))/W61)))</f>
        <v>0</v>
      </c>
      <c r="AL61" s="1">
        <f t="shared" ca="1" si="27"/>
        <v>0</v>
      </c>
      <c r="AM61" s="1">
        <f ca="1">IF($B61="","",SUMIFS($AL$2:AL61,$I$2:I61,$I61))</f>
        <v>4</v>
      </c>
      <c r="AN61" s="1">
        <f t="shared" si="28"/>
        <v>11.00006</v>
      </c>
      <c r="AO61" s="1">
        <f>IFERROR(IF($B61="","",AVERAGEIFS($L$2:L61,$I$2:I61,I61,$L$2:L61,"&lt;&gt;0")),0)</f>
        <v>240</v>
      </c>
      <c r="AP61" s="1">
        <f t="shared" si="29"/>
        <v>120</v>
      </c>
      <c r="AQ61" s="1">
        <f>IF($B61="","",COUNTIFS($R$2:R61,1,$I$2:I61,$I61))</f>
        <v>0</v>
      </c>
      <c r="AR61" s="1">
        <f t="array" aca="1" ref="AR61" ca="1">IF($B61="","",SUMPRODUCT(--($B$2:$B$313=B61),--(AM61&lt;$AM$2:$AM$313))+1)</f>
        <v>15</v>
      </c>
      <c r="AS61" s="1">
        <f t="array" ref="AS61">IF($B61="","",SUMPRODUCT(--($B$2:$B$313=B61),--(AP61&lt;$AP$2:$AP$313))+1)</f>
        <v>13</v>
      </c>
      <c r="AT61" s="1">
        <f t="array" ref="AT61">IF($B61="","",SUMPRODUCT(--($B$2:$B$313=B61),--(AQ61&lt;$AQ$2:$AQ$313))+1)</f>
        <v>6</v>
      </c>
      <c r="AU61" s="1">
        <f t="shared" si="30"/>
        <v>5.9999999999999995E-8</v>
      </c>
      <c r="AV61" s="1">
        <f t="shared" ca="1" si="31"/>
        <v>0.15130605999999999</v>
      </c>
      <c r="AW61" s="1" t="str">
        <f t="shared" si="4"/>
        <v/>
      </c>
      <c r="AX61" s="1" t="str">
        <f t="shared" si="32"/>
        <v/>
      </c>
      <c r="AY61" s="8">
        <f t="shared" ca="1" si="33"/>
        <v>0.15130605999999999</v>
      </c>
      <c r="AZ61" s="1" cm="1">
        <f t="array" aca="1" ref="AZ61" ca="1">IF($B61="","",SUMPRODUCT(--($B$2:$B$313=B61),--(AY61&gt;$AY$2:$AY$313))+1)</f>
        <v>15</v>
      </c>
      <c r="BA61" s="1" t="str">
        <f t="shared" si="34"/>
        <v>K2024GP04_6_1</v>
      </c>
      <c r="BB61" s="1" t="str">
        <f t="shared" si="35"/>
        <v>K2024GP04_6_2</v>
      </c>
      <c r="BC61" s="1">
        <f t="shared" si="36"/>
        <v>0</v>
      </c>
      <c r="BD61" s="1">
        <f t="shared" si="37"/>
        <v>0</v>
      </c>
      <c r="BE61" s="1">
        <f t="shared" si="38"/>
        <v>1</v>
      </c>
      <c r="BF61" s="1">
        <f t="shared" si="39"/>
        <v>120</v>
      </c>
      <c r="BG61" s="1">
        <f t="shared" si="40"/>
        <v>109</v>
      </c>
      <c r="BH61" s="1">
        <f t="shared" si="41"/>
        <v>12</v>
      </c>
      <c r="BI61" s="1">
        <f t="shared" si="42"/>
        <v>11</v>
      </c>
      <c r="BJ61" s="1">
        <f t="shared" si="43"/>
        <v>0.1211</v>
      </c>
      <c r="BK61" s="1">
        <f t="shared" si="44"/>
        <v>0</v>
      </c>
      <c r="BL61" s="1">
        <f t="shared" si="45"/>
        <v>9.8999999999999994E-5</v>
      </c>
      <c r="BM61" s="1">
        <f t="shared" si="46"/>
        <v>0.121199</v>
      </c>
      <c r="BN61" s="1">
        <f t="shared" si="47"/>
        <v>0</v>
      </c>
      <c r="BO61" s="1">
        <f t="shared" si="5"/>
        <v>12</v>
      </c>
      <c r="BP61" s="1">
        <f t="shared" si="6"/>
        <v>0</v>
      </c>
      <c r="BQ61" s="1" cm="1">
        <f t="array" ref="BQ61">IF(I61="","",IF(BP61=1,"",IF(L61=0,"",IF(B61=1,"",_xlfn.XLOOKUP(1,($I$2:$I$313=$I61)*($B$2:$B$313=($B61-1)),$BO$2:$BO$313)))))</f>
        <v>8</v>
      </c>
      <c r="BR61" s="1">
        <f>IF(I61="","",IF($B61=1,_xlfn.MINIFS($BO$2:$BO$313,$B$2:$B$313,$B61),_xlfn.MINIFS(BQ$2:$BQ$313,$B$2:$B$313,$B61)))</f>
        <v>2</v>
      </c>
      <c r="BS61" s="1">
        <f t="shared" si="48"/>
        <v>3</v>
      </c>
      <c r="BT61" s="1" t="str" cm="1">
        <f t="array" ref="BT61">IF($I61="","",IF($B61=1,_xlfn.XLOOKUP(1,($B$2:$B$313=$B61)*($BO$2:$BO$313=BR61),Data!$I$2:$I$313,,0),_xlfn.XLOOKUP(1,($B$2:$B$313=$B61)*($BQ$2:$BQ$313=$BR61),$I$2:$I$313,,0)))</f>
        <v>Mika Sola</v>
      </c>
      <c r="BU61" s="1" t="str" cm="1">
        <f t="array" ref="BU61">IF(I61="","",IF($B61=1,_xlfn.XLOOKUP(1,($B$2:$B$313=$B61)*($BO$2:$BO$313=$BS61),$I$2:$I$313,,0),_xlfn.XLOOKUP(1,($B$2:$B$313=$B61)*($BQ$2:$BQ$313=$BS61),$I$2:$I$313,,0)))</f>
        <v>Miika Nordblad</v>
      </c>
      <c r="BV61" s="1" t="str" cm="1">
        <f t="array" ref="BV61">IF($I61="","",IF($B61=1,"",IF($B61=2,_xlfn.XLOOKUP(1,($B$2:$B$313=1)*($BO$2:$BO$313=1),$I$2:$I$313,,0),_xlfn.XLOOKUP($B61-1,$B$2:$B$313,$CH$2:$CH$313,,0))))</f>
        <v>Ossi Oksa</v>
      </c>
      <c r="BW61" s="1" t="str" cm="1">
        <f t="array" ref="BW61">IF($I61="","",IF($B61=1,"",IF(_xlfn.XLOOKUP(1,($B$2:$B$313=$B61)*($I$2:$I$313=$BV61),$BQ$2:$BQ$313,,0)="","NOK","OK")))</f>
        <v>NOK</v>
      </c>
      <c r="BX61" s="1" t="str">
        <f t="shared" si="49"/>
        <v>Mika Sola</v>
      </c>
      <c r="BY61" s="1" t="str">
        <f t="shared" si="50"/>
        <v>Miika Nordblad</v>
      </c>
      <c r="BZ61" s="1">
        <f t="shared" si="51"/>
        <v>127</v>
      </c>
      <c r="CA61" s="1">
        <f t="shared" si="52"/>
        <v>118</v>
      </c>
      <c r="CB61" s="1">
        <f t="shared" si="53"/>
        <v>9.8999999999999994E-5</v>
      </c>
      <c r="CC61" s="1">
        <f t="shared" si="54"/>
        <v>158</v>
      </c>
      <c r="CD61" s="1">
        <f t="shared" si="55"/>
        <v>123</v>
      </c>
      <c r="CE61" s="1">
        <f t="shared" si="56"/>
        <v>9.8999999999999994E-5</v>
      </c>
      <c r="CF61" s="1" t="str">
        <f t="shared" si="57"/>
        <v>Mika Sola (2)</v>
      </c>
      <c r="CG61" s="1" t="str">
        <f t="shared" si="58"/>
        <v>Miika Nordblad (3)</v>
      </c>
      <c r="CH61" s="1" t="str">
        <f t="shared" si="59"/>
        <v>Miika Nordblad</v>
      </c>
      <c r="CI61" s="1">
        <f t="shared" si="60"/>
        <v>0</v>
      </c>
      <c r="CJ61" s="1" t="str">
        <f ca="1">IF(B61="","",IF(SUM(AI61:AK61)&gt;0,"+SP","")&amp;IF(CI61&gt;0,"+KK","")&amp;IF(AB61&gt;0,"+KGP1","")&amp;IF(AC61&gt;0,"+KGP2","")&amp;IF(AG61&lt;0,"-KGP1","")&amp;IF(AH61&lt;0,"-KGP2",""))</f>
        <v/>
      </c>
    </row>
    <row r="62" spans="1:88" x14ac:dyDescent="0.25">
      <c r="A62" s="1">
        <f>IFERROR(IF(ROW(A61)=1,1,IF(1+A61&lt;=$CP$1*$CP$2,1+A61,"")),"")</f>
        <v>61</v>
      </c>
      <c r="B62" s="1">
        <f>IF($I62="","",IF(ROW(B61)=1,1,ROUNDUP(A62/$CP$2,0)))</f>
        <v>4</v>
      </c>
      <c r="C62" s="4">
        <f t="shared" si="7"/>
        <v>45620</v>
      </c>
      <c r="D62" s="4" t="str">
        <f t="shared" si="0"/>
        <v>Kupittaan keilahalli</v>
      </c>
      <c r="E62" s="1">
        <f>IF($B62="","",COUNTIF($B$2:B62,B62))</f>
        <v>7</v>
      </c>
      <c r="F62" s="1" t="str">
        <f t="shared" si="1"/>
        <v>K2024GP04</v>
      </c>
      <c r="G62" s="1" t="str">
        <f t="shared" si="8"/>
        <v>K2024GP04_7</v>
      </c>
      <c r="H62" s="1">
        <f t="shared" si="9"/>
        <v>1</v>
      </c>
      <c r="I62" s="3" t="s">
        <v>117</v>
      </c>
      <c r="J62" s="3">
        <v>144</v>
      </c>
      <c r="K62" s="3">
        <v>145</v>
      </c>
      <c r="L62" s="1">
        <f t="shared" si="10"/>
        <v>289</v>
      </c>
      <c r="M62" s="1">
        <f t="shared" si="11"/>
        <v>1</v>
      </c>
      <c r="N62" s="1">
        <f t="shared" si="12"/>
        <v>4</v>
      </c>
      <c r="O62" s="1">
        <f t="shared" si="13"/>
        <v>289</v>
      </c>
      <c r="P62" s="1">
        <f t="shared" si="14"/>
        <v>97</v>
      </c>
      <c r="Q62" s="1">
        <f t="array" ref="Q62">IF($B62="","",IF(MAX(IF(B62=$B$2:$B$313,$L$2:$L$313))-L62=0,"",MAX(IF(B62=$B$2:$B$313,$L$2:$L$313))-L62))</f>
        <v>97</v>
      </c>
      <c r="R62" s="1">
        <f t="array" ref="R62">IF($B62="","",SUMPRODUCT(--($B$2:$B$313=B62),--(L62&lt;$L$2:$L$313))+1)</f>
        <v>4</v>
      </c>
      <c r="S62" s="1">
        <f t="shared" si="15"/>
        <v>2</v>
      </c>
      <c r="T62" s="1" cm="1">
        <f t="array" ref="T62">IF($B62="","",IF(M62=0,"",SUMPRODUCT(--($B$2:$B$313=B62),--(J62&lt;$J$2:$J$313))+1))</f>
        <v>8</v>
      </c>
      <c r="U62" s="1">
        <f t="shared" si="16"/>
        <v>-4</v>
      </c>
      <c r="V62" s="1" t="str">
        <f t="shared" si="17"/>
        <v>0404</v>
      </c>
      <c r="W62" s="1">
        <f t="shared" si="18"/>
        <v>1</v>
      </c>
      <c r="X62" s="1">
        <f t="shared" si="2"/>
        <v>0</v>
      </c>
      <c r="Y62" s="1">
        <f>IF($B62="","",MAX(_xlfn.MAXIFS($J$2:J62,$I$2:I62,$I62),_xlfn.MAXIFS($K$2:K62,$I$2:I62,$I62)))</f>
        <v>176</v>
      </c>
      <c r="Z62" s="1">
        <f t="shared" si="3"/>
        <v>196</v>
      </c>
      <c r="AA62" s="1">
        <f t="shared" si="19"/>
        <v>0</v>
      </c>
      <c r="AB62" s="1">
        <f t="shared" si="20"/>
        <v>0</v>
      </c>
      <c r="AC62" s="1">
        <f t="shared" si="21"/>
        <v>0</v>
      </c>
      <c r="AD62" s="1">
        <f>IF($B62="","",MIN(_xlfn.MINIFS($J$2:J62,$I$2:I62,$I62),_xlfn.MINIFS($K$2:K62,$I$2:I62,$I62)))</f>
        <v>131</v>
      </c>
      <c r="AE62" s="1">
        <f t="shared" si="22"/>
        <v>72</v>
      </c>
      <c r="AF62" s="1">
        <f t="shared" si="23"/>
        <v>0</v>
      </c>
      <c r="AG62" s="1">
        <f t="shared" si="24"/>
        <v>0</v>
      </c>
      <c r="AH62" s="1">
        <f t="shared" si="25"/>
        <v>0</v>
      </c>
      <c r="AI62" s="1">
        <f ca="1">IF($B62="","",IF($K62="",0,OFFSET($CO$17,R62,W62)))</f>
        <v>7</v>
      </c>
      <c r="AJ62" s="1">
        <f t="shared" ca="1" si="26"/>
        <v>0</v>
      </c>
      <c r="AK62" s="1">
        <f ca="1">IF(AJ62="","",IF(AJ62=0,0,IF(W62=1,0,SUM(OFFSET($CO$17,N62,1):OFFSET($CO$17,N62+W62-2,1))/W62)))</f>
        <v>0</v>
      </c>
      <c r="AL62" s="1">
        <f t="shared" ca="1" si="27"/>
        <v>7</v>
      </c>
      <c r="AM62" s="1">
        <f ca="1">IF($B62="","",SUMIFS($AL$2:AL62,$I$2:I62,$I62))</f>
        <v>11</v>
      </c>
      <c r="AN62" s="1">
        <f t="shared" si="28"/>
        <v>4.0000609999999996</v>
      </c>
      <c r="AO62" s="1">
        <f>IFERROR(IF($B62="","",AVERAGEIFS($L$2:L62,$I$2:I62,I62,$L$2:L62,"&lt;&gt;0")),0)</f>
        <v>298</v>
      </c>
      <c r="AP62" s="1">
        <f t="shared" si="29"/>
        <v>149</v>
      </c>
      <c r="AQ62" s="1">
        <f>IF($B62="","",COUNTIFS($R$2:R62,1,$I$2:I62,$I62))</f>
        <v>0</v>
      </c>
      <c r="AR62" s="1">
        <f t="array" aca="1" ref="AR62" ca="1">IF($B62="","",SUMPRODUCT(--($B$2:$B$313=B62),--(AM62&lt;$AM$2:$AM$313))+1)</f>
        <v>9</v>
      </c>
      <c r="AS62" s="1">
        <f t="array" ref="AS62">IF($B62="","",SUMPRODUCT(--($B$2:$B$313=B62),--(AP62&lt;$AP$2:$AP$313))+1)</f>
        <v>4</v>
      </c>
      <c r="AT62" s="1">
        <f t="array" ref="AT62">IF($B62="","",SUMPRODUCT(--($B$2:$B$313=B62),--(AQ62&lt;$AQ$2:$AQ$313))+1)</f>
        <v>6</v>
      </c>
      <c r="AU62" s="1">
        <f t="shared" si="30"/>
        <v>6.1000000000000004E-8</v>
      </c>
      <c r="AV62" s="1">
        <f t="shared" ca="1" si="31"/>
        <v>9.0406060999999996E-2</v>
      </c>
      <c r="AW62" s="1" t="str">
        <f t="shared" si="4"/>
        <v/>
      </c>
      <c r="AX62" s="1" t="str">
        <f t="shared" si="32"/>
        <v/>
      </c>
      <c r="AY62" s="8">
        <f t="shared" ca="1" si="33"/>
        <v>9.0406060999999996E-2</v>
      </c>
      <c r="AZ62" s="1" cm="1">
        <f t="array" aca="1" ref="AZ62" ca="1">IF($B62="","",SUMPRODUCT(--($B$2:$B$313=B62),--(AY62&gt;$AY$2:$AY$313))+1)</f>
        <v>9</v>
      </c>
      <c r="BA62" s="1" t="str">
        <f t="shared" si="34"/>
        <v>K2024GP04_7_1</v>
      </c>
      <c r="BB62" s="1" t="str">
        <f t="shared" si="35"/>
        <v>K2024GP04_7_2</v>
      </c>
      <c r="BC62" s="1">
        <f t="shared" si="36"/>
        <v>0</v>
      </c>
      <c r="BD62" s="1">
        <f t="shared" si="37"/>
        <v>0</v>
      </c>
      <c r="BE62" s="1">
        <f t="shared" si="38"/>
        <v>1</v>
      </c>
      <c r="BF62" s="1">
        <f t="shared" si="39"/>
        <v>145</v>
      </c>
      <c r="BG62" s="1">
        <f t="shared" si="40"/>
        <v>144</v>
      </c>
      <c r="BH62" s="1">
        <f t="shared" si="41"/>
        <v>8</v>
      </c>
      <c r="BI62" s="1">
        <f t="shared" si="42"/>
        <v>4</v>
      </c>
      <c r="BJ62" s="1">
        <f t="shared" si="43"/>
        <v>8.0399999999999999E-2</v>
      </c>
      <c r="BK62" s="1">
        <f t="shared" si="44"/>
        <v>0</v>
      </c>
      <c r="BL62" s="1">
        <f t="shared" si="45"/>
        <v>9.8999999999999994E-5</v>
      </c>
      <c r="BM62" s="1">
        <f t="shared" si="46"/>
        <v>8.0499000000000001E-2</v>
      </c>
      <c r="BN62" s="1">
        <f t="shared" si="47"/>
        <v>0</v>
      </c>
      <c r="BO62" s="1">
        <f t="shared" si="5"/>
        <v>8</v>
      </c>
      <c r="BP62" s="1">
        <f t="shared" si="6"/>
        <v>0</v>
      </c>
      <c r="BQ62" s="1" cm="1">
        <f t="array" ref="BQ62">IF(I62="","",IF(BP62=1,"",IF(L62=0,"",IF(B62=1,"",_xlfn.XLOOKUP(1,($I$2:$I$313=$I62)*($B$2:$B$313=($B62-1)),$BO$2:$BO$313)))))</f>
        <v>17</v>
      </c>
      <c r="BR62" s="1">
        <f>IF(I62="","",IF($B62=1,_xlfn.MINIFS($BO$2:$BO$313,$B$2:$B$313,$B62),_xlfn.MINIFS(BQ$2:$BQ$313,$B$2:$B$313,$B62)))</f>
        <v>2</v>
      </c>
      <c r="BS62" s="1">
        <f t="shared" si="48"/>
        <v>3</v>
      </c>
      <c r="BT62" s="1" t="str" cm="1">
        <f t="array" ref="BT62">IF($I62="","",IF($B62=1,_xlfn.XLOOKUP(1,($B$2:$B$313=$B62)*($BO$2:$BO$313=BR62),Data!$I$2:$I$313,,0),_xlfn.XLOOKUP(1,($B$2:$B$313=$B62)*($BQ$2:$BQ$313=$BR62),$I$2:$I$313,,0)))</f>
        <v>Mika Sola</v>
      </c>
      <c r="BU62" s="1" t="str" cm="1">
        <f t="array" ref="BU62">IF(I62="","",IF($B62=1,_xlfn.XLOOKUP(1,($B$2:$B$313=$B62)*($BO$2:$BO$313=$BS62),$I$2:$I$313,,0),_xlfn.XLOOKUP(1,($B$2:$B$313=$B62)*($BQ$2:$BQ$313=$BS62),$I$2:$I$313,,0)))</f>
        <v>Miika Nordblad</v>
      </c>
      <c r="BV62" s="1" t="str" cm="1">
        <f t="array" ref="BV62">IF($I62="","",IF($B62=1,"",IF($B62=2,_xlfn.XLOOKUP(1,($B$2:$B$313=1)*($BO$2:$BO$313=1),$I$2:$I$313,,0),_xlfn.XLOOKUP($B62-1,$B$2:$B$313,$CH$2:$CH$313,,0))))</f>
        <v>Ossi Oksa</v>
      </c>
      <c r="BW62" s="1" t="str" cm="1">
        <f t="array" ref="BW62">IF($I62="","",IF($B62=1,"",IF(_xlfn.XLOOKUP(1,($B$2:$B$313=$B62)*($I$2:$I$313=$BV62),$BQ$2:$BQ$313,,0)="","NOK","OK")))</f>
        <v>NOK</v>
      </c>
      <c r="BX62" s="1" t="str">
        <f t="shared" si="49"/>
        <v>Mika Sola</v>
      </c>
      <c r="BY62" s="1" t="str">
        <f t="shared" si="50"/>
        <v>Miika Nordblad</v>
      </c>
      <c r="BZ62" s="1">
        <f t="shared" si="51"/>
        <v>127</v>
      </c>
      <c r="CA62" s="1">
        <f t="shared" si="52"/>
        <v>118</v>
      </c>
      <c r="CB62" s="1">
        <f t="shared" si="53"/>
        <v>9.8999999999999994E-5</v>
      </c>
      <c r="CC62" s="1">
        <f t="shared" si="54"/>
        <v>158</v>
      </c>
      <c r="CD62" s="1">
        <f t="shared" si="55"/>
        <v>123</v>
      </c>
      <c r="CE62" s="1">
        <f t="shared" si="56"/>
        <v>9.8999999999999994E-5</v>
      </c>
      <c r="CF62" s="1" t="str">
        <f t="shared" si="57"/>
        <v>Mika Sola (2)</v>
      </c>
      <c r="CG62" s="1" t="str">
        <f t="shared" si="58"/>
        <v>Miika Nordblad (3)</v>
      </c>
      <c r="CH62" s="1" t="str">
        <f t="shared" si="59"/>
        <v>Miika Nordblad</v>
      </c>
      <c r="CI62" s="1">
        <f t="shared" si="60"/>
        <v>0</v>
      </c>
      <c r="CJ62" s="1" t="str">
        <f ca="1">IF(B62="","",IF(SUM(AI62:AK62)&gt;0,"+SP","")&amp;IF(CI62&gt;0,"+KK","")&amp;IF(AB62&gt;0,"+KGP1","")&amp;IF(AC62&gt;0,"+KGP2","")&amp;IF(AG62&lt;0,"-KGP1","")&amp;IF(AH62&lt;0,"-KGP2",""))</f>
        <v>+SP</v>
      </c>
    </row>
    <row r="63" spans="1:88" x14ac:dyDescent="0.25">
      <c r="A63" s="1">
        <f>IFERROR(IF(ROW(A62)=1,1,IF(1+A62&lt;=$CP$1*$CP$2,1+A62,"")),"")</f>
        <v>62</v>
      </c>
      <c r="B63" s="1">
        <f>IF($I63="","",IF(ROW(B62)=1,1,ROUNDUP(A63/$CP$2,0)))</f>
        <v>4</v>
      </c>
      <c r="C63" s="4">
        <f t="shared" si="7"/>
        <v>45620</v>
      </c>
      <c r="D63" s="4" t="str">
        <f t="shared" si="0"/>
        <v>Kupittaan keilahalli</v>
      </c>
      <c r="E63" s="1">
        <f>IF($B63="","",COUNTIF($B$2:B63,B63))</f>
        <v>8</v>
      </c>
      <c r="F63" s="1" t="str">
        <f t="shared" si="1"/>
        <v>K2024GP04</v>
      </c>
      <c r="G63" s="1" t="str">
        <f t="shared" si="8"/>
        <v>K2024GP04_8</v>
      </c>
      <c r="H63" s="1">
        <f t="shared" si="9"/>
        <v>1</v>
      </c>
      <c r="I63" s="3" t="s">
        <v>131</v>
      </c>
      <c r="J63" s="3">
        <v>169</v>
      </c>
      <c r="K63" s="3">
        <v>151</v>
      </c>
      <c r="L63" s="1">
        <f t="shared" si="10"/>
        <v>320</v>
      </c>
      <c r="M63" s="1">
        <f t="shared" si="11"/>
        <v>1</v>
      </c>
      <c r="N63" s="1">
        <f t="shared" si="12"/>
        <v>3</v>
      </c>
      <c r="O63" s="1">
        <f t="shared" si="13"/>
        <v>320</v>
      </c>
      <c r="P63" s="1">
        <f t="shared" si="14"/>
        <v>66</v>
      </c>
      <c r="Q63" s="1">
        <f t="array" ref="Q63">IF($B63="","",IF(MAX(IF(B63=$B$2:$B$313,$L$2:$L$313))-L63=0,"",MAX(IF(B63=$B$2:$B$313,$L$2:$L$313))-L63))</f>
        <v>66</v>
      </c>
      <c r="R63" s="1">
        <f t="array" ref="R63">IF($B63="","",SUMPRODUCT(--($B$2:$B$313=B63),--(L63&lt;$L$2:$L$313))+1)</f>
        <v>3</v>
      </c>
      <c r="S63" s="1">
        <f t="shared" si="15"/>
        <v>2</v>
      </c>
      <c r="T63" s="1" cm="1">
        <f t="array" ref="T63">IF($B63="","",IF(M63=0,"",SUMPRODUCT(--($B$2:$B$313=B63),--(J63&lt;$J$2:$J$313))+1))</f>
        <v>3</v>
      </c>
      <c r="U63" s="1">
        <f t="shared" si="16"/>
        <v>0</v>
      </c>
      <c r="V63" s="1" t="str">
        <f t="shared" si="17"/>
        <v>0403</v>
      </c>
      <c r="W63" s="1">
        <f t="shared" si="18"/>
        <v>1</v>
      </c>
      <c r="X63" s="1">
        <f t="shared" si="2"/>
        <v>0</v>
      </c>
      <c r="Y63" s="1">
        <f>IF($B63="","",MAX(_xlfn.MAXIFS($J$2:J63,$I$2:I63,$I63),_xlfn.MAXIFS($K$2:K63,$I$2:I63,$I63)))</f>
        <v>170</v>
      </c>
      <c r="Z63" s="1">
        <f t="shared" si="3"/>
        <v>196</v>
      </c>
      <c r="AA63" s="1">
        <f t="shared" si="19"/>
        <v>0</v>
      </c>
      <c r="AB63" s="1">
        <f t="shared" si="20"/>
        <v>0</v>
      </c>
      <c r="AC63" s="1">
        <f t="shared" si="21"/>
        <v>0</v>
      </c>
      <c r="AD63" s="1">
        <f>IF($B63="","",MIN(_xlfn.MINIFS($J$2:J63,$I$2:I63,$I63),_xlfn.MINIFS($K$2:K63,$I$2:I63,$I63)))</f>
        <v>102</v>
      </c>
      <c r="AE63" s="1">
        <f t="shared" si="22"/>
        <v>72</v>
      </c>
      <c r="AF63" s="1">
        <f t="shared" si="23"/>
        <v>0</v>
      </c>
      <c r="AG63" s="1">
        <f t="shared" si="24"/>
        <v>0</v>
      </c>
      <c r="AH63" s="1">
        <f t="shared" si="25"/>
        <v>0</v>
      </c>
      <c r="AI63" s="1">
        <f ca="1">IF($B63="","",IF($K63="",0,OFFSET($CO$17,R63,W63)))</f>
        <v>8</v>
      </c>
      <c r="AJ63" s="1">
        <f t="shared" ca="1" si="26"/>
        <v>0</v>
      </c>
      <c r="AK63" s="1">
        <f ca="1">IF(AJ63="","",IF(AJ63=0,0,IF(W63=1,0,SUM(OFFSET($CO$17,N63,1):OFFSET($CO$17,N63+W63-2,1))/W63)))</f>
        <v>0</v>
      </c>
      <c r="AL63" s="1">
        <f t="shared" ca="1" si="27"/>
        <v>8</v>
      </c>
      <c r="AM63" s="1">
        <f ca="1">IF($B63="","",SUMIFS($AL$2:AL63,$I$2:I63,$I63))</f>
        <v>22</v>
      </c>
      <c r="AN63" s="1">
        <f t="shared" si="28"/>
        <v>3.0000619999999998</v>
      </c>
      <c r="AO63" s="1">
        <f>IFERROR(IF($B63="","",AVERAGEIFS($L$2:L63,$I$2:I63,I63,$L$2:L63,"&lt;&gt;0")),0)</f>
        <v>273.5</v>
      </c>
      <c r="AP63" s="1">
        <f t="shared" si="29"/>
        <v>136.75</v>
      </c>
      <c r="AQ63" s="1">
        <f>IF($B63="","",COUNTIFS($R$2:R63,1,$I$2:I63,$I63))</f>
        <v>0</v>
      </c>
      <c r="AR63" s="1">
        <f t="array" aca="1" ref="AR63" ca="1">IF($B63="","",SUMPRODUCT(--($B$2:$B$313=B63),--(AM63&lt;$AM$2:$AM$313))+1)</f>
        <v>4</v>
      </c>
      <c r="AS63" s="1">
        <f t="array" ref="AS63">IF($B63="","",SUMPRODUCT(--($B$2:$B$313=B63),--(AP63&lt;$AP$2:$AP$313))+1)</f>
        <v>7</v>
      </c>
      <c r="AT63" s="1">
        <f t="array" ref="AT63">IF($B63="","",SUMPRODUCT(--($B$2:$B$313=B63),--(AQ63&lt;$AQ$2:$AQ$313))+1)</f>
        <v>6</v>
      </c>
      <c r="AU63" s="1">
        <f t="shared" si="30"/>
        <v>6.1999999999999999E-8</v>
      </c>
      <c r="AV63" s="1">
        <f t="shared" ca="1" si="31"/>
        <v>4.0706062000000001E-2</v>
      </c>
      <c r="AW63" s="1" t="str">
        <f t="shared" si="4"/>
        <v/>
      </c>
      <c r="AX63" s="1" t="str">
        <f t="shared" si="32"/>
        <v/>
      </c>
      <c r="AY63" s="8">
        <f t="shared" ca="1" si="33"/>
        <v>4.0706062000000001E-2</v>
      </c>
      <c r="AZ63" s="1" cm="1">
        <f t="array" aca="1" ref="AZ63" ca="1">IF($B63="","",SUMPRODUCT(--($B$2:$B$313=B63),--(AY63&gt;$AY$2:$AY$313))+1)</f>
        <v>4</v>
      </c>
      <c r="BA63" s="1" t="str">
        <f t="shared" si="34"/>
        <v>K2024GP04_8_1</v>
      </c>
      <c r="BB63" s="1" t="str">
        <f t="shared" si="35"/>
        <v>K2024GP04_8_2</v>
      </c>
      <c r="BC63" s="1">
        <f t="shared" si="36"/>
        <v>0</v>
      </c>
      <c r="BD63" s="1">
        <f t="shared" si="37"/>
        <v>1</v>
      </c>
      <c r="BE63" s="1">
        <f t="shared" si="38"/>
        <v>1</v>
      </c>
      <c r="BF63" s="1">
        <f t="shared" si="39"/>
        <v>169</v>
      </c>
      <c r="BG63" s="1">
        <f t="shared" si="40"/>
        <v>151</v>
      </c>
      <c r="BH63" s="1">
        <f t="shared" si="41"/>
        <v>3</v>
      </c>
      <c r="BI63" s="1">
        <f t="shared" si="42"/>
        <v>3</v>
      </c>
      <c r="BJ63" s="1">
        <f t="shared" si="43"/>
        <v>3.0300000000000001E-2</v>
      </c>
      <c r="BK63" s="1">
        <f t="shared" si="44"/>
        <v>0</v>
      </c>
      <c r="BL63" s="1">
        <f t="shared" si="45"/>
        <v>9.8999999999999994E-5</v>
      </c>
      <c r="BM63" s="1">
        <f t="shared" si="46"/>
        <v>3.0398999999999999E-2</v>
      </c>
      <c r="BN63" s="1">
        <f t="shared" si="47"/>
        <v>0</v>
      </c>
      <c r="BO63" s="1">
        <f t="shared" si="5"/>
        <v>3</v>
      </c>
      <c r="BP63" s="1">
        <f t="shared" si="6"/>
        <v>0</v>
      </c>
      <c r="BQ63" s="1" cm="1">
        <f t="array" ref="BQ63">IF(I63="","",IF(BP63=1,"",IF(L63=0,"",IF(B63=1,"",_xlfn.XLOOKUP(1,($I$2:$I$313=$I63)*($B$2:$B$313=($B63-1)),$BO$2:$BO$313)))))</f>
        <v>6</v>
      </c>
      <c r="BR63" s="1">
        <f>IF(I63="","",IF($B63=1,_xlfn.MINIFS($BO$2:$BO$313,$B$2:$B$313,$B63),_xlfn.MINIFS(BQ$2:$BQ$313,$B$2:$B$313,$B63)))</f>
        <v>2</v>
      </c>
      <c r="BS63" s="1">
        <f t="shared" si="48"/>
        <v>3</v>
      </c>
      <c r="BT63" s="1" t="str" cm="1">
        <f t="array" ref="BT63">IF($I63="","",IF($B63=1,_xlfn.XLOOKUP(1,($B$2:$B$313=$B63)*($BO$2:$BO$313=BR63),Data!$I$2:$I$313,,0),_xlfn.XLOOKUP(1,($B$2:$B$313=$B63)*($BQ$2:$BQ$313=$BR63),$I$2:$I$313,,0)))</f>
        <v>Mika Sola</v>
      </c>
      <c r="BU63" s="1" t="str" cm="1">
        <f t="array" ref="BU63">IF(I63="","",IF($B63=1,_xlfn.XLOOKUP(1,($B$2:$B$313=$B63)*($BO$2:$BO$313=$BS63),$I$2:$I$313,,0),_xlfn.XLOOKUP(1,($B$2:$B$313=$B63)*($BQ$2:$BQ$313=$BS63),$I$2:$I$313,,0)))</f>
        <v>Miika Nordblad</v>
      </c>
      <c r="BV63" s="1" t="str" cm="1">
        <f t="array" ref="BV63">IF($I63="","",IF($B63=1,"",IF($B63=2,_xlfn.XLOOKUP(1,($B$2:$B$313=1)*($BO$2:$BO$313=1),$I$2:$I$313,,0),_xlfn.XLOOKUP($B63-1,$B$2:$B$313,$CH$2:$CH$313,,0))))</f>
        <v>Ossi Oksa</v>
      </c>
      <c r="BW63" s="1" t="str" cm="1">
        <f t="array" ref="BW63">IF($I63="","",IF($B63=1,"",IF(_xlfn.XLOOKUP(1,($B$2:$B$313=$B63)*($I$2:$I$313=$BV63),$BQ$2:$BQ$313,,0)="","NOK","OK")))</f>
        <v>NOK</v>
      </c>
      <c r="BX63" s="1" t="str">
        <f t="shared" si="49"/>
        <v>Mika Sola</v>
      </c>
      <c r="BY63" s="1" t="str">
        <f t="shared" si="50"/>
        <v>Miika Nordblad</v>
      </c>
      <c r="BZ63" s="1">
        <f t="shared" si="51"/>
        <v>127</v>
      </c>
      <c r="CA63" s="1">
        <f t="shared" si="52"/>
        <v>118</v>
      </c>
      <c r="CB63" s="1">
        <f t="shared" si="53"/>
        <v>9.8999999999999994E-5</v>
      </c>
      <c r="CC63" s="1">
        <f t="shared" si="54"/>
        <v>158</v>
      </c>
      <c r="CD63" s="1">
        <f t="shared" si="55"/>
        <v>123</v>
      </c>
      <c r="CE63" s="1">
        <f t="shared" si="56"/>
        <v>9.8999999999999994E-5</v>
      </c>
      <c r="CF63" s="1" t="str">
        <f t="shared" si="57"/>
        <v>Mika Sola (2)</v>
      </c>
      <c r="CG63" s="1" t="str">
        <f t="shared" si="58"/>
        <v>Miika Nordblad (3)</v>
      </c>
      <c r="CH63" s="1" t="str">
        <f t="shared" si="59"/>
        <v>Miika Nordblad</v>
      </c>
      <c r="CI63" s="1">
        <f t="shared" si="60"/>
        <v>0</v>
      </c>
      <c r="CJ63" s="1" t="str">
        <f ca="1">IF(B63="","",IF(SUM(AI63:AK63)&gt;0,"+SP","")&amp;IF(CI63&gt;0,"+KK","")&amp;IF(AB63&gt;0,"+KGP1","")&amp;IF(AC63&gt;0,"+KGP2","")&amp;IF(AG63&lt;0,"-KGP1","")&amp;IF(AH63&lt;0,"-KGP2",""))</f>
        <v>+SP</v>
      </c>
    </row>
    <row r="64" spans="1:88" x14ac:dyDescent="0.25">
      <c r="A64" s="1">
        <f>IFERROR(IF(ROW(A63)=1,1,IF(1+A63&lt;=$CP$1*$CP$2,1+A63,"")),"")</f>
        <v>63</v>
      </c>
      <c r="B64" s="1">
        <f>IF($I64="","",IF(ROW(B63)=1,1,ROUNDUP(A64/$CP$2,0)))</f>
        <v>4</v>
      </c>
      <c r="C64" s="4">
        <f t="shared" si="7"/>
        <v>45620</v>
      </c>
      <c r="D64" s="4" t="str">
        <f t="shared" si="0"/>
        <v>Kupittaan keilahalli</v>
      </c>
      <c r="E64" s="1">
        <f>IF($B64="","",COUNTIF($B$2:B64,B64))</f>
        <v>9</v>
      </c>
      <c r="F64" s="1" t="str">
        <f t="shared" si="1"/>
        <v>K2024GP04</v>
      </c>
      <c r="G64" s="1" t="str">
        <f t="shared" si="8"/>
        <v>K2024GP04_9</v>
      </c>
      <c r="H64" s="1">
        <f t="shared" si="9"/>
        <v>1</v>
      </c>
      <c r="I64" s="3" t="s">
        <v>128</v>
      </c>
      <c r="J64" s="3">
        <v>164</v>
      </c>
      <c r="K64" s="3">
        <v>115</v>
      </c>
      <c r="L64" s="1">
        <f t="shared" si="10"/>
        <v>279</v>
      </c>
      <c r="M64" s="1">
        <f t="shared" si="11"/>
        <v>1</v>
      </c>
      <c r="N64" s="1">
        <f t="shared" si="12"/>
        <v>7</v>
      </c>
      <c r="O64" s="1">
        <f t="shared" si="13"/>
        <v>279</v>
      </c>
      <c r="P64" s="1">
        <f t="shared" si="14"/>
        <v>107</v>
      </c>
      <c r="Q64" s="1">
        <f t="array" ref="Q64">IF($B64="","",IF(MAX(IF(B64=$B$2:$B$313,$L$2:$L$313))-L64=0,"",MAX(IF(B64=$B$2:$B$313,$L$2:$L$313))-L64))</f>
        <v>107</v>
      </c>
      <c r="R64" s="1">
        <f t="array" ref="R64">IF($B64="","",SUMPRODUCT(--($B$2:$B$313=B64),--(L64&lt;$L$2:$L$313))+1)</f>
        <v>7</v>
      </c>
      <c r="S64" s="1">
        <f t="shared" si="15"/>
        <v>2</v>
      </c>
      <c r="T64" s="1" cm="1">
        <f t="array" ref="T64">IF($B64="","",IF(M64=0,"",SUMPRODUCT(--($B$2:$B$313=B64),--(J64&lt;$J$2:$J$313))+1))</f>
        <v>4</v>
      </c>
      <c r="U64" s="1">
        <f t="shared" si="16"/>
        <v>3</v>
      </c>
      <c r="V64" s="1" t="str">
        <f t="shared" si="17"/>
        <v>0407</v>
      </c>
      <c r="W64" s="1">
        <f t="shared" si="18"/>
        <v>1</v>
      </c>
      <c r="X64" s="1">
        <f t="shared" si="2"/>
        <v>0</v>
      </c>
      <c r="Y64" s="1">
        <f>IF($B64="","",MAX(_xlfn.MAXIFS($J$2:J64,$I$2:I64,$I64),_xlfn.MAXIFS($K$2:K64,$I$2:I64,$I64)))</f>
        <v>164</v>
      </c>
      <c r="Z64" s="1">
        <f t="shared" si="3"/>
        <v>196</v>
      </c>
      <c r="AA64" s="1">
        <f t="shared" si="19"/>
        <v>0</v>
      </c>
      <c r="AB64" s="1">
        <f t="shared" si="20"/>
        <v>0</v>
      </c>
      <c r="AC64" s="1">
        <f t="shared" si="21"/>
        <v>0</v>
      </c>
      <c r="AD64" s="1">
        <f>IF($B64="","",MIN(_xlfn.MINIFS($J$2:J64,$I$2:I64,$I64),_xlfn.MINIFS($K$2:K64,$I$2:I64,$I64)))</f>
        <v>114</v>
      </c>
      <c r="AE64" s="1">
        <f t="shared" si="22"/>
        <v>72</v>
      </c>
      <c r="AF64" s="1">
        <f t="shared" si="23"/>
        <v>0</v>
      </c>
      <c r="AG64" s="1">
        <f t="shared" si="24"/>
        <v>0</v>
      </c>
      <c r="AH64" s="1">
        <f t="shared" si="25"/>
        <v>0</v>
      </c>
      <c r="AI64" s="1">
        <f ca="1">IF($B64="","",IF($K64="",0,OFFSET($CO$17,R64,W64)))</f>
        <v>4</v>
      </c>
      <c r="AJ64" s="1">
        <f t="shared" ca="1" si="26"/>
        <v>0</v>
      </c>
      <c r="AK64" s="1">
        <f ca="1">IF(AJ64="","",IF(AJ64=0,0,IF(W64=1,0,SUM(OFFSET($CO$17,N64,1):OFFSET($CO$17,N64+W64-2,1))/W64)))</f>
        <v>0</v>
      </c>
      <c r="AL64" s="1">
        <f t="shared" ca="1" si="27"/>
        <v>4</v>
      </c>
      <c r="AM64" s="1">
        <f ca="1">IF($B64="","",SUMIFS($AL$2:AL64,$I$2:I64,$I64))</f>
        <v>21</v>
      </c>
      <c r="AN64" s="1">
        <f t="shared" si="28"/>
        <v>7.0000629999999999</v>
      </c>
      <c r="AO64" s="1">
        <f>IFERROR(IF($B64="","",AVERAGEIFS($L$2:L64,$I$2:I64,I64,$L$2:L64,"&lt;&gt;0")),0)</f>
        <v>257.75</v>
      </c>
      <c r="AP64" s="1">
        <f t="shared" si="29"/>
        <v>128.875</v>
      </c>
      <c r="AQ64" s="1">
        <f>IF($B64="","",COUNTIFS($R$2:R64,1,$I$2:I64,$I64))</f>
        <v>1</v>
      </c>
      <c r="AR64" s="1">
        <f t="array" aca="1" ref="AR64" ca="1">IF($B64="","",SUMPRODUCT(--($B$2:$B$313=B64),--(AM64&lt;$AM$2:$AM$313))+1)</f>
        <v>5</v>
      </c>
      <c r="AS64" s="1">
        <f t="array" ref="AS64">IF($B64="","",SUMPRODUCT(--($B$2:$B$313=B64),--(AP64&lt;$AP$2:$AP$313))+1)</f>
        <v>10</v>
      </c>
      <c r="AT64" s="1">
        <f t="array" ref="AT64">IF($B64="","",SUMPRODUCT(--($B$2:$B$313=B64),--(AQ64&lt;$AQ$2:$AQ$313))+1)</f>
        <v>1</v>
      </c>
      <c r="AU64" s="1">
        <f t="shared" si="30"/>
        <v>6.2999999999999995E-8</v>
      </c>
      <c r="AV64" s="1">
        <f t="shared" ca="1" si="31"/>
        <v>5.1001063000000006E-2</v>
      </c>
      <c r="AW64" s="1" t="str">
        <f t="shared" si="4"/>
        <v/>
      </c>
      <c r="AX64" s="1" t="str">
        <f t="shared" si="32"/>
        <v/>
      </c>
      <c r="AY64" s="8">
        <f t="shared" ca="1" si="33"/>
        <v>5.1001063000000006E-2</v>
      </c>
      <c r="AZ64" s="1" cm="1">
        <f t="array" aca="1" ref="AZ64" ca="1">IF($B64="","",SUMPRODUCT(--($B$2:$B$313=B64),--(AY64&gt;$AY$2:$AY$313))+1)</f>
        <v>5</v>
      </c>
      <c r="BA64" s="1" t="str">
        <f t="shared" si="34"/>
        <v>K2024GP04_9_1</v>
      </c>
      <c r="BB64" s="1" t="str">
        <f t="shared" si="35"/>
        <v>K2024GP04_9_2</v>
      </c>
      <c r="BC64" s="1">
        <f t="shared" si="36"/>
        <v>0</v>
      </c>
      <c r="BD64" s="1">
        <f t="shared" si="37"/>
        <v>0</v>
      </c>
      <c r="BE64" s="1">
        <f t="shared" si="38"/>
        <v>1</v>
      </c>
      <c r="BF64" s="1">
        <f t="shared" si="39"/>
        <v>164</v>
      </c>
      <c r="BG64" s="1">
        <f t="shared" si="40"/>
        <v>115</v>
      </c>
      <c r="BH64" s="1">
        <f t="shared" si="41"/>
        <v>4</v>
      </c>
      <c r="BI64" s="1">
        <f t="shared" si="42"/>
        <v>10</v>
      </c>
      <c r="BJ64" s="1">
        <f t="shared" si="43"/>
        <v>4.1000000000000002E-2</v>
      </c>
      <c r="BK64" s="1">
        <f t="shared" si="44"/>
        <v>0</v>
      </c>
      <c r="BL64" s="1">
        <f t="shared" si="45"/>
        <v>9.8999999999999994E-5</v>
      </c>
      <c r="BM64" s="1">
        <f t="shared" si="46"/>
        <v>4.1099000000000004E-2</v>
      </c>
      <c r="BN64" s="1">
        <f t="shared" si="47"/>
        <v>0</v>
      </c>
      <c r="BO64" s="1">
        <f t="shared" si="5"/>
        <v>4</v>
      </c>
      <c r="BP64" s="1">
        <f t="shared" si="6"/>
        <v>0</v>
      </c>
      <c r="BQ64" s="1" cm="1">
        <f t="array" ref="BQ64">IF(I64="","",IF(BP64=1,"",IF(L64=0,"",IF(B64=1,"",_xlfn.XLOOKUP(1,($I$2:$I$313=$I64)*($B$2:$B$313=($B64-1)),$BO$2:$BO$313)))))</f>
        <v>10</v>
      </c>
      <c r="BR64" s="1">
        <f>IF(I64="","",IF($B64=1,_xlfn.MINIFS($BO$2:$BO$313,$B$2:$B$313,$B64),_xlfn.MINIFS(BQ$2:$BQ$313,$B$2:$B$313,$B64)))</f>
        <v>2</v>
      </c>
      <c r="BS64" s="1">
        <f t="shared" si="48"/>
        <v>3</v>
      </c>
      <c r="BT64" s="1" t="str" cm="1">
        <f t="array" ref="BT64">IF($I64="","",IF($B64=1,_xlfn.XLOOKUP(1,($B$2:$B$313=$B64)*($BO$2:$BO$313=BR64),Data!$I$2:$I$313,,0),_xlfn.XLOOKUP(1,($B$2:$B$313=$B64)*($BQ$2:$BQ$313=$BR64),$I$2:$I$313,,0)))</f>
        <v>Mika Sola</v>
      </c>
      <c r="BU64" s="1" t="str" cm="1">
        <f t="array" ref="BU64">IF(I64="","",IF($B64=1,_xlfn.XLOOKUP(1,($B$2:$B$313=$B64)*($BO$2:$BO$313=$BS64),$I$2:$I$313,,0),_xlfn.XLOOKUP(1,($B$2:$B$313=$B64)*($BQ$2:$BQ$313=$BS64),$I$2:$I$313,,0)))</f>
        <v>Miika Nordblad</v>
      </c>
      <c r="BV64" s="1" t="str" cm="1">
        <f t="array" ref="BV64">IF($I64="","",IF($B64=1,"",IF($B64=2,_xlfn.XLOOKUP(1,($B$2:$B$313=1)*($BO$2:$BO$313=1),$I$2:$I$313,,0),_xlfn.XLOOKUP($B64-1,$B$2:$B$313,$CH$2:$CH$313,,0))))</f>
        <v>Ossi Oksa</v>
      </c>
      <c r="BW64" s="1" t="str" cm="1">
        <f t="array" ref="BW64">IF($I64="","",IF($B64=1,"",IF(_xlfn.XLOOKUP(1,($B$2:$B$313=$B64)*($I$2:$I$313=$BV64),$BQ$2:$BQ$313,,0)="","NOK","OK")))</f>
        <v>NOK</v>
      </c>
      <c r="BX64" s="1" t="str">
        <f t="shared" si="49"/>
        <v>Mika Sola</v>
      </c>
      <c r="BY64" s="1" t="str">
        <f t="shared" si="50"/>
        <v>Miika Nordblad</v>
      </c>
      <c r="BZ64" s="1">
        <f t="shared" si="51"/>
        <v>127</v>
      </c>
      <c r="CA64" s="1">
        <f t="shared" si="52"/>
        <v>118</v>
      </c>
      <c r="CB64" s="1">
        <f t="shared" si="53"/>
        <v>9.8999999999999994E-5</v>
      </c>
      <c r="CC64" s="1">
        <f t="shared" si="54"/>
        <v>158</v>
      </c>
      <c r="CD64" s="1">
        <f t="shared" si="55"/>
        <v>123</v>
      </c>
      <c r="CE64" s="1">
        <f t="shared" si="56"/>
        <v>9.8999999999999994E-5</v>
      </c>
      <c r="CF64" s="1" t="str">
        <f t="shared" si="57"/>
        <v>Mika Sola (2)</v>
      </c>
      <c r="CG64" s="1" t="str">
        <f t="shared" si="58"/>
        <v>Miika Nordblad (3)</v>
      </c>
      <c r="CH64" s="1" t="str">
        <f t="shared" si="59"/>
        <v>Miika Nordblad</v>
      </c>
      <c r="CI64" s="1">
        <f t="shared" si="60"/>
        <v>0</v>
      </c>
      <c r="CJ64" s="1" t="str">
        <f ca="1">IF(B64="","",IF(SUM(AI64:AK64)&gt;0,"+SP","")&amp;IF(CI64&gt;0,"+KK","")&amp;IF(AB64&gt;0,"+KGP1","")&amp;IF(AC64&gt;0,"+KGP2","")&amp;IF(AG64&lt;0,"-KGP1","")&amp;IF(AH64&lt;0,"-KGP2",""))</f>
        <v>+SP</v>
      </c>
    </row>
    <row r="65" spans="1:109" x14ac:dyDescent="0.25">
      <c r="A65" s="1">
        <f>IFERROR(IF(ROW(A64)=1,1,IF(1+A64&lt;=$CP$1*$CP$2,1+A64,"")),"")</f>
        <v>64</v>
      </c>
      <c r="B65" s="1">
        <f>IF($I65="","",IF(ROW(B64)=1,1,ROUNDUP(A65/$CP$2,0)))</f>
        <v>4</v>
      </c>
      <c r="C65" s="4">
        <f t="shared" si="7"/>
        <v>45620</v>
      </c>
      <c r="D65" s="4" t="str">
        <f t="shared" si="0"/>
        <v>Kupittaan keilahalli</v>
      </c>
      <c r="E65" s="1">
        <f>IF($B65="","",COUNTIF($B$2:B65,B65))</f>
        <v>10</v>
      </c>
      <c r="F65" s="1" t="str">
        <f t="shared" si="1"/>
        <v>K2024GP04</v>
      </c>
      <c r="G65" s="1" t="str">
        <f t="shared" si="8"/>
        <v>K2024GP04_10</v>
      </c>
      <c r="H65" s="1">
        <f t="shared" si="9"/>
        <v>1</v>
      </c>
      <c r="I65" s="3" t="s">
        <v>134</v>
      </c>
      <c r="J65" s="3">
        <v>196</v>
      </c>
      <c r="K65" s="3">
        <v>190</v>
      </c>
      <c r="L65" s="1">
        <f t="shared" si="10"/>
        <v>386</v>
      </c>
      <c r="M65" s="1">
        <f t="shared" si="11"/>
        <v>1</v>
      </c>
      <c r="N65" s="1">
        <f t="shared" si="12"/>
        <v>1</v>
      </c>
      <c r="O65" s="1">
        <f t="shared" si="13"/>
        <v>386</v>
      </c>
      <c r="P65" s="1" t="str">
        <f t="shared" si="14"/>
        <v/>
      </c>
      <c r="Q65" s="1" t="str">
        <f t="array" ref="Q65">IF($B65="","",IF(MAX(IF(B65=$B$2:$B$313,$L$2:$L$313))-L65=0,"",MAX(IF(B65=$B$2:$B$313,$L$2:$L$313))-L65))</f>
        <v/>
      </c>
      <c r="R65" s="1">
        <f t="array" ref="R65">IF($B65="","",SUMPRODUCT(--($B$2:$B$313=B65),--(L65&lt;$L$2:$L$313))+1)</f>
        <v>1</v>
      </c>
      <c r="S65" s="1">
        <f t="shared" si="15"/>
        <v>2</v>
      </c>
      <c r="T65" s="1" cm="1">
        <f t="array" ref="T65">IF($B65="","",IF(M65=0,"",SUMPRODUCT(--($B$2:$B$313=B65),--(J65&lt;$J$2:$J$313))+1))</f>
        <v>1</v>
      </c>
      <c r="U65" s="1">
        <f t="shared" si="16"/>
        <v>0</v>
      </c>
      <c r="V65" s="1" t="str">
        <f t="shared" si="17"/>
        <v>0401</v>
      </c>
      <c r="W65" s="1">
        <f t="shared" si="18"/>
        <v>1</v>
      </c>
      <c r="X65" s="1">
        <f t="shared" si="2"/>
        <v>0</v>
      </c>
      <c r="Y65" s="1">
        <f>IF($B65="","",MAX(_xlfn.MAXIFS($J$2:J65,$I$2:I65,$I65),_xlfn.MAXIFS($K$2:K65,$I$2:I65,$I65)))</f>
        <v>196</v>
      </c>
      <c r="Z65" s="1">
        <f t="shared" si="3"/>
        <v>196</v>
      </c>
      <c r="AA65" s="1">
        <f t="shared" si="19"/>
        <v>0</v>
      </c>
      <c r="AB65" s="1">
        <f t="shared" si="20"/>
        <v>0</v>
      </c>
      <c r="AC65" s="1">
        <f t="shared" si="21"/>
        <v>0</v>
      </c>
      <c r="AD65" s="1">
        <f>IF($B65="","",MIN(_xlfn.MINIFS($J$2:J65,$I$2:I65,$I65),_xlfn.MINIFS($K$2:K65,$I$2:I65,$I65)))</f>
        <v>97</v>
      </c>
      <c r="AE65" s="1">
        <f t="shared" si="22"/>
        <v>72</v>
      </c>
      <c r="AF65" s="1">
        <f t="shared" si="23"/>
        <v>0</v>
      </c>
      <c r="AG65" s="1">
        <f t="shared" si="24"/>
        <v>0</v>
      </c>
      <c r="AH65" s="1">
        <f t="shared" si="25"/>
        <v>0</v>
      </c>
      <c r="AI65" s="1">
        <f ca="1">IF($B65="","",IF($K65="",0,OFFSET($CO$17,R65,W65)))</f>
        <v>12</v>
      </c>
      <c r="AJ65" s="1">
        <f t="shared" ca="1" si="26"/>
        <v>0</v>
      </c>
      <c r="AK65" s="1">
        <f ca="1">IF(AJ65="","",IF(AJ65=0,0,IF(W65=1,0,SUM(OFFSET($CO$17,N65,1):OFFSET($CO$17,N65+W65-2,1))/W65)))</f>
        <v>0</v>
      </c>
      <c r="AL65" s="1">
        <f t="shared" ca="1" si="27"/>
        <v>12</v>
      </c>
      <c r="AM65" s="1">
        <f ca="1">IF($B65="","",SUMIFS($AL$2:AL65,$I$2:I65,$I65))</f>
        <v>28</v>
      </c>
      <c r="AN65" s="1">
        <f t="shared" si="28"/>
        <v>1.0000640000000001</v>
      </c>
      <c r="AO65" s="1">
        <f>IFERROR(IF($B65="","",AVERAGEIFS($L$2:L65,$I$2:I65,I65,$L$2:L65,"&lt;&gt;0")),0)</f>
        <v>298.25</v>
      </c>
      <c r="AP65" s="1">
        <f t="shared" si="29"/>
        <v>149.125</v>
      </c>
      <c r="AQ65" s="1">
        <f>IF($B65="","",COUNTIFS($R$2:R65,1,$I$2:I65,$I65))</f>
        <v>1</v>
      </c>
      <c r="AR65" s="1">
        <f t="array" aca="1" ref="AR65" ca="1">IF($B65="","",SUMPRODUCT(--($B$2:$B$313=B65),--(AM65&lt;$AM$2:$AM$313))+1)</f>
        <v>1</v>
      </c>
      <c r="AS65" s="1">
        <f t="array" ref="AS65">IF($B65="","",SUMPRODUCT(--($B$2:$B$313=B65),--(AP65&lt;$AP$2:$AP$313))+1)</f>
        <v>3</v>
      </c>
      <c r="AT65" s="1">
        <f t="array" ref="AT65">IF($B65="","",SUMPRODUCT(--($B$2:$B$313=B65),--(AQ65&lt;$AQ$2:$AQ$313))+1)</f>
        <v>1</v>
      </c>
      <c r="AU65" s="1">
        <f t="shared" si="30"/>
        <v>6.4000000000000004E-8</v>
      </c>
      <c r="AV65" s="1">
        <f t="shared" ca="1" si="31"/>
        <v>1.0301063999999999E-2</v>
      </c>
      <c r="AW65" s="1" t="str">
        <f t="shared" si="4"/>
        <v/>
      </c>
      <c r="AX65" s="1" t="str">
        <f t="shared" si="32"/>
        <v/>
      </c>
      <c r="AY65" s="8">
        <f t="shared" ca="1" si="33"/>
        <v>1.0301063999999999E-2</v>
      </c>
      <c r="AZ65" s="1" cm="1">
        <f t="array" aca="1" ref="AZ65" ca="1">IF($B65="","",SUMPRODUCT(--($B$2:$B$313=B65),--(AY65&gt;$AY$2:$AY$313))+1)</f>
        <v>1</v>
      </c>
      <c r="BA65" s="1" t="str">
        <f t="shared" si="34"/>
        <v>K2024GP04_10_1</v>
      </c>
      <c r="BB65" s="1" t="str">
        <f t="shared" si="35"/>
        <v>K2024GP04_10_2</v>
      </c>
      <c r="BC65" s="1">
        <f t="shared" si="36"/>
        <v>1</v>
      </c>
      <c r="BD65" s="1">
        <f t="shared" si="37"/>
        <v>1</v>
      </c>
      <c r="BE65" s="1">
        <f t="shared" si="38"/>
        <v>1</v>
      </c>
      <c r="BF65" s="1">
        <f t="shared" si="39"/>
        <v>196</v>
      </c>
      <c r="BG65" s="1">
        <f t="shared" si="40"/>
        <v>190</v>
      </c>
      <c r="BH65" s="1">
        <f t="shared" si="41"/>
        <v>1</v>
      </c>
      <c r="BI65" s="1">
        <f t="shared" si="42"/>
        <v>1</v>
      </c>
      <c r="BJ65" s="1">
        <f t="shared" si="43"/>
        <v>1.01E-2</v>
      </c>
      <c r="BK65" s="1">
        <f t="shared" si="44"/>
        <v>0</v>
      </c>
      <c r="BL65" s="1">
        <f t="shared" si="45"/>
        <v>9.8999999999999994E-5</v>
      </c>
      <c r="BM65" s="1">
        <f t="shared" si="46"/>
        <v>1.0199E-2</v>
      </c>
      <c r="BN65" s="1">
        <f t="shared" si="47"/>
        <v>0</v>
      </c>
      <c r="BO65" s="1">
        <f t="shared" si="5"/>
        <v>1</v>
      </c>
      <c r="BP65" s="1">
        <f t="shared" si="6"/>
        <v>0</v>
      </c>
      <c r="BQ65" s="1" cm="1">
        <f t="array" ref="BQ65">IF(I65="","",IF(BP65=1,"",IF(L65=0,"",IF(B65=1,"",_xlfn.XLOOKUP(1,($I$2:$I$313=$I65)*($B$2:$B$313=($B65-1)),$BO$2:$BO$313)))))</f>
        <v>4</v>
      </c>
      <c r="BR65" s="1">
        <f>IF(I65="","",IF($B65=1,_xlfn.MINIFS($BO$2:$BO$313,$B$2:$B$313,$B65),_xlfn.MINIFS(BQ$2:$BQ$313,$B$2:$B$313,$B65)))</f>
        <v>2</v>
      </c>
      <c r="BS65" s="1">
        <f t="shared" si="48"/>
        <v>3</v>
      </c>
      <c r="BT65" s="1" t="str" cm="1">
        <f t="array" ref="BT65">IF($I65="","",IF($B65=1,_xlfn.XLOOKUP(1,($B$2:$B$313=$B65)*($BO$2:$BO$313=BR65),Data!$I$2:$I$313,,0),_xlfn.XLOOKUP(1,($B$2:$B$313=$B65)*($BQ$2:$BQ$313=$BR65),$I$2:$I$313,,0)))</f>
        <v>Mika Sola</v>
      </c>
      <c r="BU65" s="1" t="str" cm="1">
        <f t="array" ref="BU65">IF(I65="","",IF($B65=1,_xlfn.XLOOKUP(1,($B$2:$B$313=$B65)*($BO$2:$BO$313=$BS65),$I$2:$I$313,,0),_xlfn.XLOOKUP(1,($B$2:$B$313=$B65)*($BQ$2:$BQ$313=$BS65),$I$2:$I$313,,0)))</f>
        <v>Miika Nordblad</v>
      </c>
      <c r="BV65" s="1" t="str" cm="1">
        <f t="array" ref="BV65">IF($I65="","",IF($B65=1,"",IF($B65=2,_xlfn.XLOOKUP(1,($B$2:$B$313=1)*($BO$2:$BO$313=1),$I$2:$I$313,,0),_xlfn.XLOOKUP($B65-1,$B$2:$B$313,$CH$2:$CH$313,,0))))</f>
        <v>Ossi Oksa</v>
      </c>
      <c r="BW65" s="1" t="str" cm="1">
        <f t="array" ref="BW65">IF($I65="","",IF($B65=1,"",IF(_xlfn.XLOOKUP(1,($B$2:$B$313=$B65)*($I$2:$I$313=$BV65),$BQ$2:$BQ$313,,0)="","NOK","OK")))</f>
        <v>NOK</v>
      </c>
      <c r="BX65" s="1" t="str">
        <f t="shared" si="49"/>
        <v>Mika Sola</v>
      </c>
      <c r="BY65" s="1" t="str">
        <f t="shared" si="50"/>
        <v>Miika Nordblad</v>
      </c>
      <c r="BZ65" s="1">
        <f t="shared" si="51"/>
        <v>127</v>
      </c>
      <c r="CA65" s="1">
        <f t="shared" si="52"/>
        <v>118</v>
      </c>
      <c r="CB65" s="1">
        <f t="shared" si="53"/>
        <v>9.8999999999999994E-5</v>
      </c>
      <c r="CC65" s="1">
        <f t="shared" si="54"/>
        <v>158</v>
      </c>
      <c r="CD65" s="1">
        <f t="shared" si="55"/>
        <v>123</v>
      </c>
      <c r="CE65" s="1">
        <f t="shared" si="56"/>
        <v>9.8999999999999994E-5</v>
      </c>
      <c r="CF65" s="1" t="str">
        <f t="shared" si="57"/>
        <v>Mika Sola (2)</v>
      </c>
      <c r="CG65" s="1" t="str">
        <f t="shared" si="58"/>
        <v>Miika Nordblad (3)</v>
      </c>
      <c r="CH65" s="1" t="str">
        <f t="shared" si="59"/>
        <v>Miika Nordblad</v>
      </c>
      <c r="CI65" s="1">
        <f t="shared" si="60"/>
        <v>0</v>
      </c>
      <c r="CJ65" s="1" t="str">
        <f ca="1">IF(B65="","",IF(SUM(AI65:AK65)&gt;0,"+SP","")&amp;IF(CI65&gt;0,"+KK","")&amp;IF(AB65&gt;0,"+KGP1","")&amp;IF(AC65&gt;0,"+KGP2","")&amp;IF(AG65&lt;0,"-KGP1","")&amp;IF(AH65&lt;0,"-KGP2",""))</f>
        <v>+SP</v>
      </c>
    </row>
    <row r="66" spans="1:109" x14ac:dyDescent="0.25">
      <c r="A66" s="1">
        <f>IFERROR(IF(ROW(A65)=1,1,IF(1+A65&lt;=$CP$1*$CP$2,1+A65,"")),"")</f>
        <v>65</v>
      </c>
      <c r="B66" s="1">
        <f>IF($I66="","",IF(ROW(B65)=1,1,ROUNDUP(A66/$CP$2,0)))</f>
        <v>4</v>
      </c>
      <c r="C66" s="4">
        <f t="shared" si="7"/>
        <v>45620</v>
      </c>
      <c r="D66" s="4" t="str">
        <f t="shared" ref="D66:D129" si="65">IF($B66="","",VLOOKUP($B66,kilpailukalenteri,4))</f>
        <v>Kupittaan keilahalli</v>
      </c>
      <c r="E66" s="1">
        <f>IF($B66="","",COUNTIF($B$2:B66,B66))</f>
        <v>11</v>
      </c>
      <c r="F66" s="1" t="str">
        <f t="shared" ref="F66:F129" si="66">IF($B66="","","K"&amp;kausi_id_nro&amp;"GP"&amp;IF(B66&lt;10,0,"")&amp;B66)</f>
        <v>K2024GP04</v>
      </c>
      <c r="G66" s="1" t="str">
        <f t="shared" si="8"/>
        <v>K2024GP04_11</v>
      </c>
      <c r="H66" s="1">
        <f t="shared" si="9"/>
        <v>1</v>
      </c>
      <c r="I66" s="3" t="s">
        <v>143</v>
      </c>
      <c r="J66" s="3">
        <v>158</v>
      </c>
      <c r="K66" s="3">
        <v>123</v>
      </c>
      <c r="L66" s="1">
        <f t="shared" si="10"/>
        <v>281</v>
      </c>
      <c r="M66" s="1">
        <f t="shared" si="11"/>
        <v>1</v>
      </c>
      <c r="N66" s="1">
        <f t="shared" si="12"/>
        <v>6</v>
      </c>
      <c r="O66" s="1">
        <f t="shared" si="13"/>
        <v>281</v>
      </c>
      <c r="P66" s="1">
        <f t="shared" si="14"/>
        <v>105</v>
      </c>
      <c r="Q66" s="1">
        <f t="array" ref="Q66">IF($B66="","",IF(MAX(IF(B66=$B$2:$B$313,$L$2:$L$313))-L66=0,"",MAX(IF(B66=$B$2:$B$313,$L$2:$L$313))-L66))</f>
        <v>105</v>
      </c>
      <c r="R66" s="1">
        <f t="array" ref="R66">IF($B66="","",SUMPRODUCT(--($B$2:$B$313=B66),--(L66&lt;$L$2:$L$313))+1)</f>
        <v>6</v>
      </c>
      <c r="S66" s="1">
        <f t="shared" si="15"/>
        <v>2</v>
      </c>
      <c r="T66" s="1" cm="1">
        <f t="array" ref="T66">IF($B66="","",IF(M66=0,"",SUMPRODUCT(--($B$2:$B$313=B66),--(J66&lt;$J$2:$J$313))+1))</f>
        <v>6</v>
      </c>
      <c r="U66" s="1">
        <f t="shared" si="16"/>
        <v>0</v>
      </c>
      <c r="V66" s="1" t="str">
        <f t="shared" si="17"/>
        <v>0406</v>
      </c>
      <c r="W66" s="1">
        <f t="shared" si="18"/>
        <v>1</v>
      </c>
      <c r="X66" s="1">
        <f t="shared" ref="X66:X129" si="67">IF($B66="","",IF(RIGHT(VLOOKUP(B66,kilpailukalenteri,4),1)="*",1,0))</f>
        <v>0</v>
      </c>
      <c r="Y66" s="1">
        <f>IF($B66="","",MAX(_xlfn.MAXIFS($J$2:J66,$I$2:I66,$I66),_xlfn.MAXIFS($K$2:K66,$I$2:I66,$I66)))</f>
        <v>176</v>
      </c>
      <c r="Z66" s="1">
        <f t="shared" si="3"/>
        <v>196</v>
      </c>
      <c r="AA66" s="1">
        <f t="shared" si="19"/>
        <v>0</v>
      </c>
      <c r="AB66" s="1">
        <f t="shared" si="20"/>
        <v>0</v>
      </c>
      <c r="AC66" s="1">
        <f t="shared" si="21"/>
        <v>0</v>
      </c>
      <c r="AD66" s="1">
        <f>IF($B66="","",MIN(_xlfn.MINIFS($J$2:J66,$I$2:I66,$I66),_xlfn.MINIFS($K$2:K66,$I$2:I66,$I66)))</f>
        <v>123</v>
      </c>
      <c r="AE66" s="1">
        <f t="shared" si="22"/>
        <v>72</v>
      </c>
      <c r="AF66" s="1">
        <f t="shared" si="23"/>
        <v>0</v>
      </c>
      <c r="AG66" s="1">
        <f t="shared" si="24"/>
        <v>0</v>
      </c>
      <c r="AH66" s="1">
        <f t="shared" si="25"/>
        <v>0</v>
      </c>
      <c r="AI66" s="1">
        <f ca="1">IF($B66="","",IF($K66="",0,OFFSET($CO$17,R66,W66)))</f>
        <v>5</v>
      </c>
      <c r="AJ66" s="1">
        <f t="shared" ca="1" si="26"/>
        <v>0</v>
      </c>
      <c r="AK66" s="1">
        <f ca="1">IF(AJ66="","",IF(AJ66=0,0,IF(W66=1,0,SUM(OFFSET($CO$17,N66,1):OFFSET($CO$17,N66+W66-2,1))/W66)))</f>
        <v>0</v>
      </c>
      <c r="AL66" s="1">
        <f t="shared" ca="1" si="27"/>
        <v>6</v>
      </c>
      <c r="AM66" s="1">
        <f ca="1">IF($B66="","",SUMIFS($AL$2:AL66,$I$2:I66,$I66))</f>
        <v>27</v>
      </c>
      <c r="AN66" s="1">
        <f t="shared" si="28"/>
        <v>6.0000650000000002</v>
      </c>
      <c r="AO66" s="1">
        <f>IFERROR(IF($B66="","",AVERAGEIFS($L$2:L66,$I$2:I66,I66,$L$2:L66,"&lt;&gt;0")),0)</f>
        <v>313.66666666666669</v>
      </c>
      <c r="AP66" s="1">
        <f t="shared" si="29"/>
        <v>156.83333333333334</v>
      </c>
      <c r="AQ66" s="1">
        <f>IF($B66="","",COUNTIFS($R$2:R66,1,$I$2:I66,$I66))</f>
        <v>1</v>
      </c>
      <c r="AR66" s="1">
        <f t="array" aca="1" ref="AR66" ca="1">IF($B66="","",SUMPRODUCT(--($B$2:$B$313=B66),--(AM66&lt;$AM$2:$AM$313))+1)</f>
        <v>2</v>
      </c>
      <c r="AS66" s="1">
        <f t="array" ref="AS66">IF($B66="","",SUMPRODUCT(--($B$2:$B$313=B66),--(AP66&lt;$AP$2:$AP$313))+1)</f>
        <v>2</v>
      </c>
      <c r="AT66" s="1">
        <f t="array" ref="AT66">IF($B66="","",SUMPRODUCT(--($B$2:$B$313=B66),--(AQ66&lt;$AQ$2:$AQ$313))+1)</f>
        <v>1</v>
      </c>
      <c r="AU66" s="1">
        <f t="shared" si="30"/>
        <v>6.5E-8</v>
      </c>
      <c r="AV66" s="1">
        <f t="shared" ca="1" si="31"/>
        <v>2.0201065000000001E-2</v>
      </c>
      <c r="AW66" s="1" t="str">
        <f t="shared" ref="AW66:AW129" si="68">IF($B66="","",IF($B66=keilatut,$AV66,""))</f>
        <v/>
      </c>
      <c r="AX66" s="1" t="str">
        <f t="shared" si="32"/>
        <v/>
      </c>
      <c r="AY66" s="8">
        <f t="shared" ca="1" si="33"/>
        <v>2.0201065000000001E-2</v>
      </c>
      <c r="AZ66" s="1" cm="1">
        <f t="array" aca="1" ref="AZ66" ca="1">IF($B66="","",SUMPRODUCT(--($B$2:$B$313=B66),--(AY66&gt;$AY$2:$AY$313))+1)</f>
        <v>2</v>
      </c>
      <c r="BA66" s="1" t="str">
        <f t="shared" si="34"/>
        <v>K2024GP04_11_1</v>
      </c>
      <c r="BB66" s="1" t="str">
        <f t="shared" si="35"/>
        <v>K2024GP04_11_2</v>
      </c>
      <c r="BC66" s="1">
        <f t="shared" si="36"/>
        <v>0</v>
      </c>
      <c r="BD66" s="1">
        <f t="shared" si="37"/>
        <v>0</v>
      </c>
      <c r="BE66" s="1">
        <f t="shared" si="38"/>
        <v>1</v>
      </c>
      <c r="BF66" s="1">
        <f t="shared" si="39"/>
        <v>158</v>
      </c>
      <c r="BG66" s="1">
        <f t="shared" si="40"/>
        <v>123</v>
      </c>
      <c r="BH66" s="1">
        <f t="shared" si="41"/>
        <v>6</v>
      </c>
      <c r="BI66" s="1">
        <f t="shared" si="42"/>
        <v>7</v>
      </c>
      <c r="BJ66" s="1">
        <f t="shared" si="43"/>
        <v>6.0699999999999997E-2</v>
      </c>
      <c r="BK66" s="1">
        <f t="shared" si="44"/>
        <v>0</v>
      </c>
      <c r="BL66" s="1">
        <f t="shared" si="45"/>
        <v>9.8999999999999994E-5</v>
      </c>
      <c r="BM66" s="1">
        <f t="shared" si="46"/>
        <v>6.0798999999999999E-2</v>
      </c>
      <c r="BN66" s="1">
        <f t="shared" si="47"/>
        <v>0</v>
      </c>
      <c r="BO66" s="1">
        <f t="shared" ref="BO66:BO129" si="69">IF(I66="","",COUNTIFS($B$2:$B$313,$B66,$BM$2:$BM$313,"&lt;"&amp;BM66)+1)</f>
        <v>6</v>
      </c>
      <c r="BP66" s="1">
        <f t="shared" ref="BP66:BP129" si="70">IF(I66="","",0)</f>
        <v>0</v>
      </c>
      <c r="BQ66" s="1" cm="1">
        <f t="array" ref="BQ66">IF(I66="","",IF(BP66=1,"",IF(L66=0,"",IF(B66=1,"",_xlfn.XLOOKUP(1,($I$2:$I$313=$I66)*($B$2:$B$313=($B66-1)),$BO$2:$BO$313)))))</f>
        <v>3</v>
      </c>
      <c r="BR66" s="1">
        <f>IF(I66="","",IF($B66=1,_xlfn.MINIFS($BO$2:$BO$313,$B$2:$B$313,$B66),_xlfn.MINIFS(BQ$2:$BQ$313,$B$2:$B$313,$B66)))</f>
        <v>2</v>
      </c>
      <c r="BS66" s="1">
        <f t="shared" si="48"/>
        <v>3</v>
      </c>
      <c r="BT66" s="1" t="str" cm="1">
        <f t="array" ref="BT66">IF($I66="","",IF($B66=1,_xlfn.XLOOKUP(1,($B$2:$B$313=$B66)*($BO$2:$BO$313=BR66),Data!$I$2:$I$313,,0),_xlfn.XLOOKUP(1,($B$2:$B$313=$B66)*($BQ$2:$BQ$313=$BR66),$I$2:$I$313,,0)))</f>
        <v>Mika Sola</v>
      </c>
      <c r="BU66" s="1" t="str" cm="1">
        <f t="array" ref="BU66">IF(I66="","",IF($B66=1,_xlfn.XLOOKUP(1,($B$2:$B$313=$B66)*($BO$2:$BO$313=$BS66),$I$2:$I$313,,0),_xlfn.XLOOKUP(1,($B$2:$B$313=$B66)*($BQ$2:$BQ$313=$BS66),$I$2:$I$313,,0)))</f>
        <v>Miika Nordblad</v>
      </c>
      <c r="BV66" s="1" t="str" cm="1">
        <f t="array" ref="BV66">IF($I66="","",IF($B66=1,"",IF($B66=2,_xlfn.XLOOKUP(1,($B$2:$B$313=1)*($BO$2:$BO$313=1),$I$2:$I$313,,0),_xlfn.XLOOKUP($B66-1,$B$2:$B$313,$CH$2:$CH$313,,0))))</f>
        <v>Ossi Oksa</v>
      </c>
      <c r="BW66" s="1" t="str" cm="1">
        <f t="array" ref="BW66">IF($I66="","",IF($B66=1,"",IF(_xlfn.XLOOKUP(1,($B$2:$B$313=$B66)*($I$2:$I$313=$BV66),$BQ$2:$BQ$313,,0)="","NOK","OK")))</f>
        <v>NOK</v>
      </c>
      <c r="BX66" s="1" t="str">
        <f t="shared" si="49"/>
        <v>Mika Sola</v>
      </c>
      <c r="BY66" s="1" t="str">
        <f t="shared" si="50"/>
        <v>Miika Nordblad</v>
      </c>
      <c r="BZ66" s="1">
        <f t="shared" si="51"/>
        <v>127</v>
      </c>
      <c r="CA66" s="1">
        <f t="shared" si="52"/>
        <v>118</v>
      </c>
      <c r="CB66" s="1">
        <f t="shared" si="53"/>
        <v>9.8999999999999994E-5</v>
      </c>
      <c r="CC66" s="1">
        <f t="shared" si="54"/>
        <v>158</v>
      </c>
      <c r="CD66" s="1">
        <f t="shared" si="55"/>
        <v>123</v>
      </c>
      <c r="CE66" s="1">
        <f t="shared" si="56"/>
        <v>9.8999999999999994E-5</v>
      </c>
      <c r="CF66" s="1" t="str">
        <f t="shared" si="57"/>
        <v>Mika Sola (2)</v>
      </c>
      <c r="CG66" s="1" t="str">
        <f t="shared" si="58"/>
        <v>Miika Nordblad (3)</v>
      </c>
      <c r="CH66" s="1" t="str">
        <f t="shared" si="59"/>
        <v>Miika Nordblad</v>
      </c>
      <c r="CI66" s="1">
        <f t="shared" si="60"/>
        <v>1</v>
      </c>
      <c r="CJ66" s="1" t="str">
        <f ca="1">IF(B66="","",IF(SUM(AI66:AK66)&gt;0,"+SP","")&amp;IF(CI66&gt;0,"+KK","")&amp;IF(AB66&gt;0,"+KGP1","")&amp;IF(AC66&gt;0,"+KGP2","")&amp;IF(AG66&lt;0,"-KGP1","")&amp;IF(AH66&lt;0,"-KGP2",""))</f>
        <v>+SP+KK</v>
      </c>
    </row>
    <row r="67" spans="1:109" x14ac:dyDescent="0.25">
      <c r="A67" s="1">
        <f>IFERROR(IF(ROW(A66)=1,1,IF(1+A66&lt;=$CP$1*$CP$2,1+A66,"")),"")</f>
        <v>66</v>
      </c>
      <c r="B67" s="1">
        <f>IF($I67="","",IF(ROW(B66)=1,1,ROUNDUP(A67/$CP$2,0)))</f>
        <v>4</v>
      </c>
      <c r="C67" s="4">
        <f t="shared" ref="C67:C130" si="71">IF(B67="","",VLOOKUP($B67,kilpailukalenteri,2))</f>
        <v>45620</v>
      </c>
      <c r="D67" s="4" t="str">
        <f t="shared" si="65"/>
        <v>Kupittaan keilahalli</v>
      </c>
      <c r="E67" s="1">
        <f>IF($B67="","",COUNTIF($B$2:B67,B67))</f>
        <v>12</v>
      </c>
      <c r="F67" s="1" t="str">
        <f t="shared" si="66"/>
        <v>K2024GP04</v>
      </c>
      <c r="G67" s="1" t="str">
        <f t="shared" ref="G67:G130" si="72">IF(F67="","",F67&amp;"_"&amp;E67)</f>
        <v>K2024GP04_12</v>
      </c>
      <c r="H67" s="1">
        <f t="shared" ref="H67:H130" si="73">COUNTIFS($I$2:$I$313,I67,$B$2:$B$313,B67)</f>
        <v>1</v>
      </c>
      <c r="I67" s="3" t="s">
        <v>127</v>
      </c>
      <c r="J67" s="3">
        <v>76</v>
      </c>
      <c r="K67" s="3">
        <v>72</v>
      </c>
      <c r="L67" s="1">
        <f t="shared" ref="L67:L130" si="74">IF($B67="","",J67+K67)</f>
        <v>148</v>
      </c>
      <c r="M67" s="1">
        <f t="shared" ref="M67:M130" si="75">IF($B67="","",IF($K67="",0,1))</f>
        <v>1</v>
      </c>
      <c r="N67" s="1">
        <f t="shared" ref="N67:N130" si="76">IF(B67="","",IF(M67=0,"",R67))</f>
        <v>14</v>
      </c>
      <c r="O67" s="1">
        <f t="shared" ref="O67:O130" si="77">IF(B67="","",IF(M67=0,"",L67))</f>
        <v>148</v>
      </c>
      <c r="P67" s="1">
        <f t="shared" ref="P67:P130" si="78">IF(B67="","",IF(M67=0,"",Q67))</f>
        <v>238</v>
      </c>
      <c r="Q67" s="1">
        <f t="array" ref="Q67">IF($B67="","",IF(MAX(IF(B67=$B$2:$B$313,$L$2:$L$313))-L67=0,"",MAX(IF(B67=$B$2:$B$313,$L$2:$L$313))-L67))</f>
        <v>238</v>
      </c>
      <c r="R67" s="1">
        <f t="array" ref="R67">IF($B67="","",SUMPRODUCT(--($B$2:$B$313=B67),--(L67&lt;$L$2:$L$313))+1)</f>
        <v>14</v>
      </c>
      <c r="S67" s="1">
        <f t="shared" ref="S67:S130" si="79">IF(B67="","",2*M67)</f>
        <v>2</v>
      </c>
      <c r="T67" s="1" cm="1">
        <f t="array" ref="T67">IF($B67="","",IF(M67=0,"",SUMPRODUCT(--($B$2:$B$313=B67),--(J67&lt;$J$2:$J$313))+1))</f>
        <v>14</v>
      </c>
      <c r="U67" s="1">
        <f t="shared" ref="U67:U130" si="80">IF(T67="","",N67-T67)</f>
        <v>0</v>
      </c>
      <c r="V67" s="1" t="str">
        <f t="shared" ref="V67:V130" si="81">IF($B67="","",IF(B67&lt;10,0,"")&amp;B67&amp;IF(R67&lt;10,0,"")&amp;R67)</f>
        <v>0414</v>
      </c>
      <c r="W67" s="1">
        <f t="shared" ref="W67:W130" si="82">IF($B67="","",COUNTIFS($L$2:$L$313,L67,$B$2:$B$313,B67))</f>
        <v>1</v>
      </c>
      <c r="X67" s="1">
        <f t="shared" si="67"/>
        <v>0</v>
      </c>
      <c r="Y67" s="1">
        <f>IF($B67="","",MAX(_xlfn.MAXIFS($J$2:J67,$I$2:I67,$I67),_xlfn.MAXIFS($K$2:K67,$I$2:I67,$I67)))</f>
        <v>117</v>
      </c>
      <c r="Z67" s="1">
        <f t="shared" ref="Z67:Z130" si="83">IF($B67="","",MAX(_xlfn.MAXIFS($J$2:$J$313,$B$2:$B$313,$B67),_xlfn.MAXIFS($K$2:$K$313,$B$2:$B$313,$B67)))</f>
        <v>196</v>
      </c>
      <c r="AA67" s="1">
        <f t="shared" ref="AA67:AA130" si="84">IF($B67="","",IF($X67=0,0,IF(MAX($J67:$K67)&gt;=$Z67,1,0)))</f>
        <v>0</v>
      </c>
      <c r="AB67" s="1">
        <f t="shared" ref="AB67:AB130" si="85">IF($B67="","",IF($AA67=0,0,1/SUMIFS($AA$2:$AA$313,$B$2:$B$313,$B67)))</f>
        <v>0</v>
      </c>
      <c r="AC67" s="1">
        <f t="shared" ref="AC67:AC130" si="86">IF($B67="","",IF(MAX($J67:$K67)&gt;=$Y67,1,0)*$X67*$BE67)</f>
        <v>0</v>
      </c>
      <c r="AD67" s="1">
        <f>IF($B67="","",MIN(_xlfn.MINIFS($J$2:J67,$I$2:I67,$I67),_xlfn.MINIFS($K$2:K67,$I$2:I67,$I67)))</f>
        <v>72</v>
      </c>
      <c r="AE67" s="1">
        <f t="shared" ref="AE67:AE130" si="87">IF($B67="","",MIN(_xlfn.MINIFS($J$2:$J$313,$B$2:$B$313,$B67),_xlfn.MINIFS($K$2:$K$313,$B$2:$B$313,$B67)))</f>
        <v>72</v>
      </c>
      <c r="AF67" s="1">
        <f t="shared" ref="AF67:AF130" si="88">IF($B67="","",IF(M67=0,0,IF($X67=0,0,IF(MIN($J67:$K67)&lt;=$AE67,1,0))))</f>
        <v>0</v>
      </c>
      <c r="AG67" s="1">
        <f t="shared" ref="AG67:AG130" si="89">IF($B67="","",IF($AF67=0,0,-1/SUMIFS($AF$2:$AF$313,$B$2:$B$313,$B67)))</f>
        <v>0</v>
      </c>
      <c r="AH67" s="1">
        <f t="shared" ref="AH67:AH130" si="90">IF($B67="","",IF(M67=0,0,IF(MIN($J67:$K67)&lt;=$AD67,-1,0)*$X67*$BE67))</f>
        <v>0</v>
      </c>
      <c r="AI67" s="1">
        <f ca="1">IF($B67="","",IF($K67="",0,OFFSET($CO$17,R67,W67)))</f>
        <v>0</v>
      </c>
      <c r="AJ67" s="1">
        <f t="shared" ref="AJ67:AJ130" ca="1" si="91">IF(AI67="","",IF(N67=_xlfn.MAXIFS($N$2:$N$313,$B$2:$B$313,$B67),-AI67,0))</f>
        <v>0</v>
      </c>
      <c r="AK67" s="1">
        <f ca="1">IF(AJ67="","",IF(AJ67=0,0,IF(W67=1,0,SUM(OFFSET($CO$17,N67,1):OFFSET($CO$17,N67+W67-2,1))/W67)))</f>
        <v>0</v>
      </c>
      <c r="AL67" s="1">
        <f t="shared" ref="AL67:AL130" ca="1" si="92">IF($B67="","",IF($K67="",0,SUM(AI67:AK67)+SUM(AB67:AC67)+SUM(AG67:AH67)+CI67))</f>
        <v>0</v>
      </c>
      <c r="AM67" s="1">
        <f ca="1">IF($B67="","",SUMIFS($AL$2:AL67,$I$2:I67,$I67))</f>
        <v>0</v>
      </c>
      <c r="AN67" s="1">
        <f t="shared" ref="AN67:AN130" si="93">IF($B67="","",$R67+$A67/1000000)</f>
        <v>14.000066</v>
      </c>
      <c r="AO67" s="1">
        <f>IFERROR(IF($B67="","",AVERAGEIFS($L$2:L67,$I$2:I67,I67,$L$2:L67,"&lt;&gt;0")),0)</f>
        <v>178.5</v>
      </c>
      <c r="AP67" s="1">
        <f t="shared" ref="AP67:AP130" si="94">IF($B67="","",AO67/2)</f>
        <v>89.25</v>
      </c>
      <c r="AQ67" s="1">
        <f>IF($B67="","",COUNTIFS($R$2:R67,1,$I$2:I67,$I67))</f>
        <v>0</v>
      </c>
      <c r="AR67" s="1">
        <f t="array" aca="1" ref="AR67" ca="1">IF($B67="","",SUMPRODUCT(--($B$2:$B$313=B67),--(AM67&lt;$AM$2:$AM$313))+1)</f>
        <v>17</v>
      </c>
      <c r="AS67" s="1">
        <f t="array" ref="AS67">IF($B67="","",SUMPRODUCT(--($B$2:$B$313=B67),--(AP67&lt;$AP$2:$AP$313))+1)</f>
        <v>18</v>
      </c>
      <c r="AT67" s="1">
        <f t="array" ref="AT67">IF($B67="","",SUMPRODUCT(--($B$2:$B$313=B67),--(AQ67&lt;$AQ$2:$AQ$313))+1)</f>
        <v>6</v>
      </c>
      <c r="AU67" s="1">
        <f t="shared" ref="AU67:AU130" si="95">IF($B67="","",$A67/1000000000)</f>
        <v>6.5999999999999995E-8</v>
      </c>
      <c r="AV67" s="1">
        <f t="shared" ref="AV67:AV130" ca="1" si="96">IF($B67="","",AR67/100+AS67/10000+AT67/1000000+AU67)</f>
        <v>0.17180606600000001</v>
      </c>
      <c r="AW67" s="1" t="str">
        <f t="shared" si="68"/>
        <v/>
      </c>
      <c r="AX67" s="1" t="str">
        <f t="shared" ref="AX67:AX130" si="97">IF($AW67="","",_xlfn.RANK.EQ($AW67,$AW$2:$AW$313,1))</f>
        <v/>
      </c>
      <c r="AY67" s="8">
        <f t="shared" ref="AY67:AY130" ca="1" si="98">IF($B67="","",AR67/100+AS67/10000+AT67/1000000+AU67)</f>
        <v>0.17180606600000001</v>
      </c>
      <c r="AZ67" s="1" cm="1">
        <f t="array" aca="1" ref="AZ67" ca="1">IF($B67="","",SUMPRODUCT(--($B$2:$B$313=B67),--(AY67&gt;$AY$2:$AY$313))+1)</f>
        <v>18</v>
      </c>
      <c r="BA67" s="1" t="str">
        <f t="shared" ref="BA67:BA130" si="99">IF(G67="","",G67&amp;"_"&amp;1)</f>
        <v>K2024GP04_12_1</v>
      </c>
      <c r="BB67" s="1" t="str">
        <f t="shared" ref="BB67:BB130" si="100">IF(G67="","",G67&amp;"_"&amp;2)</f>
        <v>K2024GP04_12_2</v>
      </c>
      <c r="BC67" s="1">
        <f t="shared" ref="BC67:BC130" si="101">IF(B67="","",IF(N67=1,1,0))</f>
        <v>0</v>
      </c>
      <c r="BD67" s="1">
        <f t="shared" ref="BD67:BD130" si="102">IF(B67="","",IF(N67&lt;=3,1,0))</f>
        <v>0</v>
      </c>
      <c r="BE67" s="1">
        <f t="shared" ref="BE67:BE130" si="103">IF(I67="","",IF(AND(COUNTIFS($A$2:$A$313,"&lt;"&amp;A67,$I$2:$I$313,$I67,$M$2:$M$313,1)=0,X67=1),0,1))</f>
        <v>1</v>
      </c>
      <c r="BF67" s="1">
        <f t="shared" ref="BF67:BF130" si="104">IF(I67="","",MAX(J67:K67))</f>
        <v>76</v>
      </c>
      <c r="BG67" s="1">
        <f t="shared" ref="BG67:BG130" si="105">IF(I67="","",MIN(J67:K67))</f>
        <v>72</v>
      </c>
      <c r="BH67" s="1">
        <f t="shared" ref="BH67:BH130" si="106">IF(I67="","",COUNTIFS($B$2:$B$313,$B67,BF$2:BF$313,"&gt;"&amp;BF67)+1)</f>
        <v>14</v>
      </c>
      <c r="BI67" s="1">
        <f t="shared" ref="BI67:BI130" si="107">IF(I67="","",COUNTIFS($B$2:$B$313,$B67,BG$2:BG$313,"&gt;"&amp;BG67)+1)</f>
        <v>14</v>
      </c>
      <c r="BJ67" s="1">
        <f t="shared" ref="BJ67:BJ130" si="108">IF(I67="","",BH67/100+BI67/10000)</f>
        <v>0.14140000000000003</v>
      </c>
      <c r="BK67" s="1">
        <f t="shared" ref="BK67:BK130" si="109">IF(I67="","",IF(L67=0,"",COUNTIFS($B$2:$B$313,B67,$BJ$2:$BJ$313,BJ67)-1))</f>
        <v>0</v>
      </c>
      <c r="BL67" s="1">
        <f t="shared" ref="BL67:BL130" si="110">IF(I67="","",0.000099)</f>
        <v>9.8999999999999994E-5</v>
      </c>
      <c r="BM67" s="1">
        <f t="shared" ref="BM67:BM130" si="111">IF(I67="","",BH67/100+BI67/10000+BL67+IF(L67=0,ROW()/10000000,0))</f>
        <v>0.14149900000000001</v>
      </c>
      <c r="BN67" s="1">
        <f t="shared" ref="BN67:BN130" si="112">IF(I67="","",IF(L67=0,"",COUNTIFS($B$2:$B$313,B67,$BM$2:$BM$313,BM67)-1))</f>
        <v>0</v>
      </c>
      <c r="BO67" s="1">
        <f t="shared" si="69"/>
        <v>14</v>
      </c>
      <c r="BP67" s="1">
        <f t="shared" si="70"/>
        <v>0</v>
      </c>
      <c r="BQ67" s="1" cm="1">
        <f t="array" ref="BQ67">IF(I67="","",IF(BP67=1,"",IF(L67=0,"",IF(B67=1,"",_xlfn.XLOOKUP(1,($I$2:$I$313=$I67)*($B$2:$B$313=($B67-1)),$BO$2:$BO$313)))))</f>
        <v>11</v>
      </c>
      <c r="BR67" s="1">
        <f>IF(I67="","",IF($B67=1,_xlfn.MINIFS($BO$2:$BO$313,$B$2:$B$313,$B67),_xlfn.MINIFS(BQ$2:$BQ$313,$B$2:$B$313,$B67)))</f>
        <v>2</v>
      </c>
      <c r="BS67" s="1">
        <f t="shared" ref="BS67:BS130" si="113">IF($I67="","",IF($B67=1,_xlfn.MINIFS($BO$2:$BO$313,$B$2:$B$313,$B67,$BO$2:$BO$313,"&lt;&gt;"&amp;$BR67),_xlfn.MINIFS($BQ$2:$BQ$313,$B$2:$B$313,$B67,$BQ$2:$BQ$313,"&lt;&gt;"&amp;$BR67)))</f>
        <v>3</v>
      </c>
      <c r="BT67" s="1" t="str" cm="1">
        <f t="array" ref="BT67">IF($I67="","",IF($B67=1,_xlfn.XLOOKUP(1,($B$2:$B$313=$B67)*($BO$2:$BO$313=BR67),Data!$I$2:$I$313,,0),_xlfn.XLOOKUP(1,($B$2:$B$313=$B67)*($BQ$2:$BQ$313=$BR67),$I$2:$I$313,,0)))</f>
        <v>Mika Sola</v>
      </c>
      <c r="BU67" s="1" t="str" cm="1">
        <f t="array" ref="BU67">IF(I67="","",IF($B67=1,_xlfn.XLOOKUP(1,($B$2:$B$313=$B67)*($BO$2:$BO$313=$BS67),$I$2:$I$313,,0),_xlfn.XLOOKUP(1,($B$2:$B$313=$B67)*($BQ$2:$BQ$313=$BS67),$I$2:$I$313,,0)))</f>
        <v>Miika Nordblad</v>
      </c>
      <c r="BV67" s="1" t="str" cm="1">
        <f t="array" ref="BV67">IF($I67="","",IF($B67=1,"",IF($B67=2,_xlfn.XLOOKUP(1,($B$2:$B$313=1)*($BO$2:$BO$313=1),$I$2:$I$313,,0),_xlfn.XLOOKUP($B67-1,$B$2:$B$313,$CH$2:$CH$313,,0))))</f>
        <v>Ossi Oksa</v>
      </c>
      <c r="BW67" s="1" t="str" cm="1">
        <f t="array" ref="BW67">IF($I67="","",IF($B67=1,"",IF(_xlfn.XLOOKUP(1,($B$2:$B$313=$B67)*($I$2:$I$313=$BV67),$BQ$2:$BQ$313,,0)="","NOK","OK")))</f>
        <v>NOK</v>
      </c>
      <c r="BX67" s="1" t="str">
        <f t="shared" ref="BX67:BX130" si="114">IF(I67="","",IF($B67=1,"",IF(BW67="OK",BV67,IF(OR(BV67=BT67,BV67=BU67),BV67,BT67))))</f>
        <v>Mika Sola</v>
      </c>
      <c r="BY67" s="1" t="str">
        <f t="shared" ref="BY67:BY130" si="115">IF($I67="","",IF($B67=1,"",IF(BX67=BT67,BU67,BT67)))</f>
        <v>Miika Nordblad</v>
      </c>
      <c r="BZ67" s="1">
        <f t="shared" ref="BZ67:BZ130" si="116">IF($I67="","",IF($B67=1,"",SUMIFS($BF$2:$BF$313,$B$2:$B$313,$B67,$I$2:$I$313,$BX67)))</f>
        <v>127</v>
      </c>
      <c r="CA67" s="1">
        <f t="shared" ref="CA67:CA130" si="117">IF($I67="","",IF($B67=1,"",SUMIFS($BG$2:$BG$313,$B$2:$B$313,$B67,$I$2:$I$313,$BX67)))</f>
        <v>118</v>
      </c>
      <c r="CB67" s="1">
        <f t="shared" ref="CB67:CB130" si="118">IF($I67="","",IF($B67=1,"",SUMIFS($BL$2:$BL$313,$B$2:$B$313,$B67,$I$2:$I$313,$BX67)))</f>
        <v>9.8999999999999994E-5</v>
      </c>
      <c r="CC67" s="1">
        <f t="shared" ref="CC67:CC130" si="119">IF($I67="","",IF($B67=1,"",SUMIFS($BF$2:$BF$313,$B$2:$B$313,$B67,$I$2:$I$313,$BY67)))</f>
        <v>158</v>
      </c>
      <c r="CD67" s="1">
        <f t="shared" ref="CD67:CD130" si="120">IF($I67="","",IF($B67=1,"",SUMIFS($BG$2:$BG$313,$B$2:$B$313,$B67,$I$2:$I$313,$BY67)))</f>
        <v>123</v>
      </c>
      <c r="CE67" s="1">
        <f t="shared" ref="CE67:CE130" si="121">IF($I67="","",IF($B67=1,"",SUMIFS($BL$2:$BL$313,$B$2:$B$313,$B67,$I$2:$I$313,$BY67)))</f>
        <v>9.8999999999999994E-5</v>
      </c>
      <c r="CF67" s="1" t="str">
        <f t="shared" ref="CF67:CF130" si="122">IF(I67="","",BX67&amp;IF(B67=1,"",IF(BX67=BV67," (P)"," ("&amp;BR67&amp;")")))</f>
        <v>Mika Sola (2)</v>
      </c>
      <c r="CG67" s="1" t="str">
        <f t="shared" ref="CG67:CG130" si="123">IF(I67="","",IF(B67=1,"",BY67&amp;" ("&amp;IF(BY67=BT67,BR67,BS67)&amp;")"))</f>
        <v>Miika Nordblad (3)</v>
      </c>
      <c r="CH67" s="1" t="str">
        <f t="shared" ref="CH67:CH130" si="124">IF($I67="","",IF($B67=1,BT67,IF(BZ67=CC67,IF(CA67=CD67,IF(CB67&lt;CE67,BX67,BY67),IF(CA67&gt;CD67,BX67,BY67)),IF(BZ67&gt;CC67,BX67,BY67))))</f>
        <v>Miika Nordblad</v>
      </c>
      <c r="CI67" s="1">
        <f t="shared" ref="CI67:CI130" si="125">IF($I67="","",IF(I67=CH67,1,0))</f>
        <v>0</v>
      </c>
      <c r="CJ67" s="1" t="str">
        <f ca="1">IF(B67="","",IF(SUM(AI67:AK67)&gt;0,"+SP","")&amp;IF(CI67&gt;0,"+KK","")&amp;IF(AB67&gt;0,"+KGP1","")&amp;IF(AC67&gt;0,"+KGP2","")&amp;IF(AG67&lt;0,"-KGP1","")&amp;IF(AH67&lt;0,"-KGP2",""))</f>
        <v/>
      </c>
    </row>
    <row r="68" spans="1:109" x14ac:dyDescent="0.25">
      <c r="A68" s="1">
        <f>IFERROR(IF(ROW(A67)=1,1,IF(1+A67&lt;=$CP$1*$CP$2,1+A67,"")),"")</f>
        <v>67</v>
      </c>
      <c r="B68" s="1">
        <f>IF($I68="","",IF(ROW(B67)=1,1,ROUNDUP(A68/$CP$2,0)))</f>
        <v>4</v>
      </c>
      <c r="C68" s="4">
        <f t="shared" si="71"/>
        <v>45620</v>
      </c>
      <c r="D68" s="4" t="str">
        <f t="shared" si="65"/>
        <v>Kupittaan keilahalli</v>
      </c>
      <c r="E68" s="1">
        <f>IF($B68="","",COUNTIF($B$2:B68,B68))</f>
        <v>13</v>
      </c>
      <c r="F68" s="1" t="str">
        <f t="shared" si="66"/>
        <v>K2024GP04</v>
      </c>
      <c r="G68" s="1" t="str">
        <f t="shared" si="72"/>
        <v>K2024GP04_13</v>
      </c>
      <c r="H68" s="1">
        <f t="shared" si="73"/>
        <v>1</v>
      </c>
      <c r="I68" s="3" t="s">
        <v>137</v>
      </c>
      <c r="J68" s="3">
        <v>160</v>
      </c>
      <c r="K68" s="3">
        <v>124</v>
      </c>
      <c r="L68" s="1">
        <f t="shared" si="74"/>
        <v>284</v>
      </c>
      <c r="M68" s="1">
        <f t="shared" si="75"/>
        <v>1</v>
      </c>
      <c r="N68" s="1">
        <f t="shared" si="76"/>
        <v>5</v>
      </c>
      <c r="O68" s="1">
        <f t="shared" si="77"/>
        <v>284</v>
      </c>
      <c r="P68" s="1">
        <f t="shared" si="78"/>
        <v>102</v>
      </c>
      <c r="Q68" s="1">
        <f t="array" ref="Q68">IF($B68="","",IF(MAX(IF(B68=$B$2:$B$313,$L$2:$L$313))-L68=0,"",MAX(IF(B68=$B$2:$B$313,$L$2:$L$313))-L68))</f>
        <v>102</v>
      </c>
      <c r="R68" s="1">
        <f t="array" ref="R68">IF($B68="","",SUMPRODUCT(--($B$2:$B$313=B68),--(L68&lt;$L$2:$L$313))+1)</f>
        <v>5</v>
      </c>
      <c r="S68" s="1">
        <f t="shared" si="79"/>
        <v>2</v>
      </c>
      <c r="T68" s="1" cm="1">
        <f t="array" ref="T68">IF($B68="","",IF(M68=0,"",SUMPRODUCT(--($B$2:$B$313=B68),--(J68&lt;$J$2:$J$313))+1))</f>
        <v>5</v>
      </c>
      <c r="U68" s="1">
        <f t="shared" si="80"/>
        <v>0</v>
      </c>
      <c r="V68" s="1" t="str">
        <f t="shared" si="81"/>
        <v>0405</v>
      </c>
      <c r="W68" s="1">
        <f t="shared" si="82"/>
        <v>1</v>
      </c>
      <c r="X68" s="1">
        <f t="shared" si="67"/>
        <v>0</v>
      </c>
      <c r="Y68" s="1">
        <f>IF($B68="","",MAX(_xlfn.MAXIFS($J$2:J68,$I$2:I68,$I68),_xlfn.MAXIFS($K$2:K68,$I$2:I68,$I68)))</f>
        <v>160</v>
      </c>
      <c r="Z68" s="1">
        <f t="shared" si="83"/>
        <v>196</v>
      </c>
      <c r="AA68" s="1">
        <f t="shared" si="84"/>
        <v>0</v>
      </c>
      <c r="AB68" s="1">
        <f t="shared" si="85"/>
        <v>0</v>
      </c>
      <c r="AC68" s="1">
        <f t="shared" si="86"/>
        <v>0</v>
      </c>
      <c r="AD68" s="1">
        <f>IF($B68="","",MIN(_xlfn.MINIFS($J$2:J68,$I$2:I68,$I68),_xlfn.MINIFS($K$2:K68,$I$2:I68,$I68)))</f>
        <v>124</v>
      </c>
      <c r="AE68" s="1">
        <f t="shared" si="87"/>
        <v>72</v>
      </c>
      <c r="AF68" s="1">
        <f t="shared" si="88"/>
        <v>0</v>
      </c>
      <c r="AG68" s="1">
        <f t="shared" si="89"/>
        <v>0</v>
      </c>
      <c r="AH68" s="1">
        <f t="shared" si="90"/>
        <v>0</v>
      </c>
      <c r="AI68" s="1">
        <f ca="1">IF($B68="","",IF($K68="",0,OFFSET($CO$17,R68,W68)))</f>
        <v>6</v>
      </c>
      <c r="AJ68" s="1">
        <f t="shared" ca="1" si="91"/>
        <v>0</v>
      </c>
      <c r="AK68" s="1">
        <f ca="1">IF(AJ68="","",IF(AJ68=0,0,IF(W68=1,0,SUM(OFFSET($CO$17,N68,1):OFFSET($CO$17,N68+W68-2,1))/W68)))</f>
        <v>0</v>
      </c>
      <c r="AL68" s="1">
        <f t="shared" ca="1" si="92"/>
        <v>6</v>
      </c>
      <c r="AM68" s="1">
        <f ca="1">IF($B68="","",SUMIFS($AL$2:AL68,$I$2:I68,$I68))</f>
        <v>7</v>
      </c>
      <c r="AN68" s="1">
        <f t="shared" si="93"/>
        <v>5.0000669999999996</v>
      </c>
      <c r="AO68" s="1">
        <f>IFERROR(IF($B68="","",AVERAGEIFS($L$2:L68,$I$2:I68,I68,$L$2:L68,"&lt;&gt;0")),0)</f>
        <v>268.5</v>
      </c>
      <c r="AP68" s="1">
        <f t="shared" si="94"/>
        <v>134.25</v>
      </c>
      <c r="AQ68" s="1">
        <f>IF($B68="","",COUNTIFS($R$2:R68,1,$I$2:I68,$I68))</f>
        <v>0</v>
      </c>
      <c r="AR68" s="1">
        <f t="array" aca="1" ref="AR68" ca="1">IF($B68="","",SUMPRODUCT(--($B$2:$B$313=B68),--(AM68&lt;$AM$2:$AM$313))+1)</f>
        <v>11</v>
      </c>
      <c r="AS68" s="1">
        <f t="array" ref="AS68">IF($B68="","",SUMPRODUCT(--($B$2:$B$313=B68),--(AP68&lt;$AP$2:$AP$313))+1)</f>
        <v>9</v>
      </c>
      <c r="AT68" s="1">
        <f t="array" ref="AT68">IF($B68="","",SUMPRODUCT(--($B$2:$B$313=B68),--(AQ68&lt;$AQ$2:$AQ$313))+1)</f>
        <v>6</v>
      </c>
      <c r="AU68" s="1">
        <f t="shared" si="95"/>
        <v>6.7000000000000004E-8</v>
      </c>
      <c r="AV68" s="1">
        <f t="shared" ca="1" si="96"/>
        <v>0.11090606700000001</v>
      </c>
      <c r="AW68" s="1" t="str">
        <f t="shared" si="68"/>
        <v/>
      </c>
      <c r="AX68" s="1" t="str">
        <f t="shared" si="97"/>
        <v/>
      </c>
      <c r="AY68" s="8">
        <f t="shared" ca="1" si="98"/>
        <v>0.11090606700000001</v>
      </c>
      <c r="AZ68" s="1" cm="1">
        <f t="array" aca="1" ref="AZ68" ca="1">IF($B68="","",SUMPRODUCT(--($B$2:$B$313=B68),--(AY68&gt;$AY$2:$AY$313))+1)</f>
        <v>11</v>
      </c>
      <c r="BA68" s="1" t="str">
        <f t="shared" si="99"/>
        <v>K2024GP04_13_1</v>
      </c>
      <c r="BB68" s="1" t="str">
        <f t="shared" si="100"/>
        <v>K2024GP04_13_2</v>
      </c>
      <c r="BC68" s="1">
        <f t="shared" si="101"/>
        <v>0</v>
      </c>
      <c r="BD68" s="1">
        <f t="shared" si="102"/>
        <v>0</v>
      </c>
      <c r="BE68" s="1">
        <f t="shared" si="103"/>
        <v>1</v>
      </c>
      <c r="BF68" s="1">
        <f t="shared" si="104"/>
        <v>160</v>
      </c>
      <c r="BG68" s="1">
        <f t="shared" si="105"/>
        <v>124</v>
      </c>
      <c r="BH68" s="1">
        <f t="shared" si="106"/>
        <v>5</v>
      </c>
      <c r="BI68" s="1">
        <f t="shared" si="107"/>
        <v>6</v>
      </c>
      <c r="BJ68" s="1">
        <f t="shared" si="108"/>
        <v>5.0600000000000006E-2</v>
      </c>
      <c r="BK68" s="1">
        <f t="shared" si="109"/>
        <v>0</v>
      </c>
      <c r="BL68" s="1">
        <f t="shared" si="110"/>
        <v>9.8999999999999994E-5</v>
      </c>
      <c r="BM68" s="1">
        <f t="shared" si="111"/>
        <v>5.0699000000000008E-2</v>
      </c>
      <c r="BN68" s="1">
        <f t="shared" si="112"/>
        <v>0</v>
      </c>
      <c r="BO68" s="1">
        <f t="shared" si="69"/>
        <v>5</v>
      </c>
      <c r="BP68" s="1">
        <f t="shared" si="70"/>
        <v>0</v>
      </c>
      <c r="BQ68" s="1" cm="1">
        <f t="array" ref="BQ68">IF(I68="","",IF(BP68=1,"",IF(L68=0,"",IF(B68=1,"",_xlfn.XLOOKUP(1,($I$2:$I$313=$I68)*($B$2:$B$313=($B68-1)),$BO$2:$BO$313)))))</f>
        <v>14</v>
      </c>
      <c r="BR68" s="1">
        <f>IF(I68="","",IF($B68=1,_xlfn.MINIFS($BO$2:$BO$313,$B$2:$B$313,$B68),_xlfn.MINIFS(BQ$2:$BQ$313,$B$2:$B$313,$B68)))</f>
        <v>2</v>
      </c>
      <c r="BS68" s="1">
        <f t="shared" si="113"/>
        <v>3</v>
      </c>
      <c r="BT68" s="1" t="str" cm="1">
        <f t="array" ref="BT68">IF($I68="","",IF($B68=1,_xlfn.XLOOKUP(1,($B$2:$B$313=$B68)*($BO$2:$BO$313=BR68),Data!$I$2:$I$313,,0),_xlfn.XLOOKUP(1,($B$2:$B$313=$B68)*($BQ$2:$BQ$313=$BR68),$I$2:$I$313,,0)))</f>
        <v>Mika Sola</v>
      </c>
      <c r="BU68" s="1" t="str" cm="1">
        <f t="array" ref="BU68">IF(I68="","",IF($B68=1,_xlfn.XLOOKUP(1,($B$2:$B$313=$B68)*($BO$2:$BO$313=$BS68),$I$2:$I$313,,0),_xlfn.XLOOKUP(1,($B$2:$B$313=$B68)*($BQ$2:$BQ$313=$BS68),$I$2:$I$313,,0)))</f>
        <v>Miika Nordblad</v>
      </c>
      <c r="BV68" s="1" t="str" cm="1">
        <f t="array" ref="BV68">IF($I68="","",IF($B68=1,"",IF($B68=2,_xlfn.XLOOKUP(1,($B$2:$B$313=1)*($BO$2:$BO$313=1),$I$2:$I$313,,0),_xlfn.XLOOKUP($B68-1,$B$2:$B$313,$CH$2:$CH$313,,0))))</f>
        <v>Ossi Oksa</v>
      </c>
      <c r="BW68" s="1" t="str" cm="1">
        <f t="array" ref="BW68">IF($I68="","",IF($B68=1,"",IF(_xlfn.XLOOKUP(1,($B$2:$B$313=$B68)*($I$2:$I$313=$BV68),$BQ$2:$BQ$313,,0)="","NOK","OK")))</f>
        <v>NOK</v>
      </c>
      <c r="BX68" s="1" t="str">
        <f t="shared" si="114"/>
        <v>Mika Sola</v>
      </c>
      <c r="BY68" s="1" t="str">
        <f t="shared" si="115"/>
        <v>Miika Nordblad</v>
      </c>
      <c r="BZ68" s="1">
        <f t="shared" si="116"/>
        <v>127</v>
      </c>
      <c r="CA68" s="1">
        <f t="shared" si="117"/>
        <v>118</v>
      </c>
      <c r="CB68" s="1">
        <f t="shared" si="118"/>
        <v>9.8999999999999994E-5</v>
      </c>
      <c r="CC68" s="1">
        <f t="shared" si="119"/>
        <v>158</v>
      </c>
      <c r="CD68" s="1">
        <f t="shared" si="120"/>
        <v>123</v>
      </c>
      <c r="CE68" s="1">
        <f t="shared" si="121"/>
        <v>9.8999999999999994E-5</v>
      </c>
      <c r="CF68" s="1" t="str">
        <f t="shared" si="122"/>
        <v>Mika Sola (2)</v>
      </c>
      <c r="CG68" s="1" t="str">
        <f t="shared" si="123"/>
        <v>Miika Nordblad (3)</v>
      </c>
      <c r="CH68" s="1" t="str">
        <f t="shared" si="124"/>
        <v>Miika Nordblad</v>
      </c>
      <c r="CI68" s="1">
        <f t="shared" si="125"/>
        <v>0</v>
      </c>
      <c r="CJ68" s="1" t="str">
        <f ca="1">IF(B68="","",IF(SUM(AI68:AK68)&gt;0,"+SP","")&amp;IF(CI68&gt;0,"+KK","")&amp;IF(AB68&gt;0,"+KGP1","")&amp;IF(AC68&gt;0,"+KGP2","")&amp;IF(AG68&lt;0,"-KGP1","")&amp;IF(AH68&lt;0,"-KGP2",""))</f>
        <v>+SP</v>
      </c>
    </row>
    <row r="69" spans="1:109" x14ac:dyDescent="0.25">
      <c r="A69" s="1">
        <f>IFERROR(IF(ROW(A68)=1,1,IF(1+A68&lt;=$CP$1*$CP$2,1+A68,"")),"")</f>
        <v>68</v>
      </c>
      <c r="B69" s="1">
        <f>IF($I69="","",IF(ROW(B68)=1,1,ROUNDUP(A69/$CP$2,0)))</f>
        <v>4</v>
      </c>
      <c r="C69" s="4">
        <f t="shared" si="71"/>
        <v>45620</v>
      </c>
      <c r="D69" s="4" t="str">
        <f t="shared" si="65"/>
        <v>Kupittaan keilahalli</v>
      </c>
      <c r="E69" s="1">
        <f>IF($B69="","",COUNTIF($B$2:B69,B69))</f>
        <v>14</v>
      </c>
      <c r="F69" s="1" t="str">
        <f t="shared" si="66"/>
        <v>K2024GP04</v>
      </c>
      <c r="G69" s="1" t="str">
        <f t="shared" si="72"/>
        <v>K2024GP04_14</v>
      </c>
      <c r="H69" s="1">
        <f t="shared" si="73"/>
        <v>1</v>
      </c>
      <c r="I69" s="3" t="s">
        <v>133</v>
      </c>
      <c r="J69" s="3">
        <v>118</v>
      </c>
      <c r="K69" s="3">
        <v>127</v>
      </c>
      <c r="L69" s="1">
        <f t="shared" si="74"/>
        <v>245</v>
      </c>
      <c r="M69" s="1">
        <f t="shared" si="75"/>
        <v>1</v>
      </c>
      <c r="N69" s="1">
        <f t="shared" si="76"/>
        <v>10</v>
      </c>
      <c r="O69" s="1">
        <f t="shared" si="77"/>
        <v>245</v>
      </c>
      <c r="P69" s="1">
        <f t="shared" si="78"/>
        <v>141</v>
      </c>
      <c r="Q69" s="1">
        <f t="array" ref="Q69">IF($B69="","",IF(MAX(IF(B69=$B$2:$B$313,$L$2:$L$313))-L69=0,"",MAX(IF(B69=$B$2:$B$313,$L$2:$L$313))-L69))</f>
        <v>141</v>
      </c>
      <c r="R69" s="1">
        <f t="array" ref="R69">IF($B69="","",SUMPRODUCT(--($B$2:$B$313=B69),--(L69&lt;$L$2:$L$313))+1)</f>
        <v>10</v>
      </c>
      <c r="S69" s="1">
        <f t="shared" si="79"/>
        <v>2</v>
      </c>
      <c r="T69" s="1" cm="1">
        <f t="array" ref="T69">IF($B69="","",IF(M69=0,"",SUMPRODUCT(--($B$2:$B$313=B69),--(J69&lt;$J$2:$J$313))+1))</f>
        <v>10</v>
      </c>
      <c r="U69" s="1">
        <f t="shared" si="80"/>
        <v>0</v>
      </c>
      <c r="V69" s="1" t="str">
        <f t="shared" si="81"/>
        <v>0410</v>
      </c>
      <c r="W69" s="1">
        <f t="shared" si="82"/>
        <v>1</v>
      </c>
      <c r="X69" s="1">
        <f t="shared" si="67"/>
        <v>0</v>
      </c>
      <c r="Y69" s="1">
        <f>IF($B69="","",MAX(_xlfn.MAXIFS($J$2:J69,$I$2:I69,$I69),_xlfn.MAXIFS($K$2:K69,$I$2:I69,$I69)))</f>
        <v>178</v>
      </c>
      <c r="Z69" s="1">
        <f t="shared" si="83"/>
        <v>196</v>
      </c>
      <c r="AA69" s="1">
        <f t="shared" si="84"/>
        <v>0</v>
      </c>
      <c r="AB69" s="1">
        <f t="shared" si="85"/>
        <v>0</v>
      </c>
      <c r="AC69" s="1">
        <f t="shared" si="86"/>
        <v>0</v>
      </c>
      <c r="AD69" s="1">
        <f>IF($B69="","",MIN(_xlfn.MINIFS($J$2:J69,$I$2:I69,$I69),_xlfn.MINIFS($K$2:K69,$I$2:I69,$I69)))</f>
        <v>91</v>
      </c>
      <c r="AE69" s="1">
        <f t="shared" si="87"/>
        <v>72</v>
      </c>
      <c r="AF69" s="1">
        <f t="shared" si="88"/>
        <v>0</v>
      </c>
      <c r="AG69" s="1">
        <f t="shared" si="89"/>
        <v>0</v>
      </c>
      <c r="AH69" s="1">
        <f t="shared" si="90"/>
        <v>0</v>
      </c>
      <c r="AI69" s="1">
        <f ca="1">IF($B69="","",IF($K69="",0,OFFSET($CO$17,R69,W69)))</f>
        <v>1</v>
      </c>
      <c r="AJ69" s="1">
        <f t="shared" ca="1" si="91"/>
        <v>0</v>
      </c>
      <c r="AK69" s="1">
        <f ca="1">IF(AJ69="","",IF(AJ69=0,0,IF(W69=1,0,SUM(OFFSET($CO$17,N69,1):OFFSET($CO$17,N69+W69-2,1))/W69)))</f>
        <v>0</v>
      </c>
      <c r="AL69" s="1">
        <f t="shared" ca="1" si="92"/>
        <v>1</v>
      </c>
      <c r="AM69" s="1">
        <f ca="1">IF($B69="","",SUMIFS($AL$2:AL69,$I$2:I69,$I69))</f>
        <v>19</v>
      </c>
      <c r="AN69" s="1">
        <f t="shared" si="93"/>
        <v>10.000068000000001</v>
      </c>
      <c r="AO69" s="1">
        <f>IFERROR(IF($B69="","",AVERAGEIFS($L$2:L69,$I$2:I69,I69,$L$2:L69,"&lt;&gt;0")),0)</f>
        <v>253.5</v>
      </c>
      <c r="AP69" s="1">
        <f t="shared" si="94"/>
        <v>126.75</v>
      </c>
      <c r="AQ69" s="1">
        <f>IF($B69="","",COUNTIFS($R$2:R69,1,$I$2:I69,$I69))</f>
        <v>0</v>
      </c>
      <c r="AR69" s="1">
        <f t="array" aca="1" ref="AR69" ca="1">IF($B69="","",SUMPRODUCT(--($B$2:$B$313=B69),--(AM69&lt;$AM$2:$AM$313))+1)</f>
        <v>6</v>
      </c>
      <c r="AS69" s="1">
        <f t="array" ref="AS69">IF($B69="","",SUMPRODUCT(--($B$2:$B$313=B69),--(AP69&lt;$AP$2:$AP$313))+1)</f>
        <v>11</v>
      </c>
      <c r="AT69" s="1">
        <f t="array" ref="AT69">IF($B69="","",SUMPRODUCT(--($B$2:$B$313=B69),--(AQ69&lt;$AQ$2:$AQ$313))+1)</f>
        <v>6</v>
      </c>
      <c r="AU69" s="1">
        <f t="shared" si="95"/>
        <v>6.8E-8</v>
      </c>
      <c r="AV69" s="1">
        <f t="shared" ca="1" si="96"/>
        <v>6.1106067999999993E-2</v>
      </c>
      <c r="AW69" s="1" t="str">
        <f t="shared" si="68"/>
        <v/>
      </c>
      <c r="AX69" s="1" t="str">
        <f t="shared" si="97"/>
        <v/>
      </c>
      <c r="AY69" s="8">
        <f t="shared" ca="1" si="98"/>
        <v>6.1106067999999993E-2</v>
      </c>
      <c r="AZ69" s="1" cm="1">
        <f t="array" aca="1" ref="AZ69" ca="1">IF($B69="","",SUMPRODUCT(--($B$2:$B$313=B69),--(AY69&gt;$AY$2:$AY$313))+1)</f>
        <v>7</v>
      </c>
      <c r="BA69" s="1" t="str">
        <f t="shared" si="99"/>
        <v>K2024GP04_14_1</v>
      </c>
      <c r="BB69" s="1" t="str">
        <f t="shared" si="100"/>
        <v>K2024GP04_14_2</v>
      </c>
      <c r="BC69" s="1">
        <f t="shared" si="101"/>
        <v>0</v>
      </c>
      <c r="BD69" s="1">
        <f t="shared" si="102"/>
        <v>0</v>
      </c>
      <c r="BE69" s="1">
        <f t="shared" si="103"/>
        <v>1</v>
      </c>
      <c r="BF69" s="1">
        <f t="shared" si="104"/>
        <v>127</v>
      </c>
      <c r="BG69" s="1">
        <f t="shared" si="105"/>
        <v>118</v>
      </c>
      <c r="BH69" s="1">
        <f t="shared" si="106"/>
        <v>10</v>
      </c>
      <c r="BI69" s="1">
        <f t="shared" si="107"/>
        <v>9</v>
      </c>
      <c r="BJ69" s="1">
        <f t="shared" si="108"/>
        <v>0.1009</v>
      </c>
      <c r="BK69" s="1">
        <f t="shared" si="109"/>
        <v>0</v>
      </c>
      <c r="BL69" s="1">
        <f t="shared" si="110"/>
        <v>9.8999999999999994E-5</v>
      </c>
      <c r="BM69" s="1">
        <f t="shared" si="111"/>
        <v>0.10099900000000001</v>
      </c>
      <c r="BN69" s="1">
        <f t="shared" si="112"/>
        <v>0</v>
      </c>
      <c r="BO69" s="1">
        <f t="shared" si="69"/>
        <v>10</v>
      </c>
      <c r="BP69" s="1">
        <f t="shared" si="70"/>
        <v>0</v>
      </c>
      <c r="BQ69" s="1" cm="1">
        <f t="array" ref="BQ69">IF(I69="","",IF(BP69=1,"",IF(L69=0,"",IF(B69=1,"",_xlfn.XLOOKUP(1,($I$2:$I$313=$I69)*($B$2:$B$313=($B69-1)),$BO$2:$BO$313)))))</f>
        <v>2</v>
      </c>
      <c r="BR69" s="1">
        <f>IF(I69="","",IF($B69=1,_xlfn.MINIFS($BO$2:$BO$313,$B$2:$B$313,$B69),_xlfn.MINIFS(BQ$2:$BQ$313,$B$2:$B$313,$B69)))</f>
        <v>2</v>
      </c>
      <c r="BS69" s="1">
        <f t="shared" si="113"/>
        <v>3</v>
      </c>
      <c r="BT69" s="1" t="str" cm="1">
        <f t="array" ref="BT69">IF($I69="","",IF($B69=1,_xlfn.XLOOKUP(1,($B$2:$B$313=$B69)*($BO$2:$BO$313=BR69),Data!$I$2:$I$313,,0),_xlfn.XLOOKUP(1,($B$2:$B$313=$B69)*($BQ$2:$BQ$313=$BR69),$I$2:$I$313,,0)))</f>
        <v>Mika Sola</v>
      </c>
      <c r="BU69" s="1" t="str" cm="1">
        <f t="array" ref="BU69">IF(I69="","",IF($B69=1,_xlfn.XLOOKUP(1,($B$2:$B$313=$B69)*($BO$2:$BO$313=$BS69),$I$2:$I$313,,0),_xlfn.XLOOKUP(1,($B$2:$B$313=$B69)*($BQ$2:$BQ$313=$BS69),$I$2:$I$313,,0)))</f>
        <v>Miika Nordblad</v>
      </c>
      <c r="BV69" s="1" t="str" cm="1">
        <f t="array" ref="BV69">IF($I69="","",IF($B69=1,"",IF($B69=2,_xlfn.XLOOKUP(1,($B$2:$B$313=1)*($BO$2:$BO$313=1),$I$2:$I$313,,0),_xlfn.XLOOKUP($B69-1,$B$2:$B$313,$CH$2:$CH$313,,0))))</f>
        <v>Ossi Oksa</v>
      </c>
      <c r="BW69" s="1" t="str" cm="1">
        <f t="array" ref="BW69">IF($I69="","",IF($B69=1,"",IF(_xlfn.XLOOKUP(1,($B$2:$B$313=$B69)*($I$2:$I$313=$BV69),$BQ$2:$BQ$313,,0)="","NOK","OK")))</f>
        <v>NOK</v>
      </c>
      <c r="BX69" s="1" t="str">
        <f t="shared" si="114"/>
        <v>Mika Sola</v>
      </c>
      <c r="BY69" s="1" t="str">
        <f t="shared" si="115"/>
        <v>Miika Nordblad</v>
      </c>
      <c r="BZ69" s="1">
        <f t="shared" si="116"/>
        <v>127</v>
      </c>
      <c r="CA69" s="1">
        <f t="shared" si="117"/>
        <v>118</v>
      </c>
      <c r="CB69" s="1">
        <f t="shared" si="118"/>
        <v>9.8999999999999994E-5</v>
      </c>
      <c r="CC69" s="1">
        <f t="shared" si="119"/>
        <v>158</v>
      </c>
      <c r="CD69" s="1">
        <f t="shared" si="120"/>
        <v>123</v>
      </c>
      <c r="CE69" s="1">
        <f t="shared" si="121"/>
        <v>9.8999999999999994E-5</v>
      </c>
      <c r="CF69" s="1" t="str">
        <f t="shared" si="122"/>
        <v>Mika Sola (2)</v>
      </c>
      <c r="CG69" s="1" t="str">
        <f t="shared" si="123"/>
        <v>Miika Nordblad (3)</v>
      </c>
      <c r="CH69" s="1" t="str">
        <f t="shared" si="124"/>
        <v>Miika Nordblad</v>
      </c>
      <c r="CI69" s="1">
        <f t="shared" si="125"/>
        <v>0</v>
      </c>
      <c r="CJ69" s="1" t="str">
        <f ca="1">IF(B69="","",IF(SUM(AI69:AK69)&gt;0,"+SP","")&amp;IF(CI69&gt;0,"+KK","")&amp;IF(AB69&gt;0,"+KGP1","")&amp;IF(AC69&gt;0,"+KGP2","")&amp;IF(AG69&lt;0,"-KGP1","")&amp;IF(AH69&lt;0,"-KGP2",""))</f>
        <v>+SP</v>
      </c>
    </row>
    <row r="70" spans="1:109" x14ac:dyDescent="0.25">
      <c r="A70" s="1">
        <f>IFERROR(IF(ROW(A69)=1,1,IF(1+A69&lt;=$CP$1*$CP$2,1+A69,"")),"")</f>
        <v>69</v>
      </c>
      <c r="B70" s="1">
        <f>IF($I70="","",IF(ROW(B69)=1,1,ROUNDUP(A70/$CP$2,0)))</f>
        <v>4</v>
      </c>
      <c r="C70" s="4">
        <f t="shared" si="71"/>
        <v>45620</v>
      </c>
      <c r="D70" s="4" t="str">
        <f t="shared" si="65"/>
        <v>Kupittaan keilahalli</v>
      </c>
      <c r="E70" s="1">
        <f>IF($B70="","",COUNTIF($B$2:B70,B70))</f>
        <v>15</v>
      </c>
      <c r="F70" s="1" t="str">
        <f t="shared" si="66"/>
        <v>K2024GP04</v>
      </c>
      <c r="G70" s="1" t="str">
        <f t="shared" si="72"/>
        <v>K2024GP04_15</v>
      </c>
      <c r="H70" s="1">
        <f t="shared" si="73"/>
        <v>1</v>
      </c>
      <c r="I70" s="3" t="s">
        <v>139</v>
      </c>
      <c r="J70" s="3"/>
      <c r="K70" s="3"/>
      <c r="L70" s="1">
        <f t="shared" si="74"/>
        <v>0</v>
      </c>
      <c r="M70" s="1">
        <f t="shared" si="75"/>
        <v>0</v>
      </c>
      <c r="N70" s="1" t="str">
        <f t="shared" si="76"/>
        <v/>
      </c>
      <c r="O70" s="1" t="str">
        <f t="shared" si="77"/>
        <v/>
      </c>
      <c r="P70" s="1" t="str">
        <f t="shared" si="78"/>
        <v/>
      </c>
      <c r="Q70" s="1">
        <f t="array" ref="Q70">IF($B70="","",IF(MAX(IF(B70=$B$2:$B$313,$L$2:$L$313))-L70=0,"",MAX(IF(B70=$B$2:$B$313,$L$2:$L$313))-L70))</f>
        <v>386</v>
      </c>
      <c r="R70" s="1">
        <f t="array" ref="R70">IF($B70="","",SUMPRODUCT(--($B$2:$B$313=B70),--(L70&lt;$L$2:$L$313))+1)</f>
        <v>15</v>
      </c>
      <c r="S70" s="1">
        <f t="shared" si="79"/>
        <v>0</v>
      </c>
      <c r="T70" s="1" t="str" cm="1">
        <f t="array" ref="T70">IF($B70="","",IF(M70=0,"",SUMPRODUCT(--($B$2:$B$313=B70),--(J70&lt;$J$2:$J$313))+1))</f>
        <v/>
      </c>
      <c r="U70" s="1" t="str">
        <f t="shared" si="80"/>
        <v/>
      </c>
      <c r="V70" s="1" t="str">
        <f t="shared" si="81"/>
        <v>0415</v>
      </c>
      <c r="W70" s="1">
        <f t="shared" si="82"/>
        <v>4</v>
      </c>
      <c r="X70" s="1">
        <f t="shared" si="67"/>
        <v>0</v>
      </c>
      <c r="Y70" s="1">
        <f>IF($B70="","",MAX(_xlfn.MAXIFS($J$2:J70,$I$2:I70,$I70),_xlfn.MAXIFS($K$2:K70,$I$2:I70,$I70)))</f>
        <v>209</v>
      </c>
      <c r="Z70" s="1">
        <f t="shared" si="83"/>
        <v>196</v>
      </c>
      <c r="AA70" s="1">
        <f t="shared" si="84"/>
        <v>0</v>
      </c>
      <c r="AB70" s="1">
        <f t="shared" si="85"/>
        <v>0</v>
      </c>
      <c r="AC70" s="1">
        <f t="shared" si="86"/>
        <v>0</v>
      </c>
      <c r="AD70" s="1">
        <f>IF($B70="","",MIN(_xlfn.MINIFS($J$2:J70,$I$2:I70,$I70),_xlfn.MINIFS($K$2:K70,$I$2:I70,$I70)))</f>
        <v>111</v>
      </c>
      <c r="AE70" s="1">
        <f t="shared" si="87"/>
        <v>72</v>
      </c>
      <c r="AF70" s="1">
        <f t="shared" si="88"/>
        <v>0</v>
      </c>
      <c r="AG70" s="1">
        <f t="shared" si="89"/>
        <v>0</v>
      </c>
      <c r="AH70" s="1">
        <f t="shared" si="90"/>
        <v>0</v>
      </c>
      <c r="AI70" s="1">
        <f ca="1">IF($B70="","",IF($K70="",0,OFFSET($CO$17,R70,W70)))</f>
        <v>0</v>
      </c>
      <c r="AJ70" s="1">
        <f t="shared" ca="1" si="91"/>
        <v>0</v>
      </c>
      <c r="AK70" s="1">
        <f ca="1">IF(AJ70="","",IF(AJ70=0,0,IF(W70=1,0,SUM(OFFSET($CO$17,N70,1):OFFSET($CO$17,N70+W70-2,1))/W70)))</f>
        <v>0</v>
      </c>
      <c r="AL70" s="1">
        <f t="shared" si="92"/>
        <v>0</v>
      </c>
      <c r="AM70" s="1">
        <f ca="1">IF($B70="","",SUMIFS($AL$2:AL70,$I$2:I70,$I70))</f>
        <v>26.5</v>
      </c>
      <c r="AN70" s="1">
        <f t="shared" si="93"/>
        <v>15.000069</v>
      </c>
      <c r="AO70" s="1">
        <f>IFERROR(IF($B70="","",AVERAGEIFS($L$2:L70,$I$2:I70,I70,$L$2:L70,"&lt;&gt;0")),0)</f>
        <v>316.66666666666669</v>
      </c>
      <c r="AP70" s="1">
        <f t="shared" si="94"/>
        <v>158.33333333333334</v>
      </c>
      <c r="AQ70" s="1">
        <f>IF($B70="","",COUNTIFS($R$2:R70,1,$I$2:I70,$I70))</f>
        <v>1</v>
      </c>
      <c r="AR70" s="1">
        <f t="array" aca="1" ref="AR70" ca="1">IF($B70="","",SUMPRODUCT(--($B$2:$B$313=B70),--(AM70&lt;$AM$2:$AM$313))+1)</f>
        <v>3</v>
      </c>
      <c r="AS70" s="1">
        <f t="array" ref="AS70">IF($B70="","",SUMPRODUCT(--($B$2:$B$313=B70),--(AP70&lt;$AP$2:$AP$313))+1)</f>
        <v>1</v>
      </c>
      <c r="AT70" s="1">
        <f t="array" ref="AT70">IF($B70="","",SUMPRODUCT(--($B$2:$B$313=B70),--(AQ70&lt;$AQ$2:$AQ$313))+1)</f>
        <v>1</v>
      </c>
      <c r="AU70" s="1">
        <f t="shared" si="95"/>
        <v>6.8999999999999996E-8</v>
      </c>
      <c r="AV70" s="1">
        <f t="shared" ca="1" si="96"/>
        <v>3.0101068999999998E-2</v>
      </c>
      <c r="AW70" s="1" t="str">
        <f t="shared" si="68"/>
        <v/>
      </c>
      <c r="AX70" s="1" t="str">
        <f t="shared" si="97"/>
        <v/>
      </c>
      <c r="AY70" s="8">
        <f t="shared" ca="1" si="98"/>
        <v>3.0101068999999998E-2</v>
      </c>
      <c r="AZ70" s="1" cm="1">
        <f t="array" aca="1" ref="AZ70" ca="1">IF($B70="","",SUMPRODUCT(--($B$2:$B$313=B70),--(AY70&gt;$AY$2:$AY$313))+1)</f>
        <v>3</v>
      </c>
      <c r="BA70" s="1" t="str">
        <f t="shared" si="99"/>
        <v>K2024GP04_15_1</v>
      </c>
      <c r="BB70" s="1" t="str">
        <f t="shared" si="100"/>
        <v>K2024GP04_15_2</v>
      </c>
      <c r="BC70" s="1">
        <f t="shared" si="101"/>
        <v>0</v>
      </c>
      <c r="BD70" s="1">
        <f t="shared" si="102"/>
        <v>0</v>
      </c>
      <c r="BE70" s="1">
        <f t="shared" si="103"/>
        <v>1</v>
      </c>
      <c r="BF70" s="1">
        <f t="shared" si="104"/>
        <v>0</v>
      </c>
      <c r="BG70" s="1">
        <f t="shared" si="105"/>
        <v>0</v>
      </c>
      <c r="BH70" s="1">
        <f t="shared" si="106"/>
        <v>15</v>
      </c>
      <c r="BI70" s="1">
        <f t="shared" si="107"/>
        <v>15</v>
      </c>
      <c r="BJ70" s="1">
        <f t="shared" si="108"/>
        <v>0.1515</v>
      </c>
      <c r="BK70" s="1" t="str">
        <f t="shared" si="109"/>
        <v/>
      </c>
      <c r="BL70" s="1">
        <f t="shared" si="110"/>
        <v>9.8999999999999994E-5</v>
      </c>
      <c r="BM70" s="1">
        <f t="shared" si="111"/>
        <v>0.15160599999999999</v>
      </c>
      <c r="BN70" s="1" t="str">
        <f t="shared" si="112"/>
        <v/>
      </c>
      <c r="BO70" s="1">
        <f t="shared" si="69"/>
        <v>15</v>
      </c>
      <c r="BP70" s="1">
        <f t="shared" si="70"/>
        <v>0</v>
      </c>
      <c r="BQ70" s="1" t="str" cm="1">
        <f t="array" ref="BQ70">IF(I70="","",IF(BP70=1,"",IF(L70=0,"",IF(B70=1,"",_xlfn.XLOOKUP(1,($I$2:$I$313=$I70)*($B$2:$B$313=($B70-1)),$BO$2:$BO$313)))))</f>
        <v/>
      </c>
      <c r="BR70" s="1">
        <f>IF(I70="","",IF($B70=1,_xlfn.MINIFS($BO$2:$BO$313,$B$2:$B$313,$B70),_xlfn.MINIFS(BQ$2:$BQ$313,$B$2:$B$313,$B70)))</f>
        <v>2</v>
      </c>
      <c r="BS70" s="1">
        <f t="shared" si="113"/>
        <v>3</v>
      </c>
      <c r="BT70" s="1" t="str" cm="1">
        <f t="array" ref="BT70">IF($I70="","",IF($B70=1,_xlfn.XLOOKUP(1,($B$2:$B$313=$B70)*($BO$2:$BO$313=BR70),Data!$I$2:$I$313,,0),_xlfn.XLOOKUP(1,($B$2:$B$313=$B70)*($BQ$2:$BQ$313=$BR70),$I$2:$I$313,,0)))</f>
        <v>Mika Sola</v>
      </c>
      <c r="BU70" s="1" t="str" cm="1">
        <f t="array" ref="BU70">IF(I70="","",IF($B70=1,_xlfn.XLOOKUP(1,($B$2:$B$313=$B70)*($BO$2:$BO$313=$BS70),$I$2:$I$313,,0),_xlfn.XLOOKUP(1,($B$2:$B$313=$B70)*($BQ$2:$BQ$313=$BS70),$I$2:$I$313,,0)))</f>
        <v>Miika Nordblad</v>
      </c>
      <c r="BV70" s="1" t="str" cm="1">
        <f t="array" ref="BV70">IF($I70="","",IF($B70=1,"",IF($B70=2,_xlfn.XLOOKUP(1,($B$2:$B$313=1)*($BO$2:$BO$313=1),$I$2:$I$313,,0),_xlfn.XLOOKUP($B70-1,$B$2:$B$313,$CH$2:$CH$313,,0))))</f>
        <v>Ossi Oksa</v>
      </c>
      <c r="BW70" s="1" t="str" cm="1">
        <f t="array" ref="BW70">IF($I70="","",IF($B70=1,"",IF(_xlfn.XLOOKUP(1,($B$2:$B$313=$B70)*($I$2:$I$313=$BV70),$BQ$2:$BQ$313,,0)="","NOK","OK")))</f>
        <v>NOK</v>
      </c>
      <c r="BX70" s="1" t="str">
        <f t="shared" si="114"/>
        <v>Mika Sola</v>
      </c>
      <c r="BY70" s="1" t="str">
        <f t="shared" si="115"/>
        <v>Miika Nordblad</v>
      </c>
      <c r="BZ70" s="1">
        <f t="shared" si="116"/>
        <v>127</v>
      </c>
      <c r="CA70" s="1">
        <f t="shared" si="117"/>
        <v>118</v>
      </c>
      <c r="CB70" s="1">
        <f t="shared" si="118"/>
        <v>9.8999999999999994E-5</v>
      </c>
      <c r="CC70" s="1">
        <f t="shared" si="119"/>
        <v>158</v>
      </c>
      <c r="CD70" s="1">
        <f t="shared" si="120"/>
        <v>123</v>
      </c>
      <c r="CE70" s="1">
        <f t="shared" si="121"/>
        <v>9.8999999999999994E-5</v>
      </c>
      <c r="CF70" s="1" t="str">
        <f t="shared" si="122"/>
        <v>Mika Sola (2)</v>
      </c>
      <c r="CG70" s="1" t="str">
        <f t="shared" si="123"/>
        <v>Miika Nordblad (3)</v>
      </c>
      <c r="CH70" s="1" t="str">
        <f t="shared" si="124"/>
        <v>Miika Nordblad</v>
      </c>
      <c r="CI70" s="1">
        <f t="shared" si="125"/>
        <v>0</v>
      </c>
      <c r="CJ70" s="1" t="str">
        <f ca="1">IF(B70="","",IF(SUM(AI70:AK70)&gt;0,"+SP","")&amp;IF(CI70&gt;0,"+KK","")&amp;IF(AB70&gt;0,"+KGP1","")&amp;IF(AC70&gt;0,"+KGP2","")&amp;IF(AG70&lt;0,"-KGP1","")&amp;IF(AH70&lt;0,"-KGP2",""))</f>
        <v/>
      </c>
    </row>
    <row r="71" spans="1:109" x14ac:dyDescent="0.25">
      <c r="A71" s="1">
        <f>IFERROR(IF(ROW(A70)=1,1,IF(1+A70&lt;=$CP$1*$CP$2,1+A70,"")),"")</f>
        <v>70</v>
      </c>
      <c r="B71" s="1">
        <f>IF($I71="","",IF(ROW(B70)=1,1,ROUNDUP(A71/$CP$2,0)))</f>
        <v>4</v>
      </c>
      <c r="C71" s="4">
        <f t="shared" si="71"/>
        <v>45620</v>
      </c>
      <c r="D71" s="4" t="str">
        <f t="shared" si="65"/>
        <v>Kupittaan keilahalli</v>
      </c>
      <c r="E71" s="1">
        <f>IF($B71="","",COUNTIF($B$2:B71,B71))</f>
        <v>16</v>
      </c>
      <c r="F71" s="1" t="str">
        <f t="shared" si="66"/>
        <v>K2024GP04</v>
      </c>
      <c r="G71" s="1" t="str">
        <f t="shared" si="72"/>
        <v>K2024GP04_16</v>
      </c>
      <c r="H71" s="1">
        <f t="shared" si="73"/>
        <v>1</v>
      </c>
      <c r="I71" s="3" t="s">
        <v>144</v>
      </c>
      <c r="J71" s="3"/>
      <c r="K71" s="3"/>
      <c r="L71" s="1">
        <f t="shared" si="74"/>
        <v>0</v>
      </c>
      <c r="M71" s="1">
        <f t="shared" si="75"/>
        <v>0</v>
      </c>
      <c r="N71" s="1" t="str">
        <f t="shared" si="76"/>
        <v/>
      </c>
      <c r="O71" s="1" t="str">
        <f t="shared" si="77"/>
        <v/>
      </c>
      <c r="P71" s="1" t="str">
        <f t="shared" si="78"/>
        <v/>
      </c>
      <c r="Q71" s="1">
        <f t="array" ref="Q71">IF($B71="","",IF(MAX(IF(B71=$B$2:$B$313,$L$2:$L$313))-L71=0,"",MAX(IF(B71=$B$2:$B$313,$L$2:$L$313))-L71))</f>
        <v>386</v>
      </c>
      <c r="R71" s="1">
        <f t="array" ref="R71">IF($B71="","",SUMPRODUCT(--($B$2:$B$313=B71),--(L71&lt;$L$2:$L$313))+1)</f>
        <v>15</v>
      </c>
      <c r="S71" s="1">
        <f t="shared" si="79"/>
        <v>0</v>
      </c>
      <c r="T71" s="1" t="str" cm="1">
        <f t="array" ref="T71">IF($B71="","",IF(M71=0,"",SUMPRODUCT(--($B$2:$B$313=B71),--(J71&lt;$J$2:$J$313))+1))</f>
        <v/>
      </c>
      <c r="U71" s="1" t="str">
        <f t="shared" si="80"/>
        <v/>
      </c>
      <c r="V71" s="1" t="str">
        <f t="shared" si="81"/>
        <v>0415</v>
      </c>
      <c r="W71" s="1">
        <f t="shared" si="82"/>
        <v>4</v>
      </c>
      <c r="X71" s="1">
        <f t="shared" si="67"/>
        <v>0</v>
      </c>
      <c r="Y71" s="1">
        <f>IF($B71="","",MAX(_xlfn.MAXIFS($J$2:J71,$I$2:I71,$I71),_xlfn.MAXIFS($K$2:K71,$I$2:I71,$I71)))</f>
        <v>193</v>
      </c>
      <c r="Z71" s="1">
        <f t="shared" si="83"/>
        <v>196</v>
      </c>
      <c r="AA71" s="1">
        <f t="shared" si="84"/>
        <v>0</v>
      </c>
      <c r="AB71" s="1">
        <f t="shared" si="85"/>
        <v>0</v>
      </c>
      <c r="AC71" s="1">
        <f t="shared" si="86"/>
        <v>0</v>
      </c>
      <c r="AD71" s="1">
        <f>IF($B71="","",MIN(_xlfn.MINIFS($J$2:J71,$I$2:I71,$I71),_xlfn.MINIFS($K$2:K71,$I$2:I71,$I71)))</f>
        <v>82</v>
      </c>
      <c r="AE71" s="1">
        <f t="shared" si="87"/>
        <v>72</v>
      </c>
      <c r="AF71" s="1">
        <f t="shared" si="88"/>
        <v>0</v>
      </c>
      <c r="AG71" s="1">
        <f t="shared" si="89"/>
        <v>0</v>
      </c>
      <c r="AH71" s="1">
        <f t="shared" si="90"/>
        <v>0</v>
      </c>
      <c r="AI71" s="1">
        <f ca="1">IF($B71="","",IF($K71="",0,OFFSET($CO$17,R71,W71)))</f>
        <v>0</v>
      </c>
      <c r="AJ71" s="1">
        <f t="shared" ca="1" si="91"/>
        <v>0</v>
      </c>
      <c r="AK71" s="1">
        <f ca="1">IF(AJ71="","",IF(AJ71=0,0,IF(W71=1,0,SUM(OFFSET($CO$17,N71,1):OFFSET($CO$17,N71+W71-2,1))/W71)))</f>
        <v>0</v>
      </c>
      <c r="AL71" s="1">
        <f t="shared" si="92"/>
        <v>0</v>
      </c>
      <c r="AM71" s="1">
        <f ca="1">IF($B71="","",SUMIFS($AL$2:AL71,$I$2:I71,$I71))</f>
        <v>10</v>
      </c>
      <c r="AN71" s="1">
        <f t="shared" si="93"/>
        <v>15.000069999999999</v>
      </c>
      <c r="AO71" s="1">
        <f>IFERROR(IF($B71="","",AVERAGEIFS($L$2:L71,$I$2:I71,I71,$L$2:L71,"&lt;&gt;0")),0)</f>
        <v>250</v>
      </c>
      <c r="AP71" s="1">
        <f t="shared" si="94"/>
        <v>125</v>
      </c>
      <c r="AQ71" s="1">
        <f>IF($B71="","",COUNTIFS($R$2:R71,1,$I$2:I71,$I71))</f>
        <v>0</v>
      </c>
      <c r="AR71" s="1">
        <f t="array" aca="1" ref="AR71" ca="1">IF($B71="","",SUMPRODUCT(--($B$2:$B$313=B71),--(AM71&lt;$AM$2:$AM$313))+1)</f>
        <v>10</v>
      </c>
      <c r="AS71" s="1">
        <f t="array" ref="AS71">IF($B71="","",SUMPRODUCT(--($B$2:$B$313=B71),--(AP71&lt;$AP$2:$AP$313))+1)</f>
        <v>12</v>
      </c>
      <c r="AT71" s="1">
        <f t="array" ref="AT71">IF($B71="","",SUMPRODUCT(--($B$2:$B$313=B71),--(AQ71&lt;$AQ$2:$AQ$313))+1)</f>
        <v>6</v>
      </c>
      <c r="AU71" s="1">
        <f t="shared" si="95"/>
        <v>7.0000000000000005E-8</v>
      </c>
      <c r="AV71" s="1">
        <f t="shared" ca="1" si="96"/>
        <v>0.10120607000000002</v>
      </c>
      <c r="AW71" s="1" t="str">
        <f t="shared" si="68"/>
        <v/>
      </c>
      <c r="AX71" s="1" t="str">
        <f t="shared" si="97"/>
        <v/>
      </c>
      <c r="AY71" s="8">
        <f t="shared" ca="1" si="98"/>
        <v>0.10120607000000002</v>
      </c>
      <c r="AZ71" s="1" cm="1">
        <f t="array" aca="1" ref="AZ71" ca="1">IF($B71="","",SUMPRODUCT(--($B$2:$B$313=B71),--(AY71&gt;$AY$2:$AY$313))+1)</f>
        <v>10</v>
      </c>
      <c r="BA71" s="1" t="str">
        <f t="shared" si="99"/>
        <v>K2024GP04_16_1</v>
      </c>
      <c r="BB71" s="1" t="str">
        <f t="shared" si="100"/>
        <v>K2024GP04_16_2</v>
      </c>
      <c r="BC71" s="1">
        <f t="shared" si="101"/>
        <v>0</v>
      </c>
      <c r="BD71" s="1">
        <f t="shared" si="102"/>
        <v>0</v>
      </c>
      <c r="BE71" s="1">
        <f t="shared" si="103"/>
        <v>1</v>
      </c>
      <c r="BF71" s="1">
        <f t="shared" si="104"/>
        <v>0</v>
      </c>
      <c r="BG71" s="1">
        <f t="shared" si="105"/>
        <v>0</v>
      </c>
      <c r="BH71" s="1">
        <f t="shared" si="106"/>
        <v>15</v>
      </c>
      <c r="BI71" s="1">
        <f t="shared" si="107"/>
        <v>15</v>
      </c>
      <c r="BJ71" s="1">
        <f t="shared" si="108"/>
        <v>0.1515</v>
      </c>
      <c r="BK71" s="1" t="str">
        <f t="shared" si="109"/>
        <v/>
      </c>
      <c r="BL71" s="1">
        <f t="shared" si="110"/>
        <v>9.8999999999999994E-5</v>
      </c>
      <c r="BM71" s="1">
        <f t="shared" si="111"/>
        <v>0.15160609999999999</v>
      </c>
      <c r="BN71" s="1" t="str">
        <f t="shared" si="112"/>
        <v/>
      </c>
      <c r="BO71" s="1">
        <f t="shared" si="69"/>
        <v>16</v>
      </c>
      <c r="BP71" s="1">
        <f t="shared" si="70"/>
        <v>0</v>
      </c>
      <c r="BQ71" s="1" t="str" cm="1">
        <f t="array" ref="BQ71">IF(I71="","",IF(BP71=1,"",IF(L71=0,"",IF(B71=1,"",_xlfn.XLOOKUP(1,($I$2:$I$313=$I71)*($B$2:$B$313=($B71-1)),$BO$2:$BO$313)))))</f>
        <v/>
      </c>
      <c r="BR71" s="1">
        <f>IF(I71="","",IF($B71=1,_xlfn.MINIFS($BO$2:$BO$313,$B$2:$B$313,$B71),_xlfn.MINIFS(BQ$2:$BQ$313,$B$2:$B$313,$B71)))</f>
        <v>2</v>
      </c>
      <c r="BS71" s="1">
        <f t="shared" si="113"/>
        <v>3</v>
      </c>
      <c r="BT71" s="1" t="str" cm="1">
        <f t="array" ref="BT71">IF($I71="","",IF($B71=1,_xlfn.XLOOKUP(1,($B$2:$B$313=$B71)*($BO$2:$BO$313=BR71),Data!$I$2:$I$313,,0),_xlfn.XLOOKUP(1,($B$2:$B$313=$B71)*($BQ$2:$BQ$313=$BR71),$I$2:$I$313,,0)))</f>
        <v>Mika Sola</v>
      </c>
      <c r="BU71" s="1" t="str" cm="1">
        <f t="array" ref="BU71">IF(I71="","",IF($B71=1,_xlfn.XLOOKUP(1,($B$2:$B$313=$B71)*($BO$2:$BO$313=$BS71),$I$2:$I$313,,0),_xlfn.XLOOKUP(1,($B$2:$B$313=$B71)*($BQ$2:$BQ$313=$BS71),$I$2:$I$313,,0)))</f>
        <v>Miika Nordblad</v>
      </c>
      <c r="BV71" s="1" t="str" cm="1">
        <f t="array" ref="BV71">IF($I71="","",IF($B71=1,"",IF($B71=2,_xlfn.XLOOKUP(1,($B$2:$B$313=1)*($BO$2:$BO$313=1),$I$2:$I$313,,0),_xlfn.XLOOKUP($B71-1,$B$2:$B$313,$CH$2:$CH$313,,0))))</f>
        <v>Ossi Oksa</v>
      </c>
      <c r="BW71" s="1" t="str" cm="1">
        <f t="array" ref="BW71">IF($I71="","",IF($B71=1,"",IF(_xlfn.XLOOKUP(1,($B$2:$B$313=$B71)*($I$2:$I$313=$BV71),$BQ$2:$BQ$313,,0)="","NOK","OK")))</f>
        <v>NOK</v>
      </c>
      <c r="BX71" s="1" t="str">
        <f t="shared" si="114"/>
        <v>Mika Sola</v>
      </c>
      <c r="BY71" s="1" t="str">
        <f t="shared" si="115"/>
        <v>Miika Nordblad</v>
      </c>
      <c r="BZ71" s="1">
        <f t="shared" si="116"/>
        <v>127</v>
      </c>
      <c r="CA71" s="1">
        <f t="shared" si="117"/>
        <v>118</v>
      </c>
      <c r="CB71" s="1">
        <f t="shared" si="118"/>
        <v>9.8999999999999994E-5</v>
      </c>
      <c r="CC71" s="1">
        <f t="shared" si="119"/>
        <v>158</v>
      </c>
      <c r="CD71" s="1">
        <f t="shared" si="120"/>
        <v>123</v>
      </c>
      <c r="CE71" s="1">
        <f t="shared" si="121"/>
        <v>9.8999999999999994E-5</v>
      </c>
      <c r="CF71" s="1" t="str">
        <f t="shared" si="122"/>
        <v>Mika Sola (2)</v>
      </c>
      <c r="CG71" s="1" t="str">
        <f t="shared" si="123"/>
        <v>Miika Nordblad (3)</v>
      </c>
      <c r="CH71" s="1" t="str">
        <f t="shared" si="124"/>
        <v>Miika Nordblad</v>
      </c>
      <c r="CI71" s="1">
        <f t="shared" si="125"/>
        <v>0</v>
      </c>
      <c r="CJ71" s="1" t="str">
        <f ca="1">IF(B71="","",IF(SUM(AI71:AK71)&gt;0,"+SP","")&amp;IF(CI71&gt;0,"+KK","")&amp;IF(AB71&gt;0,"+KGP1","")&amp;IF(AC71&gt;0,"+KGP2","")&amp;IF(AG71&lt;0,"-KGP1","")&amp;IF(AH71&lt;0,"-KGP2",""))</f>
        <v/>
      </c>
    </row>
    <row r="72" spans="1:109" x14ac:dyDescent="0.25">
      <c r="A72" s="1">
        <f>IFERROR(IF(ROW(A71)=1,1,IF(1+A71&lt;=$CP$1*$CP$2,1+A71,"")),"")</f>
        <v>71</v>
      </c>
      <c r="B72" s="1">
        <f>IF($I72="","",IF(ROW(B71)=1,1,ROUNDUP(A72/$CP$2,0)))</f>
        <v>4</v>
      </c>
      <c r="C72" s="4">
        <f t="shared" si="71"/>
        <v>45620</v>
      </c>
      <c r="D72" s="4" t="str">
        <f t="shared" si="65"/>
        <v>Kupittaan keilahalli</v>
      </c>
      <c r="E72" s="1">
        <f>IF($B72="","",COUNTIF($B$2:B72,B72))</f>
        <v>17</v>
      </c>
      <c r="F72" s="1" t="str">
        <f t="shared" si="66"/>
        <v>K2024GP04</v>
      </c>
      <c r="G72" s="1" t="str">
        <f t="shared" si="72"/>
        <v>K2024GP04_17</v>
      </c>
      <c r="H72" s="1">
        <f t="shared" si="73"/>
        <v>1</v>
      </c>
      <c r="I72" s="3" t="s">
        <v>135</v>
      </c>
      <c r="J72" s="3"/>
      <c r="K72" s="3"/>
      <c r="L72" s="1">
        <f t="shared" si="74"/>
        <v>0</v>
      </c>
      <c r="M72" s="1">
        <f t="shared" si="75"/>
        <v>0</v>
      </c>
      <c r="N72" s="1" t="str">
        <f t="shared" si="76"/>
        <v/>
      </c>
      <c r="O72" s="1" t="str">
        <f t="shared" si="77"/>
        <v/>
      </c>
      <c r="P72" s="1" t="str">
        <f t="shared" si="78"/>
        <v/>
      </c>
      <c r="Q72" s="1">
        <f t="array" ref="Q72">IF($B72="","",IF(MAX(IF(B72=$B$2:$B$313,$L$2:$L$313))-L72=0,"",MAX(IF(B72=$B$2:$B$313,$L$2:$L$313))-L72))</f>
        <v>386</v>
      </c>
      <c r="R72" s="1">
        <f t="array" ref="R72">IF($B72="","",SUMPRODUCT(--($B$2:$B$313=B72),--(L72&lt;$L$2:$L$313))+1)</f>
        <v>15</v>
      </c>
      <c r="S72" s="1">
        <f t="shared" si="79"/>
        <v>0</v>
      </c>
      <c r="T72" s="1" t="str" cm="1">
        <f t="array" ref="T72">IF($B72="","",IF(M72=0,"",SUMPRODUCT(--($B$2:$B$313=B72),--(J72&lt;$J$2:$J$313))+1))</f>
        <v/>
      </c>
      <c r="U72" s="1" t="str">
        <f t="shared" si="80"/>
        <v/>
      </c>
      <c r="V72" s="1" t="str">
        <f t="shared" si="81"/>
        <v>0415</v>
      </c>
      <c r="W72" s="1">
        <f t="shared" si="82"/>
        <v>4</v>
      </c>
      <c r="X72" s="1">
        <f t="shared" si="67"/>
        <v>0</v>
      </c>
      <c r="Y72" s="1">
        <f>IF($B72="","",MAX(_xlfn.MAXIFS($J$2:J72,$I$2:I72,$I72),_xlfn.MAXIFS($K$2:K72,$I$2:I72,$I72)))</f>
        <v>129</v>
      </c>
      <c r="Z72" s="1">
        <f t="shared" si="83"/>
        <v>196</v>
      </c>
      <c r="AA72" s="1">
        <f t="shared" si="84"/>
        <v>0</v>
      </c>
      <c r="AB72" s="1">
        <f t="shared" si="85"/>
        <v>0</v>
      </c>
      <c r="AC72" s="1">
        <f t="shared" si="86"/>
        <v>0</v>
      </c>
      <c r="AD72" s="1">
        <f>IF($B72="","",MIN(_xlfn.MINIFS($J$2:J72,$I$2:I72,$I72),_xlfn.MINIFS($K$2:K72,$I$2:I72,$I72)))</f>
        <v>101</v>
      </c>
      <c r="AE72" s="1">
        <f t="shared" si="87"/>
        <v>72</v>
      </c>
      <c r="AF72" s="1">
        <f t="shared" si="88"/>
        <v>0</v>
      </c>
      <c r="AG72" s="1">
        <f t="shared" si="89"/>
        <v>0</v>
      </c>
      <c r="AH72" s="1">
        <f t="shared" si="90"/>
        <v>0</v>
      </c>
      <c r="AI72" s="1">
        <f ca="1">IF($B72="","",IF($K72="",0,OFFSET($CO$17,R72,W72)))</f>
        <v>0</v>
      </c>
      <c r="AJ72" s="1">
        <f t="shared" ca="1" si="91"/>
        <v>0</v>
      </c>
      <c r="AK72" s="1">
        <f ca="1">IF(AJ72="","",IF(AJ72=0,0,IF(W72=1,0,SUM(OFFSET($CO$17,N72,1):OFFSET($CO$17,N72+W72-2,1))/W72)))</f>
        <v>0</v>
      </c>
      <c r="AL72" s="1">
        <f t="shared" si="92"/>
        <v>0</v>
      </c>
      <c r="AM72" s="1">
        <f ca="1">IF($B72="","",SUMIFS($AL$2:AL72,$I$2:I72,$I72))</f>
        <v>6</v>
      </c>
      <c r="AN72" s="1">
        <f t="shared" si="93"/>
        <v>15.000071</v>
      </c>
      <c r="AO72" s="1">
        <f>IFERROR(IF($B72="","",AVERAGEIFS($L$2:L72,$I$2:I72,I72,$L$2:L72,"&lt;&gt;0")),0)</f>
        <v>226.5</v>
      </c>
      <c r="AP72" s="1">
        <f t="shared" si="94"/>
        <v>113.25</v>
      </c>
      <c r="AQ72" s="1">
        <f>IF($B72="","",COUNTIFS($R$2:R72,1,$I$2:I72,$I72))</f>
        <v>0</v>
      </c>
      <c r="AR72" s="1">
        <f t="array" aca="1" ref="AR72" ca="1">IF($B72="","",SUMPRODUCT(--($B$2:$B$313=B72),--(AM72&lt;$AM$2:$AM$313))+1)</f>
        <v>13</v>
      </c>
      <c r="AS72" s="1">
        <f t="array" ref="AS72">IF($B72="","",SUMPRODUCT(--($B$2:$B$313=B72),--(AP72&lt;$AP$2:$AP$313))+1)</f>
        <v>15</v>
      </c>
      <c r="AT72" s="1">
        <f t="array" ref="AT72">IF($B72="","",SUMPRODUCT(--($B$2:$B$313=B72),--(AQ72&lt;$AQ$2:$AQ$313))+1)</f>
        <v>6</v>
      </c>
      <c r="AU72" s="1">
        <f t="shared" si="95"/>
        <v>7.1E-8</v>
      </c>
      <c r="AV72" s="1">
        <f t="shared" ca="1" si="96"/>
        <v>0.131506071</v>
      </c>
      <c r="AW72" s="1" t="str">
        <f t="shared" si="68"/>
        <v/>
      </c>
      <c r="AX72" s="1" t="str">
        <f t="shared" si="97"/>
        <v/>
      </c>
      <c r="AY72" s="8">
        <f t="shared" ca="1" si="98"/>
        <v>0.131506071</v>
      </c>
      <c r="AZ72" s="1" cm="1">
        <f t="array" aca="1" ref="AZ72" ca="1">IF($B72="","",SUMPRODUCT(--($B$2:$B$313=B72),--(AY72&gt;$AY$2:$AY$313))+1)</f>
        <v>14</v>
      </c>
      <c r="BA72" s="1" t="str">
        <f t="shared" si="99"/>
        <v>K2024GP04_17_1</v>
      </c>
      <c r="BB72" s="1" t="str">
        <f t="shared" si="100"/>
        <v>K2024GP04_17_2</v>
      </c>
      <c r="BC72" s="1">
        <f t="shared" si="101"/>
        <v>0</v>
      </c>
      <c r="BD72" s="1">
        <f t="shared" si="102"/>
        <v>0</v>
      </c>
      <c r="BE72" s="1">
        <f t="shared" si="103"/>
        <v>1</v>
      </c>
      <c r="BF72" s="1">
        <f t="shared" si="104"/>
        <v>0</v>
      </c>
      <c r="BG72" s="1">
        <f t="shared" si="105"/>
        <v>0</v>
      </c>
      <c r="BH72" s="1">
        <f t="shared" si="106"/>
        <v>15</v>
      </c>
      <c r="BI72" s="1">
        <f t="shared" si="107"/>
        <v>15</v>
      </c>
      <c r="BJ72" s="1">
        <f t="shared" si="108"/>
        <v>0.1515</v>
      </c>
      <c r="BK72" s="1" t="str">
        <f t="shared" si="109"/>
        <v/>
      </c>
      <c r="BL72" s="1">
        <f t="shared" si="110"/>
        <v>9.8999999999999994E-5</v>
      </c>
      <c r="BM72" s="1">
        <f t="shared" si="111"/>
        <v>0.1516062</v>
      </c>
      <c r="BN72" s="1" t="str">
        <f t="shared" si="112"/>
        <v/>
      </c>
      <c r="BO72" s="1">
        <f t="shared" si="69"/>
        <v>17</v>
      </c>
      <c r="BP72" s="1">
        <f t="shared" si="70"/>
        <v>0</v>
      </c>
      <c r="BQ72" s="1" t="str" cm="1">
        <f t="array" ref="BQ72">IF(I72="","",IF(BP72=1,"",IF(L72=0,"",IF(B72=1,"",_xlfn.XLOOKUP(1,($I$2:$I$313=$I72)*($B$2:$B$313=($B72-1)),$BO$2:$BO$313)))))</f>
        <v/>
      </c>
      <c r="BR72" s="1">
        <f>IF(I72="","",IF($B72=1,_xlfn.MINIFS($BO$2:$BO$313,$B$2:$B$313,$B72),_xlfn.MINIFS(BQ$2:$BQ$313,$B$2:$B$313,$B72)))</f>
        <v>2</v>
      </c>
      <c r="BS72" s="1">
        <f t="shared" si="113"/>
        <v>3</v>
      </c>
      <c r="BT72" s="1" t="str" cm="1">
        <f t="array" ref="BT72">IF($I72="","",IF($B72=1,_xlfn.XLOOKUP(1,($B$2:$B$313=$B72)*($BO$2:$BO$313=BR72),Data!$I$2:$I$313,,0),_xlfn.XLOOKUP(1,($B$2:$B$313=$B72)*($BQ$2:$BQ$313=$BR72),$I$2:$I$313,,0)))</f>
        <v>Mika Sola</v>
      </c>
      <c r="BU72" s="1" t="str" cm="1">
        <f t="array" ref="BU72">IF(I72="","",IF($B72=1,_xlfn.XLOOKUP(1,($B$2:$B$313=$B72)*($BO$2:$BO$313=$BS72),$I$2:$I$313,,0),_xlfn.XLOOKUP(1,($B$2:$B$313=$B72)*($BQ$2:$BQ$313=$BS72),$I$2:$I$313,,0)))</f>
        <v>Miika Nordblad</v>
      </c>
      <c r="BV72" s="1" t="str" cm="1">
        <f t="array" ref="BV72">IF($I72="","",IF($B72=1,"",IF($B72=2,_xlfn.XLOOKUP(1,($B$2:$B$313=1)*($BO$2:$BO$313=1),$I$2:$I$313,,0),_xlfn.XLOOKUP($B72-1,$B$2:$B$313,$CH$2:$CH$313,,0))))</f>
        <v>Ossi Oksa</v>
      </c>
      <c r="BW72" s="1" t="str" cm="1">
        <f t="array" ref="BW72">IF($I72="","",IF($B72=1,"",IF(_xlfn.XLOOKUP(1,($B$2:$B$313=$B72)*($I$2:$I$313=$BV72),$BQ$2:$BQ$313,,0)="","NOK","OK")))</f>
        <v>NOK</v>
      </c>
      <c r="BX72" s="1" t="str">
        <f t="shared" si="114"/>
        <v>Mika Sola</v>
      </c>
      <c r="BY72" s="1" t="str">
        <f t="shared" si="115"/>
        <v>Miika Nordblad</v>
      </c>
      <c r="BZ72" s="1">
        <f t="shared" si="116"/>
        <v>127</v>
      </c>
      <c r="CA72" s="1">
        <f t="shared" si="117"/>
        <v>118</v>
      </c>
      <c r="CB72" s="1">
        <f t="shared" si="118"/>
        <v>9.8999999999999994E-5</v>
      </c>
      <c r="CC72" s="1">
        <f t="shared" si="119"/>
        <v>158</v>
      </c>
      <c r="CD72" s="1">
        <f t="shared" si="120"/>
        <v>123</v>
      </c>
      <c r="CE72" s="1">
        <f t="shared" si="121"/>
        <v>9.8999999999999994E-5</v>
      </c>
      <c r="CF72" s="1" t="str">
        <f t="shared" si="122"/>
        <v>Mika Sola (2)</v>
      </c>
      <c r="CG72" s="1" t="str">
        <f t="shared" si="123"/>
        <v>Miika Nordblad (3)</v>
      </c>
      <c r="CH72" s="1" t="str">
        <f t="shared" si="124"/>
        <v>Miika Nordblad</v>
      </c>
      <c r="CI72" s="1">
        <f t="shared" si="125"/>
        <v>0</v>
      </c>
      <c r="CJ72" s="1" t="str">
        <f ca="1">IF(B72="","",IF(SUM(AI72:AK72)&gt;0,"+SP","")&amp;IF(CI72&gt;0,"+KK","")&amp;IF(AB72&gt;0,"+KGP1","")&amp;IF(AC72&gt;0,"+KGP2","")&amp;IF(AG72&lt;0,"-KGP1","")&amp;IF(AH72&lt;0,"-KGP2",""))</f>
        <v/>
      </c>
    </row>
    <row r="73" spans="1:109" x14ac:dyDescent="0.25">
      <c r="A73" s="1">
        <f>IFERROR(IF(ROW(A72)=1,1,IF(1+A72&lt;=$CP$1*$CP$2,1+A72,"")),"")</f>
        <v>72</v>
      </c>
      <c r="B73" s="1">
        <f>IF($I73="","",IF(ROW(B72)=1,1,ROUNDUP(A73/$CP$2,0)))</f>
        <v>4</v>
      </c>
      <c r="C73" s="4">
        <f t="shared" si="71"/>
        <v>45620</v>
      </c>
      <c r="D73" s="4" t="str">
        <f t="shared" si="65"/>
        <v>Kupittaan keilahalli</v>
      </c>
      <c r="E73" s="1">
        <f>IF($B73="","",COUNTIF($B$2:B73,B73))</f>
        <v>18</v>
      </c>
      <c r="F73" s="1" t="str">
        <f t="shared" si="66"/>
        <v>K2024GP04</v>
      </c>
      <c r="G73" s="1" t="str">
        <f t="shared" si="72"/>
        <v>K2024GP04_18</v>
      </c>
      <c r="H73" s="1">
        <f t="shared" si="73"/>
        <v>1</v>
      </c>
      <c r="I73" s="3" t="s">
        <v>130</v>
      </c>
      <c r="J73" s="3"/>
      <c r="K73" s="3"/>
      <c r="L73" s="1">
        <f t="shared" si="74"/>
        <v>0</v>
      </c>
      <c r="M73" s="1">
        <f t="shared" si="75"/>
        <v>0</v>
      </c>
      <c r="N73" s="1" t="str">
        <f t="shared" si="76"/>
        <v/>
      </c>
      <c r="O73" s="1" t="str">
        <f t="shared" si="77"/>
        <v/>
      </c>
      <c r="P73" s="1" t="str">
        <f t="shared" si="78"/>
        <v/>
      </c>
      <c r="Q73" s="1">
        <f t="array" ref="Q73">IF($B73="","",IF(MAX(IF(B73=$B$2:$B$313,$L$2:$L$313))-L73=0,"",MAX(IF(B73=$B$2:$B$313,$L$2:$L$313))-L73))</f>
        <v>386</v>
      </c>
      <c r="R73" s="1">
        <f t="array" ref="R73">IF($B73="","",SUMPRODUCT(--($B$2:$B$313=B73),--(L73&lt;$L$2:$L$313))+1)</f>
        <v>15</v>
      </c>
      <c r="S73" s="1">
        <f t="shared" si="79"/>
        <v>0</v>
      </c>
      <c r="T73" s="1" t="str" cm="1">
        <f t="array" ref="T73">IF($B73="","",IF(M73=0,"",SUMPRODUCT(--($B$2:$B$313=B73),--(J73&lt;$J$2:$J$313))+1))</f>
        <v/>
      </c>
      <c r="U73" s="1" t="str">
        <f t="shared" si="80"/>
        <v/>
      </c>
      <c r="V73" s="1" t="str">
        <f t="shared" si="81"/>
        <v>0415</v>
      </c>
      <c r="W73" s="1">
        <f t="shared" si="82"/>
        <v>4</v>
      </c>
      <c r="X73" s="1">
        <f t="shared" si="67"/>
        <v>0</v>
      </c>
      <c r="Y73" s="1">
        <f>IF($B73="","",MAX(_xlfn.MAXIFS($J$2:J73,$I$2:I73,$I73),_xlfn.MAXIFS($K$2:K73,$I$2:I73,$I73)))</f>
        <v>187</v>
      </c>
      <c r="Z73" s="1">
        <f t="shared" si="83"/>
        <v>196</v>
      </c>
      <c r="AA73" s="1">
        <f t="shared" si="84"/>
        <v>0</v>
      </c>
      <c r="AB73" s="1">
        <f t="shared" si="85"/>
        <v>0</v>
      </c>
      <c r="AC73" s="1">
        <f t="shared" si="86"/>
        <v>0</v>
      </c>
      <c r="AD73" s="1">
        <f>IF($B73="","",MIN(_xlfn.MINIFS($J$2:J73,$I$2:I73,$I73),_xlfn.MINIFS($K$2:K73,$I$2:I73,$I73)))</f>
        <v>111</v>
      </c>
      <c r="AE73" s="1">
        <f t="shared" si="87"/>
        <v>72</v>
      </c>
      <c r="AF73" s="1">
        <f t="shared" si="88"/>
        <v>0</v>
      </c>
      <c r="AG73" s="1">
        <f t="shared" si="89"/>
        <v>0</v>
      </c>
      <c r="AH73" s="1">
        <f t="shared" si="90"/>
        <v>0</v>
      </c>
      <c r="AI73" s="1">
        <f ca="1">IF($B73="","",IF($K73="",0,OFFSET($CO$17,R73,W73)))</f>
        <v>0</v>
      </c>
      <c r="AJ73" s="1">
        <f t="shared" ca="1" si="91"/>
        <v>0</v>
      </c>
      <c r="AK73" s="1">
        <f ca="1">IF(AJ73="","",IF(AJ73=0,0,IF(W73=1,0,SUM(OFFSET($CO$17,N73,1):OFFSET($CO$17,N73+W73-2,1))/W73)))</f>
        <v>0</v>
      </c>
      <c r="AL73" s="1">
        <f t="shared" si="92"/>
        <v>0</v>
      </c>
      <c r="AM73" s="1">
        <f ca="1">IF($B73="","",SUMIFS($AL$2:AL73,$I$2:I73,$I73))</f>
        <v>18.5</v>
      </c>
      <c r="AN73" s="1">
        <f t="shared" si="93"/>
        <v>15.000071999999999</v>
      </c>
      <c r="AO73" s="1">
        <f>IFERROR(IF($B73="","",AVERAGEIFS($L$2:L73,$I$2:I73,I73,$L$2:L73,"&lt;&gt;0")),0)</f>
        <v>287</v>
      </c>
      <c r="AP73" s="1">
        <f t="shared" si="94"/>
        <v>143.5</v>
      </c>
      <c r="AQ73" s="1">
        <f>IF($B73="","",COUNTIFS($R$2:R73,1,$I$2:I73,$I73))</f>
        <v>1</v>
      </c>
      <c r="AR73" s="1">
        <f t="array" aca="1" ref="AR73" ca="1">IF($B73="","",SUMPRODUCT(--($B$2:$B$313=B73),--(AM73&lt;$AM$2:$AM$313))+1)</f>
        <v>8</v>
      </c>
      <c r="AS73" s="1">
        <f t="array" ref="AS73">IF($B73="","",SUMPRODUCT(--($B$2:$B$313=B73),--(AP73&lt;$AP$2:$AP$313))+1)</f>
        <v>5</v>
      </c>
      <c r="AT73" s="1">
        <f t="array" ref="AT73">IF($B73="","",SUMPRODUCT(--($B$2:$B$313=B73),--(AQ73&lt;$AQ$2:$AQ$313))+1)</f>
        <v>1</v>
      </c>
      <c r="AU73" s="1">
        <f t="shared" si="95"/>
        <v>7.1999999999999996E-8</v>
      </c>
      <c r="AV73" s="1">
        <f t="shared" ca="1" si="96"/>
        <v>8.0501072000000007E-2</v>
      </c>
      <c r="AW73" s="1" t="str">
        <f t="shared" si="68"/>
        <v/>
      </c>
      <c r="AX73" s="1" t="str">
        <f t="shared" si="97"/>
        <v/>
      </c>
      <c r="AY73" s="8">
        <f t="shared" ca="1" si="98"/>
        <v>8.0501072000000007E-2</v>
      </c>
      <c r="AZ73" s="1" cm="1">
        <f t="array" aca="1" ref="AZ73" ca="1">IF($B73="","",SUMPRODUCT(--($B$2:$B$313=B73),--(AY73&gt;$AY$2:$AY$313))+1)</f>
        <v>8</v>
      </c>
      <c r="BA73" s="1" t="str">
        <f t="shared" si="99"/>
        <v>K2024GP04_18_1</v>
      </c>
      <c r="BB73" s="1" t="str">
        <f t="shared" si="100"/>
        <v>K2024GP04_18_2</v>
      </c>
      <c r="BC73" s="1">
        <f t="shared" si="101"/>
        <v>0</v>
      </c>
      <c r="BD73" s="1">
        <f t="shared" si="102"/>
        <v>0</v>
      </c>
      <c r="BE73" s="1">
        <f t="shared" si="103"/>
        <v>1</v>
      </c>
      <c r="BF73" s="1">
        <f t="shared" si="104"/>
        <v>0</v>
      </c>
      <c r="BG73" s="1">
        <f t="shared" si="105"/>
        <v>0</v>
      </c>
      <c r="BH73" s="1">
        <f t="shared" si="106"/>
        <v>15</v>
      </c>
      <c r="BI73" s="1">
        <f t="shared" si="107"/>
        <v>15</v>
      </c>
      <c r="BJ73" s="1">
        <f t="shared" si="108"/>
        <v>0.1515</v>
      </c>
      <c r="BK73" s="1" t="str">
        <f t="shared" si="109"/>
        <v/>
      </c>
      <c r="BL73" s="1">
        <f t="shared" si="110"/>
        <v>9.8999999999999994E-5</v>
      </c>
      <c r="BM73" s="1">
        <f t="shared" si="111"/>
        <v>0.15160629999999997</v>
      </c>
      <c r="BN73" s="1" t="str">
        <f t="shared" si="112"/>
        <v/>
      </c>
      <c r="BO73" s="1">
        <f t="shared" si="69"/>
        <v>18</v>
      </c>
      <c r="BP73" s="1">
        <f t="shared" si="70"/>
        <v>0</v>
      </c>
      <c r="BQ73" s="1" t="str" cm="1">
        <f t="array" ref="BQ73">IF(I73="","",IF(BP73=1,"",IF(L73=0,"",IF(B73=1,"",_xlfn.XLOOKUP(1,($I$2:$I$313=$I73)*($B$2:$B$313=($B73-1)),$BO$2:$BO$313)))))</f>
        <v/>
      </c>
      <c r="BR73" s="1">
        <f>IF(I73="","",IF($B73=1,_xlfn.MINIFS($BO$2:$BO$313,$B$2:$B$313,$B73),_xlfn.MINIFS(BQ$2:$BQ$313,$B$2:$B$313,$B73)))</f>
        <v>2</v>
      </c>
      <c r="BS73" s="1">
        <f t="shared" si="113"/>
        <v>3</v>
      </c>
      <c r="BT73" s="1" t="str" cm="1">
        <f t="array" ref="BT73">IF($I73="","",IF($B73=1,_xlfn.XLOOKUP(1,($B$2:$B$313=$B73)*($BO$2:$BO$313=BR73),Data!$I$2:$I$313,,0),_xlfn.XLOOKUP(1,($B$2:$B$313=$B73)*($BQ$2:$BQ$313=$BR73),$I$2:$I$313,,0)))</f>
        <v>Mika Sola</v>
      </c>
      <c r="BU73" s="1" t="str" cm="1">
        <f t="array" ref="BU73">IF(I73="","",IF($B73=1,_xlfn.XLOOKUP(1,($B$2:$B$313=$B73)*($BO$2:$BO$313=$BS73),$I$2:$I$313,,0),_xlfn.XLOOKUP(1,($B$2:$B$313=$B73)*($BQ$2:$BQ$313=$BS73),$I$2:$I$313,,0)))</f>
        <v>Miika Nordblad</v>
      </c>
      <c r="BV73" s="1" t="str" cm="1">
        <f t="array" ref="BV73">IF($I73="","",IF($B73=1,"",IF($B73=2,_xlfn.XLOOKUP(1,($B$2:$B$313=1)*($BO$2:$BO$313=1),$I$2:$I$313,,0),_xlfn.XLOOKUP($B73-1,$B$2:$B$313,$CH$2:$CH$313,,0))))</f>
        <v>Ossi Oksa</v>
      </c>
      <c r="BW73" s="1" t="str" cm="1">
        <f t="array" ref="BW73">IF($I73="","",IF($B73=1,"",IF(_xlfn.XLOOKUP(1,($B$2:$B$313=$B73)*($I$2:$I$313=$BV73),$BQ$2:$BQ$313,,0)="","NOK","OK")))</f>
        <v>NOK</v>
      </c>
      <c r="BX73" s="1" t="str">
        <f t="shared" si="114"/>
        <v>Mika Sola</v>
      </c>
      <c r="BY73" s="1" t="str">
        <f t="shared" si="115"/>
        <v>Miika Nordblad</v>
      </c>
      <c r="BZ73" s="1">
        <f t="shared" si="116"/>
        <v>127</v>
      </c>
      <c r="CA73" s="1">
        <f t="shared" si="117"/>
        <v>118</v>
      </c>
      <c r="CB73" s="1">
        <f t="shared" si="118"/>
        <v>9.8999999999999994E-5</v>
      </c>
      <c r="CC73" s="1">
        <f t="shared" si="119"/>
        <v>158</v>
      </c>
      <c r="CD73" s="1">
        <f t="shared" si="120"/>
        <v>123</v>
      </c>
      <c r="CE73" s="1">
        <f t="shared" si="121"/>
        <v>9.8999999999999994E-5</v>
      </c>
      <c r="CF73" s="1" t="str">
        <f t="shared" si="122"/>
        <v>Mika Sola (2)</v>
      </c>
      <c r="CG73" s="1" t="str">
        <f t="shared" si="123"/>
        <v>Miika Nordblad (3)</v>
      </c>
      <c r="CH73" s="1" t="str">
        <f t="shared" si="124"/>
        <v>Miika Nordblad</v>
      </c>
      <c r="CI73" s="1">
        <f t="shared" si="125"/>
        <v>0</v>
      </c>
      <c r="CJ73" s="1" t="str">
        <f ca="1">IF(B73="","",IF(SUM(AI73:AK73)&gt;0,"+SP","")&amp;IF(CI73&gt;0,"+KK","")&amp;IF(AB73&gt;0,"+KGP1","")&amp;IF(AC73&gt;0,"+KGP2","")&amp;IF(AG73&lt;0,"-KGP1","")&amp;IF(AH73&lt;0,"-KGP2",""))</f>
        <v/>
      </c>
      <c r="CP73" s="208" t="s">
        <v>145</v>
      </c>
      <c r="CQ73" s="208"/>
      <c r="CR73" s="208"/>
      <c r="CS73" s="208"/>
      <c r="CT73" s="208"/>
      <c r="CU73" s="208"/>
      <c r="CV73" s="208"/>
      <c r="CW73" s="208"/>
      <c r="CX73" s="208"/>
      <c r="CY73" s="208"/>
      <c r="CZ73" s="208"/>
      <c r="DA73" s="208"/>
      <c r="DB73" s="208"/>
      <c r="DC73" s="208"/>
      <c r="DD73" s="208"/>
      <c r="DE73" s="208"/>
    </row>
    <row r="74" spans="1:109" x14ac:dyDescent="0.25">
      <c r="A74" s="1">
        <f>IFERROR(IF(ROW(A73)=1,1,IF(1+A73&lt;=$CP$1*$CP$2,1+A73,"")),"")</f>
        <v>73</v>
      </c>
      <c r="B74" s="1">
        <f>IF($I74="","",IF(ROW(B73)=1,1,ROUNDUP(A74/$CP$2,0)))</f>
        <v>5</v>
      </c>
      <c r="C74" s="4">
        <f t="shared" si="71"/>
        <v>45627</v>
      </c>
      <c r="D74" s="4" t="str">
        <f t="shared" si="65"/>
        <v>Kupittaan keilahalli</v>
      </c>
      <c r="E74" s="1">
        <f>IF($B74="","",COUNTIF($B$2:B74,B74))</f>
        <v>1</v>
      </c>
      <c r="F74" s="1" t="str">
        <f t="shared" si="66"/>
        <v>K2024GP05</v>
      </c>
      <c r="G74" s="1" t="str">
        <f t="shared" si="72"/>
        <v>K2024GP05_1</v>
      </c>
      <c r="H74" s="1">
        <f t="shared" si="73"/>
        <v>1</v>
      </c>
      <c r="I74" s="3" t="s">
        <v>117</v>
      </c>
      <c r="J74" s="3">
        <v>120</v>
      </c>
      <c r="K74" s="3">
        <v>168</v>
      </c>
      <c r="L74" s="1">
        <f t="shared" si="74"/>
        <v>288</v>
      </c>
      <c r="M74" s="1">
        <f t="shared" si="75"/>
        <v>1</v>
      </c>
      <c r="N74" s="1">
        <f t="shared" si="76"/>
        <v>8</v>
      </c>
      <c r="O74" s="1">
        <f t="shared" si="77"/>
        <v>288</v>
      </c>
      <c r="P74" s="1">
        <f t="shared" si="78"/>
        <v>45</v>
      </c>
      <c r="Q74" s="1">
        <f t="array" ref="Q74">IF($B74="","",IF(MAX(IF(B74=$B$2:$B$313,$L$2:$L$313))-L74=0,"",MAX(IF(B74=$B$2:$B$313,$L$2:$L$313))-L74))</f>
        <v>45</v>
      </c>
      <c r="R74" s="1">
        <f t="array" ref="R74">IF($B74="","",SUMPRODUCT(--($B$2:$B$313=B74),--(L74&lt;$L$2:$L$313))+1)</f>
        <v>8</v>
      </c>
      <c r="S74" s="1">
        <f t="shared" si="79"/>
        <v>2</v>
      </c>
      <c r="T74" s="1" cm="1">
        <f t="array" ref="T74">IF($B74="","",IF(M74=0,"",SUMPRODUCT(--($B$2:$B$313=B74),--(J74&lt;$J$2:$J$313))+1))</f>
        <v>12</v>
      </c>
      <c r="U74" s="1">
        <f t="shared" si="80"/>
        <v>-4</v>
      </c>
      <c r="V74" s="1" t="str">
        <f t="shared" si="81"/>
        <v>0508</v>
      </c>
      <c r="W74" s="1">
        <f t="shared" si="82"/>
        <v>1</v>
      </c>
      <c r="X74" s="1">
        <f t="shared" si="67"/>
        <v>0</v>
      </c>
      <c r="Y74" s="1">
        <f>IF($B74="","",MAX(_xlfn.MAXIFS($J$2:J74,$I$2:I74,$I74),_xlfn.MAXIFS($K$2:K74,$I$2:I74,$I74)))</f>
        <v>176</v>
      </c>
      <c r="Z74" s="1">
        <f t="shared" si="83"/>
        <v>184</v>
      </c>
      <c r="AA74" s="1">
        <f t="shared" si="84"/>
        <v>0</v>
      </c>
      <c r="AB74" s="1">
        <f t="shared" si="85"/>
        <v>0</v>
      </c>
      <c r="AC74" s="1">
        <f t="shared" si="86"/>
        <v>0</v>
      </c>
      <c r="AD74" s="1">
        <f>IF($B74="","",MIN(_xlfn.MINIFS($J$2:J74,$I$2:I74,$I74),_xlfn.MINIFS($K$2:K74,$I$2:I74,$I74)))</f>
        <v>120</v>
      </c>
      <c r="AE74" s="1">
        <f t="shared" si="87"/>
        <v>120</v>
      </c>
      <c r="AF74" s="1">
        <f t="shared" si="88"/>
        <v>0</v>
      </c>
      <c r="AG74" s="1">
        <f t="shared" si="89"/>
        <v>0</v>
      </c>
      <c r="AH74" s="1">
        <f t="shared" si="90"/>
        <v>0</v>
      </c>
      <c r="AI74" s="1">
        <f ca="1">IF($B74="","",IF($K74="",0,OFFSET($CO$17,R74,W74)))</f>
        <v>3</v>
      </c>
      <c r="AJ74" s="1">
        <f t="shared" ca="1" si="91"/>
        <v>0</v>
      </c>
      <c r="AK74" s="1">
        <f ca="1">IF(AJ74="","",IF(AJ74=0,0,IF(W74=1,0,SUM(OFFSET($CO$17,N74,1):OFFSET($CO$17,N74+W74-2,1))/W74)))</f>
        <v>0</v>
      </c>
      <c r="AL74" s="1">
        <f t="shared" ca="1" si="92"/>
        <v>3</v>
      </c>
      <c r="AM74" s="1">
        <f ca="1">IF($B74="","",SUMIFS($AL$2:AL74,$I$2:I74,$I74))</f>
        <v>14</v>
      </c>
      <c r="AN74" s="1">
        <f t="shared" si="93"/>
        <v>8.0000730000000004</v>
      </c>
      <c r="AO74" s="1">
        <f>IFERROR(IF($B74="","",AVERAGEIFS($L$2:L74,$I$2:I74,I74,$L$2:L74,"&lt;&gt;0")),0)</f>
        <v>294.66666666666669</v>
      </c>
      <c r="AP74" s="1">
        <f t="shared" si="94"/>
        <v>147.33333333333334</v>
      </c>
      <c r="AQ74" s="1">
        <f>IF($B74="","",COUNTIFS($R$2:R74,1,$I$2:I74,$I74))</f>
        <v>0</v>
      </c>
      <c r="AR74" s="1">
        <f t="array" aca="1" ref="AR74" ca="1">IF($B74="","",SUMPRODUCT(--($B$2:$B$313=B74),--(AM74&lt;$AM$2:$AM$313))+1)</f>
        <v>11</v>
      </c>
      <c r="AS74" s="1">
        <f t="array" ref="AS74">IF($B74="","",SUMPRODUCT(--($B$2:$B$313=B74),--(AP74&lt;$AP$2:$AP$313))+1)</f>
        <v>4</v>
      </c>
      <c r="AT74" s="1">
        <f t="array" ref="AT74">IF($B74="","",SUMPRODUCT(--($B$2:$B$313=B74),--(AQ74&lt;$AQ$2:$AQ$313))+1)</f>
        <v>6</v>
      </c>
      <c r="AU74" s="1">
        <f t="shared" si="95"/>
        <v>7.3000000000000005E-8</v>
      </c>
      <c r="AV74" s="1">
        <f t="shared" ca="1" si="96"/>
        <v>0.11040607300000001</v>
      </c>
      <c r="AW74" s="1" t="str">
        <f t="shared" si="68"/>
        <v/>
      </c>
      <c r="AX74" s="1" t="str">
        <f t="shared" si="97"/>
        <v/>
      </c>
      <c r="AY74" s="8">
        <f t="shared" ca="1" si="98"/>
        <v>0.11040607300000001</v>
      </c>
      <c r="AZ74" s="1" cm="1">
        <f t="array" aca="1" ref="AZ74" ca="1">IF($B74="","",SUMPRODUCT(--($B$2:$B$313=B74),--(AY74&gt;$AY$2:$AY$313))+1)</f>
        <v>11</v>
      </c>
      <c r="BA74" s="1" t="str">
        <f t="shared" si="99"/>
        <v>K2024GP05_1_1</v>
      </c>
      <c r="BB74" s="1" t="str">
        <f t="shared" si="100"/>
        <v>K2024GP05_1_2</v>
      </c>
      <c r="BC74" s="1">
        <f t="shared" si="101"/>
        <v>0</v>
      </c>
      <c r="BD74" s="1">
        <f t="shared" si="102"/>
        <v>0</v>
      </c>
      <c r="BE74" s="1">
        <f t="shared" si="103"/>
        <v>1</v>
      </c>
      <c r="BF74" s="1">
        <f t="shared" si="104"/>
        <v>168</v>
      </c>
      <c r="BG74" s="1">
        <f t="shared" si="105"/>
        <v>120</v>
      </c>
      <c r="BH74" s="1">
        <f t="shared" si="106"/>
        <v>4</v>
      </c>
      <c r="BI74" s="1">
        <f t="shared" si="107"/>
        <v>11</v>
      </c>
      <c r="BJ74" s="1">
        <f t="shared" si="108"/>
        <v>4.1099999999999998E-2</v>
      </c>
      <c r="BK74" s="1">
        <f t="shared" si="109"/>
        <v>0</v>
      </c>
      <c r="BL74" s="1">
        <f t="shared" si="110"/>
        <v>9.8999999999999994E-5</v>
      </c>
      <c r="BM74" s="1">
        <f t="shared" si="111"/>
        <v>4.1199E-2</v>
      </c>
      <c r="BN74" s="1">
        <f t="shared" si="112"/>
        <v>0</v>
      </c>
      <c r="BO74" s="1">
        <f t="shared" si="69"/>
        <v>4</v>
      </c>
      <c r="BP74" s="1">
        <f t="shared" si="70"/>
        <v>0</v>
      </c>
      <c r="BQ74" s="1" cm="1">
        <f t="array" ref="BQ74">IF(I74="","",IF(BP74=1,"",IF(L74=0,"",IF(B74=1,"",_xlfn.XLOOKUP(1,($I$2:$I$313=$I74)*($B$2:$B$313=($B74-1)),$BO$2:$BO$313)))))</f>
        <v>8</v>
      </c>
      <c r="BR74" s="1">
        <f>IF(I74="","",IF($B74=1,_xlfn.MINIFS($BO$2:$BO$313,$B$2:$B$313,$B74),_xlfn.MINIFS(BQ$2:$BQ$313,$B$2:$B$313,$B74)))</f>
        <v>1</v>
      </c>
      <c r="BS74" s="1">
        <f t="shared" si="113"/>
        <v>2</v>
      </c>
      <c r="BT74" s="1" t="str" cm="1">
        <f t="array" ref="BT74">IF($I74="","",IF($B74=1,_xlfn.XLOOKUP(1,($B$2:$B$313=$B74)*($BO$2:$BO$313=BR74),Data!$I$2:$I$313,,0),_xlfn.XLOOKUP(1,($B$2:$B$313=$B74)*($BQ$2:$BQ$313=$BR74),$I$2:$I$313,,0)))</f>
        <v>Jami Kallio</v>
      </c>
      <c r="BU74" s="1" t="str" cm="1">
        <f t="array" ref="BU74">IF(I74="","",IF($B74=1,_xlfn.XLOOKUP(1,($B$2:$B$313=$B74)*($BO$2:$BO$313=$BS74),$I$2:$I$313,,0),_xlfn.XLOOKUP(1,($B$2:$B$313=$B74)*($BQ$2:$BQ$313=$BS74),$I$2:$I$313,,0)))</f>
        <v>Niko Reunanen</v>
      </c>
      <c r="BV74" s="1" t="str" cm="1">
        <f t="array" ref="BV74">IF($I74="","",IF($B74=1,"",IF($B74=2,_xlfn.XLOOKUP(1,($B$2:$B$313=1)*($BO$2:$BO$313=1),$I$2:$I$313,,0),_xlfn.XLOOKUP($B74-1,$B$2:$B$313,$CH$2:$CH$313,,0))))</f>
        <v>Miika Nordblad</v>
      </c>
      <c r="BW74" s="1" t="str" cm="1">
        <f t="array" ref="BW74">IF($I74="","",IF($B74=1,"",IF(_xlfn.XLOOKUP(1,($B$2:$B$313=$B74)*($I$2:$I$313=$BV74),$BQ$2:$BQ$313,,0)="","NOK","OK")))</f>
        <v>OK</v>
      </c>
      <c r="BX74" s="1" t="str">
        <f t="shared" si="114"/>
        <v>Miika Nordblad</v>
      </c>
      <c r="BY74" s="1" t="str">
        <f t="shared" si="115"/>
        <v>Jami Kallio</v>
      </c>
      <c r="BZ74" s="1">
        <f t="shared" si="116"/>
        <v>184</v>
      </c>
      <c r="CA74" s="1">
        <f t="shared" si="117"/>
        <v>149</v>
      </c>
      <c r="CB74" s="1">
        <f t="shared" si="118"/>
        <v>9.8999999999999994E-5</v>
      </c>
      <c r="CC74" s="1">
        <f t="shared" si="119"/>
        <v>174</v>
      </c>
      <c r="CD74" s="1">
        <f t="shared" si="120"/>
        <v>131</v>
      </c>
      <c r="CE74" s="1">
        <f t="shared" si="121"/>
        <v>9.8999999999999994E-5</v>
      </c>
      <c r="CF74" s="1" t="str">
        <f t="shared" si="122"/>
        <v>Miika Nordblad (P)</v>
      </c>
      <c r="CG74" s="1" t="str">
        <f t="shared" si="123"/>
        <v>Jami Kallio (1)</v>
      </c>
      <c r="CH74" s="1" t="str">
        <f t="shared" si="124"/>
        <v>Miika Nordblad</v>
      </c>
      <c r="CI74" s="1">
        <f t="shared" si="125"/>
        <v>0</v>
      </c>
      <c r="CJ74" s="1" t="str">
        <f ca="1">IF(B74="","",IF(SUM(AI74:AK74)&gt;0,"+SP","")&amp;IF(CI74&gt;0,"+KK","")&amp;IF(AB74&gt;0,"+KGP1","")&amp;IF(AC74&gt;0,"+KGP2","")&amp;IF(AG74&lt;0,"-KGP1","")&amp;IF(AH74&lt;0,"-KGP2",""))</f>
        <v>+SP</v>
      </c>
      <c r="CP74" s="208"/>
      <c r="CQ74" s="208"/>
      <c r="CR74" s="208"/>
      <c r="CS74" s="208"/>
      <c r="CT74" s="208"/>
      <c r="CU74" s="208"/>
      <c r="CV74" s="208"/>
      <c r="CW74" s="208"/>
      <c r="CX74" s="208"/>
      <c r="CY74" s="208"/>
      <c r="CZ74" s="208"/>
      <c r="DA74" s="208"/>
      <c r="DB74" s="208"/>
      <c r="DC74" s="208"/>
      <c r="DD74" s="208"/>
      <c r="DE74" s="208"/>
    </row>
    <row r="75" spans="1:109" x14ac:dyDescent="0.25">
      <c r="A75" s="1">
        <f>IFERROR(IF(ROW(A74)=1,1,IF(1+A74&lt;=$CP$1*$CP$2,1+A74,"")),"")</f>
        <v>74</v>
      </c>
      <c r="B75" s="1">
        <f>IF($I75="","",IF(ROW(B74)=1,1,ROUNDUP(A75/$CP$2,0)))</f>
        <v>5</v>
      </c>
      <c r="C75" s="4">
        <f t="shared" si="71"/>
        <v>45627</v>
      </c>
      <c r="D75" s="4" t="str">
        <f t="shared" si="65"/>
        <v>Kupittaan keilahalli</v>
      </c>
      <c r="E75" s="1">
        <f>IF($B75="","",COUNTIF($B$2:B75,B75))</f>
        <v>2</v>
      </c>
      <c r="F75" s="1" t="str">
        <f t="shared" si="66"/>
        <v>K2024GP05</v>
      </c>
      <c r="G75" s="1" t="str">
        <f t="shared" si="72"/>
        <v>K2024GP05_2</v>
      </c>
      <c r="H75" s="1">
        <f t="shared" si="73"/>
        <v>1</v>
      </c>
      <c r="I75" s="3" t="s">
        <v>141</v>
      </c>
      <c r="J75" s="3">
        <v>161</v>
      </c>
      <c r="K75" s="3">
        <v>128</v>
      </c>
      <c r="L75" s="1">
        <f t="shared" si="74"/>
        <v>289</v>
      </c>
      <c r="M75" s="1">
        <f t="shared" si="75"/>
        <v>1</v>
      </c>
      <c r="N75" s="1">
        <f t="shared" si="76"/>
        <v>7</v>
      </c>
      <c r="O75" s="1">
        <f t="shared" si="77"/>
        <v>289</v>
      </c>
      <c r="P75" s="1">
        <f t="shared" si="78"/>
        <v>44</v>
      </c>
      <c r="Q75" s="1">
        <f t="array" ref="Q75">IF($B75="","",IF(MAX(IF(B75=$B$2:$B$313,$L$2:$L$313))-L75=0,"",MAX(IF(B75=$B$2:$B$313,$L$2:$L$313))-L75))</f>
        <v>44</v>
      </c>
      <c r="R75" s="1">
        <f t="array" ref="R75">IF($B75="","",SUMPRODUCT(--($B$2:$B$313=B75),--(L75&lt;$L$2:$L$313))+1)</f>
        <v>7</v>
      </c>
      <c r="S75" s="1">
        <f t="shared" si="79"/>
        <v>2</v>
      </c>
      <c r="T75" s="1" cm="1">
        <f t="array" ref="T75">IF($B75="","",IF(M75=0,"",SUMPRODUCT(--($B$2:$B$313=B75),--(J75&lt;$J$2:$J$313))+1))</f>
        <v>2</v>
      </c>
      <c r="U75" s="1">
        <f t="shared" si="80"/>
        <v>5</v>
      </c>
      <c r="V75" s="1" t="str">
        <f t="shared" si="81"/>
        <v>0507</v>
      </c>
      <c r="W75" s="1">
        <f t="shared" si="82"/>
        <v>1</v>
      </c>
      <c r="X75" s="1">
        <f t="shared" si="67"/>
        <v>0</v>
      </c>
      <c r="Y75" s="1">
        <f>IF($B75="","",MAX(_xlfn.MAXIFS($J$2:J75,$I$2:I75,$I75),_xlfn.MAXIFS($K$2:K75,$I$2:I75,$I75)))</f>
        <v>161</v>
      </c>
      <c r="Z75" s="1">
        <f t="shared" si="83"/>
        <v>184</v>
      </c>
      <c r="AA75" s="1">
        <f t="shared" si="84"/>
        <v>0</v>
      </c>
      <c r="AB75" s="1">
        <f t="shared" si="85"/>
        <v>0</v>
      </c>
      <c r="AC75" s="1">
        <f t="shared" si="86"/>
        <v>0</v>
      </c>
      <c r="AD75" s="1">
        <f>IF($B75="","",MIN(_xlfn.MINIFS($J$2:J75,$I$2:I75,$I75),_xlfn.MINIFS($K$2:K75,$I$2:I75,$I75)))</f>
        <v>102</v>
      </c>
      <c r="AE75" s="1">
        <f t="shared" si="87"/>
        <v>120</v>
      </c>
      <c r="AF75" s="1">
        <f t="shared" si="88"/>
        <v>0</v>
      </c>
      <c r="AG75" s="1">
        <f t="shared" si="89"/>
        <v>0</v>
      </c>
      <c r="AH75" s="1">
        <f t="shared" si="90"/>
        <v>0</v>
      </c>
      <c r="AI75" s="1">
        <f ca="1">IF($B75="","",IF($K75="",0,OFFSET($CO$17,R75,W75)))</f>
        <v>4</v>
      </c>
      <c r="AJ75" s="1">
        <f t="shared" ca="1" si="91"/>
        <v>0</v>
      </c>
      <c r="AK75" s="1">
        <f ca="1">IF(AJ75="","",IF(AJ75=0,0,IF(W75=1,0,SUM(OFFSET($CO$17,N75,1):OFFSET($CO$17,N75+W75-2,1))/W75)))</f>
        <v>0</v>
      </c>
      <c r="AL75" s="1">
        <f t="shared" ca="1" si="92"/>
        <v>4</v>
      </c>
      <c r="AM75" s="1">
        <f ca="1">IF($B75="","",SUMIFS($AL$2:AL75,$I$2:I75,$I75))</f>
        <v>8</v>
      </c>
      <c r="AN75" s="1">
        <f t="shared" si="93"/>
        <v>7.0000739999999997</v>
      </c>
      <c r="AO75" s="1">
        <f>IFERROR(IF($B75="","",AVERAGEIFS($L$2:L75,$I$2:I75,I75,$L$2:L75,"&lt;&gt;0")),0)</f>
        <v>252.25</v>
      </c>
      <c r="AP75" s="1">
        <f t="shared" si="94"/>
        <v>126.125</v>
      </c>
      <c r="AQ75" s="1">
        <f>IF($B75="","",COUNTIFS($R$2:R75,1,$I$2:I75,$I75))</f>
        <v>0</v>
      </c>
      <c r="AR75" s="1">
        <f t="array" aca="1" ref="AR75" ca="1">IF($B75="","",SUMPRODUCT(--($B$2:$B$313=B75),--(AM75&lt;$AM$2:$AM$313))+1)</f>
        <v>13</v>
      </c>
      <c r="AS75" s="1">
        <f t="array" ref="AS75">IF($B75="","",SUMPRODUCT(--($B$2:$B$313=B75),--(AP75&lt;$AP$2:$AP$313))+1)</f>
        <v>13</v>
      </c>
      <c r="AT75" s="1">
        <f t="array" ref="AT75">IF($B75="","",SUMPRODUCT(--($B$2:$B$313=B75),--(AQ75&lt;$AQ$2:$AQ$313))+1)</f>
        <v>6</v>
      </c>
      <c r="AU75" s="1">
        <f t="shared" si="95"/>
        <v>7.4000000000000001E-8</v>
      </c>
      <c r="AV75" s="1">
        <f t="shared" ca="1" si="96"/>
        <v>0.13130607399999999</v>
      </c>
      <c r="AW75" s="1" t="str">
        <f t="shared" si="68"/>
        <v/>
      </c>
      <c r="AX75" s="1" t="str">
        <f t="shared" si="97"/>
        <v/>
      </c>
      <c r="AY75" s="8">
        <f t="shared" ca="1" si="98"/>
        <v>0.13130607399999999</v>
      </c>
      <c r="AZ75" s="1" cm="1">
        <f t="array" aca="1" ref="AZ75" ca="1">IF($B75="","",SUMPRODUCT(--($B$2:$B$313=B75),--(AY75&gt;$AY$2:$AY$313))+1)</f>
        <v>13</v>
      </c>
      <c r="BA75" s="1" t="str">
        <f t="shared" si="99"/>
        <v>K2024GP05_2_1</v>
      </c>
      <c r="BB75" s="1" t="str">
        <f t="shared" si="100"/>
        <v>K2024GP05_2_2</v>
      </c>
      <c r="BC75" s="1">
        <f t="shared" si="101"/>
        <v>0</v>
      </c>
      <c r="BD75" s="1">
        <f t="shared" si="102"/>
        <v>0</v>
      </c>
      <c r="BE75" s="1">
        <f t="shared" si="103"/>
        <v>1</v>
      </c>
      <c r="BF75" s="1">
        <f t="shared" si="104"/>
        <v>161</v>
      </c>
      <c r="BG75" s="1">
        <f t="shared" si="105"/>
        <v>128</v>
      </c>
      <c r="BH75" s="1">
        <f t="shared" si="106"/>
        <v>7</v>
      </c>
      <c r="BI75" s="1">
        <f t="shared" si="107"/>
        <v>8</v>
      </c>
      <c r="BJ75" s="1">
        <f t="shared" si="108"/>
        <v>7.0800000000000002E-2</v>
      </c>
      <c r="BK75" s="1">
        <f t="shared" si="109"/>
        <v>0</v>
      </c>
      <c r="BL75" s="1">
        <f t="shared" si="110"/>
        <v>9.8999999999999994E-5</v>
      </c>
      <c r="BM75" s="1">
        <f t="shared" si="111"/>
        <v>7.0899000000000004E-2</v>
      </c>
      <c r="BN75" s="1">
        <f t="shared" si="112"/>
        <v>0</v>
      </c>
      <c r="BO75" s="1">
        <f t="shared" si="69"/>
        <v>7</v>
      </c>
      <c r="BP75" s="1">
        <f t="shared" si="70"/>
        <v>0</v>
      </c>
      <c r="BQ75" s="1" cm="1">
        <f t="array" ref="BQ75">IF(I75="","",IF(BP75=1,"",IF(L75=0,"",IF(B75=1,"",_xlfn.XLOOKUP(1,($I$2:$I$313=$I75)*($B$2:$B$313=($B75-1)),$BO$2:$BO$313)))))</f>
        <v>12</v>
      </c>
      <c r="BR75" s="1">
        <f>IF(I75="","",IF($B75=1,_xlfn.MINIFS($BO$2:$BO$313,$B$2:$B$313,$B75),_xlfn.MINIFS(BQ$2:$BQ$313,$B$2:$B$313,$B75)))</f>
        <v>1</v>
      </c>
      <c r="BS75" s="1">
        <f t="shared" si="113"/>
        <v>2</v>
      </c>
      <c r="BT75" s="1" t="str" cm="1">
        <f t="array" ref="BT75">IF($I75="","",IF($B75=1,_xlfn.XLOOKUP(1,($B$2:$B$313=$B75)*($BO$2:$BO$313=BR75),Data!$I$2:$I$313,,0),_xlfn.XLOOKUP(1,($B$2:$B$313=$B75)*($BQ$2:$BQ$313=$BR75),$I$2:$I$313,,0)))</f>
        <v>Jami Kallio</v>
      </c>
      <c r="BU75" s="1" t="str" cm="1">
        <f t="array" ref="BU75">IF(I75="","",IF($B75=1,_xlfn.XLOOKUP(1,($B$2:$B$313=$B75)*($BO$2:$BO$313=$BS75),$I$2:$I$313,,0),_xlfn.XLOOKUP(1,($B$2:$B$313=$B75)*($BQ$2:$BQ$313=$BS75),$I$2:$I$313,,0)))</f>
        <v>Niko Reunanen</v>
      </c>
      <c r="BV75" s="1" t="str" cm="1">
        <f t="array" ref="BV75">IF($I75="","",IF($B75=1,"",IF($B75=2,_xlfn.XLOOKUP(1,($B$2:$B$313=1)*($BO$2:$BO$313=1),$I$2:$I$313,,0),_xlfn.XLOOKUP($B75-1,$B$2:$B$313,$CH$2:$CH$313,,0))))</f>
        <v>Miika Nordblad</v>
      </c>
      <c r="BW75" s="1" t="str" cm="1">
        <f t="array" ref="BW75">IF($I75="","",IF($B75=1,"",IF(_xlfn.XLOOKUP(1,($B$2:$B$313=$B75)*($I$2:$I$313=$BV75),$BQ$2:$BQ$313,,0)="","NOK","OK")))</f>
        <v>OK</v>
      </c>
      <c r="BX75" s="1" t="str">
        <f t="shared" si="114"/>
        <v>Miika Nordblad</v>
      </c>
      <c r="BY75" s="1" t="str">
        <f t="shared" si="115"/>
        <v>Jami Kallio</v>
      </c>
      <c r="BZ75" s="1">
        <f t="shared" si="116"/>
        <v>184</v>
      </c>
      <c r="CA75" s="1">
        <f t="shared" si="117"/>
        <v>149</v>
      </c>
      <c r="CB75" s="1">
        <f t="shared" si="118"/>
        <v>9.8999999999999994E-5</v>
      </c>
      <c r="CC75" s="1">
        <f t="shared" si="119"/>
        <v>174</v>
      </c>
      <c r="CD75" s="1">
        <f t="shared" si="120"/>
        <v>131</v>
      </c>
      <c r="CE75" s="1">
        <f t="shared" si="121"/>
        <v>9.8999999999999994E-5</v>
      </c>
      <c r="CF75" s="1" t="str">
        <f t="shared" si="122"/>
        <v>Miika Nordblad (P)</v>
      </c>
      <c r="CG75" s="1" t="str">
        <f t="shared" si="123"/>
        <v>Jami Kallio (1)</v>
      </c>
      <c r="CH75" s="1" t="str">
        <f t="shared" si="124"/>
        <v>Miika Nordblad</v>
      </c>
      <c r="CI75" s="1">
        <f t="shared" si="125"/>
        <v>0</v>
      </c>
      <c r="CJ75" s="1" t="str">
        <f ca="1">IF(B75="","",IF(SUM(AI75:AK75)&gt;0,"+SP","")&amp;IF(CI75&gt;0,"+KK","")&amp;IF(AB75&gt;0,"+KGP1","")&amp;IF(AC75&gt;0,"+KGP2","")&amp;IF(AG75&lt;0,"-KGP1","")&amp;IF(AH75&lt;0,"-KGP2",""))</f>
        <v>+SP</v>
      </c>
      <c r="CP75" s="209" t="s">
        <v>146</v>
      </c>
      <c r="CQ75" s="209"/>
      <c r="CR75" s="209"/>
      <c r="CS75" s="209"/>
      <c r="CT75" s="209"/>
      <c r="CU75" s="209"/>
      <c r="CV75" s="209"/>
      <c r="CW75" s="209"/>
      <c r="CX75" s="209"/>
      <c r="CY75" s="209"/>
      <c r="CZ75" s="209"/>
      <c r="DA75" s="209"/>
      <c r="DB75" s="209"/>
      <c r="DC75" s="209"/>
      <c r="DD75" s="209"/>
      <c r="DE75" s="209"/>
    </row>
    <row r="76" spans="1:109" x14ac:dyDescent="0.25">
      <c r="A76" s="1">
        <f>IFERROR(IF(ROW(A75)=1,1,IF(1+A75&lt;=$CP$1*$CP$2,1+A75,"")),"")</f>
        <v>75</v>
      </c>
      <c r="B76" s="1">
        <f>IF($I76="","",IF(ROW(B75)=1,1,ROUNDUP(A76/$CP$2,0)))</f>
        <v>5</v>
      </c>
      <c r="C76" s="4">
        <f t="shared" si="71"/>
        <v>45627</v>
      </c>
      <c r="D76" s="4" t="str">
        <f t="shared" si="65"/>
        <v>Kupittaan keilahalli</v>
      </c>
      <c r="E76" s="1">
        <f>IF($B76="","",COUNTIF($B$2:B76,B76))</f>
        <v>3</v>
      </c>
      <c r="F76" s="1" t="str">
        <f t="shared" si="66"/>
        <v>K2024GP05</v>
      </c>
      <c r="G76" s="1" t="str">
        <f t="shared" si="72"/>
        <v>K2024GP05_3</v>
      </c>
      <c r="H76" s="1">
        <f t="shared" si="73"/>
        <v>1</v>
      </c>
      <c r="I76" s="3" t="s">
        <v>139</v>
      </c>
      <c r="J76" s="3">
        <v>156</v>
      </c>
      <c r="K76" s="3">
        <v>164</v>
      </c>
      <c r="L76" s="1">
        <f t="shared" si="74"/>
        <v>320</v>
      </c>
      <c r="M76" s="1">
        <f t="shared" si="75"/>
        <v>1</v>
      </c>
      <c r="N76" s="1">
        <f t="shared" si="76"/>
        <v>3</v>
      </c>
      <c r="O76" s="1">
        <f t="shared" si="77"/>
        <v>320</v>
      </c>
      <c r="P76" s="1">
        <f t="shared" si="78"/>
        <v>13</v>
      </c>
      <c r="Q76" s="1">
        <f t="array" ref="Q76">IF($B76="","",IF(MAX(IF(B76=$B$2:$B$313,$L$2:$L$313))-L76=0,"",MAX(IF(B76=$B$2:$B$313,$L$2:$L$313))-L76))</f>
        <v>13</v>
      </c>
      <c r="R76" s="1">
        <f t="array" ref="R76">IF($B76="","",SUMPRODUCT(--($B$2:$B$313=B76),--(L76&lt;$L$2:$L$313))+1)</f>
        <v>3</v>
      </c>
      <c r="S76" s="1">
        <f t="shared" si="79"/>
        <v>2</v>
      </c>
      <c r="T76" s="1" cm="1">
        <f t="array" ref="T76">IF($B76="","",IF(M76=0,"",SUMPRODUCT(--($B$2:$B$313=B76),--(J76&lt;$J$2:$J$313))+1))</f>
        <v>3</v>
      </c>
      <c r="U76" s="1">
        <f t="shared" si="80"/>
        <v>0</v>
      </c>
      <c r="V76" s="1" t="str">
        <f t="shared" si="81"/>
        <v>0503</v>
      </c>
      <c r="W76" s="1">
        <f t="shared" si="82"/>
        <v>1</v>
      </c>
      <c r="X76" s="1">
        <f t="shared" si="67"/>
        <v>0</v>
      </c>
      <c r="Y76" s="1">
        <f>IF($B76="","",MAX(_xlfn.MAXIFS($J$2:J76,$I$2:I76,$I76),_xlfn.MAXIFS($K$2:K76,$I$2:I76,$I76)))</f>
        <v>209</v>
      </c>
      <c r="Z76" s="1">
        <f t="shared" si="83"/>
        <v>184</v>
      </c>
      <c r="AA76" s="1">
        <f t="shared" si="84"/>
        <v>0</v>
      </c>
      <c r="AB76" s="1">
        <f t="shared" si="85"/>
        <v>0</v>
      </c>
      <c r="AC76" s="1">
        <f t="shared" si="86"/>
        <v>0</v>
      </c>
      <c r="AD76" s="1">
        <f>IF($B76="","",MIN(_xlfn.MINIFS($J$2:J76,$I$2:I76,$I76),_xlfn.MINIFS($K$2:K76,$I$2:I76,$I76)))</f>
        <v>111</v>
      </c>
      <c r="AE76" s="1">
        <f t="shared" si="87"/>
        <v>120</v>
      </c>
      <c r="AF76" s="1">
        <f t="shared" si="88"/>
        <v>0</v>
      </c>
      <c r="AG76" s="1">
        <f t="shared" si="89"/>
        <v>0</v>
      </c>
      <c r="AH76" s="1">
        <f t="shared" si="90"/>
        <v>0</v>
      </c>
      <c r="AI76" s="1">
        <f ca="1">IF($B76="","",IF($K76="",0,OFFSET($CO$17,R76,W76)))</f>
        <v>8</v>
      </c>
      <c r="AJ76" s="1">
        <f t="shared" ca="1" si="91"/>
        <v>0</v>
      </c>
      <c r="AK76" s="1">
        <f ca="1">IF(AJ76="","",IF(AJ76=0,0,IF(W76=1,0,SUM(OFFSET($CO$17,N76,1):OFFSET($CO$17,N76+W76-2,1))/W76)))</f>
        <v>0</v>
      </c>
      <c r="AL76" s="1">
        <f t="shared" ca="1" si="92"/>
        <v>8</v>
      </c>
      <c r="AM76" s="1">
        <f ca="1">IF($B76="","",SUMIFS($AL$2:AL76,$I$2:I76,$I76))</f>
        <v>34.5</v>
      </c>
      <c r="AN76" s="1">
        <f t="shared" si="93"/>
        <v>3.0000749999999998</v>
      </c>
      <c r="AO76" s="1">
        <f>IFERROR(IF($B76="","",AVERAGEIFS($L$2:L76,$I$2:I76,I76,$L$2:L76,"&lt;&gt;0")),0)</f>
        <v>317.5</v>
      </c>
      <c r="AP76" s="1">
        <f t="shared" si="94"/>
        <v>158.75</v>
      </c>
      <c r="AQ76" s="1">
        <f>IF($B76="","",COUNTIFS($R$2:R76,1,$I$2:I76,$I76))</f>
        <v>1</v>
      </c>
      <c r="AR76" s="1">
        <f t="array" aca="1" ref="AR76" ca="1">IF($B76="","",SUMPRODUCT(--($B$2:$B$313=B76),--(AM76&lt;$AM$2:$AM$313))+1)</f>
        <v>3</v>
      </c>
      <c r="AS76" s="1">
        <f t="array" ref="AS76">IF($B76="","",SUMPRODUCT(--($B$2:$B$313=B76),--(AP76&lt;$AP$2:$AP$313))+1)</f>
        <v>2</v>
      </c>
      <c r="AT76" s="1">
        <f t="array" ref="AT76">IF($B76="","",SUMPRODUCT(--($B$2:$B$313=B76),--(AQ76&lt;$AQ$2:$AQ$313))+1)</f>
        <v>2</v>
      </c>
      <c r="AU76" s="1">
        <f t="shared" si="95"/>
        <v>7.4999999999999997E-8</v>
      </c>
      <c r="AV76" s="1">
        <f t="shared" ca="1" si="96"/>
        <v>3.0202074999999995E-2</v>
      </c>
      <c r="AW76" s="1" t="str">
        <f t="shared" si="68"/>
        <v/>
      </c>
      <c r="AX76" s="1" t="str">
        <f t="shared" si="97"/>
        <v/>
      </c>
      <c r="AY76" s="8">
        <f t="shared" ca="1" si="98"/>
        <v>3.0202074999999995E-2</v>
      </c>
      <c r="AZ76" s="1" cm="1">
        <f t="array" aca="1" ref="AZ76" ca="1">IF($B76="","",SUMPRODUCT(--($B$2:$B$313=B76),--(AY76&gt;$AY$2:$AY$313))+1)</f>
        <v>3</v>
      </c>
      <c r="BA76" s="1" t="str">
        <f t="shared" si="99"/>
        <v>K2024GP05_3_1</v>
      </c>
      <c r="BB76" s="1" t="str">
        <f t="shared" si="100"/>
        <v>K2024GP05_3_2</v>
      </c>
      <c r="BC76" s="1">
        <f t="shared" si="101"/>
        <v>0</v>
      </c>
      <c r="BD76" s="1">
        <f t="shared" si="102"/>
        <v>1</v>
      </c>
      <c r="BE76" s="1">
        <f t="shared" si="103"/>
        <v>1</v>
      </c>
      <c r="BF76" s="1">
        <f t="shared" si="104"/>
        <v>164</v>
      </c>
      <c r="BG76" s="1">
        <f t="shared" si="105"/>
        <v>156</v>
      </c>
      <c r="BH76" s="1">
        <f t="shared" si="106"/>
        <v>5</v>
      </c>
      <c r="BI76" s="1">
        <f t="shared" si="107"/>
        <v>1</v>
      </c>
      <c r="BJ76" s="1">
        <f t="shared" si="108"/>
        <v>5.0100000000000006E-2</v>
      </c>
      <c r="BK76" s="1">
        <f t="shared" si="109"/>
        <v>0</v>
      </c>
      <c r="BL76" s="1">
        <f t="shared" si="110"/>
        <v>9.8999999999999994E-5</v>
      </c>
      <c r="BM76" s="1">
        <f t="shared" si="111"/>
        <v>5.0199000000000008E-2</v>
      </c>
      <c r="BN76" s="1">
        <f t="shared" si="112"/>
        <v>0</v>
      </c>
      <c r="BO76" s="1">
        <f t="shared" si="69"/>
        <v>5</v>
      </c>
      <c r="BP76" s="1">
        <f t="shared" si="70"/>
        <v>0</v>
      </c>
      <c r="BQ76" s="1" cm="1">
        <f t="array" ref="BQ76">IF(I76="","",IF(BP76=1,"",IF(L76=0,"",IF(B76=1,"",_xlfn.XLOOKUP(1,($I$2:$I$313=$I76)*($B$2:$B$313=($B76-1)),$BO$2:$BO$313)))))</f>
        <v>15</v>
      </c>
      <c r="BR76" s="1">
        <f>IF(I76="","",IF($B76=1,_xlfn.MINIFS($BO$2:$BO$313,$B$2:$B$313,$B76),_xlfn.MINIFS(BQ$2:$BQ$313,$B$2:$B$313,$B76)))</f>
        <v>1</v>
      </c>
      <c r="BS76" s="1">
        <f t="shared" si="113"/>
        <v>2</v>
      </c>
      <c r="BT76" s="1" t="str" cm="1">
        <f t="array" ref="BT76">IF($I76="","",IF($B76=1,_xlfn.XLOOKUP(1,($B$2:$B$313=$B76)*($BO$2:$BO$313=BR76),Data!$I$2:$I$313,,0),_xlfn.XLOOKUP(1,($B$2:$B$313=$B76)*($BQ$2:$BQ$313=$BR76),$I$2:$I$313,,0)))</f>
        <v>Jami Kallio</v>
      </c>
      <c r="BU76" s="1" t="str" cm="1">
        <f t="array" ref="BU76">IF(I76="","",IF($B76=1,_xlfn.XLOOKUP(1,($B$2:$B$313=$B76)*($BO$2:$BO$313=$BS76),$I$2:$I$313,,0),_xlfn.XLOOKUP(1,($B$2:$B$313=$B76)*($BQ$2:$BQ$313=$BS76),$I$2:$I$313,,0)))</f>
        <v>Niko Reunanen</v>
      </c>
      <c r="BV76" s="1" t="str" cm="1">
        <f t="array" ref="BV76">IF($I76="","",IF($B76=1,"",IF($B76=2,_xlfn.XLOOKUP(1,($B$2:$B$313=1)*($BO$2:$BO$313=1),$I$2:$I$313,,0),_xlfn.XLOOKUP($B76-1,$B$2:$B$313,$CH$2:$CH$313,,0))))</f>
        <v>Miika Nordblad</v>
      </c>
      <c r="BW76" s="1" t="str" cm="1">
        <f t="array" ref="BW76">IF($I76="","",IF($B76=1,"",IF(_xlfn.XLOOKUP(1,($B$2:$B$313=$B76)*($I$2:$I$313=$BV76),$BQ$2:$BQ$313,,0)="","NOK","OK")))</f>
        <v>OK</v>
      </c>
      <c r="BX76" s="1" t="str">
        <f t="shared" si="114"/>
        <v>Miika Nordblad</v>
      </c>
      <c r="BY76" s="1" t="str">
        <f t="shared" si="115"/>
        <v>Jami Kallio</v>
      </c>
      <c r="BZ76" s="1">
        <f t="shared" si="116"/>
        <v>184</v>
      </c>
      <c r="CA76" s="1">
        <f t="shared" si="117"/>
        <v>149</v>
      </c>
      <c r="CB76" s="1">
        <f t="shared" si="118"/>
        <v>9.8999999999999994E-5</v>
      </c>
      <c r="CC76" s="1">
        <f t="shared" si="119"/>
        <v>174</v>
      </c>
      <c r="CD76" s="1">
        <f t="shared" si="120"/>
        <v>131</v>
      </c>
      <c r="CE76" s="1">
        <f t="shared" si="121"/>
        <v>9.8999999999999994E-5</v>
      </c>
      <c r="CF76" s="1" t="str">
        <f t="shared" si="122"/>
        <v>Miika Nordblad (P)</v>
      </c>
      <c r="CG76" s="1" t="str">
        <f t="shared" si="123"/>
        <v>Jami Kallio (1)</v>
      </c>
      <c r="CH76" s="1" t="str">
        <f t="shared" si="124"/>
        <v>Miika Nordblad</v>
      </c>
      <c r="CI76" s="1">
        <f t="shared" si="125"/>
        <v>0</v>
      </c>
      <c r="CJ76" s="1" t="str">
        <f ca="1">IF(B76="","",IF(SUM(AI76:AK76)&gt;0,"+SP","")&amp;IF(CI76&gt;0,"+KK","")&amp;IF(AB76&gt;0,"+KGP1","")&amp;IF(AC76&gt;0,"+KGP2","")&amp;IF(AG76&lt;0,"-KGP1","")&amp;IF(AH76&lt;0,"-KGP2",""))</f>
        <v>+SP</v>
      </c>
    </row>
    <row r="77" spans="1:109" x14ac:dyDescent="0.25">
      <c r="A77" s="1">
        <f>IFERROR(IF(ROW(A76)=1,1,IF(1+A76&lt;=$CP$1*$CP$2,1+A76,"")),"")</f>
        <v>76</v>
      </c>
      <c r="B77" s="1">
        <f>IF($I77="","",IF(ROW(B76)=1,1,ROUNDUP(A77/$CP$2,0)))</f>
        <v>5</v>
      </c>
      <c r="C77" s="4">
        <f t="shared" si="71"/>
        <v>45627</v>
      </c>
      <c r="D77" s="4" t="str">
        <f t="shared" si="65"/>
        <v>Kupittaan keilahalli</v>
      </c>
      <c r="E77" s="1">
        <f>IF($B77="","",COUNTIF($B$2:B77,B77))</f>
        <v>4</v>
      </c>
      <c r="F77" s="1" t="str">
        <f t="shared" si="66"/>
        <v>K2024GP05</v>
      </c>
      <c r="G77" s="1" t="str">
        <f t="shared" si="72"/>
        <v>K2024GP05_4</v>
      </c>
      <c r="H77" s="1">
        <f t="shared" si="73"/>
        <v>1</v>
      </c>
      <c r="I77" s="3" t="s">
        <v>134</v>
      </c>
      <c r="J77" s="3">
        <v>131</v>
      </c>
      <c r="K77" s="3">
        <v>174</v>
      </c>
      <c r="L77" s="1">
        <f t="shared" si="74"/>
        <v>305</v>
      </c>
      <c r="M77" s="1">
        <f t="shared" si="75"/>
        <v>1</v>
      </c>
      <c r="N77" s="1">
        <f t="shared" si="76"/>
        <v>4</v>
      </c>
      <c r="O77" s="1">
        <f t="shared" si="77"/>
        <v>305</v>
      </c>
      <c r="P77" s="1">
        <f t="shared" si="78"/>
        <v>28</v>
      </c>
      <c r="Q77" s="1">
        <f t="array" ref="Q77">IF($B77="","",IF(MAX(IF(B77=$B$2:$B$313,$L$2:$L$313))-L77=0,"",MAX(IF(B77=$B$2:$B$313,$L$2:$L$313))-L77))</f>
        <v>28</v>
      </c>
      <c r="R77" s="1">
        <f t="array" ref="R77">IF($B77="","",SUMPRODUCT(--($B$2:$B$313=B77),--(L77&lt;$L$2:$L$313))+1)</f>
        <v>4</v>
      </c>
      <c r="S77" s="1">
        <f t="shared" si="79"/>
        <v>2</v>
      </c>
      <c r="T77" s="1" cm="1">
        <f t="array" ref="T77">IF($B77="","",IF(M77=0,"",SUMPRODUCT(--($B$2:$B$313=B77),--(J77&lt;$J$2:$J$313))+1))</f>
        <v>8</v>
      </c>
      <c r="U77" s="1">
        <f t="shared" si="80"/>
        <v>-4</v>
      </c>
      <c r="V77" s="1" t="str">
        <f t="shared" si="81"/>
        <v>0504</v>
      </c>
      <c r="W77" s="1">
        <f t="shared" si="82"/>
        <v>1</v>
      </c>
      <c r="X77" s="1">
        <f t="shared" si="67"/>
        <v>0</v>
      </c>
      <c r="Y77" s="1">
        <f>IF($B77="","",MAX(_xlfn.MAXIFS($J$2:J77,$I$2:I77,$I77),_xlfn.MAXIFS($K$2:K77,$I$2:I77,$I77)))</f>
        <v>196</v>
      </c>
      <c r="Z77" s="1">
        <f t="shared" si="83"/>
        <v>184</v>
      </c>
      <c r="AA77" s="1">
        <f t="shared" si="84"/>
        <v>0</v>
      </c>
      <c r="AB77" s="1">
        <f t="shared" si="85"/>
        <v>0</v>
      </c>
      <c r="AC77" s="1">
        <f t="shared" si="86"/>
        <v>0</v>
      </c>
      <c r="AD77" s="1">
        <f>IF($B77="","",MIN(_xlfn.MINIFS($J$2:J77,$I$2:I77,$I77),_xlfn.MINIFS($K$2:K77,$I$2:I77,$I77)))</f>
        <v>97</v>
      </c>
      <c r="AE77" s="1">
        <f t="shared" si="87"/>
        <v>120</v>
      </c>
      <c r="AF77" s="1">
        <f t="shared" si="88"/>
        <v>0</v>
      </c>
      <c r="AG77" s="1">
        <f t="shared" si="89"/>
        <v>0</v>
      </c>
      <c r="AH77" s="1">
        <f t="shared" si="90"/>
        <v>0</v>
      </c>
      <c r="AI77" s="1">
        <f ca="1">IF($B77="","",IF($K77="",0,OFFSET($CO$17,R77,W77)))</f>
        <v>7</v>
      </c>
      <c r="AJ77" s="1">
        <f t="shared" ca="1" si="91"/>
        <v>0</v>
      </c>
      <c r="AK77" s="1">
        <f ca="1">IF(AJ77="","",IF(AJ77=0,0,IF(W77=1,0,SUM(OFFSET($CO$17,N77,1):OFFSET($CO$17,N77+W77-2,1))/W77)))</f>
        <v>0</v>
      </c>
      <c r="AL77" s="1">
        <f t="shared" ca="1" si="92"/>
        <v>7</v>
      </c>
      <c r="AM77" s="1">
        <f ca="1">IF($B77="","",SUMIFS($AL$2:AL77,$I$2:I77,$I77))</f>
        <v>35</v>
      </c>
      <c r="AN77" s="1">
        <f t="shared" si="93"/>
        <v>4.000076</v>
      </c>
      <c r="AO77" s="1">
        <f>IFERROR(IF($B77="","",AVERAGEIFS($L$2:L77,$I$2:I77,I77,$L$2:L77,"&lt;&gt;0")),0)</f>
        <v>299.60000000000002</v>
      </c>
      <c r="AP77" s="1">
        <f t="shared" si="94"/>
        <v>149.80000000000001</v>
      </c>
      <c r="AQ77" s="1">
        <f>IF($B77="","",COUNTIFS($R$2:R77,1,$I$2:I77,$I77))</f>
        <v>1</v>
      </c>
      <c r="AR77" s="1">
        <f t="array" aca="1" ref="AR77" ca="1">IF($B77="","",SUMPRODUCT(--($B$2:$B$313=B77),--(AM77&lt;$AM$2:$AM$313))+1)</f>
        <v>2</v>
      </c>
      <c r="AS77" s="1">
        <f t="array" ref="AS77">IF($B77="","",SUMPRODUCT(--($B$2:$B$313=B77),--(AP77&lt;$AP$2:$AP$313))+1)</f>
        <v>3</v>
      </c>
      <c r="AT77" s="1">
        <f t="array" ref="AT77">IF($B77="","",SUMPRODUCT(--($B$2:$B$313=B77),--(AQ77&lt;$AQ$2:$AQ$313))+1)</f>
        <v>2</v>
      </c>
      <c r="AU77" s="1">
        <f t="shared" si="95"/>
        <v>7.6000000000000006E-8</v>
      </c>
      <c r="AV77" s="1">
        <f t="shared" ca="1" si="96"/>
        <v>2.0302076000000002E-2</v>
      </c>
      <c r="AW77" s="1" t="str">
        <f t="shared" si="68"/>
        <v/>
      </c>
      <c r="AX77" s="1" t="str">
        <f t="shared" si="97"/>
        <v/>
      </c>
      <c r="AY77" s="8">
        <f t="shared" ca="1" si="98"/>
        <v>2.0302076000000002E-2</v>
      </c>
      <c r="AZ77" s="1" cm="1">
        <f t="array" aca="1" ref="AZ77" ca="1">IF($B77="","",SUMPRODUCT(--($B$2:$B$313=B77),--(AY77&gt;$AY$2:$AY$313))+1)</f>
        <v>2</v>
      </c>
      <c r="BA77" s="1" t="str">
        <f t="shared" si="99"/>
        <v>K2024GP05_4_1</v>
      </c>
      <c r="BB77" s="1" t="str">
        <f t="shared" si="100"/>
        <v>K2024GP05_4_2</v>
      </c>
      <c r="BC77" s="1">
        <f t="shared" si="101"/>
        <v>0</v>
      </c>
      <c r="BD77" s="1">
        <f t="shared" si="102"/>
        <v>0</v>
      </c>
      <c r="BE77" s="1">
        <f t="shared" si="103"/>
        <v>1</v>
      </c>
      <c r="BF77" s="1">
        <f t="shared" si="104"/>
        <v>174</v>
      </c>
      <c r="BG77" s="1">
        <f t="shared" si="105"/>
        <v>131</v>
      </c>
      <c r="BH77" s="1">
        <f t="shared" si="106"/>
        <v>3</v>
      </c>
      <c r="BI77" s="1">
        <f t="shared" si="107"/>
        <v>6</v>
      </c>
      <c r="BJ77" s="1">
        <f t="shared" si="108"/>
        <v>3.0599999999999999E-2</v>
      </c>
      <c r="BK77" s="1">
        <f t="shared" si="109"/>
        <v>0</v>
      </c>
      <c r="BL77" s="1">
        <f t="shared" si="110"/>
        <v>9.8999999999999994E-5</v>
      </c>
      <c r="BM77" s="1">
        <f t="shared" si="111"/>
        <v>3.0698999999999997E-2</v>
      </c>
      <c r="BN77" s="1">
        <f t="shared" si="112"/>
        <v>0</v>
      </c>
      <c r="BO77" s="1">
        <f t="shared" si="69"/>
        <v>3</v>
      </c>
      <c r="BP77" s="1">
        <f t="shared" si="70"/>
        <v>0</v>
      </c>
      <c r="BQ77" s="1" cm="1">
        <f t="array" ref="BQ77">IF(I77="","",IF(BP77=1,"",IF(L77=0,"",IF(B77=1,"",_xlfn.XLOOKUP(1,($I$2:$I$313=$I77)*($B$2:$B$313=($B77-1)),$BO$2:$BO$313)))))</f>
        <v>1</v>
      </c>
      <c r="BR77" s="1">
        <f>IF(I77="","",IF($B77=1,_xlfn.MINIFS($BO$2:$BO$313,$B$2:$B$313,$B77),_xlfn.MINIFS(BQ$2:$BQ$313,$B$2:$B$313,$B77)))</f>
        <v>1</v>
      </c>
      <c r="BS77" s="1">
        <f t="shared" si="113"/>
        <v>2</v>
      </c>
      <c r="BT77" s="1" t="str" cm="1">
        <f t="array" ref="BT77">IF($I77="","",IF($B77=1,_xlfn.XLOOKUP(1,($B$2:$B$313=$B77)*($BO$2:$BO$313=BR77),Data!$I$2:$I$313,,0),_xlfn.XLOOKUP(1,($B$2:$B$313=$B77)*($BQ$2:$BQ$313=$BR77),$I$2:$I$313,,0)))</f>
        <v>Jami Kallio</v>
      </c>
      <c r="BU77" s="1" t="str" cm="1">
        <f t="array" ref="BU77">IF(I77="","",IF($B77=1,_xlfn.XLOOKUP(1,($B$2:$B$313=$B77)*($BO$2:$BO$313=$BS77),$I$2:$I$313,,0),_xlfn.XLOOKUP(1,($B$2:$B$313=$B77)*($BQ$2:$BQ$313=$BS77),$I$2:$I$313,,0)))</f>
        <v>Niko Reunanen</v>
      </c>
      <c r="BV77" s="1" t="str" cm="1">
        <f t="array" ref="BV77">IF($I77="","",IF($B77=1,"",IF($B77=2,_xlfn.XLOOKUP(1,($B$2:$B$313=1)*($BO$2:$BO$313=1),$I$2:$I$313,,0),_xlfn.XLOOKUP($B77-1,$B$2:$B$313,$CH$2:$CH$313,,0))))</f>
        <v>Miika Nordblad</v>
      </c>
      <c r="BW77" s="1" t="str" cm="1">
        <f t="array" ref="BW77">IF($I77="","",IF($B77=1,"",IF(_xlfn.XLOOKUP(1,($B$2:$B$313=$B77)*($I$2:$I$313=$BV77),$BQ$2:$BQ$313,,0)="","NOK","OK")))</f>
        <v>OK</v>
      </c>
      <c r="BX77" s="1" t="str">
        <f t="shared" si="114"/>
        <v>Miika Nordblad</v>
      </c>
      <c r="BY77" s="1" t="str">
        <f t="shared" si="115"/>
        <v>Jami Kallio</v>
      </c>
      <c r="BZ77" s="1">
        <f t="shared" si="116"/>
        <v>184</v>
      </c>
      <c r="CA77" s="1">
        <f t="shared" si="117"/>
        <v>149</v>
      </c>
      <c r="CB77" s="1">
        <f t="shared" si="118"/>
        <v>9.8999999999999994E-5</v>
      </c>
      <c r="CC77" s="1">
        <f t="shared" si="119"/>
        <v>174</v>
      </c>
      <c r="CD77" s="1">
        <f t="shared" si="120"/>
        <v>131</v>
      </c>
      <c r="CE77" s="1">
        <f t="shared" si="121"/>
        <v>9.8999999999999994E-5</v>
      </c>
      <c r="CF77" s="1" t="str">
        <f t="shared" si="122"/>
        <v>Miika Nordblad (P)</v>
      </c>
      <c r="CG77" s="1" t="str">
        <f t="shared" si="123"/>
        <v>Jami Kallio (1)</v>
      </c>
      <c r="CH77" s="1" t="str">
        <f t="shared" si="124"/>
        <v>Miika Nordblad</v>
      </c>
      <c r="CI77" s="1">
        <f t="shared" si="125"/>
        <v>0</v>
      </c>
      <c r="CJ77" s="1" t="str">
        <f ca="1">IF(B77="","",IF(SUM(AI77:AK77)&gt;0,"+SP","")&amp;IF(CI77&gt;0,"+KK","")&amp;IF(AB77&gt;0,"+KGP1","")&amp;IF(AC77&gt;0,"+KGP2","")&amp;IF(AG77&lt;0,"-KGP1","")&amp;IF(AH77&lt;0,"-KGP2",""))</f>
        <v>+SP</v>
      </c>
    </row>
    <row r="78" spans="1:109" x14ac:dyDescent="0.25">
      <c r="A78" s="1">
        <f>IFERROR(IF(ROW(A77)=1,1,IF(1+A77&lt;=$CP$1*$CP$2,1+A77,"")),"")</f>
        <v>77</v>
      </c>
      <c r="B78" s="1">
        <f>IF($I78="","",IF(ROW(B77)=1,1,ROUNDUP(A78/$CP$2,0)))</f>
        <v>5</v>
      </c>
      <c r="C78" s="4">
        <f t="shared" si="71"/>
        <v>45627</v>
      </c>
      <c r="D78" s="4" t="str">
        <f t="shared" si="65"/>
        <v>Kupittaan keilahalli</v>
      </c>
      <c r="E78" s="1">
        <f>IF($B78="","",COUNTIF($B$2:B78,B78))</f>
        <v>5</v>
      </c>
      <c r="F78" s="1" t="str">
        <f t="shared" si="66"/>
        <v>K2024GP05</v>
      </c>
      <c r="G78" s="1" t="str">
        <f t="shared" si="72"/>
        <v>K2024GP05_5</v>
      </c>
      <c r="H78" s="1">
        <f t="shared" si="73"/>
        <v>1</v>
      </c>
      <c r="I78" s="3" t="s">
        <v>143</v>
      </c>
      <c r="J78" s="3">
        <v>184</v>
      </c>
      <c r="K78" s="3">
        <v>149</v>
      </c>
      <c r="L78" s="1">
        <f t="shared" si="74"/>
        <v>333</v>
      </c>
      <c r="M78" s="1">
        <f t="shared" si="75"/>
        <v>1</v>
      </c>
      <c r="N78" s="1">
        <f t="shared" si="76"/>
        <v>1</v>
      </c>
      <c r="O78" s="1">
        <f t="shared" si="77"/>
        <v>333</v>
      </c>
      <c r="P78" s="1" t="str">
        <f t="shared" si="78"/>
        <v/>
      </c>
      <c r="Q78" s="1" t="str">
        <f t="array" ref="Q78">IF($B78="","",IF(MAX(IF(B78=$B$2:$B$313,$L$2:$L$313))-L78=0,"",MAX(IF(B78=$B$2:$B$313,$L$2:$L$313))-L78))</f>
        <v/>
      </c>
      <c r="R78" s="1">
        <f t="array" ref="R78">IF($B78="","",SUMPRODUCT(--($B$2:$B$313=B78),--(L78&lt;$L$2:$L$313))+1)</f>
        <v>1</v>
      </c>
      <c r="S78" s="1">
        <f t="shared" si="79"/>
        <v>2</v>
      </c>
      <c r="T78" s="1" cm="1">
        <f t="array" ref="T78">IF($B78="","",IF(M78=0,"",SUMPRODUCT(--($B$2:$B$313=B78),--(J78&lt;$J$2:$J$313))+1))</f>
        <v>1</v>
      </c>
      <c r="U78" s="1">
        <f t="shared" si="80"/>
        <v>0</v>
      </c>
      <c r="V78" s="1" t="str">
        <f t="shared" si="81"/>
        <v>0501</v>
      </c>
      <c r="W78" s="1">
        <f t="shared" si="82"/>
        <v>1</v>
      </c>
      <c r="X78" s="1">
        <f t="shared" si="67"/>
        <v>0</v>
      </c>
      <c r="Y78" s="1">
        <f>IF($B78="","",MAX(_xlfn.MAXIFS($J$2:J78,$I$2:I78,$I78),_xlfn.MAXIFS($K$2:K78,$I$2:I78,$I78)))</f>
        <v>184</v>
      </c>
      <c r="Z78" s="1">
        <f t="shared" si="83"/>
        <v>184</v>
      </c>
      <c r="AA78" s="1">
        <f t="shared" si="84"/>
        <v>0</v>
      </c>
      <c r="AB78" s="1">
        <f t="shared" si="85"/>
        <v>0</v>
      </c>
      <c r="AC78" s="1">
        <f t="shared" si="86"/>
        <v>0</v>
      </c>
      <c r="AD78" s="1">
        <f>IF($B78="","",MIN(_xlfn.MINIFS($J$2:J78,$I$2:I78,$I78),_xlfn.MINIFS($K$2:K78,$I$2:I78,$I78)))</f>
        <v>123</v>
      </c>
      <c r="AE78" s="1">
        <f t="shared" si="87"/>
        <v>120</v>
      </c>
      <c r="AF78" s="1">
        <f t="shared" si="88"/>
        <v>0</v>
      </c>
      <c r="AG78" s="1">
        <f t="shared" si="89"/>
        <v>0</v>
      </c>
      <c r="AH78" s="1">
        <f t="shared" si="90"/>
        <v>0</v>
      </c>
      <c r="AI78" s="1">
        <f ca="1">IF($B78="","",IF($K78="",0,OFFSET($CO$17,R78,W78)))</f>
        <v>12</v>
      </c>
      <c r="AJ78" s="1">
        <f t="shared" ca="1" si="91"/>
        <v>0</v>
      </c>
      <c r="AK78" s="1">
        <f ca="1">IF(AJ78="","",IF(AJ78=0,0,IF(W78=1,0,SUM(OFFSET($CO$17,N78,1):OFFSET($CO$17,N78+W78-2,1))/W78)))</f>
        <v>0</v>
      </c>
      <c r="AL78" s="1">
        <f t="shared" ca="1" si="92"/>
        <v>13</v>
      </c>
      <c r="AM78" s="1">
        <f ca="1">IF($B78="","",SUMIFS($AL$2:AL78,$I$2:I78,$I78))</f>
        <v>40</v>
      </c>
      <c r="AN78" s="1">
        <f t="shared" si="93"/>
        <v>1.0000770000000001</v>
      </c>
      <c r="AO78" s="1">
        <f>IFERROR(IF($B78="","",AVERAGEIFS($L$2:L78,$I$2:I78,I78,$L$2:L78,"&lt;&gt;0")),0)</f>
        <v>318.5</v>
      </c>
      <c r="AP78" s="1">
        <f t="shared" si="94"/>
        <v>159.25</v>
      </c>
      <c r="AQ78" s="1">
        <f>IF($B78="","",COUNTIFS($R$2:R78,1,$I$2:I78,$I78))</f>
        <v>2</v>
      </c>
      <c r="AR78" s="1">
        <f t="array" aca="1" ref="AR78" ca="1">IF($B78="","",SUMPRODUCT(--($B$2:$B$313=B78),--(AM78&lt;$AM$2:$AM$313))+1)</f>
        <v>1</v>
      </c>
      <c r="AS78" s="1">
        <f t="array" ref="AS78">IF($B78="","",SUMPRODUCT(--($B$2:$B$313=B78),--(AP78&lt;$AP$2:$AP$313))+1)</f>
        <v>1</v>
      </c>
      <c r="AT78" s="1">
        <f t="array" ref="AT78">IF($B78="","",SUMPRODUCT(--($B$2:$B$313=B78),--(AQ78&lt;$AQ$2:$AQ$313))+1)</f>
        <v>1</v>
      </c>
      <c r="AU78" s="1">
        <f t="shared" si="95"/>
        <v>7.7000000000000001E-8</v>
      </c>
      <c r="AV78" s="1">
        <f t="shared" ca="1" si="96"/>
        <v>1.0101076999999998E-2</v>
      </c>
      <c r="AW78" s="1" t="str">
        <f t="shared" si="68"/>
        <v/>
      </c>
      <c r="AX78" s="1" t="str">
        <f t="shared" si="97"/>
        <v/>
      </c>
      <c r="AY78" s="8">
        <f t="shared" ca="1" si="98"/>
        <v>1.0101076999999998E-2</v>
      </c>
      <c r="AZ78" s="1" cm="1">
        <f t="array" aca="1" ref="AZ78" ca="1">IF($B78="","",SUMPRODUCT(--($B$2:$B$313=B78),--(AY78&gt;$AY$2:$AY$313))+1)</f>
        <v>1</v>
      </c>
      <c r="BA78" s="1" t="str">
        <f t="shared" si="99"/>
        <v>K2024GP05_5_1</v>
      </c>
      <c r="BB78" s="1" t="str">
        <f t="shared" si="100"/>
        <v>K2024GP05_5_2</v>
      </c>
      <c r="BC78" s="1">
        <f t="shared" si="101"/>
        <v>1</v>
      </c>
      <c r="BD78" s="1">
        <f t="shared" si="102"/>
        <v>1</v>
      </c>
      <c r="BE78" s="1">
        <f t="shared" si="103"/>
        <v>1</v>
      </c>
      <c r="BF78" s="1">
        <f t="shared" si="104"/>
        <v>184</v>
      </c>
      <c r="BG78" s="1">
        <f t="shared" si="105"/>
        <v>149</v>
      </c>
      <c r="BH78" s="1">
        <f t="shared" si="106"/>
        <v>1</v>
      </c>
      <c r="BI78" s="1">
        <f t="shared" si="107"/>
        <v>2</v>
      </c>
      <c r="BJ78" s="1">
        <f t="shared" si="108"/>
        <v>1.0200000000000001E-2</v>
      </c>
      <c r="BK78" s="1">
        <f t="shared" si="109"/>
        <v>0</v>
      </c>
      <c r="BL78" s="1">
        <f t="shared" si="110"/>
        <v>9.8999999999999994E-5</v>
      </c>
      <c r="BM78" s="1">
        <f t="shared" si="111"/>
        <v>1.0299000000000001E-2</v>
      </c>
      <c r="BN78" s="1">
        <f t="shared" si="112"/>
        <v>0</v>
      </c>
      <c r="BO78" s="1">
        <f t="shared" si="69"/>
        <v>1</v>
      </c>
      <c r="BP78" s="1">
        <f t="shared" si="70"/>
        <v>0</v>
      </c>
      <c r="BQ78" s="1" cm="1">
        <f t="array" ref="BQ78">IF(I78="","",IF(BP78=1,"",IF(L78=0,"",IF(B78=1,"",_xlfn.XLOOKUP(1,($I$2:$I$313=$I78)*($B$2:$B$313=($B78-1)),$BO$2:$BO$313)))))</f>
        <v>6</v>
      </c>
      <c r="BR78" s="1">
        <f>IF(I78="","",IF($B78=1,_xlfn.MINIFS($BO$2:$BO$313,$B$2:$B$313,$B78),_xlfn.MINIFS(BQ$2:$BQ$313,$B$2:$B$313,$B78)))</f>
        <v>1</v>
      </c>
      <c r="BS78" s="1">
        <f t="shared" si="113"/>
        <v>2</v>
      </c>
      <c r="BT78" s="1" t="str" cm="1">
        <f t="array" ref="BT78">IF($I78="","",IF($B78=1,_xlfn.XLOOKUP(1,($B$2:$B$313=$B78)*($BO$2:$BO$313=BR78),Data!$I$2:$I$313,,0),_xlfn.XLOOKUP(1,($B$2:$B$313=$B78)*($BQ$2:$BQ$313=$BR78),$I$2:$I$313,,0)))</f>
        <v>Jami Kallio</v>
      </c>
      <c r="BU78" s="1" t="str" cm="1">
        <f t="array" ref="BU78">IF(I78="","",IF($B78=1,_xlfn.XLOOKUP(1,($B$2:$B$313=$B78)*($BO$2:$BO$313=$BS78),$I$2:$I$313,,0),_xlfn.XLOOKUP(1,($B$2:$B$313=$B78)*($BQ$2:$BQ$313=$BS78),$I$2:$I$313,,0)))</f>
        <v>Niko Reunanen</v>
      </c>
      <c r="BV78" s="1" t="str" cm="1">
        <f t="array" ref="BV78">IF($I78="","",IF($B78=1,"",IF($B78=2,_xlfn.XLOOKUP(1,($B$2:$B$313=1)*($BO$2:$BO$313=1),$I$2:$I$313,,0),_xlfn.XLOOKUP($B78-1,$B$2:$B$313,$CH$2:$CH$313,,0))))</f>
        <v>Miika Nordblad</v>
      </c>
      <c r="BW78" s="1" t="str" cm="1">
        <f t="array" ref="BW78">IF($I78="","",IF($B78=1,"",IF(_xlfn.XLOOKUP(1,($B$2:$B$313=$B78)*($I$2:$I$313=$BV78),$BQ$2:$BQ$313,,0)="","NOK","OK")))</f>
        <v>OK</v>
      </c>
      <c r="BX78" s="1" t="str">
        <f t="shared" si="114"/>
        <v>Miika Nordblad</v>
      </c>
      <c r="BY78" s="1" t="str">
        <f t="shared" si="115"/>
        <v>Jami Kallio</v>
      </c>
      <c r="BZ78" s="1">
        <f t="shared" si="116"/>
        <v>184</v>
      </c>
      <c r="CA78" s="1">
        <f t="shared" si="117"/>
        <v>149</v>
      </c>
      <c r="CB78" s="1">
        <f t="shared" si="118"/>
        <v>9.8999999999999994E-5</v>
      </c>
      <c r="CC78" s="1">
        <f t="shared" si="119"/>
        <v>174</v>
      </c>
      <c r="CD78" s="1">
        <f t="shared" si="120"/>
        <v>131</v>
      </c>
      <c r="CE78" s="1">
        <f t="shared" si="121"/>
        <v>9.8999999999999994E-5</v>
      </c>
      <c r="CF78" s="1" t="str">
        <f t="shared" si="122"/>
        <v>Miika Nordblad (P)</v>
      </c>
      <c r="CG78" s="1" t="str">
        <f t="shared" si="123"/>
        <v>Jami Kallio (1)</v>
      </c>
      <c r="CH78" s="1" t="str">
        <f t="shared" si="124"/>
        <v>Miika Nordblad</v>
      </c>
      <c r="CI78" s="1">
        <f t="shared" si="125"/>
        <v>1</v>
      </c>
      <c r="CJ78" s="1" t="str">
        <f ca="1">IF(B78="","",IF(SUM(AI78:AK78)&gt;0,"+SP","")&amp;IF(CI78&gt;0,"+KK","")&amp;IF(AB78&gt;0,"+KGP1","")&amp;IF(AC78&gt;0,"+KGP2","")&amp;IF(AG78&lt;0,"-KGP1","")&amp;IF(AH78&lt;0,"-KGP2",""))</f>
        <v>+SP+KK</v>
      </c>
    </row>
    <row r="79" spans="1:109" x14ac:dyDescent="0.25">
      <c r="A79" s="1">
        <f>IFERROR(IF(ROW(A78)=1,1,IF(1+A78&lt;=$CP$1*$CP$2,1+A78,"")),"")</f>
        <v>78</v>
      </c>
      <c r="B79" s="1">
        <f>IF($I79="","",IF(ROW(B78)=1,1,ROUNDUP(A79/$CP$2,0)))</f>
        <v>5</v>
      </c>
      <c r="C79" s="4">
        <f t="shared" si="71"/>
        <v>45627</v>
      </c>
      <c r="D79" s="4" t="str">
        <f t="shared" si="65"/>
        <v>Kupittaan keilahalli</v>
      </c>
      <c r="E79" s="1">
        <f>IF($B79="","",COUNTIF($B$2:B79,B79))</f>
        <v>6</v>
      </c>
      <c r="F79" s="1" t="str">
        <f t="shared" si="66"/>
        <v>K2024GP05</v>
      </c>
      <c r="G79" s="1" t="str">
        <f t="shared" si="72"/>
        <v>K2024GP05_6</v>
      </c>
      <c r="H79" s="1">
        <f t="shared" si="73"/>
        <v>1</v>
      </c>
      <c r="I79" s="3" t="s">
        <v>131</v>
      </c>
      <c r="J79" s="3">
        <v>130</v>
      </c>
      <c r="K79" s="3">
        <v>163</v>
      </c>
      <c r="L79" s="1">
        <f t="shared" si="74"/>
        <v>293</v>
      </c>
      <c r="M79" s="1">
        <f t="shared" si="75"/>
        <v>1</v>
      </c>
      <c r="N79" s="1">
        <f t="shared" si="76"/>
        <v>5</v>
      </c>
      <c r="O79" s="1">
        <f t="shared" si="77"/>
        <v>293</v>
      </c>
      <c r="P79" s="1">
        <f t="shared" si="78"/>
        <v>40</v>
      </c>
      <c r="Q79" s="1">
        <f t="array" ref="Q79">IF($B79="","",IF(MAX(IF(B79=$B$2:$B$313,$L$2:$L$313))-L79=0,"",MAX(IF(B79=$B$2:$B$313,$L$2:$L$313))-L79))</f>
        <v>40</v>
      </c>
      <c r="R79" s="1">
        <f t="array" ref="R79">IF($B79="","",SUMPRODUCT(--($B$2:$B$313=B79),--(L79&lt;$L$2:$L$313))+1)</f>
        <v>5</v>
      </c>
      <c r="S79" s="1">
        <f t="shared" si="79"/>
        <v>2</v>
      </c>
      <c r="T79" s="1" cm="1">
        <f t="array" ref="T79">IF($B79="","",IF(M79=0,"",SUMPRODUCT(--($B$2:$B$313=B79),--(J79&lt;$J$2:$J$313))+1))</f>
        <v>9</v>
      </c>
      <c r="U79" s="1">
        <f t="shared" si="80"/>
        <v>-4</v>
      </c>
      <c r="V79" s="1" t="str">
        <f t="shared" si="81"/>
        <v>0505</v>
      </c>
      <c r="W79" s="1">
        <f t="shared" si="82"/>
        <v>1</v>
      </c>
      <c r="X79" s="1">
        <f t="shared" si="67"/>
        <v>0</v>
      </c>
      <c r="Y79" s="1">
        <f>IF($B79="","",MAX(_xlfn.MAXIFS($J$2:J79,$I$2:I79,$I79),_xlfn.MAXIFS($K$2:K79,$I$2:I79,$I79)))</f>
        <v>170</v>
      </c>
      <c r="Z79" s="1">
        <f t="shared" si="83"/>
        <v>184</v>
      </c>
      <c r="AA79" s="1">
        <f t="shared" si="84"/>
        <v>0</v>
      </c>
      <c r="AB79" s="1">
        <f t="shared" si="85"/>
        <v>0</v>
      </c>
      <c r="AC79" s="1">
        <f t="shared" si="86"/>
        <v>0</v>
      </c>
      <c r="AD79" s="1">
        <f>IF($B79="","",MIN(_xlfn.MINIFS($J$2:J79,$I$2:I79,$I79),_xlfn.MINIFS($K$2:K79,$I$2:I79,$I79)))</f>
        <v>102</v>
      </c>
      <c r="AE79" s="1">
        <f t="shared" si="87"/>
        <v>120</v>
      </c>
      <c r="AF79" s="1">
        <f t="shared" si="88"/>
        <v>0</v>
      </c>
      <c r="AG79" s="1">
        <f t="shared" si="89"/>
        <v>0</v>
      </c>
      <c r="AH79" s="1">
        <f t="shared" si="90"/>
        <v>0</v>
      </c>
      <c r="AI79" s="1">
        <f ca="1">IF($B79="","",IF($K79="",0,OFFSET($CO$17,R79,W79)))</f>
        <v>6</v>
      </c>
      <c r="AJ79" s="1">
        <f t="shared" ca="1" si="91"/>
        <v>0</v>
      </c>
      <c r="AK79" s="1">
        <f ca="1">IF(AJ79="","",IF(AJ79=0,0,IF(W79=1,0,SUM(OFFSET($CO$17,N79,1):OFFSET($CO$17,N79+W79-2,1))/W79)))</f>
        <v>0</v>
      </c>
      <c r="AL79" s="1">
        <f t="shared" ca="1" si="92"/>
        <v>6</v>
      </c>
      <c r="AM79" s="1">
        <f ca="1">IF($B79="","",SUMIFS($AL$2:AL79,$I$2:I79,$I79))</f>
        <v>28</v>
      </c>
      <c r="AN79" s="1">
        <f t="shared" si="93"/>
        <v>5.0000780000000002</v>
      </c>
      <c r="AO79" s="1">
        <f>IFERROR(IF($B79="","",AVERAGEIFS($L$2:L79,$I$2:I79,I79,$L$2:L79,"&lt;&gt;0")),0)</f>
        <v>277.39999999999998</v>
      </c>
      <c r="AP79" s="1">
        <f t="shared" si="94"/>
        <v>138.69999999999999</v>
      </c>
      <c r="AQ79" s="1">
        <f>IF($B79="","",COUNTIFS($R$2:R79,1,$I$2:I79,$I79))</f>
        <v>0</v>
      </c>
      <c r="AR79" s="1">
        <f t="array" aca="1" ref="AR79" ca="1">IF($B79="","",SUMPRODUCT(--($B$2:$B$313=B79),--(AM79&lt;$AM$2:$AM$313))+1)</f>
        <v>4</v>
      </c>
      <c r="AS79" s="1">
        <f t="array" ref="AS79">IF($B79="","",SUMPRODUCT(--($B$2:$B$313=B79),--(AP79&lt;$AP$2:$AP$313))+1)</f>
        <v>7</v>
      </c>
      <c r="AT79" s="1">
        <f t="array" ref="AT79">IF($B79="","",SUMPRODUCT(--($B$2:$B$313=B79),--(AQ79&lt;$AQ$2:$AQ$313))+1)</f>
        <v>6</v>
      </c>
      <c r="AU79" s="1">
        <f t="shared" si="95"/>
        <v>7.7999999999999997E-8</v>
      </c>
      <c r="AV79" s="1">
        <f t="shared" ca="1" si="96"/>
        <v>4.0706078E-2</v>
      </c>
      <c r="AW79" s="1" t="str">
        <f t="shared" si="68"/>
        <v/>
      </c>
      <c r="AX79" s="1" t="str">
        <f t="shared" si="97"/>
        <v/>
      </c>
      <c r="AY79" s="8">
        <f t="shared" ca="1" si="98"/>
        <v>4.0706078E-2</v>
      </c>
      <c r="AZ79" s="1" cm="1">
        <f t="array" aca="1" ref="AZ79" ca="1">IF($B79="","",SUMPRODUCT(--($B$2:$B$313=B79),--(AY79&gt;$AY$2:$AY$313))+1)</f>
        <v>4</v>
      </c>
      <c r="BA79" s="1" t="str">
        <f t="shared" si="99"/>
        <v>K2024GP05_6_1</v>
      </c>
      <c r="BB79" s="1" t="str">
        <f t="shared" si="100"/>
        <v>K2024GP05_6_2</v>
      </c>
      <c r="BC79" s="1">
        <f t="shared" si="101"/>
        <v>0</v>
      </c>
      <c r="BD79" s="1">
        <f t="shared" si="102"/>
        <v>0</v>
      </c>
      <c r="BE79" s="1">
        <f t="shared" si="103"/>
        <v>1</v>
      </c>
      <c r="BF79" s="1">
        <f t="shared" si="104"/>
        <v>163</v>
      </c>
      <c r="BG79" s="1">
        <f t="shared" si="105"/>
        <v>130</v>
      </c>
      <c r="BH79" s="1">
        <f t="shared" si="106"/>
        <v>6</v>
      </c>
      <c r="BI79" s="1">
        <f t="shared" si="107"/>
        <v>7</v>
      </c>
      <c r="BJ79" s="1">
        <f t="shared" si="108"/>
        <v>6.0699999999999997E-2</v>
      </c>
      <c r="BK79" s="1">
        <f t="shared" si="109"/>
        <v>0</v>
      </c>
      <c r="BL79" s="1">
        <f t="shared" si="110"/>
        <v>9.8999999999999994E-5</v>
      </c>
      <c r="BM79" s="1">
        <f t="shared" si="111"/>
        <v>6.0798999999999999E-2</v>
      </c>
      <c r="BN79" s="1">
        <f t="shared" si="112"/>
        <v>0</v>
      </c>
      <c r="BO79" s="1">
        <f t="shared" si="69"/>
        <v>6</v>
      </c>
      <c r="BP79" s="1">
        <f t="shared" si="70"/>
        <v>0</v>
      </c>
      <c r="BQ79" s="1" cm="1">
        <f t="array" ref="BQ79">IF(I79="","",IF(BP79=1,"",IF(L79=0,"",IF(B79=1,"",_xlfn.XLOOKUP(1,($I$2:$I$313=$I79)*($B$2:$B$313=($B79-1)),$BO$2:$BO$313)))))</f>
        <v>3</v>
      </c>
      <c r="BR79" s="1">
        <f>IF(I79="","",IF($B79=1,_xlfn.MINIFS($BO$2:$BO$313,$B$2:$B$313,$B79),_xlfn.MINIFS(BQ$2:$BQ$313,$B$2:$B$313,$B79)))</f>
        <v>1</v>
      </c>
      <c r="BS79" s="1">
        <f t="shared" si="113"/>
        <v>2</v>
      </c>
      <c r="BT79" s="1" t="str" cm="1">
        <f t="array" ref="BT79">IF($I79="","",IF($B79=1,_xlfn.XLOOKUP(1,($B$2:$B$313=$B79)*($BO$2:$BO$313=BR79),Data!$I$2:$I$313,,0),_xlfn.XLOOKUP(1,($B$2:$B$313=$B79)*($BQ$2:$BQ$313=$BR79),$I$2:$I$313,,0)))</f>
        <v>Jami Kallio</v>
      </c>
      <c r="BU79" s="1" t="str" cm="1">
        <f t="array" ref="BU79">IF(I79="","",IF($B79=1,_xlfn.XLOOKUP(1,($B$2:$B$313=$B79)*($BO$2:$BO$313=$BS79),$I$2:$I$313,,0),_xlfn.XLOOKUP(1,($B$2:$B$313=$B79)*($BQ$2:$BQ$313=$BS79),$I$2:$I$313,,0)))</f>
        <v>Niko Reunanen</v>
      </c>
      <c r="BV79" s="1" t="str" cm="1">
        <f t="array" ref="BV79">IF($I79="","",IF($B79=1,"",IF($B79=2,_xlfn.XLOOKUP(1,($B$2:$B$313=1)*($BO$2:$BO$313=1),$I$2:$I$313,,0),_xlfn.XLOOKUP($B79-1,$B$2:$B$313,$CH$2:$CH$313,,0))))</f>
        <v>Miika Nordblad</v>
      </c>
      <c r="BW79" s="1" t="str" cm="1">
        <f t="array" ref="BW79">IF($I79="","",IF($B79=1,"",IF(_xlfn.XLOOKUP(1,($B$2:$B$313=$B79)*($I$2:$I$313=$BV79),$BQ$2:$BQ$313,,0)="","NOK","OK")))</f>
        <v>OK</v>
      </c>
      <c r="BX79" s="1" t="str">
        <f t="shared" si="114"/>
        <v>Miika Nordblad</v>
      </c>
      <c r="BY79" s="1" t="str">
        <f t="shared" si="115"/>
        <v>Jami Kallio</v>
      </c>
      <c r="BZ79" s="1">
        <f t="shared" si="116"/>
        <v>184</v>
      </c>
      <c r="CA79" s="1">
        <f t="shared" si="117"/>
        <v>149</v>
      </c>
      <c r="CB79" s="1">
        <f t="shared" si="118"/>
        <v>9.8999999999999994E-5</v>
      </c>
      <c r="CC79" s="1">
        <f t="shared" si="119"/>
        <v>174</v>
      </c>
      <c r="CD79" s="1">
        <f t="shared" si="120"/>
        <v>131</v>
      </c>
      <c r="CE79" s="1">
        <f t="shared" si="121"/>
        <v>9.8999999999999994E-5</v>
      </c>
      <c r="CF79" s="1" t="str">
        <f t="shared" si="122"/>
        <v>Miika Nordblad (P)</v>
      </c>
      <c r="CG79" s="1" t="str">
        <f t="shared" si="123"/>
        <v>Jami Kallio (1)</v>
      </c>
      <c r="CH79" s="1" t="str">
        <f t="shared" si="124"/>
        <v>Miika Nordblad</v>
      </c>
      <c r="CI79" s="1">
        <f t="shared" si="125"/>
        <v>0</v>
      </c>
      <c r="CJ79" s="1" t="str">
        <f ca="1">IF(B79="","",IF(SUM(AI79:AK79)&gt;0,"+SP","")&amp;IF(CI79&gt;0,"+KK","")&amp;IF(AB79&gt;0,"+KGP1","")&amp;IF(AC79&gt;0,"+KGP2","")&amp;IF(AG79&lt;0,"-KGP1","")&amp;IF(AH79&lt;0,"-KGP2",""))</f>
        <v>+SP</v>
      </c>
    </row>
    <row r="80" spans="1:109" x14ac:dyDescent="0.25">
      <c r="A80" s="1">
        <f>IFERROR(IF(ROW(A79)=1,1,IF(1+A79&lt;=$CP$1*$CP$2,1+A79,"")),"")</f>
        <v>79</v>
      </c>
      <c r="B80" s="1">
        <f>IF($I80="","",IF(ROW(B79)=1,1,ROUNDUP(A80/$CP$2,0)))</f>
        <v>5</v>
      </c>
      <c r="C80" s="4">
        <f t="shared" si="71"/>
        <v>45627</v>
      </c>
      <c r="D80" s="4" t="str">
        <f t="shared" si="65"/>
        <v>Kupittaan keilahalli</v>
      </c>
      <c r="E80" s="1">
        <f>IF($B80="","",COUNTIF($B$2:B80,B80))</f>
        <v>7</v>
      </c>
      <c r="F80" s="1" t="str">
        <f t="shared" si="66"/>
        <v>K2024GP05</v>
      </c>
      <c r="G80" s="1" t="str">
        <f t="shared" si="72"/>
        <v>K2024GP05_7</v>
      </c>
      <c r="H80" s="1">
        <f t="shared" si="73"/>
        <v>1</v>
      </c>
      <c r="I80" s="3" t="s">
        <v>126</v>
      </c>
      <c r="J80" s="3">
        <v>142</v>
      </c>
      <c r="K80" s="3">
        <v>125</v>
      </c>
      <c r="L80" s="1">
        <f t="shared" si="74"/>
        <v>267</v>
      </c>
      <c r="M80" s="1">
        <f t="shared" si="75"/>
        <v>1</v>
      </c>
      <c r="N80" s="1">
        <f t="shared" si="76"/>
        <v>11</v>
      </c>
      <c r="O80" s="1">
        <f t="shared" si="77"/>
        <v>267</v>
      </c>
      <c r="P80" s="1">
        <f t="shared" si="78"/>
        <v>66</v>
      </c>
      <c r="Q80" s="1">
        <f t="array" ref="Q80">IF($B80="","",IF(MAX(IF(B80=$B$2:$B$313,$L$2:$L$313))-L80=0,"",MAX(IF(B80=$B$2:$B$313,$L$2:$L$313))-L80))</f>
        <v>66</v>
      </c>
      <c r="R80" s="1">
        <f t="array" ref="R80">IF($B80="","",SUMPRODUCT(--($B$2:$B$313=B80),--(L80&lt;$L$2:$L$313))+1)</f>
        <v>11</v>
      </c>
      <c r="S80" s="1">
        <f t="shared" si="79"/>
        <v>2</v>
      </c>
      <c r="T80" s="1" cm="1">
        <f t="array" ref="T80">IF($B80="","",IF(M80=0,"",SUMPRODUCT(--($B$2:$B$313=B80),--(J80&lt;$J$2:$J$313))+1))</f>
        <v>6</v>
      </c>
      <c r="U80" s="1">
        <f t="shared" si="80"/>
        <v>5</v>
      </c>
      <c r="V80" s="1" t="str">
        <f t="shared" si="81"/>
        <v>0511</v>
      </c>
      <c r="W80" s="1">
        <f t="shared" si="82"/>
        <v>1</v>
      </c>
      <c r="X80" s="1">
        <f t="shared" si="67"/>
        <v>0</v>
      </c>
      <c r="Y80" s="1">
        <f>IF($B80="","",MAX(_xlfn.MAXIFS($J$2:J80,$I$2:I80,$I80),_xlfn.MAXIFS($K$2:K80,$I$2:I80,$I80)))</f>
        <v>142</v>
      </c>
      <c r="Z80" s="1">
        <f t="shared" si="83"/>
        <v>184</v>
      </c>
      <c r="AA80" s="1">
        <f t="shared" si="84"/>
        <v>0</v>
      </c>
      <c r="AB80" s="1">
        <f t="shared" si="85"/>
        <v>0</v>
      </c>
      <c r="AC80" s="1">
        <f t="shared" si="86"/>
        <v>0</v>
      </c>
      <c r="AD80" s="1">
        <f>IF($B80="","",MIN(_xlfn.MINIFS($J$2:J80,$I$2:I80,$I80),_xlfn.MINIFS($K$2:K80,$I$2:I80,$I80)))</f>
        <v>95</v>
      </c>
      <c r="AE80" s="1">
        <f t="shared" si="87"/>
        <v>120</v>
      </c>
      <c r="AF80" s="1">
        <f t="shared" si="88"/>
        <v>0</v>
      </c>
      <c r="AG80" s="1">
        <f t="shared" si="89"/>
        <v>0</v>
      </c>
      <c r="AH80" s="1">
        <f t="shared" si="90"/>
        <v>0</v>
      </c>
      <c r="AI80" s="1">
        <f ca="1">IF($B80="","",IF($K80="",0,OFFSET($CO$17,R80,W80)))</f>
        <v>0</v>
      </c>
      <c r="AJ80" s="1">
        <f t="shared" ca="1" si="91"/>
        <v>0</v>
      </c>
      <c r="AK80" s="1">
        <f ca="1">IF(AJ80="","",IF(AJ80=0,0,IF(W80=1,0,SUM(OFFSET($CO$17,N80,1):OFFSET($CO$17,N80+W80-2,1))/W80)))</f>
        <v>0</v>
      </c>
      <c r="AL80" s="1">
        <f t="shared" ca="1" si="92"/>
        <v>0</v>
      </c>
      <c r="AM80" s="1">
        <f ca="1">IF($B80="","",SUMIFS($AL$2:AL80,$I$2:I80,$I80))</f>
        <v>0</v>
      </c>
      <c r="AN80" s="1">
        <f t="shared" si="93"/>
        <v>11.000078999999999</v>
      </c>
      <c r="AO80" s="1">
        <f>IFERROR(IF($B80="","",AVERAGEIFS($L$2:L80,$I$2:I80,I80,$L$2:L80,"&lt;&gt;0")),0)</f>
        <v>239</v>
      </c>
      <c r="AP80" s="1">
        <f t="shared" si="94"/>
        <v>119.5</v>
      </c>
      <c r="AQ80" s="1">
        <f>IF($B80="","",COUNTIFS($R$2:R80,1,$I$2:I80,$I80))</f>
        <v>0</v>
      </c>
      <c r="AR80" s="1">
        <f t="array" aca="1" ref="AR80" ca="1">IF($B80="","",SUMPRODUCT(--($B$2:$B$313=B80),--(AM80&lt;$AM$2:$AM$313))+1)</f>
        <v>17</v>
      </c>
      <c r="AS80" s="1">
        <f t="array" ref="AS80">IF($B80="","",SUMPRODUCT(--($B$2:$B$313=B80),--(AP80&lt;$AP$2:$AP$313))+1)</f>
        <v>15</v>
      </c>
      <c r="AT80" s="1">
        <f t="array" ref="AT80">IF($B80="","",SUMPRODUCT(--($B$2:$B$313=B80),--(AQ80&lt;$AQ$2:$AQ$313))+1)</f>
        <v>6</v>
      </c>
      <c r="AU80" s="1">
        <f t="shared" si="95"/>
        <v>7.9000000000000006E-8</v>
      </c>
      <c r="AV80" s="1">
        <f t="shared" ca="1" si="96"/>
        <v>0.17150607900000001</v>
      </c>
      <c r="AW80" s="1" t="str">
        <f t="shared" si="68"/>
        <v/>
      </c>
      <c r="AX80" s="1" t="str">
        <f t="shared" si="97"/>
        <v/>
      </c>
      <c r="AY80" s="8">
        <f t="shared" ca="1" si="98"/>
        <v>0.17150607900000001</v>
      </c>
      <c r="AZ80" s="1" cm="1">
        <f t="array" aca="1" ref="AZ80" ca="1">IF($B80="","",SUMPRODUCT(--($B$2:$B$313=B80),--(AY80&gt;$AY$2:$AY$313))+1)</f>
        <v>17</v>
      </c>
      <c r="BA80" s="1" t="str">
        <f t="shared" si="99"/>
        <v>K2024GP05_7_1</v>
      </c>
      <c r="BB80" s="1" t="str">
        <f t="shared" si="100"/>
        <v>K2024GP05_7_2</v>
      </c>
      <c r="BC80" s="1">
        <f t="shared" si="101"/>
        <v>0</v>
      </c>
      <c r="BD80" s="1">
        <f t="shared" si="102"/>
        <v>0</v>
      </c>
      <c r="BE80" s="1">
        <f t="shared" si="103"/>
        <v>1</v>
      </c>
      <c r="BF80" s="1">
        <f t="shared" si="104"/>
        <v>142</v>
      </c>
      <c r="BG80" s="1">
        <f t="shared" si="105"/>
        <v>125</v>
      </c>
      <c r="BH80" s="1">
        <f t="shared" si="106"/>
        <v>10</v>
      </c>
      <c r="BI80" s="1">
        <f t="shared" si="107"/>
        <v>10</v>
      </c>
      <c r="BJ80" s="1">
        <f t="shared" si="108"/>
        <v>0.10100000000000001</v>
      </c>
      <c r="BK80" s="1">
        <f t="shared" si="109"/>
        <v>0</v>
      </c>
      <c r="BL80" s="1">
        <f t="shared" si="110"/>
        <v>9.8999999999999994E-5</v>
      </c>
      <c r="BM80" s="1">
        <f t="shared" si="111"/>
        <v>0.10109900000000001</v>
      </c>
      <c r="BN80" s="1">
        <f t="shared" si="112"/>
        <v>0</v>
      </c>
      <c r="BO80" s="1">
        <f t="shared" si="69"/>
        <v>10</v>
      </c>
      <c r="BP80" s="1">
        <f t="shared" si="70"/>
        <v>0</v>
      </c>
      <c r="BQ80" s="1" cm="1">
        <f t="array" ref="BQ80">IF(I80="","",IF(BP80=1,"",IF(L80=0,"",IF(B80=1,"",_xlfn.XLOOKUP(1,($I$2:$I$313=$I80)*($B$2:$B$313=($B80-1)),$BO$2:$BO$313)))))</f>
        <v>13</v>
      </c>
      <c r="BR80" s="1">
        <f>IF(I80="","",IF($B80=1,_xlfn.MINIFS($BO$2:$BO$313,$B$2:$B$313,$B80),_xlfn.MINIFS(BQ$2:$BQ$313,$B$2:$B$313,$B80)))</f>
        <v>1</v>
      </c>
      <c r="BS80" s="1">
        <f t="shared" si="113"/>
        <v>2</v>
      </c>
      <c r="BT80" s="1" t="str" cm="1">
        <f t="array" ref="BT80">IF($I80="","",IF($B80=1,_xlfn.XLOOKUP(1,($B$2:$B$313=$B80)*($BO$2:$BO$313=BR80),Data!$I$2:$I$313,,0),_xlfn.XLOOKUP(1,($B$2:$B$313=$B80)*($BQ$2:$BQ$313=$BR80),$I$2:$I$313,,0)))</f>
        <v>Jami Kallio</v>
      </c>
      <c r="BU80" s="1" t="str" cm="1">
        <f t="array" ref="BU80">IF(I80="","",IF($B80=1,_xlfn.XLOOKUP(1,($B$2:$B$313=$B80)*($BO$2:$BO$313=$BS80),$I$2:$I$313,,0),_xlfn.XLOOKUP(1,($B$2:$B$313=$B80)*($BQ$2:$BQ$313=$BS80),$I$2:$I$313,,0)))</f>
        <v>Niko Reunanen</v>
      </c>
      <c r="BV80" s="1" t="str" cm="1">
        <f t="array" ref="BV80">IF($I80="","",IF($B80=1,"",IF($B80=2,_xlfn.XLOOKUP(1,($B$2:$B$313=1)*($BO$2:$BO$313=1),$I$2:$I$313,,0),_xlfn.XLOOKUP($B80-1,$B$2:$B$313,$CH$2:$CH$313,,0))))</f>
        <v>Miika Nordblad</v>
      </c>
      <c r="BW80" s="1" t="str" cm="1">
        <f t="array" ref="BW80">IF($I80="","",IF($B80=1,"",IF(_xlfn.XLOOKUP(1,($B$2:$B$313=$B80)*($I$2:$I$313=$BV80),$BQ$2:$BQ$313,,0)="","NOK","OK")))</f>
        <v>OK</v>
      </c>
      <c r="BX80" s="1" t="str">
        <f t="shared" si="114"/>
        <v>Miika Nordblad</v>
      </c>
      <c r="BY80" s="1" t="str">
        <f t="shared" si="115"/>
        <v>Jami Kallio</v>
      </c>
      <c r="BZ80" s="1">
        <f t="shared" si="116"/>
        <v>184</v>
      </c>
      <c r="CA80" s="1">
        <f t="shared" si="117"/>
        <v>149</v>
      </c>
      <c r="CB80" s="1">
        <f t="shared" si="118"/>
        <v>9.8999999999999994E-5</v>
      </c>
      <c r="CC80" s="1">
        <f t="shared" si="119"/>
        <v>174</v>
      </c>
      <c r="CD80" s="1">
        <f t="shared" si="120"/>
        <v>131</v>
      </c>
      <c r="CE80" s="1">
        <f t="shared" si="121"/>
        <v>9.8999999999999994E-5</v>
      </c>
      <c r="CF80" s="1" t="str">
        <f t="shared" si="122"/>
        <v>Miika Nordblad (P)</v>
      </c>
      <c r="CG80" s="1" t="str">
        <f t="shared" si="123"/>
        <v>Jami Kallio (1)</v>
      </c>
      <c r="CH80" s="1" t="str">
        <f t="shared" si="124"/>
        <v>Miika Nordblad</v>
      </c>
      <c r="CI80" s="1">
        <f t="shared" si="125"/>
        <v>0</v>
      </c>
      <c r="CJ80" s="1" t="str">
        <f ca="1">IF(B80="","",IF(SUM(AI80:AK80)&gt;0,"+SP","")&amp;IF(CI80&gt;0,"+KK","")&amp;IF(AB80&gt;0,"+KGP1","")&amp;IF(AC80&gt;0,"+KGP2","")&amp;IF(AG80&lt;0,"-KGP1","")&amp;IF(AH80&lt;0,"-KGP2",""))</f>
        <v/>
      </c>
    </row>
    <row r="81" spans="1:88" x14ac:dyDescent="0.25">
      <c r="A81" s="1">
        <f>IFERROR(IF(ROW(A80)=1,1,IF(1+A80&lt;=$CP$1*$CP$2,1+A80,"")),"")</f>
        <v>80</v>
      </c>
      <c r="B81" s="1">
        <f>IF($I81="","",IF(ROW(B80)=1,1,ROUNDUP(A81/$CP$2,0)))</f>
        <v>5</v>
      </c>
      <c r="C81" s="4">
        <f t="shared" si="71"/>
        <v>45627</v>
      </c>
      <c r="D81" s="4" t="str">
        <f t="shared" si="65"/>
        <v>Kupittaan keilahalli</v>
      </c>
      <c r="E81" s="1">
        <f>IF($B81="","",COUNTIF($B$2:B81,B81))</f>
        <v>8</v>
      </c>
      <c r="F81" s="1" t="str">
        <f t="shared" si="66"/>
        <v>K2024GP05</v>
      </c>
      <c r="G81" s="1" t="str">
        <f t="shared" si="72"/>
        <v>K2024GP05_8</v>
      </c>
      <c r="H81" s="1">
        <f t="shared" si="73"/>
        <v>1</v>
      </c>
      <c r="I81" s="3" t="s">
        <v>138</v>
      </c>
      <c r="J81" s="3">
        <v>123</v>
      </c>
      <c r="K81" s="3">
        <v>120</v>
      </c>
      <c r="L81" s="1">
        <f t="shared" si="74"/>
        <v>243</v>
      </c>
      <c r="M81" s="1">
        <f t="shared" si="75"/>
        <v>1</v>
      </c>
      <c r="N81" s="1">
        <f t="shared" si="76"/>
        <v>12</v>
      </c>
      <c r="O81" s="1">
        <f t="shared" si="77"/>
        <v>243</v>
      </c>
      <c r="P81" s="1">
        <f t="shared" si="78"/>
        <v>90</v>
      </c>
      <c r="Q81" s="1">
        <f t="array" ref="Q81">IF($B81="","",IF(MAX(IF(B81=$B$2:$B$313,$L$2:$L$313))-L81=0,"",MAX(IF(B81=$B$2:$B$313,$L$2:$L$313))-L81))</f>
        <v>90</v>
      </c>
      <c r="R81" s="1">
        <f t="array" ref="R81">IF($B81="","",SUMPRODUCT(--($B$2:$B$313=B81),--(L81&lt;$L$2:$L$313))+1)</f>
        <v>12</v>
      </c>
      <c r="S81" s="1">
        <f t="shared" si="79"/>
        <v>2</v>
      </c>
      <c r="T81" s="1" cm="1">
        <f t="array" ref="T81">IF($B81="","",IF(M81=0,"",SUMPRODUCT(--($B$2:$B$313=B81),--(J81&lt;$J$2:$J$313))+1))</f>
        <v>11</v>
      </c>
      <c r="U81" s="1">
        <f t="shared" si="80"/>
        <v>1</v>
      </c>
      <c r="V81" s="1" t="str">
        <f t="shared" si="81"/>
        <v>0512</v>
      </c>
      <c r="W81" s="1">
        <f t="shared" si="82"/>
        <v>1</v>
      </c>
      <c r="X81" s="1">
        <f t="shared" si="67"/>
        <v>0</v>
      </c>
      <c r="Y81" s="1">
        <f>IF($B81="","",MAX(_xlfn.MAXIFS($J$2:J81,$I$2:I81,$I81),_xlfn.MAXIFS($K$2:K81,$I$2:I81,$I81)))</f>
        <v>178</v>
      </c>
      <c r="Z81" s="1">
        <f t="shared" si="83"/>
        <v>184</v>
      </c>
      <c r="AA81" s="1">
        <f t="shared" si="84"/>
        <v>0</v>
      </c>
      <c r="AB81" s="1">
        <f t="shared" si="85"/>
        <v>0</v>
      </c>
      <c r="AC81" s="1">
        <f t="shared" si="86"/>
        <v>0</v>
      </c>
      <c r="AD81" s="1">
        <f>IF($B81="","",MIN(_xlfn.MINIFS($J$2:J81,$I$2:I81,$I81),_xlfn.MINIFS($K$2:K81,$I$2:I81,$I81)))</f>
        <v>87</v>
      </c>
      <c r="AE81" s="1">
        <f t="shared" si="87"/>
        <v>120</v>
      </c>
      <c r="AF81" s="1">
        <f t="shared" si="88"/>
        <v>0</v>
      </c>
      <c r="AG81" s="1">
        <f t="shared" si="89"/>
        <v>0</v>
      </c>
      <c r="AH81" s="1">
        <f t="shared" si="90"/>
        <v>0</v>
      </c>
      <c r="AI81" s="1">
        <f ca="1">IF($B81="","",IF($K81="",0,OFFSET($CO$17,R81,W81)))</f>
        <v>0</v>
      </c>
      <c r="AJ81" s="1">
        <f t="shared" ca="1" si="91"/>
        <v>0</v>
      </c>
      <c r="AK81" s="1">
        <f ca="1">IF(AJ81="","",IF(AJ81=0,0,IF(W81=1,0,SUM(OFFSET($CO$17,N81,1):OFFSET($CO$17,N81+W81-2,1))/W81)))</f>
        <v>0</v>
      </c>
      <c r="AL81" s="1">
        <f t="shared" ca="1" si="92"/>
        <v>0</v>
      </c>
      <c r="AM81" s="1">
        <f ca="1">IF($B81="","",SUMIFS($AL$2:AL81,$I$2:I81,$I81))</f>
        <v>19</v>
      </c>
      <c r="AN81" s="1">
        <f t="shared" si="93"/>
        <v>12.000080000000001</v>
      </c>
      <c r="AO81" s="1">
        <f>IFERROR(IF($B81="","",AVERAGEIFS($L$2:L81,$I$2:I81,I81,$L$2:L81,"&lt;&gt;0")),0)</f>
        <v>263</v>
      </c>
      <c r="AP81" s="1">
        <f t="shared" si="94"/>
        <v>131.5</v>
      </c>
      <c r="AQ81" s="1">
        <f>IF($B81="","",COUNTIFS($R$2:R81,1,$I$2:I81,$I81))</f>
        <v>0</v>
      </c>
      <c r="AR81" s="1">
        <f t="array" aca="1" ref="AR81" ca="1">IF($B81="","",SUMPRODUCT(--($B$2:$B$313=B81),--(AM81&lt;$AM$2:$AM$313))+1)</f>
        <v>7</v>
      </c>
      <c r="AS81" s="1">
        <f t="array" ref="AS81">IF($B81="","",SUMPRODUCT(--($B$2:$B$313=B81),--(AP81&lt;$AP$2:$AP$313))+1)</f>
        <v>9</v>
      </c>
      <c r="AT81" s="1">
        <f t="array" ref="AT81">IF($B81="","",SUMPRODUCT(--($B$2:$B$313=B81),--(AQ81&lt;$AQ$2:$AQ$313))+1)</f>
        <v>6</v>
      </c>
      <c r="AU81" s="1">
        <f t="shared" si="95"/>
        <v>8.0000000000000002E-8</v>
      </c>
      <c r="AV81" s="1">
        <f t="shared" ca="1" si="96"/>
        <v>7.090608000000001E-2</v>
      </c>
      <c r="AW81" s="1" t="str">
        <f t="shared" si="68"/>
        <v/>
      </c>
      <c r="AX81" s="1" t="str">
        <f t="shared" si="97"/>
        <v/>
      </c>
      <c r="AY81" s="8">
        <f t="shared" ca="1" si="98"/>
        <v>7.090608000000001E-2</v>
      </c>
      <c r="AZ81" s="1" cm="1">
        <f t="array" aca="1" ref="AZ81" ca="1">IF($B81="","",SUMPRODUCT(--($B$2:$B$313=B81),--(AY81&gt;$AY$2:$AY$313))+1)</f>
        <v>7</v>
      </c>
      <c r="BA81" s="1" t="str">
        <f t="shared" si="99"/>
        <v>K2024GP05_8_1</v>
      </c>
      <c r="BB81" s="1" t="str">
        <f t="shared" si="100"/>
        <v>K2024GP05_8_2</v>
      </c>
      <c r="BC81" s="1">
        <f t="shared" si="101"/>
        <v>0</v>
      </c>
      <c r="BD81" s="1">
        <f t="shared" si="102"/>
        <v>0</v>
      </c>
      <c r="BE81" s="1">
        <f t="shared" si="103"/>
        <v>1</v>
      </c>
      <c r="BF81" s="1">
        <f t="shared" si="104"/>
        <v>123</v>
      </c>
      <c r="BG81" s="1">
        <f t="shared" si="105"/>
        <v>120</v>
      </c>
      <c r="BH81" s="1">
        <f t="shared" si="106"/>
        <v>12</v>
      </c>
      <c r="BI81" s="1">
        <f t="shared" si="107"/>
        <v>11</v>
      </c>
      <c r="BJ81" s="1">
        <f t="shared" si="108"/>
        <v>0.1211</v>
      </c>
      <c r="BK81" s="1">
        <f t="shared" si="109"/>
        <v>0</v>
      </c>
      <c r="BL81" s="1">
        <f t="shared" si="110"/>
        <v>9.8999999999999994E-5</v>
      </c>
      <c r="BM81" s="1">
        <f t="shared" si="111"/>
        <v>0.121199</v>
      </c>
      <c r="BN81" s="1">
        <f t="shared" si="112"/>
        <v>0</v>
      </c>
      <c r="BO81" s="1">
        <f t="shared" si="69"/>
        <v>12</v>
      </c>
      <c r="BP81" s="1">
        <f t="shared" si="70"/>
        <v>0</v>
      </c>
      <c r="BQ81" s="1" cm="1">
        <f t="array" ref="BQ81">IF(I81="","",IF(BP81=1,"",IF(L81=0,"",IF(B81=1,"",_xlfn.XLOOKUP(1,($I$2:$I$313=$I81)*($B$2:$B$313=($B81-1)),$BO$2:$BO$313)))))</f>
        <v>2</v>
      </c>
      <c r="BR81" s="1">
        <f>IF(I81="","",IF($B81=1,_xlfn.MINIFS($BO$2:$BO$313,$B$2:$B$313,$B81),_xlfn.MINIFS(BQ$2:$BQ$313,$B$2:$B$313,$B81)))</f>
        <v>1</v>
      </c>
      <c r="BS81" s="1">
        <f t="shared" si="113"/>
        <v>2</v>
      </c>
      <c r="BT81" s="1" t="str" cm="1">
        <f t="array" ref="BT81">IF($I81="","",IF($B81=1,_xlfn.XLOOKUP(1,($B$2:$B$313=$B81)*($BO$2:$BO$313=BR81),Data!$I$2:$I$313,,0),_xlfn.XLOOKUP(1,($B$2:$B$313=$B81)*($BQ$2:$BQ$313=$BR81),$I$2:$I$313,,0)))</f>
        <v>Jami Kallio</v>
      </c>
      <c r="BU81" s="1" t="str" cm="1">
        <f t="array" ref="BU81">IF(I81="","",IF($B81=1,_xlfn.XLOOKUP(1,($B$2:$B$313=$B81)*($BO$2:$BO$313=$BS81),$I$2:$I$313,,0),_xlfn.XLOOKUP(1,($B$2:$B$313=$B81)*($BQ$2:$BQ$313=$BS81),$I$2:$I$313,,0)))</f>
        <v>Niko Reunanen</v>
      </c>
      <c r="BV81" s="1" t="str" cm="1">
        <f t="array" ref="BV81">IF($I81="","",IF($B81=1,"",IF($B81=2,_xlfn.XLOOKUP(1,($B$2:$B$313=1)*($BO$2:$BO$313=1),$I$2:$I$313,,0),_xlfn.XLOOKUP($B81-1,$B$2:$B$313,$CH$2:$CH$313,,0))))</f>
        <v>Miika Nordblad</v>
      </c>
      <c r="BW81" s="1" t="str" cm="1">
        <f t="array" ref="BW81">IF($I81="","",IF($B81=1,"",IF(_xlfn.XLOOKUP(1,($B$2:$B$313=$B81)*($I$2:$I$313=$BV81),$BQ$2:$BQ$313,,0)="","NOK","OK")))</f>
        <v>OK</v>
      </c>
      <c r="BX81" s="1" t="str">
        <f t="shared" si="114"/>
        <v>Miika Nordblad</v>
      </c>
      <c r="BY81" s="1" t="str">
        <f t="shared" si="115"/>
        <v>Jami Kallio</v>
      </c>
      <c r="BZ81" s="1">
        <f t="shared" si="116"/>
        <v>184</v>
      </c>
      <c r="CA81" s="1">
        <f t="shared" si="117"/>
        <v>149</v>
      </c>
      <c r="CB81" s="1">
        <f t="shared" si="118"/>
        <v>9.8999999999999994E-5</v>
      </c>
      <c r="CC81" s="1">
        <f t="shared" si="119"/>
        <v>174</v>
      </c>
      <c r="CD81" s="1">
        <f t="shared" si="120"/>
        <v>131</v>
      </c>
      <c r="CE81" s="1">
        <f t="shared" si="121"/>
        <v>9.8999999999999994E-5</v>
      </c>
      <c r="CF81" s="1" t="str">
        <f t="shared" si="122"/>
        <v>Miika Nordblad (P)</v>
      </c>
      <c r="CG81" s="1" t="str">
        <f t="shared" si="123"/>
        <v>Jami Kallio (1)</v>
      </c>
      <c r="CH81" s="1" t="str">
        <f t="shared" si="124"/>
        <v>Miika Nordblad</v>
      </c>
      <c r="CI81" s="1">
        <f t="shared" si="125"/>
        <v>0</v>
      </c>
      <c r="CJ81" s="1" t="str">
        <f ca="1">IF(B81="","",IF(SUM(AI81:AK81)&gt;0,"+SP","")&amp;IF(CI81&gt;0,"+KK","")&amp;IF(AB81&gt;0,"+KGP1","")&amp;IF(AC81&gt;0,"+KGP2","")&amp;IF(AG81&lt;0,"-KGP1","")&amp;IF(AH81&lt;0,"-KGP2",""))</f>
        <v/>
      </c>
    </row>
    <row r="82" spans="1:88" x14ac:dyDescent="0.25">
      <c r="A82" s="1">
        <f>IFERROR(IF(ROW(A81)=1,1,IF(1+A81&lt;=$CP$1*$CP$2,1+A81,"")),"")</f>
        <v>81</v>
      </c>
      <c r="B82" s="1">
        <f>IF($I82="","",IF(ROW(B81)=1,1,ROUNDUP(A82/$CP$2,0)))</f>
        <v>5</v>
      </c>
      <c r="C82" s="4">
        <f t="shared" si="71"/>
        <v>45627</v>
      </c>
      <c r="D82" s="4" t="str">
        <f t="shared" si="65"/>
        <v>Kupittaan keilahalli</v>
      </c>
      <c r="E82" s="1">
        <f>IF($B82="","",COUNTIF($B$2:B82,B82))</f>
        <v>9</v>
      </c>
      <c r="F82" s="1" t="str">
        <f t="shared" si="66"/>
        <v>K2024GP05</v>
      </c>
      <c r="G82" s="1" t="str">
        <f t="shared" si="72"/>
        <v>K2024GP05_9</v>
      </c>
      <c r="H82" s="1">
        <f t="shared" si="73"/>
        <v>1</v>
      </c>
      <c r="I82" s="3" t="s">
        <v>137</v>
      </c>
      <c r="J82" s="3">
        <v>127</v>
      </c>
      <c r="K82" s="3">
        <v>157</v>
      </c>
      <c r="L82" s="1">
        <f t="shared" si="74"/>
        <v>284</v>
      </c>
      <c r="M82" s="1">
        <f t="shared" si="75"/>
        <v>1</v>
      </c>
      <c r="N82" s="1">
        <f t="shared" si="76"/>
        <v>9</v>
      </c>
      <c r="O82" s="1">
        <f t="shared" si="77"/>
        <v>284</v>
      </c>
      <c r="P82" s="1">
        <f t="shared" si="78"/>
        <v>49</v>
      </c>
      <c r="Q82" s="1">
        <f t="array" ref="Q82">IF($B82="","",IF(MAX(IF(B82=$B$2:$B$313,$L$2:$L$313))-L82=0,"",MAX(IF(B82=$B$2:$B$313,$L$2:$L$313))-L82))</f>
        <v>49</v>
      </c>
      <c r="R82" s="1">
        <f t="array" ref="R82">IF($B82="","",SUMPRODUCT(--($B$2:$B$313=B82),--(L82&lt;$L$2:$L$313))+1)</f>
        <v>9</v>
      </c>
      <c r="S82" s="1">
        <f t="shared" si="79"/>
        <v>2</v>
      </c>
      <c r="T82" s="1" cm="1">
        <f t="array" ref="T82">IF($B82="","",IF(M82=0,"",SUMPRODUCT(--($B$2:$B$313=B82),--(J82&lt;$J$2:$J$313))+1))</f>
        <v>10</v>
      </c>
      <c r="U82" s="1">
        <f t="shared" si="80"/>
        <v>-1</v>
      </c>
      <c r="V82" s="1" t="str">
        <f t="shared" si="81"/>
        <v>0509</v>
      </c>
      <c r="W82" s="1">
        <f t="shared" si="82"/>
        <v>1</v>
      </c>
      <c r="X82" s="1">
        <f t="shared" si="67"/>
        <v>0</v>
      </c>
      <c r="Y82" s="1">
        <f>IF($B82="","",MAX(_xlfn.MAXIFS($J$2:J82,$I$2:I82,$I82),_xlfn.MAXIFS($K$2:K82,$I$2:I82,$I82)))</f>
        <v>160</v>
      </c>
      <c r="Z82" s="1">
        <f t="shared" si="83"/>
        <v>184</v>
      </c>
      <c r="AA82" s="1">
        <f t="shared" si="84"/>
        <v>0</v>
      </c>
      <c r="AB82" s="1">
        <f t="shared" si="85"/>
        <v>0</v>
      </c>
      <c r="AC82" s="1">
        <f t="shared" si="86"/>
        <v>0</v>
      </c>
      <c r="AD82" s="1">
        <f>IF($B82="","",MIN(_xlfn.MINIFS($J$2:J82,$I$2:I82,$I82),_xlfn.MINIFS($K$2:K82,$I$2:I82,$I82)))</f>
        <v>124</v>
      </c>
      <c r="AE82" s="1">
        <f t="shared" si="87"/>
        <v>120</v>
      </c>
      <c r="AF82" s="1">
        <f t="shared" si="88"/>
        <v>0</v>
      </c>
      <c r="AG82" s="1">
        <f t="shared" si="89"/>
        <v>0</v>
      </c>
      <c r="AH82" s="1">
        <f t="shared" si="90"/>
        <v>0</v>
      </c>
      <c r="AI82" s="1">
        <f ca="1">IF($B82="","",IF($K82="",0,OFFSET($CO$17,R82,W82)))</f>
        <v>2</v>
      </c>
      <c r="AJ82" s="1">
        <f t="shared" ca="1" si="91"/>
        <v>0</v>
      </c>
      <c r="AK82" s="1">
        <f ca="1">IF(AJ82="","",IF(AJ82=0,0,IF(W82=1,0,SUM(OFFSET($CO$17,N82,1):OFFSET($CO$17,N82+W82-2,1))/W82)))</f>
        <v>0</v>
      </c>
      <c r="AL82" s="1">
        <f t="shared" ca="1" si="92"/>
        <v>2</v>
      </c>
      <c r="AM82" s="1">
        <f ca="1">IF($B82="","",SUMIFS($AL$2:AL82,$I$2:I82,$I82))</f>
        <v>9</v>
      </c>
      <c r="AN82" s="1">
        <f t="shared" si="93"/>
        <v>9.0000809999999998</v>
      </c>
      <c r="AO82" s="1">
        <f>IFERROR(IF($B82="","",AVERAGEIFS($L$2:L82,$I$2:I82,I82,$L$2:L82,"&lt;&gt;0")),0)</f>
        <v>273.66666666666669</v>
      </c>
      <c r="AP82" s="1">
        <f t="shared" si="94"/>
        <v>136.83333333333334</v>
      </c>
      <c r="AQ82" s="1">
        <f>IF($B82="","",COUNTIFS($R$2:R82,1,$I$2:I82,$I82))</f>
        <v>0</v>
      </c>
      <c r="AR82" s="1">
        <f t="array" aca="1" ref="AR82" ca="1">IF($B82="","",SUMPRODUCT(--($B$2:$B$313=B82),--(AM82&lt;$AM$2:$AM$313))+1)</f>
        <v>12</v>
      </c>
      <c r="AS82" s="1">
        <f t="array" ref="AS82">IF($B82="","",SUMPRODUCT(--($B$2:$B$313=B82),--(AP82&lt;$AP$2:$AP$313))+1)</f>
        <v>8</v>
      </c>
      <c r="AT82" s="1">
        <f t="array" ref="AT82">IF($B82="","",SUMPRODUCT(--($B$2:$B$313=B82),--(AQ82&lt;$AQ$2:$AQ$313))+1)</f>
        <v>6</v>
      </c>
      <c r="AU82" s="1">
        <f t="shared" si="95"/>
        <v>8.0999999999999997E-8</v>
      </c>
      <c r="AV82" s="1">
        <f t="shared" ca="1" si="96"/>
        <v>0.120806081</v>
      </c>
      <c r="AW82" s="1" t="str">
        <f t="shared" si="68"/>
        <v/>
      </c>
      <c r="AX82" s="1" t="str">
        <f t="shared" si="97"/>
        <v/>
      </c>
      <c r="AY82" s="8">
        <f t="shared" ca="1" si="98"/>
        <v>0.120806081</v>
      </c>
      <c r="AZ82" s="1" cm="1">
        <f t="array" aca="1" ref="AZ82" ca="1">IF($B82="","",SUMPRODUCT(--($B$2:$B$313=B82),--(AY82&gt;$AY$2:$AY$313))+1)</f>
        <v>12</v>
      </c>
      <c r="BA82" s="1" t="str">
        <f t="shared" si="99"/>
        <v>K2024GP05_9_1</v>
      </c>
      <c r="BB82" s="1" t="str">
        <f t="shared" si="100"/>
        <v>K2024GP05_9_2</v>
      </c>
      <c r="BC82" s="1">
        <f t="shared" si="101"/>
        <v>0</v>
      </c>
      <c r="BD82" s="1">
        <f t="shared" si="102"/>
        <v>0</v>
      </c>
      <c r="BE82" s="1">
        <f t="shared" si="103"/>
        <v>1</v>
      </c>
      <c r="BF82" s="1">
        <f t="shared" si="104"/>
        <v>157</v>
      </c>
      <c r="BG82" s="1">
        <f t="shared" si="105"/>
        <v>127</v>
      </c>
      <c r="BH82" s="1">
        <f t="shared" si="106"/>
        <v>8</v>
      </c>
      <c r="BI82" s="1">
        <f t="shared" si="107"/>
        <v>9</v>
      </c>
      <c r="BJ82" s="1">
        <f t="shared" si="108"/>
        <v>8.09E-2</v>
      </c>
      <c r="BK82" s="1">
        <f t="shared" si="109"/>
        <v>0</v>
      </c>
      <c r="BL82" s="1">
        <f t="shared" si="110"/>
        <v>9.8999999999999994E-5</v>
      </c>
      <c r="BM82" s="1">
        <f t="shared" si="111"/>
        <v>8.0999000000000002E-2</v>
      </c>
      <c r="BN82" s="1">
        <f t="shared" si="112"/>
        <v>0</v>
      </c>
      <c r="BO82" s="1">
        <f t="shared" si="69"/>
        <v>8</v>
      </c>
      <c r="BP82" s="1">
        <f t="shared" si="70"/>
        <v>0</v>
      </c>
      <c r="BQ82" s="1" cm="1">
        <f t="array" ref="BQ82">IF(I82="","",IF(BP82=1,"",IF(L82=0,"",IF(B82=1,"",_xlfn.XLOOKUP(1,($I$2:$I$313=$I82)*($B$2:$B$313=($B82-1)),$BO$2:$BO$313)))))</f>
        <v>5</v>
      </c>
      <c r="BR82" s="1">
        <f>IF(I82="","",IF($B82=1,_xlfn.MINIFS($BO$2:$BO$313,$B$2:$B$313,$B82),_xlfn.MINIFS(BQ$2:$BQ$313,$B$2:$B$313,$B82)))</f>
        <v>1</v>
      </c>
      <c r="BS82" s="1">
        <f t="shared" si="113"/>
        <v>2</v>
      </c>
      <c r="BT82" s="1" t="str" cm="1">
        <f t="array" ref="BT82">IF($I82="","",IF($B82=1,_xlfn.XLOOKUP(1,($B$2:$B$313=$B82)*($BO$2:$BO$313=BR82),Data!$I$2:$I$313,,0),_xlfn.XLOOKUP(1,($B$2:$B$313=$B82)*($BQ$2:$BQ$313=$BR82),$I$2:$I$313,,0)))</f>
        <v>Jami Kallio</v>
      </c>
      <c r="BU82" s="1" t="str" cm="1">
        <f t="array" ref="BU82">IF(I82="","",IF($B82=1,_xlfn.XLOOKUP(1,($B$2:$B$313=$B82)*($BO$2:$BO$313=$BS82),$I$2:$I$313,,0),_xlfn.XLOOKUP(1,($B$2:$B$313=$B82)*($BQ$2:$BQ$313=$BS82),$I$2:$I$313,,0)))</f>
        <v>Niko Reunanen</v>
      </c>
      <c r="BV82" s="1" t="str" cm="1">
        <f t="array" ref="BV82">IF($I82="","",IF($B82=1,"",IF($B82=2,_xlfn.XLOOKUP(1,($B$2:$B$313=1)*($BO$2:$BO$313=1),$I$2:$I$313,,0),_xlfn.XLOOKUP($B82-1,$B$2:$B$313,$CH$2:$CH$313,,0))))</f>
        <v>Miika Nordblad</v>
      </c>
      <c r="BW82" s="1" t="str" cm="1">
        <f t="array" ref="BW82">IF($I82="","",IF($B82=1,"",IF(_xlfn.XLOOKUP(1,($B$2:$B$313=$B82)*($I$2:$I$313=$BV82),$BQ$2:$BQ$313,,0)="","NOK","OK")))</f>
        <v>OK</v>
      </c>
      <c r="BX82" s="1" t="str">
        <f t="shared" si="114"/>
        <v>Miika Nordblad</v>
      </c>
      <c r="BY82" s="1" t="str">
        <f t="shared" si="115"/>
        <v>Jami Kallio</v>
      </c>
      <c r="BZ82" s="1">
        <f t="shared" si="116"/>
        <v>184</v>
      </c>
      <c r="CA82" s="1">
        <f t="shared" si="117"/>
        <v>149</v>
      </c>
      <c r="CB82" s="1">
        <f t="shared" si="118"/>
        <v>9.8999999999999994E-5</v>
      </c>
      <c r="CC82" s="1">
        <f t="shared" si="119"/>
        <v>174</v>
      </c>
      <c r="CD82" s="1">
        <f t="shared" si="120"/>
        <v>131</v>
      </c>
      <c r="CE82" s="1">
        <f t="shared" si="121"/>
        <v>9.8999999999999994E-5</v>
      </c>
      <c r="CF82" s="1" t="str">
        <f t="shared" si="122"/>
        <v>Miika Nordblad (P)</v>
      </c>
      <c r="CG82" s="1" t="str">
        <f t="shared" si="123"/>
        <v>Jami Kallio (1)</v>
      </c>
      <c r="CH82" s="1" t="str">
        <f t="shared" si="124"/>
        <v>Miika Nordblad</v>
      </c>
      <c r="CI82" s="1">
        <f t="shared" si="125"/>
        <v>0</v>
      </c>
      <c r="CJ82" s="1" t="str">
        <f ca="1">IF(B82="","",IF(SUM(AI82:AK82)&gt;0,"+SP","")&amp;IF(CI82&gt;0,"+KK","")&amp;IF(AB82&gt;0,"+KGP1","")&amp;IF(AC82&gt;0,"+KGP2","")&amp;IF(AG82&lt;0,"-KGP1","")&amp;IF(AH82&lt;0,"-KGP2",""))</f>
        <v>+SP</v>
      </c>
    </row>
    <row r="83" spans="1:88" x14ac:dyDescent="0.25">
      <c r="A83" s="1">
        <f>IFERROR(IF(ROW(A82)=1,1,IF(1+A82&lt;=$CP$1*$CP$2,1+A82,"")),"")</f>
        <v>82</v>
      </c>
      <c r="B83" s="1">
        <f>IF($I83="","",IF(ROW(B82)=1,1,ROUNDUP(A83/$CP$2,0)))</f>
        <v>5</v>
      </c>
      <c r="C83" s="4">
        <f t="shared" si="71"/>
        <v>45627</v>
      </c>
      <c r="D83" s="4" t="str">
        <f t="shared" si="65"/>
        <v>Kupittaan keilahalli</v>
      </c>
      <c r="E83" s="1">
        <f>IF($B83="","",COUNTIF($B$2:B83,B83))</f>
        <v>10</v>
      </c>
      <c r="F83" s="1" t="str">
        <f t="shared" si="66"/>
        <v>K2024GP05</v>
      </c>
      <c r="G83" s="1" t="str">
        <f t="shared" si="72"/>
        <v>K2024GP05_10</v>
      </c>
      <c r="H83" s="1">
        <f t="shared" si="73"/>
        <v>1</v>
      </c>
      <c r="I83" s="3" t="s">
        <v>133</v>
      </c>
      <c r="J83" s="3">
        <v>141</v>
      </c>
      <c r="K83" s="3">
        <v>137</v>
      </c>
      <c r="L83" s="1">
        <f t="shared" si="74"/>
        <v>278</v>
      </c>
      <c r="M83" s="1">
        <f t="shared" si="75"/>
        <v>1</v>
      </c>
      <c r="N83" s="1">
        <f t="shared" si="76"/>
        <v>10</v>
      </c>
      <c r="O83" s="1">
        <f t="shared" si="77"/>
        <v>278</v>
      </c>
      <c r="P83" s="1">
        <f t="shared" si="78"/>
        <v>55</v>
      </c>
      <c r="Q83" s="1">
        <f t="array" ref="Q83">IF($B83="","",IF(MAX(IF(B83=$B$2:$B$313,$L$2:$L$313))-L83=0,"",MAX(IF(B83=$B$2:$B$313,$L$2:$L$313))-L83))</f>
        <v>55</v>
      </c>
      <c r="R83" s="1">
        <f t="array" ref="R83">IF($B83="","",SUMPRODUCT(--($B$2:$B$313=B83),--(L83&lt;$L$2:$L$313))+1)</f>
        <v>10</v>
      </c>
      <c r="S83" s="1">
        <f t="shared" si="79"/>
        <v>2</v>
      </c>
      <c r="T83" s="1" cm="1">
        <f t="array" ref="T83">IF($B83="","",IF(M83=0,"",SUMPRODUCT(--($B$2:$B$313=B83),--(J83&lt;$J$2:$J$313))+1))</f>
        <v>7</v>
      </c>
      <c r="U83" s="1">
        <f t="shared" si="80"/>
        <v>3</v>
      </c>
      <c r="V83" s="1" t="str">
        <f t="shared" si="81"/>
        <v>0510</v>
      </c>
      <c r="W83" s="1">
        <f t="shared" si="82"/>
        <v>1</v>
      </c>
      <c r="X83" s="1">
        <f t="shared" si="67"/>
        <v>0</v>
      </c>
      <c r="Y83" s="1">
        <f>IF($B83="","",MAX(_xlfn.MAXIFS($J$2:J83,$I$2:I83,$I83),_xlfn.MAXIFS($K$2:K83,$I$2:I83,$I83)))</f>
        <v>178</v>
      </c>
      <c r="Z83" s="1">
        <f t="shared" si="83"/>
        <v>184</v>
      </c>
      <c r="AA83" s="1">
        <f t="shared" si="84"/>
        <v>0</v>
      </c>
      <c r="AB83" s="1">
        <f t="shared" si="85"/>
        <v>0</v>
      </c>
      <c r="AC83" s="1">
        <f t="shared" si="86"/>
        <v>0</v>
      </c>
      <c r="AD83" s="1">
        <f>IF($B83="","",MIN(_xlfn.MINIFS($J$2:J83,$I$2:I83,$I83),_xlfn.MINIFS($K$2:K83,$I$2:I83,$I83)))</f>
        <v>91</v>
      </c>
      <c r="AE83" s="1">
        <f t="shared" si="87"/>
        <v>120</v>
      </c>
      <c r="AF83" s="1">
        <f t="shared" si="88"/>
        <v>0</v>
      </c>
      <c r="AG83" s="1">
        <f t="shared" si="89"/>
        <v>0</v>
      </c>
      <c r="AH83" s="1">
        <f t="shared" si="90"/>
        <v>0</v>
      </c>
      <c r="AI83" s="1">
        <f ca="1">IF($B83="","",IF($K83="",0,OFFSET($CO$17,R83,W83)))</f>
        <v>1</v>
      </c>
      <c r="AJ83" s="1">
        <f t="shared" ca="1" si="91"/>
        <v>0</v>
      </c>
      <c r="AK83" s="1">
        <f ca="1">IF(AJ83="","",IF(AJ83=0,0,IF(W83=1,0,SUM(OFFSET($CO$17,N83,1):OFFSET($CO$17,N83+W83-2,1))/W83)))</f>
        <v>0</v>
      </c>
      <c r="AL83" s="1">
        <f t="shared" ca="1" si="92"/>
        <v>1</v>
      </c>
      <c r="AM83" s="1">
        <f ca="1">IF($B83="","",SUMIFS($AL$2:AL83,$I$2:I83,$I83))</f>
        <v>20</v>
      </c>
      <c r="AN83" s="1">
        <f t="shared" si="93"/>
        <v>10.000082000000001</v>
      </c>
      <c r="AO83" s="1">
        <f>IFERROR(IF($B83="","",AVERAGEIFS($L$2:L83,$I$2:I83,I83,$L$2:L83,"&lt;&gt;0")),0)</f>
        <v>258.39999999999998</v>
      </c>
      <c r="AP83" s="1">
        <f t="shared" si="94"/>
        <v>129.19999999999999</v>
      </c>
      <c r="AQ83" s="1">
        <f>IF($B83="","",COUNTIFS($R$2:R83,1,$I$2:I83,$I83))</f>
        <v>0</v>
      </c>
      <c r="AR83" s="1">
        <f t="array" aca="1" ref="AR83" ca="1">IF($B83="","",SUMPRODUCT(--($B$2:$B$313=B83),--(AM83&lt;$AM$2:$AM$313))+1)</f>
        <v>6</v>
      </c>
      <c r="AS83" s="1">
        <f t="array" ref="AS83">IF($B83="","",SUMPRODUCT(--($B$2:$B$313=B83),--(AP83&lt;$AP$2:$AP$313))+1)</f>
        <v>11</v>
      </c>
      <c r="AT83" s="1">
        <f t="array" ref="AT83">IF($B83="","",SUMPRODUCT(--($B$2:$B$313=B83),--(AQ83&lt;$AQ$2:$AQ$313))+1)</f>
        <v>6</v>
      </c>
      <c r="AU83" s="1">
        <f t="shared" si="95"/>
        <v>8.2000000000000006E-8</v>
      </c>
      <c r="AV83" s="1">
        <f t="shared" ca="1" si="96"/>
        <v>6.1106081999999992E-2</v>
      </c>
      <c r="AW83" s="1" t="str">
        <f t="shared" si="68"/>
        <v/>
      </c>
      <c r="AX83" s="1" t="str">
        <f t="shared" si="97"/>
        <v/>
      </c>
      <c r="AY83" s="8">
        <f t="shared" ca="1" si="98"/>
        <v>6.1106081999999992E-2</v>
      </c>
      <c r="AZ83" s="1" cm="1">
        <f t="array" aca="1" ref="AZ83" ca="1">IF($B83="","",SUMPRODUCT(--($B$2:$B$313=B83),--(AY83&gt;$AY$2:$AY$313))+1)</f>
        <v>6</v>
      </c>
      <c r="BA83" s="1" t="str">
        <f t="shared" si="99"/>
        <v>K2024GP05_10_1</v>
      </c>
      <c r="BB83" s="1" t="str">
        <f t="shared" si="100"/>
        <v>K2024GP05_10_2</v>
      </c>
      <c r="BC83" s="1">
        <f t="shared" si="101"/>
        <v>0</v>
      </c>
      <c r="BD83" s="1">
        <f t="shared" si="102"/>
        <v>0</v>
      </c>
      <c r="BE83" s="1">
        <f t="shared" si="103"/>
        <v>1</v>
      </c>
      <c r="BF83" s="1">
        <f t="shared" si="104"/>
        <v>141</v>
      </c>
      <c r="BG83" s="1">
        <f t="shared" si="105"/>
        <v>137</v>
      </c>
      <c r="BH83" s="1">
        <f t="shared" si="106"/>
        <v>11</v>
      </c>
      <c r="BI83" s="1">
        <f t="shared" si="107"/>
        <v>5</v>
      </c>
      <c r="BJ83" s="1">
        <f t="shared" si="108"/>
        <v>0.1105</v>
      </c>
      <c r="BK83" s="1">
        <f t="shared" si="109"/>
        <v>0</v>
      </c>
      <c r="BL83" s="1">
        <f t="shared" si="110"/>
        <v>9.8999999999999994E-5</v>
      </c>
      <c r="BM83" s="1">
        <f t="shared" si="111"/>
        <v>0.110599</v>
      </c>
      <c r="BN83" s="1">
        <f t="shared" si="112"/>
        <v>0</v>
      </c>
      <c r="BO83" s="1">
        <f t="shared" si="69"/>
        <v>11</v>
      </c>
      <c r="BP83" s="1">
        <f t="shared" si="70"/>
        <v>0</v>
      </c>
      <c r="BQ83" s="1" cm="1">
        <f t="array" ref="BQ83">IF(I83="","",IF(BP83=1,"",IF(L83=0,"",IF(B83=1,"",_xlfn.XLOOKUP(1,($I$2:$I$313=$I83)*($B$2:$B$313=($B83-1)),$BO$2:$BO$313)))))</f>
        <v>10</v>
      </c>
      <c r="BR83" s="1">
        <f>IF(I83="","",IF($B83=1,_xlfn.MINIFS($BO$2:$BO$313,$B$2:$B$313,$B83),_xlfn.MINIFS(BQ$2:$BQ$313,$B$2:$B$313,$B83)))</f>
        <v>1</v>
      </c>
      <c r="BS83" s="1">
        <f t="shared" si="113"/>
        <v>2</v>
      </c>
      <c r="BT83" s="1" t="str" cm="1">
        <f t="array" ref="BT83">IF($I83="","",IF($B83=1,_xlfn.XLOOKUP(1,($B$2:$B$313=$B83)*($BO$2:$BO$313=BR83),Data!$I$2:$I$313,,0),_xlfn.XLOOKUP(1,($B$2:$B$313=$B83)*($BQ$2:$BQ$313=$BR83),$I$2:$I$313,,0)))</f>
        <v>Jami Kallio</v>
      </c>
      <c r="BU83" s="1" t="str" cm="1">
        <f t="array" ref="BU83">IF(I83="","",IF($B83=1,_xlfn.XLOOKUP(1,($B$2:$B$313=$B83)*($BO$2:$BO$313=$BS83),$I$2:$I$313,,0),_xlfn.XLOOKUP(1,($B$2:$B$313=$B83)*($BQ$2:$BQ$313=$BS83),$I$2:$I$313,,0)))</f>
        <v>Niko Reunanen</v>
      </c>
      <c r="BV83" s="1" t="str" cm="1">
        <f t="array" ref="BV83">IF($I83="","",IF($B83=1,"",IF($B83=2,_xlfn.XLOOKUP(1,($B$2:$B$313=1)*($BO$2:$BO$313=1),$I$2:$I$313,,0),_xlfn.XLOOKUP($B83-1,$B$2:$B$313,$CH$2:$CH$313,,0))))</f>
        <v>Miika Nordblad</v>
      </c>
      <c r="BW83" s="1" t="str" cm="1">
        <f t="array" ref="BW83">IF($I83="","",IF($B83=1,"",IF(_xlfn.XLOOKUP(1,($B$2:$B$313=$B83)*($I$2:$I$313=$BV83),$BQ$2:$BQ$313,,0)="","NOK","OK")))</f>
        <v>OK</v>
      </c>
      <c r="BX83" s="1" t="str">
        <f t="shared" si="114"/>
        <v>Miika Nordblad</v>
      </c>
      <c r="BY83" s="1" t="str">
        <f t="shared" si="115"/>
        <v>Jami Kallio</v>
      </c>
      <c r="BZ83" s="1">
        <f t="shared" si="116"/>
        <v>184</v>
      </c>
      <c r="CA83" s="1">
        <f t="shared" si="117"/>
        <v>149</v>
      </c>
      <c r="CB83" s="1">
        <f t="shared" si="118"/>
        <v>9.8999999999999994E-5</v>
      </c>
      <c r="CC83" s="1">
        <f t="shared" si="119"/>
        <v>174</v>
      </c>
      <c r="CD83" s="1">
        <f t="shared" si="120"/>
        <v>131</v>
      </c>
      <c r="CE83" s="1">
        <f t="shared" si="121"/>
        <v>9.8999999999999994E-5</v>
      </c>
      <c r="CF83" s="1" t="str">
        <f t="shared" si="122"/>
        <v>Miika Nordblad (P)</v>
      </c>
      <c r="CG83" s="1" t="str">
        <f t="shared" si="123"/>
        <v>Jami Kallio (1)</v>
      </c>
      <c r="CH83" s="1" t="str">
        <f t="shared" si="124"/>
        <v>Miika Nordblad</v>
      </c>
      <c r="CI83" s="1">
        <f t="shared" si="125"/>
        <v>0</v>
      </c>
      <c r="CJ83" s="1" t="str">
        <f ca="1">IF(B83="","",IF(SUM(AI83:AK83)&gt;0,"+SP","")&amp;IF(CI83&gt;0,"+KK","")&amp;IF(AB83&gt;0,"+KGP1","")&amp;IF(AC83&gt;0,"+KGP2","")&amp;IF(AG83&lt;0,"-KGP1","")&amp;IF(AH83&lt;0,"-KGP2",""))</f>
        <v>+SP</v>
      </c>
    </row>
    <row r="84" spans="1:88" x14ac:dyDescent="0.25">
      <c r="A84" s="1">
        <f>IFERROR(IF(ROW(A83)=1,1,IF(1+A83&lt;=$CP$1*$CP$2,1+A83,"")),"")</f>
        <v>83</v>
      </c>
      <c r="B84" s="1">
        <f>IF($I84="","",IF(ROW(B83)=1,1,ROUNDUP(A84/$CP$2,0)))</f>
        <v>5</v>
      </c>
      <c r="C84" s="4">
        <f t="shared" si="71"/>
        <v>45627</v>
      </c>
      <c r="D84" s="4" t="str">
        <f t="shared" si="65"/>
        <v>Kupittaan keilahalli</v>
      </c>
      <c r="E84" s="1">
        <f>IF($B84="","",COUNTIF($B$2:B84,B84))</f>
        <v>11</v>
      </c>
      <c r="F84" s="1" t="str">
        <f t="shared" si="66"/>
        <v>K2024GP05</v>
      </c>
      <c r="G84" s="1" t="str">
        <f t="shared" si="72"/>
        <v>K2024GP05_11</v>
      </c>
      <c r="H84" s="1">
        <f t="shared" si="73"/>
        <v>1</v>
      </c>
      <c r="I84" s="3" t="s">
        <v>144</v>
      </c>
      <c r="J84" s="3">
        <v>153</v>
      </c>
      <c r="K84" s="3">
        <v>139</v>
      </c>
      <c r="L84" s="1">
        <f t="shared" si="74"/>
        <v>292</v>
      </c>
      <c r="M84" s="1">
        <f t="shared" si="75"/>
        <v>1</v>
      </c>
      <c r="N84" s="1">
        <f t="shared" si="76"/>
        <v>6</v>
      </c>
      <c r="O84" s="1">
        <f t="shared" si="77"/>
        <v>292</v>
      </c>
      <c r="P84" s="1">
        <f t="shared" si="78"/>
        <v>41</v>
      </c>
      <c r="Q84" s="1">
        <f t="array" ref="Q84">IF($B84="","",IF(MAX(IF(B84=$B$2:$B$313,$L$2:$L$313))-L84=0,"",MAX(IF(B84=$B$2:$B$313,$L$2:$L$313))-L84))</f>
        <v>41</v>
      </c>
      <c r="R84" s="1">
        <f t="array" ref="R84">IF($B84="","",SUMPRODUCT(--($B$2:$B$313=B84),--(L84&lt;$L$2:$L$313))+1)</f>
        <v>6</v>
      </c>
      <c r="S84" s="1">
        <f t="shared" si="79"/>
        <v>2</v>
      </c>
      <c r="T84" s="1" cm="1">
        <f t="array" ref="T84">IF($B84="","",IF(M84=0,"",SUMPRODUCT(--($B$2:$B$313=B84),--(J84&lt;$J$2:$J$313))+1))</f>
        <v>4</v>
      </c>
      <c r="U84" s="1">
        <f t="shared" si="80"/>
        <v>2</v>
      </c>
      <c r="V84" s="1" t="str">
        <f t="shared" si="81"/>
        <v>0506</v>
      </c>
      <c r="W84" s="1">
        <f t="shared" si="82"/>
        <v>1</v>
      </c>
      <c r="X84" s="1">
        <f t="shared" si="67"/>
        <v>0</v>
      </c>
      <c r="Y84" s="1">
        <f>IF($B84="","",MAX(_xlfn.MAXIFS($J$2:J84,$I$2:I84,$I84),_xlfn.MAXIFS($K$2:K84,$I$2:I84,$I84)))</f>
        <v>193</v>
      </c>
      <c r="Z84" s="1">
        <f t="shared" si="83"/>
        <v>184</v>
      </c>
      <c r="AA84" s="1">
        <f t="shared" si="84"/>
        <v>0</v>
      </c>
      <c r="AB84" s="1">
        <f t="shared" si="85"/>
        <v>0</v>
      </c>
      <c r="AC84" s="1">
        <f t="shared" si="86"/>
        <v>0</v>
      </c>
      <c r="AD84" s="1">
        <f>IF($B84="","",MIN(_xlfn.MINIFS($J$2:J84,$I$2:I84,$I84),_xlfn.MINIFS($K$2:K84,$I$2:I84,$I84)))</f>
        <v>82</v>
      </c>
      <c r="AE84" s="1">
        <f t="shared" si="87"/>
        <v>120</v>
      </c>
      <c r="AF84" s="1">
        <f t="shared" si="88"/>
        <v>0</v>
      </c>
      <c r="AG84" s="1">
        <f t="shared" si="89"/>
        <v>0</v>
      </c>
      <c r="AH84" s="1">
        <f t="shared" si="90"/>
        <v>0</v>
      </c>
      <c r="AI84" s="1">
        <f ca="1">IF($B84="","",IF($K84="",0,OFFSET($CO$17,R84,W84)))</f>
        <v>5</v>
      </c>
      <c r="AJ84" s="1">
        <f t="shared" ca="1" si="91"/>
        <v>0</v>
      </c>
      <c r="AK84" s="1">
        <f ca="1">IF(AJ84="","",IF(AJ84=0,0,IF(W84=1,0,SUM(OFFSET($CO$17,N84,1):OFFSET($CO$17,N84+W84-2,1))/W84)))</f>
        <v>0</v>
      </c>
      <c r="AL84" s="1">
        <f t="shared" ca="1" si="92"/>
        <v>5</v>
      </c>
      <c r="AM84" s="1">
        <f ca="1">IF($B84="","",SUMIFS($AL$2:AL84,$I$2:I84,$I84))</f>
        <v>15</v>
      </c>
      <c r="AN84" s="1">
        <f t="shared" si="93"/>
        <v>6.0000830000000001</v>
      </c>
      <c r="AO84" s="1">
        <f>IFERROR(IF($B84="","",AVERAGEIFS($L$2:L84,$I$2:I84,I84,$L$2:L84,"&lt;&gt;0")),0)</f>
        <v>260.5</v>
      </c>
      <c r="AP84" s="1">
        <f t="shared" si="94"/>
        <v>130.25</v>
      </c>
      <c r="AQ84" s="1">
        <f>IF($B84="","",COUNTIFS($R$2:R84,1,$I$2:I84,$I84))</f>
        <v>0</v>
      </c>
      <c r="AR84" s="1">
        <f t="array" aca="1" ref="AR84" ca="1">IF($B84="","",SUMPRODUCT(--($B$2:$B$313=B84),--(AM84&lt;$AM$2:$AM$313))+1)</f>
        <v>10</v>
      </c>
      <c r="AS84" s="1">
        <f t="array" ref="AS84">IF($B84="","",SUMPRODUCT(--($B$2:$B$313=B84),--(AP84&lt;$AP$2:$AP$313))+1)</f>
        <v>10</v>
      </c>
      <c r="AT84" s="1">
        <f t="array" ref="AT84">IF($B84="","",SUMPRODUCT(--($B$2:$B$313=B84),--(AQ84&lt;$AQ$2:$AQ$313))+1)</f>
        <v>6</v>
      </c>
      <c r="AU84" s="1">
        <f t="shared" si="95"/>
        <v>8.3000000000000002E-8</v>
      </c>
      <c r="AV84" s="1">
        <f t="shared" ca="1" si="96"/>
        <v>0.10100608300000001</v>
      </c>
      <c r="AW84" s="1" t="str">
        <f t="shared" si="68"/>
        <v/>
      </c>
      <c r="AX84" s="1" t="str">
        <f t="shared" si="97"/>
        <v/>
      </c>
      <c r="AY84" s="8">
        <f t="shared" ca="1" si="98"/>
        <v>0.10100608300000001</v>
      </c>
      <c r="AZ84" s="1" cm="1">
        <f t="array" aca="1" ref="AZ84" ca="1">IF($B84="","",SUMPRODUCT(--($B$2:$B$313=B84),--(AY84&gt;$AY$2:$AY$313))+1)</f>
        <v>10</v>
      </c>
      <c r="BA84" s="1" t="str">
        <f t="shared" si="99"/>
        <v>K2024GP05_11_1</v>
      </c>
      <c r="BB84" s="1" t="str">
        <f t="shared" si="100"/>
        <v>K2024GP05_11_2</v>
      </c>
      <c r="BC84" s="1">
        <f t="shared" si="101"/>
        <v>0</v>
      </c>
      <c r="BD84" s="1">
        <f t="shared" si="102"/>
        <v>0</v>
      </c>
      <c r="BE84" s="1">
        <f t="shared" si="103"/>
        <v>1</v>
      </c>
      <c r="BF84" s="1">
        <f t="shared" si="104"/>
        <v>153</v>
      </c>
      <c r="BG84" s="1">
        <f t="shared" si="105"/>
        <v>139</v>
      </c>
      <c r="BH84" s="1">
        <f t="shared" si="106"/>
        <v>9</v>
      </c>
      <c r="BI84" s="1">
        <f t="shared" si="107"/>
        <v>4</v>
      </c>
      <c r="BJ84" s="1">
        <f t="shared" si="108"/>
        <v>9.0399999999999994E-2</v>
      </c>
      <c r="BK84" s="1">
        <f t="shared" si="109"/>
        <v>0</v>
      </c>
      <c r="BL84" s="1">
        <f t="shared" si="110"/>
        <v>9.8999999999999994E-5</v>
      </c>
      <c r="BM84" s="1">
        <f t="shared" si="111"/>
        <v>9.0498999999999996E-2</v>
      </c>
      <c r="BN84" s="1">
        <f t="shared" si="112"/>
        <v>0</v>
      </c>
      <c r="BO84" s="1">
        <f t="shared" si="69"/>
        <v>9</v>
      </c>
      <c r="BP84" s="1">
        <f t="shared" si="70"/>
        <v>0</v>
      </c>
      <c r="BQ84" s="1" cm="1">
        <f t="array" ref="BQ84">IF(I84="","",IF(BP84=1,"",IF(L84=0,"",IF(B84=1,"",_xlfn.XLOOKUP(1,($I$2:$I$313=$I84)*($B$2:$B$313=($B84-1)),$BO$2:$BO$313)))))</f>
        <v>16</v>
      </c>
      <c r="BR84" s="1">
        <f>IF(I84="","",IF($B84=1,_xlfn.MINIFS($BO$2:$BO$313,$B$2:$B$313,$B84),_xlfn.MINIFS(BQ$2:$BQ$313,$B$2:$B$313,$B84)))</f>
        <v>1</v>
      </c>
      <c r="BS84" s="1">
        <f t="shared" si="113"/>
        <v>2</v>
      </c>
      <c r="BT84" s="1" t="str" cm="1">
        <f t="array" ref="BT84">IF($I84="","",IF($B84=1,_xlfn.XLOOKUP(1,($B$2:$B$313=$B84)*($BO$2:$BO$313=BR84),Data!$I$2:$I$313,,0),_xlfn.XLOOKUP(1,($B$2:$B$313=$B84)*($BQ$2:$BQ$313=$BR84),$I$2:$I$313,,0)))</f>
        <v>Jami Kallio</v>
      </c>
      <c r="BU84" s="1" t="str" cm="1">
        <f t="array" ref="BU84">IF(I84="","",IF($B84=1,_xlfn.XLOOKUP(1,($B$2:$B$313=$B84)*($BO$2:$BO$313=$BS84),$I$2:$I$313,,0),_xlfn.XLOOKUP(1,($B$2:$B$313=$B84)*($BQ$2:$BQ$313=$BS84),$I$2:$I$313,,0)))</f>
        <v>Niko Reunanen</v>
      </c>
      <c r="BV84" s="1" t="str" cm="1">
        <f t="array" ref="BV84">IF($I84="","",IF($B84=1,"",IF($B84=2,_xlfn.XLOOKUP(1,($B$2:$B$313=1)*($BO$2:$BO$313=1),$I$2:$I$313,,0),_xlfn.XLOOKUP($B84-1,$B$2:$B$313,$CH$2:$CH$313,,0))))</f>
        <v>Miika Nordblad</v>
      </c>
      <c r="BW84" s="1" t="str" cm="1">
        <f t="array" ref="BW84">IF($I84="","",IF($B84=1,"",IF(_xlfn.XLOOKUP(1,($B$2:$B$313=$B84)*($I$2:$I$313=$BV84),$BQ$2:$BQ$313,,0)="","NOK","OK")))</f>
        <v>OK</v>
      </c>
      <c r="BX84" s="1" t="str">
        <f t="shared" si="114"/>
        <v>Miika Nordblad</v>
      </c>
      <c r="BY84" s="1" t="str">
        <f t="shared" si="115"/>
        <v>Jami Kallio</v>
      </c>
      <c r="BZ84" s="1">
        <f t="shared" si="116"/>
        <v>184</v>
      </c>
      <c r="CA84" s="1">
        <f t="shared" si="117"/>
        <v>149</v>
      </c>
      <c r="CB84" s="1">
        <f t="shared" si="118"/>
        <v>9.8999999999999994E-5</v>
      </c>
      <c r="CC84" s="1">
        <f t="shared" si="119"/>
        <v>174</v>
      </c>
      <c r="CD84" s="1">
        <f t="shared" si="120"/>
        <v>131</v>
      </c>
      <c r="CE84" s="1">
        <f t="shared" si="121"/>
        <v>9.8999999999999994E-5</v>
      </c>
      <c r="CF84" s="1" t="str">
        <f t="shared" si="122"/>
        <v>Miika Nordblad (P)</v>
      </c>
      <c r="CG84" s="1" t="str">
        <f t="shared" si="123"/>
        <v>Jami Kallio (1)</v>
      </c>
      <c r="CH84" s="1" t="str">
        <f t="shared" si="124"/>
        <v>Miika Nordblad</v>
      </c>
      <c r="CI84" s="1">
        <f t="shared" si="125"/>
        <v>0</v>
      </c>
      <c r="CJ84" s="1" t="str">
        <f ca="1">IF(B84="","",IF(SUM(AI84:AK84)&gt;0,"+SP","")&amp;IF(CI84&gt;0,"+KK","")&amp;IF(AB84&gt;0,"+KGP1","")&amp;IF(AC84&gt;0,"+KGP2","")&amp;IF(AG84&lt;0,"-KGP1","")&amp;IF(AH84&lt;0,"-KGP2",""))</f>
        <v>+SP</v>
      </c>
    </row>
    <row r="85" spans="1:88" x14ac:dyDescent="0.25">
      <c r="A85" s="1">
        <f>IFERROR(IF(ROW(A84)=1,1,IF(1+A84&lt;=$CP$1*$CP$2,1+A84,"")),"")</f>
        <v>84</v>
      </c>
      <c r="B85" s="1">
        <f>IF($I85="","",IF(ROW(B84)=1,1,ROUNDUP(A85/$CP$2,0)))</f>
        <v>5</v>
      </c>
      <c r="C85" s="4">
        <f t="shared" si="71"/>
        <v>45627</v>
      </c>
      <c r="D85" s="4" t="str">
        <f t="shared" si="65"/>
        <v>Kupittaan keilahalli</v>
      </c>
      <c r="E85" s="1">
        <f>IF($B85="","",COUNTIF($B$2:B85,B85))</f>
        <v>12</v>
      </c>
      <c r="F85" s="1" t="str">
        <f t="shared" si="66"/>
        <v>K2024GP05</v>
      </c>
      <c r="G85" s="1" t="str">
        <f t="shared" si="72"/>
        <v>K2024GP05_12</v>
      </c>
      <c r="H85" s="1">
        <f t="shared" si="73"/>
        <v>1</v>
      </c>
      <c r="I85" s="3" t="s">
        <v>236</v>
      </c>
      <c r="J85" s="3">
        <v>144</v>
      </c>
      <c r="K85" s="3">
        <v>183</v>
      </c>
      <c r="L85" s="1">
        <f t="shared" si="74"/>
        <v>327</v>
      </c>
      <c r="M85" s="1">
        <f t="shared" si="75"/>
        <v>1</v>
      </c>
      <c r="N85" s="1">
        <f t="shared" si="76"/>
        <v>2</v>
      </c>
      <c r="O85" s="1">
        <f t="shared" si="77"/>
        <v>327</v>
      </c>
      <c r="P85" s="1">
        <f t="shared" si="78"/>
        <v>6</v>
      </c>
      <c r="Q85" s="1">
        <f t="array" ref="Q85">IF($B85="","",IF(MAX(IF(B85=$B$2:$B$313,$L$2:$L$313))-L85=0,"",MAX(IF(B85=$B$2:$B$313,$L$2:$L$313))-L85))</f>
        <v>6</v>
      </c>
      <c r="R85" s="1">
        <f t="array" ref="R85">IF($B85="","",SUMPRODUCT(--($B$2:$B$313=B85),--(L85&lt;$L$2:$L$313))+1)</f>
        <v>2</v>
      </c>
      <c r="S85" s="1">
        <f t="shared" si="79"/>
        <v>2</v>
      </c>
      <c r="T85" s="1" cm="1">
        <f t="array" ref="T85">IF($B85="","",IF(M85=0,"",SUMPRODUCT(--($B$2:$B$313=B85),--(J85&lt;$J$2:$J$313))+1))</f>
        <v>5</v>
      </c>
      <c r="U85" s="1">
        <f t="shared" si="80"/>
        <v>-3</v>
      </c>
      <c r="V85" s="1" t="str">
        <f t="shared" si="81"/>
        <v>0502</v>
      </c>
      <c r="W85" s="1">
        <f t="shared" si="82"/>
        <v>1</v>
      </c>
      <c r="X85" s="1">
        <f t="shared" si="67"/>
        <v>0</v>
      </c>
      <c r="Y85" s="1">
        <f>IF($B85="","",MAX(_xlfn.MAXIFS($J$2:J85,$I$2:I85,$I85),_xlfn.MAXIFS($K$2:K85,$I$2:I85,$I85)))</f>
        <v>183</v>
      </c>
      <c r="Z85" s="1">
        <f t="shared" si="83"/>
        <v>184</v>
      </c>
      <c r="AA85" s="1">
        <f t="shared" si="84"/>
        <v>0</v>
      </c>
      <c r="AB85" s="1">
        <f t="shared" si="85"/>
        <v>0</v>
      </c>
      <c r="AC85" s="1">
        <f t="shared" si="86"/>
        <v>0</v>
      </c>
      <c r="AD85" s="1">
        <f>IF($B85="","",MIN(_xlfn.MINIFS($J$2:J85,$I$2:I85,$I85),_xlfn.MINIFS($K$2:K85,$I$2:I85,$I85)))</f>
        <v>73</v>
      </c>
      <c r="AE85" s="1">
        <f t="shared" si="87"/>
        <v>120</v>
      </c>
      <c r="AF85" s="1">
        <f t="shared" si="88"/>
        <v>0</v>
      </c>
      <c r="AG85" s="1">
        <f t="shared" si="89"/>
        <v>0</v>
      </c>
      <c r="AH85" s="1">
        <f t="shared" si="90"/>
        <v>0</v>
      </c>
      <c r="AI85" s="1">
        <f ca="1">IF($B85="","",IF($K85="",0,OFFSET($CO$17,R85,W85)))</f>
        <v>10</v>
      </c>
      <c r="AJ85" s="1">
        <f t="shared" ca="1" si="91"/>
        <v>0</v>
      </c>
      <c r="AK85" s="1">
        <f ca="1">IF(AJ85="","",IF(AJ85=0,0,IF(W85=1,0,SUM(OFFSET($CO$17,N85,1):OFFSET($CO$17,N85+W85-2,1))/W85)))</f>
        <v>0</v>
      </c>
      <c r="AL85" s="1">
        <f t="shared" ca="1" si="92"/>
        <v>10</v>
      </c>
      <c r="AM85" s="1">
        <f ca="1">IF($B85="","",SUMIFS($AL$2:AL85,$I$2:I85,$I85))</f>
        <v>17</v>
      </c>
      <c r="AN85" s="1">
        <f t="shared" si="93"/>
        <v>2.0000840000000002</v>
      </c>
      <c r="AO85" s="1">
        <f>IFERROR(IF($B85="","",AVERAGEIFS($L$2:L85,$I$2:I85,I85,$L$2:L85,"&lt;&gt;0")),0)</f>
        <v>249.6</v>
      </c>
      <c r="AP85" s="1">
        <f t="shared" si="94"/>
        <v>124.8</v>
      </c>
      <c r="AQ85" s="1">
        <f>IF($B85="","",COUNTIFS($R$2:R85,1,$I$2:I85,$I85))</f>
        <v>0</v>
      </c>
      <c r="AR85" s="1">
        <f t="array" aca="1" ref="AR85" ca="1">IF($B85="","",SUMPRODUCT(--($B$2:$B$313=B85),--(AM85&lt;$AM$2:$AM$313))+1)</f>
        <v>9</v>
      </c>
      <c r="AS85" s="1">
        <f t="array" ref="AS85">IF($B85="","",SUMPRODUCT(--($B$2:$B$313=B85),--(AP85&lt;$AP$2:$AP$313))+1)</f>
        <v>14</v>
      </c>
      <c r="AT85" s="1">
        <f t="array" ref="AT85">IF($B85="","",SUMPRODUCT(--($B$2:$B$313=B85),--(AQ85&lt;$AQ$2:$AQ$313))+1)</f>
        <v>6</v>
      </c>
      <c r="AU85" s="1">
        <f t="shared" si="95"/>
        <v>8.3999999999999998E-8</v>
      </c>
      <c r="AV85" s="1">
        <f t="shared" ca="1" si="96"/>
        <v>9.1406083999999999E-2</v>
      </c>
      <c r="AW85" s="1" t="str">
        <f t="shared" si="68"/>
        <v/>
      </c>
      <c r="AX85" s="1" t="str">
        <f t="shared" si="97"/>
        <v/>
      </c>
      <c r="AY85" s="8">
        <f t="shared" ca="1" si="98"/>
        <v>9.1406083999999999E-2</v>
      </c>
      <c r="AZ85" s="1" cm="1">
        <f t="array" aca="1" ref="AZ85" ca="1">IF($B85="","",SUMPRODUCT(--($B$2:$B$313=B85),--(AY85&gt;$AY$2:$AY$313))+1)</f>
        <v>9</v>
      </c>
      <c r="BA85" s="1" t="str">
        <f t="shared" si="99"/>
        <v>K2024GP05_12_1</v>
      </c>
      <c r="BB85" s="1" t="str">
        <f t="shared" si="100"/>
        <v>K2024GP05_12_2</v>
      </c>
      <c r="BC85" s="1">
        <f t="shared" si="101"/>
        <v>0</v>
      </c>
      <c r="BD85" s="1">
        <f t="shared" si="102"/>
        <v>1</v>
      </c>
      <c r="BE85" s="1">
        <f t="shared" si="103"/>
        <v>1</v>
      </c>
      <c r="BF85" s="1">
        <f t="shared" si="104"/>
        <v>183</v>
      </c>
      <c r="BG85" s="1">
        <f t="shared" si="105"/>
        <v>144</v>
      </c>
      <c r="BH85" s="1">
        <f t="shared" si="106"/>
        <v>2</v>
      </c>
      <c r="BI85" s="1">
        <f t="shared" si="107"/>
        <v>3</v>
      </c>
      <c r="BJ85" s="1">
        <f t="shared" si="108"/>
        <v>2.0300000000000002E-2</v>
      </c>
      <c r="BK85" s="1">
        <f t="shared" si="109"/>
        <v>0</v>
      </c>
      <c r="BL85" s="1">
        <f t="shared" si="110"/>
        <v>9.8999999999999994E-5</v>
      </c>
      <c r="BM85" s="1">
        <f t="shared" si="111"/>
        <v>2.0399E-2</v>
      </c>
      <c r="BN85" s="1">
        <f t="shared" si="112"/>
        <v>0</v>
      </c>
      <c r="BO85" s="1">
        <f t="shared" si="69"/>
        <v>2</v>
      </c>
      <c r="BP85" s="1">
        <f t="shared" si="70"/>
        <v>0</v>
      </c>
      <c r="BQ85" s="1" cm="1">
        <f t="array" ref="BQ85">IF(I85="","",IF(BP85=1,"",IF(L85=0,"",IF(B85=1,"",_xlfn.XLOOKUP(1,($I$2:$I$313=$I85)*($B$2:$B$313=($B85-1)),$BO$2:$BO$313)))))</f>
        <v>9</v>
      </c>
      <c r="BR85" s="1">
        <f>IF(I85="","",IF($B85=1,_xlfn.MINIFS($BO$2:$BO$313,$B$2:$B$313,$B85),_xlfn.MINIFS(BQ$2:$BQ$313,$B$2:$B$313,$B85)))</f>
        <v>1</v>
      </c>
      <c r="BS85" s="1">
        <f t="shared" si="113"/>
        <v>2</v>
      </c>
      <c r="BT85" s="1" t="str" cm="1">
        <f t="array" ref="BT85">IF($I85="","",IF($B85=1,_xlfn.XLOOKUP(1,($B$2:$B$313=$B85)*($BO$2:$BO$313=BR85),Data!$I$2:$I$313,,0),_xlfn.XLOOKUP(1,($B$2:$B$313=$B85)*($BQ$2:$BQ$313=$BR85),$I$2:$I$313,,0)))</f>
        <v>Jami Kallio</v>
      </c>
      <c r="BU85" s="1" t="str" cm="1">
        <f t="array" ref="BU85">IF(I85="","",IF($B85=1,_xlfn.XLOOKUP(1,($B$2:$B$313=$B85)*($BO$2:$BO$313=$BS85),$I$2:$I$313,,0),_xlfn.XLOOKUP(1,($B$2:$B$313=$B85)*($BQ$2:$BQ$313=$BS85),$I$2:$I$313,,0)))</f>
        <v>Niko Reunanen</v>
      </c>
      <c r="BV85" s="1" t="str" cm="1">
        <f t="array" ref="BV85">IF($I85="","",IF($B85=1,"",IF($B85=2,_xlfn.XLOOKUP(1,($B$2:$B$313=1)*($BO$2:$BO$313=1),$I$2:$I$313,,0),_xlfn.XLOOKUP($B85-1,$B$2:$B$313,$CH$2:$CH$313,,0))))</f>
        <v>Miika Nordblad</v>
      </c>
      <c r="BW85" s="1" t="str" cm="1">
        <f t="array" ref="BW85">IF($I85="","",IF($B85=1,"",IF(_xlfn.XLOOKUP(1,($B$2:$B$313=$B85)*($I$2:$I$313=$BV85),$BQ$2:$BQ$313,,0)="","NOK","OK")))</f>
        <v>OK</v>
      </c>
      <c r="BX85" s="1" t="str">
        <f t="shared" si="114"/>
        <v>Miika Nordblad</v>
      </c>
      <c r="BY85" s="1" t="str">
        <f t="shared" si="115"/>
        <v>Jami Kallio</v>
      </c>
      <c r="BZ85" s="1">
        <f t="shared" si="116"/>
        <v>184</v>
      </c>
      <c r="CA85" s="1">
        <f t="shared" si="117"/>
        <v>149</v>
      </c>
      <c r="CB85" s="1">
        <f t="shared" si="118"/>
        <v>9.8999999999999994E-5</v>
      </c>
      <c r="CC85" s="1">
        <f t="shared" si="119"/>
        <v>174</v>
      </c>
      <c r="CD85" s="1">
        <f t="shared" si="120"/>
        <v>131</v>
      </c>
      <c r="CE85" s="1">
        <f t="shared" si="121"/>
        <v>9.8999999999999994E-5</v>
      </c>
      <c r="CF85" s="1" t="str">
        <f t="shared" si="122"/>
        <v>Miika Nordblad (P)</v>
      </c>
      <c r="CG85" s="1" t="str">
        <f t="shared" si="123"/>
        <v>Jami Kallio (1)</v>
      </c>
      <c r="CH85" s="1" t="str">
        <f t="shared" si="124"/>
        <v>Miika Nordblad</v>
      </c>
      <c r="CI85" s="1">
        <f t="shared" si="125"/>
        <v>0</v>
      </c>
      <c r="CJ85" s="1" t="str">
        <f ca="1">IF(B85="","",IF(SUM(AI85:AK85)&gt;0,"+SP","")&amp;IF(CI85&gt;0,"+KK","")&amp;IF(AB85&gt;0,"+KGP1","")&amp;IF(AC85&gt;0,"+KGP2","")&amp;IF(AG85&lt;0,"-KGP1","")&amp;IF(AH85&lt;0,"-KGP2",""))</f>
        <v>+SP</v>
      </c>
    </row>
    <row r="86" spans="1:88" x14ac:dyDescent="0.25">
      <c r="A86" s="1">
        <f>IFERROR(IF(ROW(A85)=1,1,IF(1+A85&lt;=$CP$1*$CP$2,1+A85,"")),"")</f>
        <v>85</v>
      </c>
      <c r="B86" s="1">
        <f>IF($I86="","",IF(ROW(B85)=1,1,ROUNDUP(A86/$CP$2,0)))</f>
        <v>5</v>
      </c>
      <c r="C86" s="4">
        <f t="shared" si="71"/>
        <v>45627</v>
      </c>
      <c r="D86" s="4" t="str">
        <f t="shared" si="65"/>
        <v>Kupittaan keilahalli</v>
      </c>
      <c r="E86" s="1">
        <f>IF($B86="","",COUNTIF($B$2:B86,B86))</f>
        <v>13</v>
      </c>
      <c r="F86" s="1" t="str">
        <f t="shared" si="66"/>
        <v>K2024GP05</v>
      </c>
      <c r="G86" s="1" t="str">
        <f t="shared" si="72"/>
        <v>K2024GP05_13</v>
      </c>
      <c r="H86" s="1">
        <f t="shared" si="73"/>
        <v>1</v>
      </c>
      <c r="I86" s="3" t="s">
        <v>132</v>
      </c>
      <c r="J86" s="3"/>
      <c r="K86" s="3"/>
      <c r="L86" s="1">
        <f t="shared" si="74"/>
        <v>0</v>
      </c>
      <c r="M86" s="1">
        <f t="shared" si="75"/>
        <v>0</v>
      </c>
      <c r="N86" s="1" t="str">
        <f t="shared" si="76"/>
        <v/>
      </c>
      <c r="O86" s="1" t="str">
        <f t="shared" si="77"/>
        <v/>
      </c>
      <c r="P86" s="1" t="str">
        <f t="shared" si="78"/>
        <v/>
      </c>
      <c r="Q86" s="1">
        <f t="array" ref="Q86">IF($B86="","",IF(MAX(IF(B86=$B$2:$B$313,$L$2:$L$313))-L86=0,"",MAX(IF(B86=$B$2:$B$313,$L$2:$L$313))-L86))</f>
        <v>333</v>
      </c>
      <c r="R86" s="1">
        <f t="array" ref="R86">IF($B86="","",SUMPRODUCT(--($B$2:$B$313=B86),--(L86&lt;$L$2:$L$313))+1)</f>
        <v>13</v>
      </c>
      <c r="S86" s="1">
        <f t="shared" si="79"/>
        <v>0</v>
      </c>
      <c r="T86" s="1" t="str" cm="1">
        <f t="array" ref="T86">IF($B86="","",IF(M86=0,"",SUMPRODUCT(--($B$2:$B$313=B86),--(J86&lt;$J$2:$J$313))+1))</f>
        <v/>
      </c>
      <c r="U86" s="1" t="str">
        <f t="shared" si="80"/>
        <v/>
      </c>
      <c r="V86" s="1" t="str">
        <f t="shared" si="81"/>
        <v>0513</v>
      </c>
      <c r="W86" s="1">
        <f t="shared" si="82"/>
        <v>6</v>
      </c>
      <c r="X86" s="1">
        <f t="shared" si="67"/>
        <v>0</v>
      </c>
      <c r="Y86" s="1">
        <f>IF($B86="","",MAX(_xlfn.MAXIFS($J$2:J86,$I$2:I86,$I86),_xlfn.MAXIFS($K$2:K86,$I$2:I86,$I86)))</f>
        <v>131</v>
      </c>
      <c r="Z86" s="1">
        <f t="shared" si="83"/>
        <v>184</v>
      </c>
      <c r="AA86" s="1">
        <f t="shared" si="84"/>
        <v>0</v>
      </c>
      <c r="AB86" s="1">
        <f t="shared" si="85"/>
        <v>0</v>
      </c>
      <c r="AC86" s="1">
        <f t="shared" si="86"/>
        <v>0</v>
      </c>
      <c r="AD86" s="1">
        <f>IF($B86="","",MIN(_xlfn.MINIFS($J$2:J86,$I$2:I86,$I86),_xlfn.MINIFS($K$2:K86,$I$2:I86,$I86)))</f>
        <v>73</v>
      </c>
      <c r="AE86" s="1">
        <f t="shared" si="87"/>
        <v>120</v>
      </c>
      <c r="AF86" s="1">
        <f t="shared" si="88"/>
        <v>0</v>
      </c>
      <c r="AG86" s="1">
        <f t="shared" si="89"/>
        <v>0</v>
      </c>
      <c r="AH86" s="1">
        <f t="shared" si="90"/>
        <v>0</v>
      </c>
      <c r="AI86" s="1">
        <f ca="1">IF($B86="","",IF($K86="",0,OFFSET($CO$17,R86,W86)))</f>
        <v>0</v>
      </c>
      <c r="AJ86" s="1">
        <f t="shared" ca="1" si="91"/>
        <v>0</v>
      </c>
      <c r="AK86" s="1">
        <f ca="1">IF(AJ86="","",IF(AJ86=0,0,IF(W86=1,0,SUM(OFFSET($CO$17,N86,1):OFFSET($CO$17,N86+W86-2,1))/W86)))</f>
        <v>0</v>
      </c>
      <c r="AL86" s="1">
        <f t="shared" si="92"/>
        <v>0</v>
      </c>
      <c r="AM86" s="1">
        <f ca="1">IF($B86="","",SUMIFS($AL$2:AL86,$I$2:I86,$I86))</f>
        <v>4</v>
      </c>
      <c r="AN86" s="1">
        <f t="shared" si="93"/>
        <v>13.000085</v>
      </c>
      <c r="AO86" s="1">
        <f>IFERROR(IF($B86="","",AVERAGEIFS($L$2:L86,$I$2:I86,I86,$L$2:L86,"&lt;&gt;0")),0)</f>
        <v>214</v>
      </c>
      <c r="AP86" s="1">
        <f t="shared" si="94"/>
        <v>107</v>
      </c>
      <c r="AQ86" s="1">
        <f>IF($B86="","",COUNTIFS($R$2:R86,1,$I$2:I86,$I86))</f>
        <v>0</v>
      </c>
      <c r="AR86" s="1">
        <f t="array" aca="1" ref="AR86" ca="1">IF($B86="","",SUMPRODUCT(--($B$2:$B$313=B86),--(AM86&lt;$AM$2:$AM$313))+1)</f>
        <v>16</v>
      </c>
      <c r="AS86" s="1">
        <f t="array" ref="AS86">IF($B86="","",SUMPRODUCT(--($B$2:$B$313=B86),--(AP86&lt;$AP$2:$AP$313))+1)</f>
        <v>17</v>
      </c>
      <c r="AT86" s="1">
        <f t="array" ref="AT86">IF($B86="","",SUMPRODUCT(--($B$2:$B$313=B86),--(AQ86&lt;$AQ$2:$AQ$313))+1)</f>
        <v>6</v>
      </c>
      <c r="AU86" s="1">
        <f t="shared" si="95"/>
        <v>8.4999999999999994E-8</v>
      </c>
      <c r="AV86" s="1">
        <f t="shared" ca="1" si="96"/>
        <v>0.16170608500000003</v>
      </c>
      <c r="AW86" s="1" t="str">
        <f t="shared" si="68"/>
        <v/>
      </c>
      <c r="AX86" s="1" t="str">
        <f t="shared" si="97"/>
        <v/>
      </c>
      <c r="AY86" s="8">
        <f t="shared" ca="1" si="98"/>
        <v>0.16170608500000003</v>
      </c>
      <c r="AZ86" s="1" cm="1">
        <f t="array" aca="1" ref="AZ86" ca="1">IF($B86="","",SUMPRODUCT(--($B$2:$B$313=B86),--(AY86&gt;$AY$2:$AY$313))+1)</f>
        <v>16</v>
      </c>
      <c r="BA86" s="1" t="str">
        <f t="shared" si="99"/>
        <v>K2024GP05_13_1</v>
      </c>
      <c r="BB86" s="1" t="str">
        <f t="shared" si="100"/>
        <v>K2024GP05_13_2</v>
      </c>
      <c r="BC86" s="1">
        <f t="shared" si="101"/>
        <v>0</v>
      </c>
      <c r="BD86" s="1">
        <f t="shared" si="102"/>
        <v>0</v>
      </c>
      <c r="BE86" s="1">
        <f t="shared" si="103"/>
        <v>1</v>
      </c>
      <c r="BF86" s="1">
        <f t="shared" si="104"/>
        <v>0</v>
      </c>
      <c r="BG86" s="1">
        <f t="shared" si="105"/>
        <v>0</v>
      </c>
      <c r="BH86" s="1">
        <f t="shared" si="106"/>
        <v>13</v>
      </c>
      <c r="BI86" s="1">
        <f t="shared" si="107"/>
        <v>13</v>
      </c>
      <c r="BJ86" s="1">
        <f t="shared" si="108"/>
        <v>0.1313</v>
      </c>
      <c r="BK86" s="1" t="str">
        <f t="shared" si="109"/>
        <v/>
      </c>
      <c r="BL86" s="1">
        <f t="shared" si="110"/>
        <v>9.8999999999999994E-5</v>
      </c>
      <c r="BM86" s="1">
        <f t="shared" si="111"/>
        <v>0.13140759999999999</v>
      </c>
      <c r="BN86" s="1" t="str">
        <f t="shared" si="112"/>
        <v/>
      </c>
      <c r="BO86" s="1">
        <f t="shared" si="69"/>
        <v>13</v>
      </c>
      <c r="BP86" s="1">
        <f t="shared" si="70"/>
        <v>0</v>
      </c>
      <c r="BQ86" s="1" t="str" cm="1">
        <f t="array" ref="BQ86">IF(I86="","",IF(BP86=1,"",IF(L86=0,"",IF(B86=1,"",_xlfn.XLOOKUP(1,($I$2:$I$313=$I86)*($B$2:$B$313=($B86-1)),$BO$2:$BO$313)))))</f>
        <v/>
      </c>
      <c r="BR86" s="1">
        <f>IF(I86="","",IF($B86=1,_xlfn.MINIFS($BO$2:$BO$313,$B$2:$B$313,$B86),_xlfn.MINIFS(BQ$2:$BQ$313,$B$2:$B$313,$B86)))</f>
        <v>1</v>
      </c>
      <c r="BS86" s="1">
        <f t="shared" si="113"/>
        <v>2</v>
      </c>
      <c r="BT86" s="1" t="str" cm="1">
        <f t="array" ref="BT86">IF($I86="","",IF($B86=1,_xlfn.XLOOKUP(1,($B$2:$B$313=$B86)*($BO$2:$BO$313=BR86),Data!$I$2:$I$313,,0),_xlfn.XLOOKUP(1,($B$2:$B$313=$B86)*($BQ$2:$BQ$313=$BR86),$I$2:$I$313,,0)))</f>
        <v>Jami Kallio</v>
      </c>
      <c r="BU86" s="1" t="str" cm="1">
        <f t="array" ref="BU86">IF(I86="","",IF($B86=1,_xlfn.XLOOKUP(1,($B$2:$B$313=$B86)*($BO$2:$BO$313=$BS86),$I$2:$I$313,,0),_xlfn.XLOOKUP(1,($B$2:$B$313=$B86)*($BQ$2:$BQ$313=$BS86),$I$2:$I$313,,0)))</f>
        <v>Niko Reunanen</v>
      </c>
      <c r="BV86" s="1" t="str" cm="1">
        <f t="array" ref="BV86">IF($I86="","",IF($B86=1,"",IF($B86=2,_xlfn.XLOOKUP(1,($B$2:$B$313=1)*($BO$2:$BO$313=1),$I$2:$I$313,,0),_xlfn.XLOOKUP($B86-1,$B$2:$B$313,$CH$2:$CH$313,,0))))</f>
        <v>Miika Nordblad</v>
      </c>
      <c r="BW86" s="1" t="str" cm="1">
        <f t="array" ref="BW86">IF($I86="","",IF($B86=1,"",IF(_xlfn.XLOOKUP(1,($B$2:$B$313=$B86)*($I$2:$I$313=$BV86),$BQ$2:$BQ$313,,0)="","NOK","OK")))</f>
        <v>OK</v>
      </c>
      <c r="BX86" s="1" t="str">
        <f t="shared" si="114"/>
        <v>Miika Nordblad</v>
      </c>
      <c r="BY86" s="1" t="str">
        <f t="shared" si="115"/>
        <v>Jami Kallio</v>
      </c>
      <c r="BZ86" s="1">
        <f t="shared" si="116"/>
        <v>184</v>
      </c>
      <c r="CA86" s="1">
        <f t="shared" si="117"/>
        <v>149</v>
      </c>
      <c r="CB86" s="1">
        <f t="shared" si="118"/>
        <v>9.8999999999999994E-5</v>
      </c>
      <c r="CC86" s="1">
        <f t="shared" si="119"/>
        <v>174</v>
      </c>
      <c r="CD86" s="1">
        <f t="shared" si="120"/>
        <v>131</v>
      </c>
      <c r="CE86" s="1">
        <f t="shared" si="121"/>
        <v>9.8999999999999994E-5</v>
      </c>
      <c r="CF86" s="1" t="str">
        <f t="shared" si="122"/>
        <v>Miika Nordblad (P)</v>
      </c>
      <c r="CG86" s="1" t="str">
        <f t="shared" si="123"/>
        <v>Jami Kallio (1)</v>
      </c>
      <c r="CH86" s="1" t="str">
        <f t="shared" si="124"/>
        <v>Miika Nordblad</v>
      </c>
      <c r="CI86" s="1">
        <f t="shared" si="125"/>
        <v>0</v>
      </c>
      <c r="CJ86" s="1" t="str">
        <f ca="1">IF(B86="","",IF(SUM(AI86:AK86)&gt;0,"+SP","")&amp;IF(CI86&gt;0,"+KK","")&amp;IF(AB86&gt;0,"+KGP1","")&amp;IF(AC86&gt;0,"+KGP2","")&amp;IF(AG86&lt;0,"-KGP1","")&amp;IF(AH86&lt;0,"-KGP2",""))</f>
        <v/>
      </c>
    </row>
    <row r="87" spans="1:88" x14ac:dyDescent="0.25">
      <c r="A87" s="1">
        <f>IFERROR(IF(ROW(A86)=1,1,IF(1+A86&lt;=$CP$1*$CP$2,1+A86,"")),"")</f>
        <v>86</v>
      </c>
      <c r="B87" s="1">
        <f>IF($I87="","",IF(ROW(B86)=1,1,ROUNDUP(A87/$CP$2,0)))</f>
        <v>5</v>
      </c>
      <c r="C87" s="4">
        <f t="shared" si="71"/>
        <v>45627</v>
      </c>
      <c r="D87" s="4" t="str">
        <f t="shared" si="65"/>
        <v>Kupittaan keilahalli</v>
      </c>
      <c r="E87" s="1">
        <f>IF($B87="","",COUNTIF($B$2:B87,B87))</f>
        <v>14</v>
      </c>
      <c r="F87" s="1" t="str">
        <f t="shared" si="66"/>
        <v>K2024GP05</v>
      </c>
      <c r="G87" s="1" t="str">
        <f t="shared" si="72"/>
        <v>K2024GP05_14</v>
      </c>
      <c r="H87" s="1">
        <f t="shared" si="73"/>
        <v>1</v>
      </c>
      <c r="I87" s="3" t="s">
        <v>136</v>
      </c>
      <c r="J87" s="3"/>
      <c r="K87" s="3"/>
      <c r="L87" s="1">
        <f t="shared" si="74"/>
        <v>0</v>
      </c>
      <c r="M87" s="1">
        <f t="shared" si="75"/>
        <v>0</v>
      </c>
      <c r="N87" s="1" t="str">
        <f t="shared" si="76"/>
        <v/>
      </c>
      <c r="O87" s="1" t="str">
        <f t="shared" si="77"/>
        <v/>
      </c>
      <c r="P87" s="1" t="str">
        <f t="shared" si="78"/>
        <v/>
      </c>
      <c r="Q87" s="1">
        <f t="array" ref="Q87">IF($B87="","",IF(MAX(IF(B87=$B$2:$B$313,$L$2:$L$313))-L87=0,"",MAX(IF(B87=$B$2:$B$313,$L$2:$L$313))-L87))</f>
        <v>333</v>
      </c>
      <c r="R87" s="1">
        <f t="array" ref="R87">IF($B87="","",SUMPRODUCT(--($B$2:$B$313=B87),--(L87&lt;$L$2:$L$313))+1)</f>
        <v>13</v>
      </c>
      <c r="S87" s="1">
        <f t="shared" si="79"/>
        <v>0</v>
      </c>
      <c r="T87" s="1" t="str" cm="1">
        <f t="array" ref="T87">IF($B87="","",IF(M87=0,"",SUMPRODUCT(--($B$2:$B$313=B87),--(J87&lt;$J$2:$J$313))+1))</f>
        <v/>
      </c>
      <c r="U87" s="1" t="str">
        <f t="shared" si="80"/>
        <v/>
      </c>
      <c r="V87" s="1" t="str">
        <f t="shared" si="81"/>
        <v>0513</v>
      </c>
      <c r="W87" s="1">
        <f t="shared" si="82"/>
        <v>6</v>
      </c>
      <c r="X87" s="1">
        <f t="shared" si="67"/>
        <v>0</v>
      </c>
      <c r="Y87" s="1">
        <f>IF($B87="","",MAX(_xlfn.MAXIFS($J$2:J87,$I$2:I87,$I87),_xlfn.MAXIFS($K$2:K87,$I$2:I87,$I87)))</f>
        <v>165</v>
      </c>
      <c r="Z87" s="1">
        <f t="shared" si="83"/>
        <v>184</v>
      </c>
      <c r="AA87" s="1">
        <f t="shared" si="84"/>
        <v>0</v>
      </c>
      <c r="AB87" s="1">
        <f t="shared" si="85"/>
        <v>0</v>
      </c>
      <c r="AC87" s="1">
        <f t="shared" si="86"/>
        <v>0</v>
      </c>
      <c r="AD87" s="1">
        <f>IF($B87="","",MIN(_xlfn.MINIFS($J$2:J87,$I$2:I87,$I87),_xlfn.MINIFS($K$2:K87,$I$2:I87,$I87)))</f>
        <v>127</v>
      </c>
      <c r="AE87" s="1">
        <f t="shared" si="87"/>
        <v>120</v>
      </c>
      <c r="AF87" s="1">
        <f t="shared" si="88"/>
        <v>0</v>
      </c>
      <c r="AG87" s="1">
        <f t="shared" si="89"/>
        <v>0</v>
      </c>
      <c r="AH87" s="1">
        <f t="shared" si="90"/>
        <v>0</v>
      </c>
      <c r="AI87" s="1">
        <f ca="1">IF($B87="","",IF($K87="",0,OFFSET($CO$17,R87,W87)))</f>
        <v>0</v>
      </c>
      <c r="AJ87" s="1">
        <f t="shared" ca="1" si="91"/>
        <v>0</v>
      </c>
      <c r="AK87" s="1">
        <f ca="1">IF(AJ87="","",IF(AJ87=0,0,IF(W87=1,0,SUM(OFFSET($CO$17,N87,1):OFFSET($CO$17,N87+W87-2,1))/W87)))</f>
        <v>0</v>
      </c>
      <c r="AL87" s="1">
        <f t="shared" si="92"/>
        <v>0</v>
      </c>
      <c r="AM87" s="1">
        <f ca="1">IF($B87="","",SUMIFS($AL$2:AL87,$I$2:I87,$I87))</f>
        <v>6</v>
      </c>
      <c r="AN87" s="1">
        <f t="shared" si="93"/>
        <v>13.000086</v>
      </c>
      <c r="AO87" s="1">
        <f>IFERROR(IF($B87="","",AVERAGEIFS($L$2:L87,$I$2:I87,I87,$L$2:L87,"&lt;&gt;0")),0)</f>
        <v>286</v>
      </c>
      <c r="AP87" s="1">
        <f t="shared" si="94"/>
        <v>143</v>
      </c>
      <c r="AQ87" s="1">
        <f>IF($B87="","",COUNTIFS($R$2:R87,1,$I$2:I87,$I87))</f>
        <v>0</v>
      </c>
      <c r="AR87" s="1">
        <f t="array" aca="1" ref="AR87" ca="1">IF($B87="","",SUMPRODUCT(--($B$2:$B$313=B87),--(AM87&lt;$AM$2:$AM$313))+1)</f>
        <v>14</v>
      </c>
      <c r="AS87" s="1">
        <f t="array" ref="AS87">IF($B87="","",SUMPRODUCT(--($B$2:$B$313=B87),--(AP87&lt;$AP$2:$AP$313))+1)</f>
        <v>6</v>
      </c>
      <c r="AT87" s="1">
        <f t="array" ref="AT87">IF($B87="","",SUMPRODUCT(--($B$2:$B$313=B87),--(AQ87&lt;$AQ$2:$AQ$313))+1)</f>
        <v>6</v>
      </c>
      <c r="AU87" s="1">
        <f t="shared" si="95"/>
        <v>8.6000000000000002E-8</v>
      </c>
      <c r="AV87" s="1">
        <f t="shared" ca="1" si="96"/>
        <v>0.14060608600000002</v>
      </c>
      <c r="AW87" s="1" t="str">
        <f t="shared" si="68"/>
        <v/>
      </c>
      <c r="AX87" s="1" t="str">
        <f t="shared" si="97"/>
        <v/>
      </c>
      <c r="AY87" s="8">
        <f t="shared" ca="1" si="98"/>
        <v>0.14060608600000002</v>
      </c>
      <c r="AZ87" s="1" cm="1">
        <f t="array" aca="1" ref="AZ87" ca="1">IF($B87="","",SUMPRODUCT(--($B$2:$B$313=B87),--(AY87&gt;$AY$2:$AY$313))+1)</f>
        <v>14</v>
      </c>
      <c r="BA87" s="1" t="str">
        <f t="shared" si="99"/>
        <v>K2024GP05_14_1</v>
      </c>
      <c r="BB87" s="1" t="str">
        <f t="shared" si="100"/>
        <v>K2024GP05_14_2</v>
      </c>
      <c r="BC87" s="1">
        <f t="shared" si="101"/>
        <v>0</v>
      </c>
      <c r="BD87" s="1">
        <f t="shared" si="102"/>
        <v>0</v>
      </c>
      <c r="BE87" s="1">
        <f t="shared" si="103"/>
        <v>1</v>
      </c>
      <c r="BF87" s="1">
        <f t="shared" si="104"/>
        <v>0</v>
      </c>
      <c r="BG87" s="1">
        <f t="shared" si="105"/>
        <v>0</v>
      </c>
      <c r="BH87" s="1">
        <f t="shared" si="106"/>
        <v>13</v>
      </c>
      <c r="BI87" s="1">
        <f t="shared" si="107"/>
        <v>13</v>
      </c>
      <c r="BJ87" s="1">
        <f t="shared" si="108"/>
        <v>0.1313</v>
      </c>
      <c r="BK87" s="1" t="str">
        <f t="shared" si="109"/>
        <v/>
      </c>
      <c r="BL87" s="1">
        <f t="shared" si="110"/>
        <v>9.8999999999999994E-5</v>
      </c>
      <c r="BM87" s="1">
        <f t="shared" si="111"/>
        <v>0.13140769999999999</v>
      </c>
      <c r="BN87" s="1" t="str">
        <f t="shared" si="112"/>
        <v/>
      </c>
      <c r="BO87" s="1">
        <f t="shared" si="69"/>
        <v>14</v>
      </c>
      <c r="BP87" s="1">
        <f t="shared" si="70"/>
        <v>0</v>
      </c>
      <c r="BQ87" s="1" t="str" cm="1">
        <f t="array" ref="BQ87">IF(I87="","",IF(BP87=1,"",IF(L87=0,"",IF(B87=1,"",_xlfn.XLOOKUP(1,($I$2:$I$313=$I87)*($B$2:$B$313=($B87-1)),$BO$2:$BO$313)))))</f>
        <v/>
      </c>
      <c r="BR87" s="1">
        <f>IF(I87="","",IF($B87=1,_xlfn.MINIFS($BO$2:$BO$313,$B$2:$B$313,$B87),_xlfn.MINIFS(BQ$2:$BQ$313,$B$2:$B$313,$B87)))</f>
        <v>1</v>
      </c>
      <c r="BS87" s="1">
        <f t="shared" si="113"/>
        <v>2</v>
      </c>
      <c r="BT87" s="1" t="str" cm="1">
        <f t="array" ref="BT87">IF($I87="","",IF($B87=1,_xlfn.XLOOKUP(1,($B$2:$B$313=$B87)*($BO$2:$BO$313=BR87),Data!$I$2:$I$313,,0),_xlfn.XLOOKUP(1,($B$2:$B$313=$B87)*($BQ$2:$BQ$313=$BR87),$I$2:$I$313,,0)))</f>
        <v>Jami Kallio</v>
      </c>
      <c r="BU87" s="1" t="str" cm="1">
        <f t="array" ref="BU87">IF(I87="","",IF($B87=1,_xlfn.XLOOKUP(1,($B$2:$B$313=$B87)*($BO$2:$BO$313=$BS87),$I$2:$I$313,,0),_xlfn.XLOOKUP(1,($B$2:$B$313=$B87)*($BQ$2:$BQ$313=$BS87),$I$2:$I$313,,0)))</f>
        <v>Niko Reunanen</v>
      </c>
      <c r="BV87" s="1" t="str" cm="1">
        <f t="array" ref="BV87">IF($I87="","",IF($B87=1,"",IF($B87=2,_xlfn.XLOOKUP(1,($B$2:$B$313=1)*($BO$2:$BO$313=1),$I$2:$I$313,,0),_xlfn.XLOOKUP($B87-1,$B$2:$B$313,$CH$2:$CH$313,,0))))</f>
        <v>Miika Nordblad</v>
      </c>
      <c r="BW87" s="1" t="str" cm="1">
        <f t="array" ref="BW87">IF($I87="","",IF($B87=1,"",IF(_xlfn.XLOOKUP(1,($B$2:$B$313=$B87)*($I$2:$I$313=$BV87),$BQ$2:$BQ$313,,0)="","NOK","OK")))</f>
        <v>OK</v>
      </c>
      <c r="BX87" s="1" t="str">
        <f t="shared" si="114"/>
        <v>Miika Nordblad</v>
      </c>
      <c r="BY87" s="1" t="str">
        <f t="shared" si="115"/>
        <v>Jami Kallio</v>
      </c>
      <c r="BZ87" s="1">
        <f t="shared" si="116"/>
        <v>184</v>
      </c>
      <c r="CA87" s="1">
        <f t="shared" si="117"/>
        <v>149</v>
      </c>
      <c r="CB87" s="1">
        <f t="shared" si="118"/>
        <v>9.8999999999999994E-5</v>
      </c>
      <c r="CC87" s="1">
        <f t="shared" si="119"/>
        <v>174</v>
      </c>
      <c r="CD87" s="1">
        <f t="shared" si="120"/>
        <v>131</v>
      </c>
      <c r="CE87" s="1">
        <f t="shared" si="121"/>
        <v>9.8999999999999994E-5</v>
      </c>
      <c r="CF87" s="1" t="str">
        <f t="shared" si="122"/>
        <v>Miika Nordblad (P)</v>
      </c>
      <c r="CG87" s="1" t="str">
        <f t="shared" si="123"/>
        <v>Jami Kallio (1)</v>
      </c>
      <c r="CH87" s="1" t="str">
        <f t="shared" si="124"/>
        <v>Miika Nordblad</v>
      </c>
      <c r="CI87" s="1">
        <f t="shared" si="125"/>
        <v>0</v>
      </c>
      <c r="CJ87" s="1" t="str">
        <f ca="1">IF(B87="","",IF(SUM(AI87:AK87)&gt;0,"+SP","")&amp;IF(CI87&gt;0,"+KK","")&amp;IF(AB87&gt;0,"+KGP1","")&amp;IF(AC87&gt;0,"+KGP2","")&amp;IF(AG87&lt;0,"-KGP1","")&amp;IF(AH87&lt;0,"-KGP2",""))</f>
        <v/>
      </c>
    </row>
    <row r="88" spans="1:88" x14ac:dyDescent="0.25">
      <c r="A88" s="1">
        <f>IFERROR(IF(ROW(A87)=1,1,IF(1+A87&lt;=$CP$1*$CP$2,1+A87,"")),"")</f>
        <v>87</v>
      </c>
      <c r="B88" s="1">
        <f>IF($I88="","",IF(ROW(B87)=1,1,ROUNDUP(A88/$CP$2,0)))</f>
        <v>5</v>
      </c>
      <c r="C88" s="4">
        <f t="shared" si="71"/>
        <v>45627</v>
      </c>
      <c r="D88" s="4" t="str">
        <f t="shared" si="65"/>
        <v>Kupittaan keilahalli</v>
      </c>
      <c r="E88" s="1">
        <f>IF($B88="","",COUNTIF($B$2:B88,B88))</f>
        <v>15</v>
      </c>
      <c r="F88" s="1" t="str">
        <f t="shared" si="66"/>
        <v>K2024GP05</v>
      </c>
      <c r="G88" s="1" t="str">
        <f t="shared" si="72"/>
        <v>K2024GP05_15</v>
      </c>
      <c r="H88" s="1">
        <f t="shared" si="73"/>
        <v>1</v>
      </c>
      <c r="I88" s="3" t="s">
        <v>128</v>
      </c>
      <c r="J88" s="3"/>
      <c r="K88" s="3"/>
      <c r="L88" s="1">
        <f t="shared" si="74"/>
        <v>0</v>
      </c>
      <c r="M88" s="1">
        <f t="shared" si="75"/>
        <v>0</v>
      </c>
      <c r="N88" s="1" t="str">
        <f t="shared" si="76"/>
        <v/>
      </c>
      <c r="O88" s="1" t="str">
        <f t="shared" si="77"/>
        <v/>
      </c>
      <c r="P88" s="1" t="str">
        <f t="shared" si="78"/>
        <v/>
      </c>
      <c r="Q88" s="1">
        <f t="array" ref="Q88">IF($B88="","",IF(MAX(IF(B88=$B$2:$B$313,$L$2:$L$313))-L88=0,"",MAX(IF(B88=$B$2:$B$313,$L$2:$L$313))-L88))</f>
        <v>333</v>
      </c>
      <c r="R88" s="1">
        <f t="array" ref="R88">IF($B88="","",SUMPRODUCT(--($B$2:$B$313=B88),--(L88&lt;$L$2:$L$313))+1)</f>
        <v>13</v>
      </c>
      <c r="S88" s="1">
        <f t="shared" si="79"/>
        <v>0</v>
      </c>
      <c r="T88" s="1" t="str" cm="1">
        <f t="array" ref="T88">IF($B88="","",IF(M88=0,"",SUMPRODUCT(--($B$2:$B$313=B88),--(J88&lt;$J$2:$J$313))+1))</f>
        <v/>
      </c>
      <c r="U88" s="1" t="str">
        <f t="shared" si="80"/>
        <v/>
      </c>
      <c r="V88" s="1" t="str">
        <f t="shared" si="81"/>
        <v>0513</v>
      </c>
      <c r="W88" s="1">
        <f t="shared" si="82"/>
        <v>6</v>
      </c>
      <c r="X88" s="1">
        <f t="shared" si="67"/>
        <v>0</v>
      </c>
      <c r="Y88" s="1">
        <f>IF($B88="","",MAX(_xlfn.MAXIFS($J$2:J88,$I$2:I88,$I88),_xlfn.MAXIFS($K$2:K88,$I$2:I88,$I88)))</f>
        <v>164</v>
      </c>
      <c r="Z88" s="1">
        <f t="shared" si="83"/>
        <v>184</v>
      </c>
      <c r="AA88" s="1">
        <f t="shared" si="84"/>
        <v>0</v>
      </c>
      <c r="AB88" s="1">
        <f t="shared" si="85"/>
        <v>0</v>
      </c>
      <c r="AC88" s="1">
        <f t="shared" si="86"/>
        <v>0</v>
      </c>
      <c r="AD88" s="1">
        <f>IF($B88="","",MIN(_xlfn.MINIFS($J$2:J88,$I$2:I88,$I88),_xlfn.MINIFS($K$2:K88,$I$2:I88,$I88)))</f>
        <v>114</v>
      </c>
      <c r="AE88" s="1">
        <f t="shared" si="87"/>
        <v>120</v>
      </c>
      <c r="AF88" s="1">
        <f t="shared" si="88"/>
        <v>0</v>
      </c>
      <c r="AG88" s="1">
        <f t="shared" si="89"/>
        <v>0</v>
      </c>
      <c r="AH88" s="1">
        <f t="shared" si="90"/>
        <v>0</v>
      </c>
      <c r="AI88" s="1">
        <f ca="1">IF($B88="","",IF($K88="",0,OFFSET($CO$17,R88,W88)))</f>
        <v>0</v>
      </c>
      <c r="AJ88" s="1">
        <f t="shared" ca="1" si="91"/>
        <v>0</v>
      </c>
      <c r="AK88" s="1">
        <f ca="1">IF(AJ88="","",IF(AJ88=0,0,IF(W88=1,0,SUM(OFFSET($CO$17,N88,1):OFFSET($CO$17,N88+W88-2,1))/W88)))</f>
        <v>0</v>
      </c>
      <c r="AL88" s="1">
        <f t="shared" si="92"/>
        <v>0</v>
      </c>
      <c r="AM88" s="1">
        <f ca="1">IF($B88="","",SUMIFS($AL$2:AL88,$I$2:I88,$I88))</f>
        <v>21</v>
      </c>
      <c r="AN88" s="1">
        <f t="shared" si="93"/>
        <v>13.000087000000001</v>
      </c>
      <c r="AO88" s="1">
        <f>IFERROR(IF($B88="","",AVERAGEIFS($L$2:L88,$I$2:I88,I88,$L$2:L88,"&lt;&gt;0")),0)</f>
        <v>257.75</v>
      </c>
      <c r="AP88" s="1">
        <f t="shared" si="94"/>
        <v>128.875</v>
      </c>
      <c r="AQ88" s="1">
        <f>IF($B88="","",COUNTIFS($R$2:R88,1,$I$2:I88,$I88))</f>
        <v>1</v>
      </c>
      <c r="AR88" s="1">
        <f t="array" aca="1" ref="AR88" ca="1">IF($B88="","",SUMPRODUCT(--($B$2:$B$313=B88),--(AM88&lt;$AM$2:$AM$313))+1)</f>
        <v>5</v>
      </c>
      <c r="AS88" s="1">
        <f t="array" ref="AS88">IF($B88="","",SUMPRODUCT(--($B$2:$B$313=B88),--(AP88&lt;$AP$2:$AP$313))+1)</f>
        <v>12</v>
      </c>
      <c r="AT88" s="1">
        <f t="array" ref="AT88">IF($B88="","",SUMPRODUCT(--($B$2:$B$313=B88),--(AQ88&lt;$AQ$2:$AQ$313))+1)</f>
        <v>2</v>
      </c>
      <c r="AU88" s="1">
        <f t="shared" si="95"/>
        <v>8.6999999999999998E-8</v>
      </c>
      <c r="AV88" s="1">
        <f t="shared" ca="1" si="96"/>
        <v>5.1202087000000007E-2</v>
      </c>
      <c r="AW88" s="1" t="str">
        <f t="shared" si="68"/>
        <v/>
      </c>
      <c r="AX88" s="1" t="str">
        <f t="shared" si="97"/>
        <v/>
      </c>
      <c r="AY88" s="8">
        <f t="shared" ca="1" si="98"/>
        <v>5.1202087000000007E-2</v>
      </c>
      <c r="AZ88" s="1" cm="1">
        <f t="array" aca="1" ref="AZ88" ca="1">IF($B88="","",SUMPRODUCT(--($B$2:$B$313=B88),--(AY88&gt;$AY$2:$AY$313))+1)</f>
        <v>5</v>
      </c>
      <c r="BA88" s="1" t="str">
        <f t="shared" si="99"/>
        <v>K2024GP05_15_1</v>
      </c>
      <c r="BB88" s="1" t="str">
        <f t="shared" si="100"/>
        <v>K2024GP05_15_2</v>
      </c>
      <c r="BC88" s="1">
        <f t="shared" si="101"/>
        <v>0</v>
      </c>
      <c r="BD88" s="1">
        <f t="shared" si="102"/>
        <v>0</v>
      </c>
      <c r="BE88" s="1">
        <f t="shared" si="103"/>
        <v>1</v>
      </c>
      <c r="BF88" s="1">
        <f t="shared" si="104"/>
        <v>0</v>
      </c>
      <c r="BG88" s="1">
        <f t="shared" si="105"/>
        <v>0</v>
      </c>
      <c r="BH88" s="1">
        <f t="shared" si="106"/>
        <v>13</v>
      </c>
      <c r="BI88" s="1">
        <f t="shared" si="107"/>
        <v>13</v>
      </c>
      <c r="BJ88" s="1">
        <f t="shared" si="108"/>
        <v>0.1313</v>
      </c>
      <c r="BK88" s="1" t="str">
        <f t="shared" si="109"/>
        <v/>
      </c>
      <c r="BL88" s="1">
        <f t="shared" si="110"/>
        <v>9.8999999999999994E-5</v>
      </c>
      <c r="BM88" s="1">
        <f t="shared" si="111"/>
        <v>0.13140779999999999</v>
      </c>
      <c r="BN88" s="1" t="str">
        <f t="shared" si="112"/>
        <v/>
      </c>
      <c r="BO88" s="1">
        <f t="shared" si="69"/>
        <v>15</v>
      </c>
      <c r="BP88" s="1">
        <f t="shared" si="70"/>
        <v>0</v>
      </c>
      <c r="BQ88" s="1" t="str" cm="1">
        <f t="array" ref="BQ88">IF(I88="","",IF(BP88=1,"",IF(L88=0,"",IF(B88=1,"",_xlfn.XLOOKUP(1,($I$2:$I$313=$I88)*($B$2:$B$313=($B88-1)),$BO$2:$BO$313)))))</f>
        <v/>
      </c>
      <c r="BR88" s="1">
        <f>IF(I88="","",IF($B88=1,_xlfn.MINIFS($BO$2:$BO$313,$B$2:$B$313,$B88),_xlfn.MINIFS(BQ$2:$BQ$313,$B$2:$B$313,$B88)))</f>
        <v>1</v>
      </c>
      <c r="BS88" s="1">
        <f t="shared" si="113"/>
        <v>2</v>
      </c>
      <c r="BT88" s="1" t="str" cm="1">
        <f t="array" ref="BT88">IF($I88="","",IF($B88=1,_xlfn.XLOOKUP(1,($B$2:$B$313=$B88)*($BO$2:$BO$313=BR88),Data!$I$2:$I$313,,0),_xlfn.XLOOKUP(1,($B$2:$B$313=$B88)*($BQ$2:$BQ$313=$BR88),$I$2:$I$313,,0)))</f>
        <v>Jami Kallio</v>
      </c>
      <c r="BU88" s="1" t="str" cm="1">
        <f t="array" ref="BU88">IF(I88="","",IF($B88=1,_xlfn.XLOOKUP(1,($B$2:$B$313=$B88)*($BO$2:$BO$313=$BS88),$I$2:$I$313,,0),_xlfn.XLOOKUP(1,($B$2:$B$313=$B88)*($BQ$2:$BQ$313=$BS88),$I$2:$I$313,,0)))</f>
        <v>Niko Reunanen</v>
      </c>
      <c r="BV88" s="1" t="str" cm="1">
        <f t="array" ref="BV88">IF($I88="","",IF($B88=1,"",IF($B88=2,_xlfn.XLOOKUP(1,($B$2:$B$313=1)*($BO$2:$BO$313=1),$I$2:$I$313,,0),_xlfn.XLOOKUP($B88-1,$B$2:$B$313,$CH$2:$CH$313,,0))))</f>
        <v>Miika Nordblad</v>
      </c>
      <c r="BW88" s="1" t="str" cm="1">
        <f t="array" ref="BW88">IF($I88="","",IF($B88=1,"",IF(_xlfn.XLOOKUP(1,($B$2:$B$313=$B88)*($I$2:$I$313=$BV88),$BQ$2:$BQ$313,,0)="","NOK","OK")))</f>
        <v>OK</v>
      </c>
      <c r="BX88" s="1" t="str">
        <f t="shared" si="114"/>
        <v>Miika Nordblad</v>
      </c>
      <c r="BY88" s="1" t="str">
        <f t="shared" si="115"/>
        <v>Jami Kallio</v>
      </c>
      <c r="BZ88" s="1">
        <f t="shared" si="116"/>
        <v>184</v>
      </c>
      <c r="CA88" s="1">
        <f t="shared" si="117"/>
        <v>149</v>
      </c>
      <c r="CB88" s="1">
        <f t="shared" si="118"/>
        <v>9.8999999999999994E-5</v>
      </c>
      <c r="CC88" s="1">
        <f t="shared" si="119"/>
        <v>174</v>
      </c>
      <c r="CD88" s="1">
        <f t="shared" si="120"/>
        <v>131</v>
      </c>
      <c r="CE88" s="1">
        <f t="shared" si="121"/>
        <v>9.8999999999999994E-5</v>
      </c>
      <c r="CF88" s="1" t="str">
        <f t="shared" si="122"/>
        <v>Miika Nordblad (P)</v>
      </c>
      <c r="CG88" s="1" t="str">
        <f t="shared" si="123"/>
        <v>Jami Kallio (1)</v>
      </c>
      <c r="CH88" s="1" t="str">
        <f t="shared" si="124"/>
        <v>Miika Nordblad</v>
      </c>
      <c r="CI88" s="1">
        <f t="shared" si="125"/>
        <v>0</v>
      </c>
      <c r="CJ88" s="1" t="str">
        <f ca="1">IF(B88="","",IF(SUM(AI88:AK88)&gt;0,"+SP","")&amp;IF(CI88&gt;0,"+KK","")&amp;IF(AB88&gt;0,"+KGP1","")&amp;IF(AC88&gt;0,"+KGP2","")&amp;IF(AG88&lt;0,"-KGP1","")&amp;IF(AH88&lt;0,"-KGP2",""))</f>
        <v/>
      </c>
    </row>
    <row r="89" spans="1:88" x14ac:dyDescent="0.25">
      <c r="A89" s="1">
        <f>IFERROR(IF(ROW(A88)=1,1,IF(1+A88&lt;=$CP$1*$CP$2,1+A88,"")),"")</f>
        <v>88</v>
      </c>
      <c r="B89" s="1">
        <f>IF($I89="","",IF(ROW(B88)=1,1,ROUNDUP(A89/$CP$2,0)))</f>
        <v>5</v>
      </c>
      <c r="C89" s="4">
        <f t="shared" si="71"/>
        <v>45627</v>
      </c>
      <c r="D89" s="4" t="str">
        <f t="shared" si="65"/>
        <v>Kupittaan keilahalli</v>
      </c>
      <c r="E89" s="1">
        <f>IF($B89="","",COUNTIF($B$2:B89,B89))</f>
        <v>16</v>
      </c>
      <c r="F89" s="1" t="str">
        <f t="shared" si="66"/>
        <v>K2024GP05</v>
      </c>
      <c r="G89" s="1" t="str">
        <f t="shared" si="72"/>
        <v>K2024GP05_16</v>
      </c>
      <c r="H89" s="1">
        <f t="shared" si="73"/>
        <v>1</v>
      </c>
      <c r="I89" s="3" t="s">
        <v>127</v>
      </c>
      <c r="J89" s="3"/>
      <c r="K89" s="3"/>
      <c r="L89" s="1">
        <f t="shared" si="74"/>
        <v>0</v>
      </c>
      <c r="M89" s="1">
        <f t="shared" si="75"/>
        <v>0</v>
      </c>
      <c r="N89" s="1" t="str">
        <f t="shared" si="76"/>
        <v/>
      </c>
      <c r="O89" s="1" t="str">
        <f t="shared" si="77"/>
        <v/>
      </c>
      <c r="P89" s="1" t="str">
        <f t="shared" si="78"/>
        <v/>
      </c>
      <c r="Q89" s="1">
        <f t="array" ref="Q89">IF($B89="","",IF(MAX(IF(B89=$B$2:$B$313,$L$2:$L$313))-L89=0,"",MAX(IF(B89=$B$2:$B$313,$L$2:$L$313))-L89))</f>
        <v>333</v>
      </c>
      <c r="R89" s="1">
        <f t="array" ref="R89">IF($B89="","",SUMPRODUCT(--($B$2:$B$313=B89),--(L89&lt;$L$2:$L$313))+1)</f>
        <v>13</v>
      </c>
      <c r="S89" s="1">
        <f t="shared" si="79"/>
        <v>0</v>
      </c>
      <c r="T89" s="1" t="str" cm="1">
        <f t="array" ref="T89">IF($B89="","",IF(M89=0,"",SUMPRODUCT(--($B$2:$B$313=B89),--(J89&lt;$J$2:$J$313))+1))</f>
        <v/>
      </c>
      <c r="U89" s="1" t="str">
        <f t="shared" si="80"/>
        <v/>
      </c>
      <c r="V89" s="1" t="str">
        <f t="shared" si="81"/>
        <v>0513</v>
      </c>
      <c r="W89" s="1">
        <f t="shared" si="82"/>
        <v>6</v>
      </c>
      <c r="X89" s="1">
        <f t="shared" si="67"/>
        <v>0</v>
      </c>
      <c r="Y89" s="1">
        <f>IF($B89="","",MAX(_xlfn.MAXIFS($J$2:J89,$I$2:I89,$I89),_xlfn.MAXIFS($K$2:K89,$I$2:I89,$I89)))</f>
        <v>117</v>
      </c>
      <c r="Z89" s="1">
        <f t="shared" si="83"/>
        <v>184</v>
      </c>
      <c r="AA89" s="1">
        <f t="shared" si="84"/>
        <v>0</v>
      </c>
      <c r="AB89" s="1">
        <f t="shared" si="85"/>
        <v>0</v>
      </c>
      <c r="AC89" s="1">
        <f t="shared" si="86"/>
        <v>0</v>
      </c>
      <c r="AD89" s="1">
        <f>IF($B89="","",MIN(_xlfn.MINIFS($J$2:J89,$I$2:I89,$I89),_xlfn.MINIFS($K$2:K89,$I$2:I89,$I89)))</f>
        <v>72</v>
      </c>
      <c r="AE89" s="1">
        <f t="shared" si="87"/>
        <v>120</v>
      </c>
      <c r="AF89" s="1">
        <f t="shared" si="88"/>
        <v>0</v>
      </c>
      <c r="AG89" s="1">
        <f t="shared" si="89"/>
        <v>0</v>
      </c>
      <c r="AH89" s="1">
        <f t="shared" si="90"/>
        <v>0</v>
      </c>
      <c r="AI89" s="1">
        <f ca="1">IF($B89="","",IF($K89="",0,OFFSET($CO$17,R89,W89)))</f>
        <v>0</v>
      </c>
      <c r="AJ89" s="1">
        <f t="shared" ca="1" si="91"/>
        <v>0</v>
      </c>
      <c r="AK89" s="1">
        <f ca="1">IF(AJ89="","",IF(AJ89=0,0,IF(W89=1,0,SUM(OFFSET($CO$17,N89,1):OFFSET($CO$17,N89+W89-2,1))/W89)))</f>
        <v>0</v>
      </c>
      <c r="AL89" s="1">
        <f t="shared" si="92"/>
        <v>0</v>
      </c>
      <c r="AM89" s="1">
        <f ca="1">IF($B89="","",SUMIFS($AL$2:AL89,$I$2:I89,$I89))</f>
        <v>0</v>
      </c>
      <c r="AN89" s="1">
        <f t="shared" si="93"/>
        <v>13.000088</v>
      </c>
      <c r="AO89" s="1">
        <f>IFERROR(IF($B89="","",AVERAGEIFS($L$2:L89,$I$2:I89,I89,$L$2:L89,"&lt;&gt;0")),0)</f>
        <v>178.5</v>
      </c>
      <c r="AP89" s="1">
        <f t="shared" si="94"/>
        <v>89.25</v>
      </c>
      <c r="AQ89" s="1">
        <f>IF($B89="","",COUNTIFS($R$2:R89,1,$I$2:I89,$I89))</f>
        <v>0</v>
      </c>
      <c r="AR89" s="1">
        <f t="array" aca="1" ref="AR89" ca="1">IF($B89="","",SUMPRODUCT(--($B$2:$B$313=B89),--(AM89&lt;$AM$2:$AM$313))+1)</f>
        <v>17</v>
      </c>
      <c r="AS89" s="1">
        <f t="array" ref="AS89">IF($B89="","",SUMPRODUCT(--($B$2:$B$313=B89),--(AP89&lt;$AP$2:$AP$313))+1)</f>
        <v>18</v>
      </c>
      <c r="AT89" s="1">
        <f t="array" ref="AT89">IF($B89="","",SUMPRODUCT(--($B$2:$B$313=B89),--(AQ89&lt;$AQ$2:$AQ$313))+1)</f>
        <v>6</v>
      </c>
      <c r="AU89" s="1">
        <f t="shared" si="95"/>
        <v>8.7999999999999994E-8</v>
      </c>
      <c r="AV89" s="1">
        <f t="shared" ca="1" si="96"/>
        <v>0.17180608800000002</v>
      </c>
      <c r="AW89" s="1" t="str">
        <f t="shared" si="68"/>
        <v/>
      </c>
      <c r="AX89" s="1" t="str">
        <f t="shared" si="97"/>
        <v/>
      </c>
      <c r="AY89" s="8">
        <f t="shared" ca="1" si="98"/>
        <v>0.17180608800000002</v>
      </c>
      <c r="AZ89" s="1" cm="1">
        <f t="array" aca="1" ref="AZ89" ca="1">IF($B89="","",SUMPRODUCT(--($B$2:$B$313=B89),--(AY89&gt;$AY$2:$AY$313))+1)</f>
        <v>18</v>
      </c>
      <c r="BA89" s="1" t="str">
        <f t="shared" si="99"/>
        <v>K2024GP05_16_1</v>
      </c>
      <c r="BB89" s="1" t="str">
        <f t="shared" si="100"/>
        <v>K2024GP05_16_2</v>
      </c>
      <c r="BC89" s="1">
        <f t="shared" si="101"/>
        <v>0</v>
      </c>
      <c r="BD89" s="1">
        <f t="shared" si="102"/>
        <v>0</v>
      </c>
      <c r="BE89" s="1">
        <f t="shared" si="103"/>
        <v>1</v>
      </c>
      <c r="BF89" s="1">
        <f t="shared" si="104"/>
        <v>0</v>
      </c>
      <c r="BG89" s="1">
        <f t="shared" si="105"/>
        <v>0</v>
      </c>
      <c r="BH89" s="1">
        <f t="shared" si="106"/>
        <v>13</v>
      </c>
      <c r="BI89" s="1">
        <f t="shared" si="107"/>
        <v>13</v>
      </c>
      <c r="BJ89" s="1">
        <f t="shared" si="108"/>
        <v>0.1313</v>
      </c>
      <c r="BK89" s="1" t="str">
        <f t="shared" si="109"/>
        <v/>
      </c>
      <c r="BL89" s="1">
        <f t="shared" si="110"/>
        <v>9.8999999999999994E-5</v>
      </c>
      <c r="BM89" s="1">
        <f t="shared" si="111"/>
        <v>0.13140789999999999</v>
      </c>
      <c r="BN89" s="1" t="str">
        <f t="shared" si="112"/>
        <v/>
      </c>
      <c r="BO89" s="1">
        <f t="shared" si="69"/>
        <v>16</v>
      </c>
      <c r="BP89" s="1">
        <f t="shared" si="70"/>
        <v>0</v>
      </c>
      <c r="BQ89" s="1" t="str" cm="1">
        <f t="array" ref="BQ89">IF(I89="","",IF(BP89=1,"",IF(L89=0,"",IF(B89=1,"",_xlfn.XLOOKUP(1,($I$2:$I$313=$I89)*($B$2:$B$313=($B89-1)),$BO$2:$BO$313)))))</f>
        <v/>
      </c>
      <c r="BR89" s="1">
        <f>IF(I89="","",IF($B89=1,_xlfn.MINIFS($BO$2:$BO$313,$B$2:$B$313,$B89),_xlfn.MINIFS(BQ$2:$BQ$313,$B$2:$B$313,$B89)))</f>
        <v>1</v>
      </c>
      <c r="BS89" s="1">
        <f t="shared" si="113"/>
        <v>2</v>
      </c>
      <c r="BT89" s="1" t="str" cm="1">
        <f t="array" ref="BT89">IF($I89="","",IF($B89=1,_xlfn.XLOOKUP(1,($B$2:$B$313=$B89)*($BO$2:$BO$313=BR89),Data!$I$2:$I$313,,0),_xlfn.XLOOKUP(1,($B$2:$B$313=$B89)*($BQ$2:$BQ$313=$BR89),$I$2:$I$313,,0)))</f>
        <v>Jami Kallio</v>
      </c>
      <c r="BU89" s="1" t="str" cm="1">
        <f t="array" ref="BU89">IF(I89="","",IF($B89=1,_xlfn.XLOOKUP(1,($B$2:$B$313=$B89)*($BO$2:$BO$313=$BS89),$I$2:$I$313,,0),_xlfn.XLOOKUP(1,($B$2:$B$313=$B89)*($BQ$2:$BQ$313=$BS89),$I$2:$I$313,,0)))</f>
        <v>Niko Reunanen</v>
      </c>
      <c r="BV89" s="1" t="str" cm="1">
        <f t="array" ref="BV89">IF($I89="","",IF($B89=1,"",IF($B89=2,_xlfn.XLOOKUP(1,($B$2:$B$313=1)*($BO$2:$BO$313=1),$I$2:$I$313,,0),_xlfn.XLOOKUP($B89-1,$B$2:$B$313,$CH$2:$CH$313,,0))))</f>
        <v>Miika Nordblad</v>
      </c>
      <c r="BW89" s="1" t="str" cm="1">
        <f t="array" ref="BW89">IF($I89="","",IF($B89=1,"",IF(_xlfn.XLOOKUP(1,($B$2:$B$313=$B89)*($I$2:$I$313=$BV89),$BQ$2:$BQ$313,,0)="","NOK","OK")))</f>
        <v>OK</v>
      </c>
      <c r="BX89" s="1" t="str">
        <f t="shared" si="114"/>
        <v>Miika Nordblad</v>
      </c>
      <c r="BY89" s="1" t="str">
        <f t="shared" si="115"/>
        <v>Jami Kallio</v>
      </c>
      <c r="BZ89" s="1">
        <f t="shared" si="116"/>
        <v>184</v>
      </c>
      <c r="CA89" s="1">
        <f t="shared" si="117"/>
        <v>149</v>
      </c>
      <c r="CB89" s="1">
        <f t="shared" si="118"/>
        <v>9.8999999999999994E-5</v>
      </c>
      <c r="CC89" s="1">
        <f t="shared" si="119"/>
        <v>174</v>
      </c>
      <c r="CD89" s="1">
        <f t="shared" si="120"/>
        <v>131</v>
      </c>
      <c r="CE89" s="1">
        <f t="shared" si="121"/>
        <v>9.8999999999999994E-5</v>
      </c>
      <c r="CF89" s="1" t="str">
        <f t="shared" si="122"/>
        <v>Miika Nordblad (P)</v>
      </c>
      <c r="CG89" s="1" t="str">
        <f t="shared" si="123"/>
        <v>Jami Kallio (1)</v>
      </c>
      <c r="CH89" s="1" t="str">
        <f t="shared" si="124"/>
        <v>Miika Nordblad</v>
      </c>
      <c r="CI89" s="1">
        <f t="shared" si="125"/>
        <v>0</v>
      </c>
      <c r="CJ89" s="1" t="str">
        <f ca="1">IF(B89="","",IF(SUM(AI89:AK89)&gt;0,"+SP","")&amp;IF(CI89&gt;0,"+KK","")&amp;IF(AB89&gt;0,"+KGP1","")&amp;IF(AC89&gt;0,"+KGP2","")&amp;IF(AG89&lt;0,"-KGP1","")&amp;IF(AH89&lt;0,"-KGP2",""))</f>
        <v/>
      </c>
    </row>
    <row r="90" spans="1:88" x14ac:dyDescent="0.25">
      <c r="A90" s="1">
        <f>IFERROR(IF(ROW(A89)=1,1,IF(1+A89&lt;=$CP$1*$CP$2,1+A89,"")),"")</f>
        <v>89</v>
      </c>
      <c r="B90" s="1">
        <f>IF($I90="","",IF(ROW(B89)=1,1,ROUNDUP(A90/$CP$2,0)))</f>
        <v>5</v>
      </c>
      <c r="C90" s="4">
        <f t="shared" si="71"/>
        <v>45627</v>
      </c>
      <c r="D90" s="4" t="str">
        <f t="shared" si="65"/>
        <v>Kupittaan keilahalli</v>
      </c>
      <c r="E90" s="1">
        <f>IF($B90="","",COUNTIF($B$2:B90,B90))</f>
        <v>17</v>
      </c>
      <c r="F90" s="1" t="str">
        <f t="shared" si="66"/>
        <v>K2024GP05</v>
      </c>
      <c r="G90" s="1" t="str">
        <f t="shared" si="72"/>
        <v>K2024GP05_17</v>
      </c>
      <c r="H90" s="1">
        <f t="shared" si="73"/>
        <v>1</v>
      </c>
      <c r="I90" s="3" t="s">
        <v>135</v>
      </c>
      <c r="J90" s="3"/>
      <c r="K90" s="3"/>
      <c r="L90" s="1">
        <f t="shared" si="74"/>
        <v>0</v>
      </c>
      <c r="M90" s="1">
        <f t="shared" si="75"/>
        <v>0</v>
      </c>
      <c r="N90" s="1" t="str">
        <f t="shared" si="76"/>
        <v/>
      </c>
      <c r="O90" s="1" t="str">
        <f t="shared" si="77"/>
        <v/>
      </c>
      <c r="P90" s="1" t="str">
        <f t="shared" si="78"/>
        <v/>
      </c>
      <c r="Q90" s="1">
        <f t="array" ref="Q90">IF($B90="","",IF(MAX(IF(B90=$B$2:$B$313,$L$2:$L$313))-L90=0,"",MAX(IF(B90=$B$2:$B$313,$L$2:$L$313))-L90))</f>
        <v>333</v>
      </c>
      <c r="R90" s="1">
        <f t="array" ref="R90">IF($B90="","",SUMPRODUCT(--($B$2:$B$313=B90),--(L90&lt;$L$2:$L$313))+1)</f>
        <v>13</v>
      </c>
      <c r="S90" s="1">
        <f t="shared" si="79"/>
        <v>0</v>
      </c>
      <c r="T90" s="1" t="str" cm="1">
        <f t="array" ref="T90">IF($B90="","",IF(M90=0,"",SUMPRODUCT(--($B$2:$B$313=B90),--(J90&lt;$J$2:$J$313))+1))</f>
        <v/>
      </c>
      <c r="U90" s="1" t="str">
        <f t="shared" si="80"/>
        <v/>
      </c>
      <c r="V90" s="1" t="str">
        <f t="shared" si="81"/>
        <v>0513</v>
      </c>
      <c r="W90" s="1">
        <f t="shared" si="82"/>
        <v>6</v>
      </c>
      <c r="X90" s="1">
        <f t="shared" si="67"/>
        <v>0</v>
      </c>
      <c r="Y90" s="1">
        <f>IF($B90="","",MAX(_xlfn.MAXIFS($J$2:J90,$I$2:I90,$I90),_xlfn.MAXIFS($K$2:K90,$I$2:I90,$I90)))</f>
        <v>129</v>
      </c>
      <c r="Z90" s="1">
        <f t="shared" si="83"/>
        <v>184</v>
      </c>
      <c r="AA90" s="1">
        <f t="shared" si="84"/>
        <v>0</v>
      </c>
      <c r="AB90" s="1">
        <f t="shared" si="85"/>
        <v>0</v>
      </c>
      <c r="AC90" s="1">
        <f t="shared" si="86"/>
        <v>0</v>
      </c>
      <c r="AD90" s="1">
        <f>IF($B90="","",MIN(_xlfn.MINIFS($J$2:J90,$I$2:I90,$I90),_xlfn.MINIFS($K$2:K90,$I$2:I90,$I90)))</f>
        <v>101</v>
      </c>
      <c r="AE90" s="1">
        <f t="shared" si="87"/>
        <v>120</v>
      </c>
      <c r="AF90" s="1">
        <f t="shared" si="88"/>
        <v>0</v>
      </c>
      <c r="AG90" s="1">
        <f t="shared" si="89"/>
        <v>0</v>
      </c>
      <c r="AH90" s="1">
        <f t="shared" si="90"/>
        <v>0</v>
      </c>
      <c r="AI90" s="1">
        <f ca="1">IF($B90="","",IF($K90="",0,OFFSET($CO$17,R90,W90)))</f>
        <v>0</v>
      </c>
      <c r="AJ90" s="1">
        <f t="shared" ca="1" si="91"/>
        <v>0</v>
      </c>
      <c r="AK90" s="1">
        <f ca="1">IF(AJ90="","",IF(AJ90=0,0,IF(W90=1,0,SUM(OFFSET($CO$17,N90,1):OFFSET($CO$17,N90+W90-2,1))/W90)))</f>
        <v>0</v>
      </c>
      <c r="AL90" s="1">
        <f t="shared" si="92"/>
        <v>0</v>
      </c>
      <c r="AM90" s="1">
        <f ca="1">IF($B90="","",SUMIFS($AL$2:AL90,$I$2:I90,$I90))</f>
        <v>6</v>
      </c>
      <c r="AN90" s="1">
        <f t="shared" si="93"/>
        <v>13.000088999999999</v>
      </c>
      <c r="AO90" s="1">
        <f>IFERROR(IF($B90="","",AVERAGEIFS($L$2:L90,$I$2:I90,I90,$L$2:L90,"&lt;&gt;0")),0)</f>
        <v>226.5</v>
      </c>
      <c r="AP90" s="1">
        <f t="shared" si="94"/>
        <v>113.25</v>
      </c>
      <c r="AQ90" s="1">
        <f>IF($B90="","",COUNTIFS($R$2:R90,1,$I$2:I90,$I90))</f>
        <v>0</v>
      </c>
      <c r="AR90" s="1">
        <f t="array" aca="1" ref="AR90" ca="1">IF($B90="","",SUMPRODUCT(--($B$2:$B$313=B90),--(AM90&lt;$AM$2:$AM$313))+1)</f>
        <v>14</v>
      </c>
      <c r="AS90" s="1">
        <f t="array" ref="AS90">IF($B90="","",SUMPRODUCT(--($B$2:$B$313=B90),--(AP90&lt;$AP$2:$AP$313))+1)</f>
        <v>16</v>
      </c>
      <c r="AT90" s="1">
        <f t="array" ref="AT90">IF($B90="","",SUMPRODUCT(--($B$2:$B$313=B90),--(AQ90&lt;$AQ$2:$AQ$313))+1)</f>
        <v>6</v>
      </c>
      <c r="AU90" s="1">
        <f t="shared" si="95"/>
        <v>8.9000000000000003E-8</v>
      </c>
      <c r="AV90" s="1">
        <f t="shared" ca="1" si="96"/>
        <v>0.14160608900000002</v>
      </c>
      <c r="AW90" s="1" t="str">
        <f t="shared" si="68"/>
        <v/>
      </c>
      <c r="AX90" s="1" t="str">
        <f t="shared" si="97"/>
        <v/>
      </c>
      <c r="AY90" s="8">
        <f t="shared" ca="1" si="98"/>
        <v>0.14160608900000002</v>
      </c>
      <c r="AZ90" s="1" cm="1">
        <f t="array" aca="1" ref="AZ90" ca="1">IF($B90="","",SUMPRODUCT(--($B$2:$B$313=B90),--(AY90&gt;$AY$2:$AY$313))+1)</f>
        <v>15</v>
      </c>
      <c r="BA90" s="1" t="str">
        <f t="shared" si="99"/>
        <v>K2024GP05_17_1</v>
      </c>
      <c r="BB90" s="1" t="str">
        <f t="shared" si="100"/>
        <v>K2024GP05_17_2</v>
      </c>
      <c r="BC90" s="1">
        <f t="shared" si="101"/>
        <v>0</v>
      </c>
      <c r="BD90" s="1">
        <f t="shared" si="102"/>
        <v>0</v>
      </c>
      <c r="BE90" s="1">
        <f t="shared" si="103"/>
        <v>1</v>
      </c>
      <c r="BF90" s="1">
        <f t="shared" si="104"/>
        <v>0</v>
      </c>
      <c r="BG90" s="1">
        <f t="shared" si="105"/>
        <v>0</v>
      </c>
      <c r="BH90" s="1">
        <f t="shared" si="106"/>
        <v>13</v>
      </c>
      <c r="BI90" s="1">
        <f t="shared" si="107"/>
        <v>13</v>
      </c>
      <c r="BJ90" s="1">
        <f t="shared" si="108"/>
        <v>0.1313</v>
      </c>
      <c r="BK90" s="1" t="str">
        <f t="shared" si="109"/>
        <v/>
      </c>
      <c r="BL90" s="1">
        <f t="shared" si="110"/>
        <v>9.8999999999999994E-5</v>
      </c>
      <c r="BM90" s="1">
        <f t="shared" si="111"/>
        <v>0.131408</v>
      </c>
      <c r="BN90" s="1" t="str">
        <f t="shared" si="112"/>
        <v/>
      </c>
      <c r="BO90" s="1">
        <f t="shared" si="69"/>
        <v>17</v>
      </c>
      <c r="BP90" s="1">
        <f t="shared" si="70"/>
        <v>0</v>
      </c>
      <c r="BQ90" s="1" t="str" cm="1">
        <f t="array" ref="BQ90">IF(I90="","",IF(BP90=1,"",IF(L90=0,"",IF(B90=1,"",_xlfn.XLOOKUP(1,($I$2:$I$313=$I90)*($B$2:$B$313=($B90-1)),$BO$2:$BO$313)))))</f>
        <v/>
      </c>
      <c r="BR90" s="1">
        <f>IF(I90="","",IF($B90=1,_xlfn.MINIFS($BO$2:$BO$313,$B$2:$B$313,$B90),_xlfn.MINIFS(BQ$2:$BQ$313,$B$2:$B$313,$B90)))</f>
        <v>1</v>
      </c>
      <c r="BS90" s="1">
        <f t="shared" si="113"/>
        <v>2</v>
      </c>
      <c r="BT90" s="1" t="str" cm="1">
        <f t="array" ref="BT90">IF($I90="","",IF($B90=1,_xlfn.XLOOKUP(1,($B$2:$B$313=$B90)*($BO$2:$BO$313=BR90),Data!$I$2:$I$313,,0),_xlfn.XLOOKUP(1,($B$2:$B$313=$B90)*($BQ$2:$BQ$313=$BR90),$I$2:$I$313,,0)))</f>
        <v>Jami Kallio</v>
      </c>
      <c r="BU90" s="1" t="str" cm="1">
        <f t="array" ref="BU90">IF(I90="","",IF($B90=1,_xlfn.XLOOKUP(1,($B$2:$B$313=$B90)*($BO$2:$BO$313=$BS90),$I$2:$I$313,,0),_xlfn.XLOOKUP(1,($B$2:$B$313=$B90)*($BQ$2:$BQ$313=$BS90),$I$2:$I$313,,0)))</f>
        <v>Niko Reunanen</v>
      </c>
      <c r="BV90" s="1" t="str" cm="1">
        <f t="array" ref="BV90">IF($I90="","",IF($B90=1,"",IF($B90=2,_xlfn.XLOOKUP(1,($B$2:$B$313=1)*($BO$2:$BO$313=1),$I$2:$I$313,,0),_xlfn.XLOOKUP($B90-1,$B$2:$B$313,$CH$2:$CH$313,,0))))</f>
        <v>Miika Nordblad</v>
      </c>
      <c r="BW90" s="1" t="str" cm="1">
        <f t="array" ref="BW90">IF($I90="","",IF($B90=1,"",IF(_xlfn.XLOOKUP(1,($B$2:$B$313=$B90)*($I$2:$I$313=$BV90),$BQ$2:$BQ$313,,0)="","NOK","OK")))</f>
        <v>OK</v>
      </c>
      <c r="BX90" s="1" t="str">
        <f t="shared" si="114"/>
        <v>Miika Nordblad</v>
      </c>
      <c r="BY90" s="1" t="str">
        <f t="shared" si="115"/>
        <v>Jami Kallio</v>
      </c>
      <c r="BZ90" s="1">
        <f t="shared" si="116"/>
        <v>184</v>
      </c>
      <c r="CA90" s="1">
        <f t="shared" si="117"/>
        <v>149</v>
      </c>
      <c r="CB90" s="1">
        <f t="shared" si="118"/>
        <v>9.8999999999999994E-5</v>
      </c>
      <c r="CC90" s="1">
        <f t="shared" si="119"/>
        <v>174</v>
      </c>
      <c r="CD90" s="1">
        <f t="shared" si="120"/>
        <v>131</v>
      </c>
      <c r="CE90" s="1">
        <f t="shared" si="121"/>
        <v>9.8999999999999994E-5</v>
      </c>
      <c r="CF90" s="1" t="str">
        <f t="shared" si="122"/>
        <v>Miika Nordblad (P)</v>
      </c>
      <c r="CG90" s="1" t="str">
        <f t="shared" si="123"/>
        <v>Jami Kallio (1)</v>
      </c>
      <c r="CH90" s="1" t="str">
        <f t="shared" si="124"/>
        <v>Miika Nordblad</v>
      </c>
      <c r="CI90" s="1">
        <f t="shared" si="125"/>
        <v>0</v>
      </c>
      <c r="CJ90" s="1" t="str">
        <f ca="1">IF(B90="","",IF(SUM(AI90:AK90)&gt;0,"+SP","")&amp;IF(CI90&gt;0,"+KK","")&amp;IF(AB90&gt;0,"+KGP1","")&amp;IF(AC90&gt;0,"+KGP2","")&amp;IF(AG90&lt;0,"-KGP1","")&amp;IF(AH90&lt;0,"-KGP2",""))</f>
        <v/>
      </c>
    </row>
    <row r="91" spans="1:88" x14ac:dyDescent="0.25">
      <c r="A91" s="1">
        <f>IFERROR(IF(ROW(A90)=1,1,IF(1+A90&lt;=$CP$1*$CP$2,1+A90,"")),"")</f>
        <v>90</v>
      </c>
      <c r="B91" s="1">
        <f>IF($I91="","",IF(ROW(B90)=1,1,ROUNDUP(A91/$CP$2,0)))</f>
        <v>5</v>
      </c>
      <c r="C91" s="4">
        <f t="shared" si="71"/>
        <v>45627</v>
      </c>
      <c r="D91" s="4" t="str">
        <f t="shared" si="65"/>
        <v>Kupittaan keilahalli</v>
      </c>
      <c r="E91" s="1">
        <f>IF($B91="","",COUNTIF($B$2:B91,B91))</f>
        <v>18</v>
      </c>
      <c r="F91" s="1" t="str">
        <f t="shared" si="66"/>
        <v>K2024GP05</v>
      </c>
      <c r="G91" s="1" t="str">
        <f t="shared" si="72"/>
        <v>K2024GP05_18</v>
      </c>
      <c r="H91" s="1">
        <f t="shared" si="73"/>
        <v>1</v>
      </c>
      <c r="I91" s="3" t="s">
        <v>130</v>
      </c>
      <c r="J91" s="3"/>
      <c r="K91" s="3"/>
      <c r="L91" s="1">
        <f t="shared" si="74"/>
        <v>0</v>
      </c>
      <c r="M91" s="1">
        <f t="shared" si="75"/>
        <v>0</v>
      </c>
      <c r="N91" s="1" t="str">
        <f t="shared" si="76"/>
        <v/>
      </c>
      <c r="O91" s="1" t="str">
        <f t="shared" si="77"/>
        <v/>
      </c>
      <c r="P91" s="1" t="str">
        <f t="shared" si="78"/>
        <v/>
      </c>
      <c r="Q91" s="1">
        <f t="array" ref="Q91">IF($B91="","",IF(MAX(IF(B91=$B$2:$B$313,$L$2:$L$313))-L91=0,"",MAX(IF(B91=$B$2:$B$313,$L$2:$L$313))-L91))</f>
        <v>333</v>
      </c>
      <c r="R91" s="1">
        <f t="array" ref="R91">IF($B91="","",SUMPRODUCT(--($B$2:$B$313=B91),--(L91&lt;$L$2:$L$313))+1)</f>
        <v>13</v>
      </c>
      <c r="S91" s="1">
        <f t="shared" si="79"/>
        <v>0</v>
      </c>
      <c r="T91" s="1" t="str" cm="1">
        <f t="array" ref="T91">IF($B91="","",IF(M91=0,"",SUMPRODUCT(--($B$2:$B$313=B91),--(J91&lt;$J$2:$J$313))+1))</f>
        <v/>
      </c>
      <c r="U91" s="1" t="str">
        <f t="shared" si="80"/>
        <v/>
      </c>
      <c r="V91" s="1" t="str">
        <f t="shared" si="81"/>
        <v>0513</v>
      </c>
      <c r="W91" s="1">
        <f t="shared" si="82"/>
        <v>6</v>
      </c>
      <c r="X91" s="1">
        <f t="shared" si="67"/>
        <v>0</v>
      </c>
      <c r="Y91" s="1">
        <f>IF($B91="","",MAX(_xlfn.MAXIFS($J$2:J91,$I$2:I91,$I91),_xlfn.MAXIFS($K$2:K91,$I$2:I91,$I91)))</f>
        <v>187</v>
      </c>
      <c r="Z91" s="1">
        <f t="shared" si="83"/>
        <v>184</v>
      </c>
      <c r="AA91" s="1">
        <f t="shared" si="84"/>
        <v>0</v>
      </c>
      <c r="AB91" s="1">
        <f t="shared" si="85"/>
        <v>0</v>
      </c>
      <c r="AC91" s="1">
        <f t="shared" si="86"/>
        <v>0</v>
      </c>
      <c r="AD91" s="1">
        <f>IF($B91="","",MIN(_xlfn.MINIFS($J$2:J91,$I$2:I91,$I91),_xlfn.MINIFS($K$2:K91,$I$2:I91,$I91)))</f>
        <v>111</v>
      </c>
      <c r="AE91" s="1">
        <f t="shared" si="87"/>
        <v>120</v>
      </c>
      <c r="AF91" s="1">
        <f t="shared" si="88"/>
        <v>0</v>
      </c>
      <c r="AG91" s="1">
        <f t="shared" si="89"/>
        <v>0</v>
      </c>
      <c r="AH91" s="1">
        <f t="shared" si="90"/>
        <v>0</v>
      </c>
      <c r="AI91" s="1">
        <f ca="1">IF($B91="","",IF($K91="",0,OFFSET($CO$17,R91,W91)))</f>
        <v>0</v>
      </c>
      <c r="AJ91" s="1">
        <f t="shared" ca="1" si="91"/>
        <v>0</v>
      </c>
      <c r="AK91" s="1">
        <f ca="1">IF(AJ91="","",IF(AJ91=0,0,IF(W91=1,0,SUM(OFFSET($CO$17,N91,1):OFFSET($CO$17,N91+W91-2,1))/W91)))</f>
        <v>0</v>
      </c>
      <c r="AL91" s="1">
        <f t="shared" si="92"/>
        <v>0</v>
      </c>
      <c r="AM91" s="1">
        <f ca="1">IF($B91="","",SUMIFS($AL$2:AL91,$I$2:I91,$I91))</f>
        <v>18.5</v>
      </c>
      <c r="AN91" s="1">
        <f t="shared" si="93"/>
        <v>13.00009</v>
      </c>
      <c r="AO91" s="1">
        <f>IFERROR(IF($B91="","",AVERAGEIFS($L$2:L91,$I$2:I91,I91,$L$2:L91,"&lt;&gt;0")),0)</f>
        <v>287</v>
      </c>
      <c r="AP91" s="1">
        <f t="shared" si="94"/>
        <v>143.5</v>
      </c>
      <c r="AQ91" s="1">
        <f>IF($B91="","",COUNTIFS($R$2:R91,1,$I$2:I91,$I91))</f>
        <v>1</v>
      </c>
      <c r="AR91" s="1">
        <f t="array" aca="1" ref="AR91" ca="1">IF($B91="","",SUMPRODUCT(--($B$2:$B$313=B91),--(AM91&lt;$AM$2:$AM$313))+1)</f>
        <v>8</v>
      </c>
      <c r="AS91" s="1">
        <f t="array" ref="AS91">IF($B91="","",SUMPRODUCT(--($B$2:$B$313=B91),--(AP91&lt;$AP$2:$AP$313))+1)</f>
        <v>5</v>
      </c>
      <c r="AT91" s="1">
        <f t="array" ref="AT91">IF($B91="","",SUMPRODUCT(--($B$2:$B$313=B91),--(AQ91&lt;$AQ$2:$AQ$313))+1)</f>
        <v>2</v>
      </c>
      <c r="AU91" s="1">
        <f t="shared" si="95"/>
        <v>8.9999999999999999E-8</v>
      </c>
      <c r="AV91" s="1">
        <f t="shared" ca="1" si="96"/>
        <v>8.0502089999999998E-2</v>
      </c>
      <c r="AW91" s="1" t="str">
        <f t="shared" si="68"/>
        <v/>
      </c>
      <c r="AX91" s="1" t="str">
        <f t="shared" si="97"/>
        <v/>
      </c>
      <c r="AY91" s="8">
        <f t="shared" ca="1" si="98"/>
        <v>8.0502089999999998E-2</v>
      </c>
      <c r="AZ91" s="1" cm="1">
        <f t="array" aca="1" ref="AZ91" ca="1">IF($B91="","",SUMPRODUCT(--($B$2:$B$313=B91),--(AY91&gt;$AY$2:$AY$313))+1)</f>
        <v>8</v>
      </c>
      <c r="BA91" s="1" t="str">
        <f t="shared" si="99"/>
        <v>K2024GP05_18_1</v>
      </c>
      <c r="BB91" s="1" t="str">
        <f t="shared" si="100"/>
        <v>K2024GP05_18_2</v>
      </c>
      <c r="BC91" s="1">
        <f t="shared" si="101"/>
        <v>0</v>
      </c>
      <c r="BD91" s="1">
        <f t="shared" si="102"/>
        <v>0</v>
      </c>
      <c r="BE91" s="1">
        <f t="shared" si="103"/>
        <v>1</v>
      </c>
      <c r="BF91" s="1">
        <f t="shared" si="104"/>
        <v>0</v>
      </c>
      <c r="BG91" s="1">
        <f t="shared" si="105"/>
        <v>0</v>
      </c>
      <c r="BH91" s="1">
        <f t="shared" si="106"/>
        <v>13</v>
      </c>
      <c r="BI91" s="1">
        <f t="shared" si="107"/>
        <v>13</v>
      </c>
      <c r="BJ91" s="1">
        <f t="shared" si="108"/>
        <v>0.1313</v>
      </c>
      <c r="BK91" s="1" t="str">
        <f t="shared" si="109"/>
        <v/>
      </c>
      <c r="BL91" s="1">
        <f t="shared" si="110"/>
        <v>9.8999999999999994E-5</v>
      </c>
      <c r="BM91" s="1">
        <f t="shared" si="111"/>
        <v>0.1314081</v>
      </c>
      <c r="BN91" s="1" t="str">
        <f t="shared" si="112"/>
        <v/>
      </c>
      <c r="BO91" s="1">
        <f t="shared" si="69"/>
        <v>18</v>
      </c>
      <c r="BP91" s="1">
        <f t="shared" si="70"/>
        <v>0</v>
      </c>
      <c r="BQ91" s="1" t="str" cm="1">
        <f t="array" ref="BQ91">IF(I91="","",IF(BP91=1,"",IF(L91=0,"",IF(B91=1,"",_xlfn.XLOOKUP(1,($I$2:$I$313=$I91)*($B$2:$B$313=($B91-1)),$BO$2:$BO$313)))))</f>
        <v/>
      </c>
      <c r="BR91" s="1">
        <f>IF(I91="","",IF($B91=1,_xlfn.MINIFS($BO$2:$BO$313,$B$2:$B$313,$B91),_xlfn.MINIFS(BQ$2:$BQ$313,$B$2:$B$313,$B91)))</f>
        <v>1</v>
      </c>
      <c r="BS91" s="1">
        <f t="shared" si="113"/>
        <v>2</v>
      </c>
      <c r="BT91" s="1" t="str" cm="1">
        <f t="array" ref="BT91">IF($I91="","",IF($B91=1,_xlfn.XLOOKUP(1,($B$2:$B$313=$B91)*($BO$2:$BO$313=BR91),Data!$I$2:$I$313,,0),_xlfn.XLOOKUP(1,($B$2:$B$313=$B91)*($BQ$2:$BQ$313=$BR91),$I$2:$I$313,,0)))</f>
        <v>Jami Kallio</v>
      </c>
      <c r="BU91" s="1" t="str" cm="1">
        <f t="array" ref="BU91">IF(I91="","",IF($B91=1,_xlfn.XLOOKUP(1,($B$2:$B$313=$B91)*($BO$2:$BO$313=$BS91),$I$2:$I$313,,0),_xlfn.XLOOKUP(1,($B$2:$B$313=$B91)*($BQ$2:$BQ$313=$BS91),$I$2:$I$313,,0)))</f>
        <v>Niko Reunanen</v>
      </c>
      <c r="BV91" s="1" t="str" cm="1">
        <f t="array" ref="BV91">IF($I91="","",IF($B91=1,"",IF($B91=2,_xlfn.XLOOKUP(1,($B$2:$B$313=1)*($BO$2:$BO$313=1),$I$2:$I$313,,0),_xlfn.XLOOKUP($B91-1,$B$2:$B$313,$CH$2:$CH$313,,0))))</f>
        <v>Miika Nordblad</v>
      </c>
      <c r="BW91" s="1" t="str" cm="1">
        <f t="array" ref="BW91">IF($I91="","",IF($B91=1,"",IF(_xlfn.XLOOKUP(1,($B$2:$B$313=$B91)*($I$2:$I$313=$BV91),$BQ$2:$BQ$313,,0)="","NOK","OK")))</f>
        <v>OK</v>
      </c>
      <c r="BX91" s="1" t="str">
        <f t="shared" si="114"/>
        <v>Miika Nordblad</v>
      </c>
      <c r="BY91" s="1" t="str">
        <f t="shared" si="115"/>
        <v>Jami Kallio</v>
      </c>
      <c r="BZ91" s="1">
        <f t="shared" si="116"/>
        <v>184</v>
      </c>
      <c r="CA91" s="1">
        <f t="shared" si="117"/>
        <v>149</v>
      </c>
      <c r="CB91" s="1">
        <f t="shared" si="118"/>
        <v>9.8999999999999994E-5</v>
      </c>
      <c r="CC91" s="1">
        <f t="shared" si="119"/>
        <v>174</v>
      </c>
      <c r="CD91" s="1">
        <f t="shared" si="120"/>
        <v>131</v>
      </c>
      <c r="CE91" s="1">
        <f t="shared" si="121"/>
        <v>9.8999999999999994E-5</v>
      </c>
      <c r="CF91" s="1" t="str">
        <f t="shared" si="122"/>
        <v>Miika Nordblad (P)</v>
      </c>
      <c r="CG91" s="1" t="str">
        <f t="shared" si="123"/>
        <v>Jami Kallio (1)</v>
      </c>
      <c r="CH91" s="1" t="str">
        <f t="shared" si="124"/>
        <v>Miika Nordblad</v>
      </c>
      <c r="CI91" s="1">
        <f t="shared" si="125"/>
        <v>0</v>
      </c>
      <c r="CJ91" s="1" t="str">
        <f ca="1">IF(B91="","",IF(SUM(AI91:AK91)&gt;0,"+SP","")&amp;IF(CI91&gt;0,"+KK","")&amp;IF(AB91&gt;0,"+KGP1","")&amp;IF(AC91&gt;0,"+KGP2","")&amp;IF(AG91&lt;0,"-KGP1","")&amp;IF(AH91&lt;0,"-KGP2",""))</f>
        <v/>
      </c>
    </row>
    <row r="92" spans="1:88" x14ac:dyDescent="0.25">
      <c r="A92" s="1">
        <f>IFERROR(IF(ROW(A91)=1,1,IF(1+A91&lt;=$CP$1*$CP$2,1+A91,"")),"")</f>
        <v>91</v>
      </c>
      <c r="B92" s="1">
        <f>IF($I92="","",IF(ROW(B91)=1,1,ROUNDUP(A92/$CP$2,0)))</f>
        <v>6</v>
      </c>
      <c r="C92" s="4">
        <f t="shared" si="71"/>
        <v>45640</v>
      </c>
      <c r="D92" s="4" t="str">
        <f t="shared" si="65"/>
        <v>Aninkaisten keilahalli *</v>
      </c>
      <c r="E92" s="1">
        <f>IF($B92="","",COUNTIF($B$2:B92,B92))</f>
        <v>1</v>
      </c>
      <c r="F92" s="1" t="str">
        <f t="shared" si="66"/>
        <v>K2024GP06</v>
      </c>
      <c r="G92" s="1" t="str">
        <f t="shared" si="72"/>
        <v>K2024GP06_1</v>
      </c>
      <c r="H92" s="1">
        <f t="shared" si="73"/>
        <v>1</v>
      </c>
      <c r="I92" s="3" t="s">
        <v>126</v>
      </c>
      <c r="J92" s="3">
        <v>117</v>
      </c>
      <c r="K92" s="3">
        <v>124</v>
      </c>
      <c r="L92" s="1">
        <f t="shared" si="74"/>
        <v>241</v>
      </c>
      <c r="M92" s="1">
        <f t="shared" si="75"/>
        <v>1</v>
      </c>
      <c r="N92" s="1">
        <f t="shared" si="76"/>
        <v>10</v>
      </c>
      <c r="O92" s="1">
        <f t="shared" si="77"/>
        <v>241</v>
      </c>
      <c r="P92" s="1">
        <f t="shared" si="78"/>
        <v>109</v>
      </c>
      <c r="Q92" s="1">
        <f t="array" ref="Q92">IF($B92="","",IF(MAX(IF(B92=$B$2:$B$313,$L$2:$L$313))-L92=0,"",MAX(IF(B92=$B$2:$B$313,$L$2:$L$313))-L92))</f>
        <v>109</v>
      </c>
      <c r="R92" s="1">
        <f t="array" ref="R92">IF($B92="","",SUMPRODUCT(--($B$2:$B$313=B92),--(L92&lt;$L$2:$L$313))+1)</f>
        <v>10</v>
      </c>
      <c r="S92" s="1">
        <f t="shared" si="79"/>
        <v>2</v>
      </c>
      <c r="T92" s="1" cm="1">
        <f t="array" ref="T92">IF($B92="","",IF(M92=0,"",SUMPRODUCT(--($B$2:$B$313=B92),--(J92&lt;$J$2:$J$313))+1))</f>
        <v>7</v>
      </c>
      <c r="U92" s="1">
        <f t="shared" si="80"/>
        <v>3</v>
      </c>
      <c r="V92" s="1" t="str">
        <f t="shared" si="81"/>
        <v>0610</v>
      </c>
      <c r="W92" s="1">
        <f t="shared" si="82"/>
        <v>1</v>
      </c>
      <c r="X92" s="1">
        <f t="shared" si="67"/>
        <v>1</v>
      </c>
      <c r="Y92" s="1">
        <f>IF($B92="","",MAX(_xlfn.MAXIFS($J$2:J92,$I$2:I92,$I92),_xlfn.MAXIFS($K$2:K92,$I$2:I92,$I92)))</f>
        <v>142</v>
      </c>
      <c r="Z92" s="1">
        <f t="shared" si="83"/>
        <v>204</v>
      </c>
      <c r="AA92" s="1">
        <f t="shared" si="84"/>
        <v>0</v>
      </c>
      <c r="AB92" s="1">
        <f t="shared" si="85"/>
        <v>0</v>
      </c>
      <c r="AC92" s="1">
        <f t="shared" si="86"/>
        <v>0</v>
      </c>
      <c r="AD92" s="1">
        <f>IF($B92="","",MIN(_xlfn.MINIFS($J$2:J92,$I$2:I92,$I92),_xlfn.MINIFS($K$2:K92,$I$2:I92,$I92)))</f>
        <v>95</v>
      </c>
      <c r="AE92" s="1">
        <f t="shared" si="87"/>
        <v>59</v>
      </c>
      <c r="AF92" s="1">
        <f t="shared" si="88"/>
        <v>0</v>
      </c>
      <c r="AG92" s="1">
        <f t="shared" si="89"/>
        <v>0</v>
      </c>
      <c r="AH92" s="1">
        <f t="shared" si="90"/>
        <v>0</v>
      </c>
      <c r="AI92" s="1">
        <f ca="1">IF($B92="","",IF($K92="",0,OFFSET($CO$17,R92,W92)))</f>
        <v>1</v>
      </c>
      <c r="AJ92" s="1">
        <f t="shared" ca="1" si="91"/>
        <v>0</v>
      </c>
      <c r="AK92" s="1">
        <f ca="1">IF(AJ92="","",IF(AJ92=0,0,IF(W92=1,0,SUM(OFFSET($CO$17,N92,1):OFFSET($CO$17,N92+W92-2,1))/W92)))</f>
        <v>0</v>
      </c>
      <c r="AL92" s="1">
        <f t="shared" ca="1" si="92"/>
        <v>1</v>
      </c>
      <c r="AM92" s="1">
        <f ca="1">IF($B92="","",SUMIFS($AL$2:AL92,$I$2:I92,$I92))</f>
        <v>1</v>
      </c>
      <c r="AN92" s="1">
        <f t="shared" si="93"/>
        <v>10.000090999999999</v>
      </c>
      <c r="AO92" s="1">
        <f>IFERROR(IF($B92="","",AVERAGEIFS($L$2:L92,$I$2:I92,I92,$L$2:L92,"&lt;&gt;0")),0)</f>
        <v>239.5</v>
      </c>
      <c r="AP92" s="1">
        <f t="shared" si="94"/>
        <v>119.75</v>
      </c>
      <c r="AQ92" s="1">
        <f>IF($B92="","",COUNTIFS($R$2:R92,1,$I$2:I92,$I92))</f>
        <v>0</v>
      </c>
      <c r="AR92" s="1">
        <f t="array" aca="1" ref="AR92" ca="1">IF($B92="","",SUMPRODUCT(--($B$2:$B$313=B92),--(AM92&lt;$AM$2:$AM$313))+1)</f>
        <v>17</v>
      </c>
      <c r="AS92" s="1">
        <f t="array" ref="AS92">IF($B92="","",SUMPRODUCT(--($B$2:$B$313=B92),--(AP92&lt;$AP$2:$AP$313))+1)</f>
        <v>15</v>
      </c>
      <c r="AT92" s="1">
        <f t="array" ref="AT92">IF($B92="","",SUMPRODUCT(--($B$2:$B$313=B92),--(AQ92&lt;$AQ$2:$AQ$313))+1)</f>
        <v>6</v>
      </c>
      <c r="AU92" s="1">
        <f t="shared" si="95"/>
        <v>9.0999999999999994E-8</v>
      </c>
      <c r="AV92" s="1">
        <f t="shared" ca="1" si="96"/>
        <v>0.17150609100000003</v>
      </c>
      <c r="AW92" s="1" t="str">
        <f t="shared" si="68"/>
        <v/>
      </c>
      <c r="AX92" s="1" t="str">
        <f t="shared" si="97"/>
        <v/>
      </c>
      <c r="AY92" s="8">
        <f t="shared" ca="1" si="98"/>
        <v>0.17150609100000003</v>
      </c>
      <c r="AZ92" s="1" cm="1">
        <f t="array" aca="1" ref="AZ92" ca="1">IF($B92="","",SUMPRODUCT(--($B$2:$B$313=B92),--(AY92&gt;$AY$2:$AY$313))+1)</f>
        <v>17</v>
      </c>
      <c r="BA92" s="1" t="str">
        <f t="shared" si="99"/>
        <v>K2024GP06_1_1</v>
      </c>
      <c r="BB92" s="1" t="str">
        <f t="shared" si="100"/>
        <v>K2024GP06_1_2</v>
      </c>
      <c r="BC92" s="1">
        <f t="shared" si="101"/>
        <v>0</v>
      </c>
      <c r="BD92" s="1">
        <f t="shared" si="102"/>
        <v>0</v>
      </c>
      <c r="BE92" s="1">
        <f t="shared" si="103"/>
        <v>1</v>
      </c>
      <c r="BF92" s="1">
        <f t="shared" si="104"/>
        <v>124</v>
      </c>
      <c r="BG92" s="1">
        <f t="shared" si="105"/>
        <v>117</v>
      </c>
      <c r="BH92" s="1">
        <f t="shared" si="106"/>
        <v>13</v>
      </c>
      <c r="BI92" s="1">
        <f t="shared" si="107"/>
        <v>7</v>
      </c>
      <c r="BJ92" s="1">
        <f t="shared" si="108"/>
        <v>0.13070000000000001</v>
      </c>
      <c r="BK92" s="1">
        <f t="shared" si="109"/>
        <v>0</v>
      </c>
      <c r="BL92" s="1">
        <f t="shared" si="110"/>
        <v>9.8999999999999994E-5</v>
      </c>
      <c r="BM92" s="1">
        <f t="shared" si="111"/>
        <v>0.130799</v>
      </c>
      <c r="BN92" s="1">
        <f t="shared" si="112"/>
        <v>0</v>
      </c>
      <c r="BO92" s="1">
        <f t="shared" si="69"/>
        <v>13</v>
      </c>
      <c r="BP92" s="1">
        <f t="shared" si="70"/>
        <v>0</v>
      </c>
      <c r="BQ92" s="1" cm="1">
        <f t="array" ref="BQ92">IF(I92="","",IF(BP92=1,"",IF(L92=0,"",IF(B92=1,"",_xlfn.XLOOKUP(1,($I$2:$I$313=$I92)*($B$2:$B$313=($B92-1)),$BO$2:$BO$313)))))</f>
        <v>10</v>
      </c>
      <c r="BR92" s="1">
        <f>IF(I92="","",IF($B92=1,_xlfn.MINIFS($BO$2:$BO$313,$B$2:$B$313,$B92),_xlfn.MINIFS(BQ$2:$BQ$313,$B$2:$B$313,$B92)))</f>
        <v>3</v>
      </c>
      <c r="BS92" s="1">
        <f t="shared" si="113"/>
        <v>4</v>
      </c>
      <c r="BT92" s="1" t="str" cm="1">
        <f t="array" ref="BT92">IF($I92="","",IF($B92=1,_xlfn.XLOOKUP(1,($B$2:$B$313=$B92)*($BO$2:$BO$313=BR92),Data!$I$2:$I$313,,0),_xlfn.XLOOKUP(1,($B$2:$B$313=$B92)*($BQ$2:$BQ$313=$BR92),$I$2:$I$313,,0)))</f>
        <v>Jami Kallio</v>
      </c>
      <c r="BU92" s="1" t="str" cm="1">
        <f t="array" ref="BU92">IF(I92="","",IF($B92=1,_xlfn.XLOOKUP(1,($B$2:$B$313=$B92)*($BO$2:$BO$313=$BS92),$I$2:$I$313,,0),_xlfn.XLOOKUP(1,($B$2:$B$313=$B92)*($BQ$2:$BQ$313=$BS92),$I$2:$I$313,,0)))</f>
        <v>Asko Haaksi</v>
      </c>
      <c r="BV92" s="1" t="str" cm="1">
        <f t="array" ref="BV92">IF($I92="","",IF($B92=1,"",IF($B92=2,_xlfn.XLOOKUP(1,($B$2:$B$313=1)*($BO$2:$BO$313=1),$I$2:$I$313,,0),_xlfn.XLOOKUP($B92-1,$B$2:$B$313,$CH$2:$CH$313,,0))))</f>
        <v>Miika Nordblad</v>
      </c>
      <c r="BW92" s="1" t="str" cm="1">
        <f t="array" ref="BW92">IF($I92="","",IF($B92=1,"",IF(_xlfn.XLOOKUP(1,($B$2:$B$313=$B92)*($I$2:$I$313=$BV92),$BQ$2:$BQ$313,,0)="","NOK","OK")))</f>
        <v>NOK</v>
      </c>
      <c r="BX92" s="1" t="str">
        <f t="shared" si="114"/>
        <v>Jami Kallio</v>
      </c>
      <c r="BY92" s="1" t="str">
        <f t="shared" si="115"/>
        <v>Asko Haaksi</v>
      </c>
      <c r="BZ92" s="1">
        <f t="shared" si="116"/>
        <v>164</v>
      </c>
      <c r="CA92" s="1">
        <f t="shared" si="117"/>
        <v>149</v>
      </c>
      <c r="CB92" s="1">
        <f t="shared" si="118"/>
        <v>9.8999999999999994E-5</v>
      </c>
      <c r="CC92" s="1">
        <f t="shared" si="119"/>
        <v>127</v>
      </c>
      <c r="CD92" s="1">
        <f t="shared" si="120"/>
        <v>97</v>
      </c>
      <c r="CE92" s="1">
        <f t="shared" si="121"/>
        <v>9.8999999999999994E-5</v>
      </c>
      <c r="CF92" s="1" t="str">
        <f t="shared" si="122"/>
        <v>Jami Kallio (3)</v>
      </c>
      <c r="CG92" s="1" t="str">
        <f t="shared" si="123"/>
        <v>Asko Haaksi (4)</v>
      </c>
      <c r="CH92" s="1" t="str">
        <f t="shared" si="124"/>
        <v>Jami Kallio</v>
      </c>
      <c r="CI92" s="1">
        <f t="shared" si="125"/>
        <v>0</v>
      </c>
      <c r="CJ92" s="1" t="str">
        <f ca="1">IF(B92="","",IF(SUM(AI92:AK92)&gt;0,"+SP","")&amp;IF(CI92&gt;0,"+KK","")&amp;IF(AB92&gt;0,"+KGP1","")&amp;IF(AC92&gt;0,"+KGP2","")&amp;IF(AG92&lt;0,"-KGP1","")&amp;IF(AH92&lt;0,"-KGP2",""))</f>
        <v>+SP</v>
      </c>
    </row>
    <row r="93" spans="1:88" x14ac:dyDescent="0.25">
      <c r="A93" s="1">
        <f>IFERROR(IF(ROW(A92)=1,1,IF(1+A92&lt;=$CP$1*$CP$2,1+A92,"")),"")</f>
        <v>92</v>
      </c>
      <c r="B93" s="1">
        <f>IF($I93="","",IF(ROW(B92)=1,1,ROUNDUP(A93/$CP$2,0)))</f>
        <v>6</v>
      </c>
      <c r="C93" s="4">
        <f t="shared" si="71"/>
        <v>45640</v>
      </c>
      <c r="D93" s="4" t="str">
        <f t="shared" si="65"/>
        <v>Aninkaisten keilahalli *</v>
      </c>
      <c r="E93" s="1">
        <f>IF($B93="","",COUNTIF($B$2:B93,B93))</f>
        <v>2</v>
      </c>
      <c r="F93" s="1" t="str">
        <f t="shared" si="66"/>
        <v>K2024GP06</v>
      </c>
      <c r="G93" s="1" t="str">
        <f t="shared" si="72"/>
        <v>K2024GP06_2</v>
      </c>
      <c r="H93" s="1">
        <f t="shared" si="73"/>
        <v>1</v>
      </c>
      <c r="I93" s="3" t="s">
        <v>138</v>
      </c>
      <c r="J93" s="3">
        <v>165</v>
      </c>
      <c r="K93" s="3">
        <v>124</v>
      </c>
      <c r="L93" s="1">
        <f t="shared" si="74"/>
        <v>289</v>
      </c>
      <c r="M93" s="1">
        <f t="shared" si="75"/>
        <v>1</v>
      </c>
      <c r="N93" s="1">
        <f t="shared" si="76"/>
        <v>6</v>
      </c>
      <c r="O93" s="1">
        <f t="shared" si="77"/>
        <v>289</v>
      </c>
      <c r="P93" s="1">
        <f t="shared" si="78"/>
        <v>61</v>
      </c>
      <c r="Q93" s="1">
        <f t="array" ref="Q93">IF($B93="","",IF(MAX(IF(B93=$B$2:$B$313,$L$2:$L$313))-L93=0,"",MAX(IF(B93=$B$2:$B$313,$L$2:$L$313))-L93))</f>
        <v>61</v>
      </c>
      <c r="R93" s="1">
        <f t="array" ref="R93">IF($B93="","",SUMPRODUCT(--($B$2:$B$313=B93),--(L93&lt;$L$2:$L$313))+1)</f>
        <v>6</v>
      </c>
      <c r="S93" s="1">
        <f t="shared" si="79"/>
        <v>2</v>
      </c>
      <c r="T93" s="1" cm="1">
        <f t="array" ref="T93">IF($B93="","",IF(M93=0,"",SUMPRODUCT(--($B$2:$B$313=B93),--(J93&lt;$J$2:$J$313))+1))</f>
        <v>1</v>
      </c>
      <c r="U93" s="1">
        <f t="shared" si="80"/>
        <v>5</v>
      </c>
      <c r="V93" s="1" t="str">
        <f t="shared" si="81"/>
        <v>0606</v>
      </c>
      <c r="W93" s="1">
        <f t="shared" si="82"/>
        <v>1</v>
      </c>
      <c r="X93" s="1">
        <f t="shared" si="67"/>
        <v>1</v>
      </c>
      <c r="Y93" s="1">
        <f>IF($B93="","",MAX(_xlfn.MAXIFS($J$2:J93,$I$2:I93,$I93),_xlfn.MAXIFS($K$2:K93,$I$2:I93,$I93)))</f>
        <v>178</v>
      </c>
      <c r="Z93" s="1">
        <f t="shared" si="83"/>
        <v>204</v>
      </c>
      <c r="AA93" s="1">
        <f t="shared" si="84"/>
        <v>0</v>
      </c>
      <c r="AB93" s="1">
        <f t="shared" si="85"/>
        <v>0</v>
      </c>
      <c r="AC93" s="1">
        <f t="shared" si="86"/>
        <v>0</v>
      </c>
      <c r="AD93" s="1">
        <f>IF($B93="","",MIN(_xlfn.MINIFS($J$2:J93,$I$2:I93,$I93),_xlfn.MINIFS($K$2:K93,$I$2:I93,$I93)))</f>
        <v>87</v>
      </c>
      <c r="AE93" s="1">
        <f t="shared" si="87"/>
        <v>59</v>
      </c>
      <c r="AF93" s="1">
        <f t="shared" si="88"/>
        <v>0</v>
      </c>
      <c r="AG93" s="1">
        <f t="shared" si="89"/>
        <v>0</v>
      </c>
      <c r="AH93" s="1">
        <f t="shared" si="90"/>
        <v>0</v>
      </c>
      <c r="AI93" s="1">
        <f ca="1">IF($B93="","",IF($K93="",0,OFFSET($CO$17,R93,W93)))</f>
        <v>5</v>
      </c>
      <c r="AJ93" s="1">
        <f t="shared" ca="1" si="91"/>
        <v>0</v>
      </c>
      <c r="AK93" s="1">
        <f ca="1">IF(AJ93="","",IF(AJ93=0,0,IF(W93=1,0,SUM(OFFSET($CO$17,N93,1):OFFSET($CO$17,N93+W93-2,1))/W93)))</f>
        <v>0</v>
      </c>
      <c r="AL93" s="1">
        <f t="shared" ca="1" si="92"/>
        <v>5</v>
      </c>
      <c r="AM93" s="1">
        <f ca="1">IF($B93="","",SUMIFS($AL$2:AL93,$I$2:I93,$I93))</f>
        <v>24</v>
      </c>
      <c r="AN93" s="1">
        <f t="shared" si="93"/>
        <v>6.0000920000000004</v>
      </c>
      <c r="AO93" s="1">
        <f>IFERROR(IF($B93="","",AVERAGEIFS($L$2:L93,$I$2:I93,I93,$L$2:L93,"&lt;&gt;0")),0)</f>
        <v>268.2</v>
      </c>
      <c r="AP93" s="1">
        <f t="shared" si="94"/>
        <v>134.1</v>
      </c>
      <c r="AQ93" s="1">
        <f>IF($B93="","",COUNTIFS($R$2:R93,1,$I$2:I93,$I93))</f>
        <v>0</v>
      </c>
      <c r="AR93" s="1">
        <f t="array" aca="1" ref="AR93" ca="1">IF($B93="","",SUMPRODUCT(--($B$2:$B$313=B93),--(AM93&lt;$AM$2:$AM$313))+1)</f>
        <v>6</v>
      </c>
      <c r="AS93" s="1">
        <f t="array" ref="AS93">IF($B93="","",SUMPRODUCT(--($B$2:$B$313=B93),--(AP93&lt;$AP$2:$AP$313))+1)</f>
        <v>9</v>
      </c>
      <c r="AT93" s="1">
        <f t="array" ref="AT93">IF($B93="","",SUMPRODUCT(--($B$2:$B$313=B93),--(AQ93&lt;$AQ$2:$AQ$313))+1)</f>
        <v>6</v>
      </c>
      <c r="AU93" s="1">
        <f t="shared" si="95"/>
        <v>9.2000000000000003E-8</v>
      </c>
      <c r="AV93" s="1">
        <f t="shared" ca="1" si="96"/>
        <v>6.0906091999999995E-2</v>
      </c>
      <c r="AW93" s="1" t="str">
        <f t="shared" si="68"/>
        <v/>
      </c>
      <c r="AX93" s="1" t="str">
        <f t="shared" si="97"/>
        <v/>
      </c>
      <c r="AY93" s="8">
        <f t="shared" ca="1" si="98"/>
        <v>6.0906091999999995E-2</v>
      </c>
      <c r="AZ93" s="1" cm="1">
        <f t="array" aca="1" ref="AZ93" ca="1">IF($B93="","",SUMPRODUCT(--($B$2:$B$313=B93),--(AY93&gt;$AY$2:$AY$313))+1)</f>
        <v>6</v>
      </c>
      <c r="BA93" s="1" t="str">
        <f t="shared" si="99"/>
        <v>K2024GP06_2_1</v>
      </c>
      <c r="BB93" s="1" t="str">
        <f t="shared" si="100"/>
        <v>K2024GP06_2_2</v>
      </c>
      <c r="BC93" s="1">
        <f t="shared" si="101"/>
        <v>0</v>
      </c>
      <c r="BD93" s="1">
        <f t="shared" si="102"/>
        <v>0</v>
      </c>
      <c r="BE93" s="1">
        <f t="shared" si="103"/>
        <v>1</v>
      </c>
      <c r="BF93" s="1">
        <f t="shared" si="104"/>
        <v>165</v>
      </c>
      <c r="BG93" s="1">
        <f t="shared" si="105"/>
        <v>124</v>
      </c>
      <c r="BH93" s="1">
        <f t="shared" si="106"/>
        <v>4</v>
      </c>
      <c r="BI93" s="1">
        <f t="shared" si="107"/>
        <v>5</v>
      </c>
      <c r="BJ93" s="1">
        <f t="shared" si="108"/>
        <v>4.0500000000000001E-2</v>
      </c>
      <c r="BK93" s="1">
        <f t="shared" si="109"/>
        <v>0</v>
      </c>
      <c r="BL93" s="1">
        <f t="shared" si="110"/>
        <v>9.8999999999999994E-5</v>
      </c>
      <c r="BM93" s="1">
        <f t="shared" si="111"/>
        <v>4.0599000000000003E-2</v>
      </c>
      <c r="BN93" s="1">
        <f t="shared" si="112"/>
        <v>0</v>
      </c>
      <c r="BO93" s="1">
        <f t="shared" si="69"/>
        <v>4</v>
      </c>
      <c r="BP93" s="1">
        <f t="shared" si="70"/>
        <v>0</v>
      </c>
      <c r="BQ93" s="1" cm="1">
        <f t="array" ref="BQ93">IF(I93="","",IF(BP93=1,"",IF(L93=0,"",IF(B93=1,"",_xlfn.XLOOKUP(1,($I$2:$I$313=$I93)*($B$2:$B$313=($B93-1)),$BO$2:$BO$313)))))</f>
        <v>12</v>
      </c>
      <c r="BR93" s="1">
        <f>IF(I93="","",IF($B93=1,_xlfn.MINIFS($BO$2:$BO$313,$B$2:$B$313,$B93),_xlfn.MINIFS(BQ$2:$BQ$313,$B$2:$B$313,$B93)))</f>
        <v>3</v>
      </c>
      <c r="BS93" s="1">
        <f t="shared" si="113"/>
        <v>4</v>
      </c>
      <c r="BT93" s="1" t="str" cm="1">
        <f t="array" ref="BT93">IF($I93="","",IF($B93=1,_xlfn.XLOOKUP(1,($B$2:$B$313=$B93)*($BO$2:$BO$313=BR93),Data!$I$2:$I$313,,0),_xlfn.XLOOKUP(1,($B$2:$B$313=$B93)*($BQ$2:$BQ$313=$BR93),$I$2:$I$313,,0)))</f>
        <v>Jami Kallio</v>
      </c>
      <c r="BU93" s="1" t="str" cm="1">
        <f t="array" ref="BU93">IF(I93="","",IF($B93=1,_xlfn.XLOOKUP(1,($B$2:$B$313=$B93)*($BO$2:$BO$313=$BS93),$I$2:$I$313,,0),_xlfn.XLOOKUP(1,($B$2:$B$313=$B93)*($BQ$2:$BQ$313=$BS93),$I$2:$I$313,,0)))</f>
        <v>Asko Haaksi</v>
      </c>
      <c r="BV93" s="1" t="str" cm="1">
        <f t="array" ref="BV93">IF($I93="","",IF($B93=1,"",IF($B93=2,_xlfn.XLOOKUP(1,($B$2:$B$313=1)*($BO$2:$BO$313=1),$I$2:$I$313,,0),_xlfn.XLOOKUP($B93-1,$B$2:$B$313,$CH$2:$CH$313,,0))))</f>
        <v>Miika Nordblad</v>
      </c>
      <c r="BW93" s="1" t="str" cm="1">
        <f t="array" ref="BW93">IF($I93="","",IF($B93=1,"",IF(_xlfn.XLOOKUP(1,($B$2:$B$313=$B93)*($I$2:$I$313=$BV93),$BQ$2:$BQ$313,,0)="","NOK","OK")))</f>
        <v>NOK</v>
      </c>
      <c r="BX93" s="1" t="str">
        <f t="shared" si="114"/>
        <v>Jami Kallio</v>
      </c>
      <c r="BY93" s="1" t="str">
        <f t="shared" si="115"/>
        <v>Asko Haaksi</v>
      </c>
      <c r="BZ93" s="1">
        <f t="shared" si="116"/>
        <v>164</v>
      </c>
      <c r="CA93" s="1">
        <f t="shared" si="117"/>
        <v>149</v>
      </c>
      <c r="CB93" s="1">
        <f t="shared" si="118"/>
        <v>9.8999999999999994E-5</v>
      </c>
      <c r="CC93" s="1">
        <f t="shared" si="119"/>
        <v>127</v>
      </c>
      <c r="CD93" s="1">
        <f t="shared" si="120"/>
        <v>97</v>
      </c>
      <c r="CE93" s="1">
        <f t="shared" si="121"/>
        <v>9.8999999999999994E-5</v>
      </c>
      <c r="CF93" s="1" t="str">
        <f t="shared" si="122"/>
        <v>Jami Kallio (3)</v>
      </c>
      <c r="CG93" s="1" t="str">
        <f t="shared" si="123"/>
        <v>Asko Haaksi (4)</v>
      </c>
      <c r="CH93" s="1" t="str">
        <f t="shared" si="124"/>
        <v>Jami Kallio</v>
      </c>
      <c r="CI93" s="1">
        <f t="shared" si="125"/>
        <v>0</v>
      </c>
      <c r="CJ93" s="1" t="str">
        <f ca="1">IF(B93="","",IF(SUM(AI93:AK93)&gt;0,"+SP","")&amp;IF(CI93&gt;0,"+KK","")&amp;IF(AB93&gt;0,"+KGP1","")&amp;IF(AC93&gt;0,"+KGP2","")&amp;IF(AG93&lt;0,"-KGP1","")&amp;IF(AH93&lt;0,"-KGP2",""))</f>
        <v>+SP</v>
      </c>
    </row>
    <row r="94" spans="1:88" x14ac:dyDescent="0.25">
      <c r="A94" s="1">
        <f>IFERROR(IF(ROW(A93)=1,1,IF(1+A93&lt;=$CP$1*$CP$2,1+A93,"")),"")</f>
        <v>93</v>
      </c>
      <c r="B94" s="1">
        <f>IF($I94="","",IF(ROW(B93)=1,1,ROUNDUP(A94/$CP$2,0)))</f>
        <v>6</v>
      </c>
      <c r="C94" s="4">
        <f t="shared" si="71"/>
        <v>45640</v>
      </c>
      <c r="D94" s="4" t="str">
        <f t="shared" si="65"/>
        <v>Aninkaisten keilahalli *</v>
      </c>
      <c r="E94" s="1">
        <f>IF($B94="","",COUNTIF($B$2:B94,B94))</f>
        <v>3</v>
      </c>
      <c r="F94" s="1" t="str">
        <f t="shared" si="66"/>
        <v>K2024GP06</v>
      </c>
      <c r="G94" s="1" t="str">
        <f t="shared" si="72"/>
        <v>K2024GP06_3</v>
      </c>
      <c r="H94" s="1">
        <f t="shared" si="73"/>
        <v>1</v>
      </c>
      <c r="I94" s="3" t="s">
        <v>131</v>
      </c>
      <c r="J94" s="3">
        <v>151</v>
      </c>
      <c r="K94" s="3">
        <v>147</v>
      </c>
      <c r="L94" s="1">
        <f t="shared" si="74"/>
        <v>298</v>
      </c>
      <c r="M94" s="1">
        <f t="shared" si="75"/>
        <v>1</v>
      </c>
      <c r="N94" s="1">
        <f t="shared" si="76"/>
        <v>4</v>
      </c>
      <c r="O94" s="1">
        <f t="shared" si="77"/>
        <v>298</v>
      </c>
      <c r="P94" s="1">
        <f t="shared" si="78"/>
        <v>52</v>
      </c>
      <c r="Q94" s="1">
        <f t="array" ref="Q94">IF($B94="","",IF(MAX(IF(B94=$B$2:$B$313,$L$2:$L$313))-L94=0,"",MAX(IF(B94=$B$2:$B$313,$L$2:$L$313))-L94))</f>
        <v>52</v>
      </c>
      <c r="R94" s="1">
        <f t="array" ref="R94">IF($B94="","",SUMPRODUCT(--($B$2:$B$313=B94),--(L94&lt;$L$2:$L$313))+1)</f>
        <v>4</v>
      </c>
      <c r="S94" s="1">
        <f t="shared" si="79"/>
        <v>2</v>
      </c>
      <c r="T94" s="1" cm="1">
        <f t="array" ref="T94">IF($B94="","",IF(M94=0,"",SUMPRODUCT(--($B$2:$B$313=B94),--(J94&lt;$J$2:$J$313))+1))</f>
        <v>3</v>
      </c>
      <c r="U94" s="1">
        <f t="shared" si="80"/>
        <v>1</v>
      </c>
      <c r="V94" s="1" t="str">
        <f t="shared" si="81"/>
        <v>0604</v>
      </c>
      <c r="W94" s="1">
        <f t="shared" si="82"/>
        <v>1</v>
      </c>
      <c r="X94" s="1">
        <f t="shared" si="67"/>
        <v>1</v>
      </c>
      <c r="Y94" s="1">
        <f>IF($B94="","",MAX(_xlfn.MAXIFS($J$2:J94,$I$2:I94,$I94),_xlfn.MAXIFS($K$2:K94,$I$2:I94,$I94)))</f>
        <v>170</v>
      </c>
      <c r="Z94" s="1">
        <f t="shared" si="83"/>
        <v>204</v>
      </c>
      <c r="AA94" s="1">
        <f t="shared" si="84"/>
        <v>0</v>
      </c>
      <c r="AB94" s="1">
        <f t="shared" si="85"/>
        <v>0</v>
      </c>
      <c r="AC94" s="1">
        <f t="shared" si="86"/>
        <v>0</v>
      </c>
      <c r="AD94" s="1">
        <f>IF($B94="","",MIN(_xlfn.MINIFS($J$2:J94,$I$2:I94,$I94),_xlfn.MINIFS($K$2:K94,$I$2:I94,$I94)))</f>
        <v>102</v>
      </c>
      <c r="AE94" s="1">
        <f t="shared" si="87"/>
        <v>59</v>
      </c>
      <c r="AF94" s="1">
        <f t="shared" si="88"/>
        <v>0</v>
      </c>
      <c r="AG94" s="1">
        <f t="shared" si="89"/>
        <v>0</v>
      </c>
      <c r="AH94" s="1">
        <f t="shared" si="90"/>
        <v>0</v>
      </c>
      <c r="AI94" s="1">
        <f ca="1">IF($B94="","",IF($K94="",0,OFFSET($CO$17,R94,W94)))</f>
        <v>7</v>
      </c>
      <c r="AJ94" s="1">
        <f t="shared" ca="1" si="91"/>
        <v>0</v>
      </c>
      <c r="AK94" s="1">
        <f ca="1">IF(AJ94="","",IF(AJ94=0,0,IF(W94=1,0,SUM(OFFSET($CO$17,N94,1):OFFSET($CO$17,N94+W94-2,1))/W94)))</f>
        <v>0</v>
      </c>
      <c r="AL94" s="1">
        <f t="shared" ca="1" si="92"/>
        <v>7</v>
      </c>
      <c r="AM94" s="1">
        <f ca="1">IF($B94="","",SUMIFS($AL$2:AL94,$I$2:I94,$I94))</f>
        <v>35</v>
      </c>
      <c r="AN94" s="1">
        <f t="shared" si="93"/>
        <v>4.0000929999999997</v>
      </c>
      <c r="AO94" s="1">
        <f>IFERROR(IF($B94="","",AVERAGEIFS($L$2:L94,$I$2:I94,I94,$L$2:L94,"&lt;&gt;0")),0)</f>
        <v>280.83333333333331</v>
      </c>
      <c r="AP94" s="1">
        <f t="shared" si="94"/>
        <v>140.41666666666666</v>
      </c>
      <c r="AQ94" s="1">
        <f>IF($B94="","",COUNTIFS($R$2:R94,1,$I$2:I94,$I94))</f>
        <v>0</v>
      </c>
      <c r="AR94" s="1">
        <f t="array" aca="1" ref="AR94" ca="1">IF($B94="","",SUMPRODUCT(--($B$2:$B$313=B94),--(AM94&lt;$AM$2:$AM$313))+1)</f>
        <v>3</v>
      </c>
      <c r="AS94" s="1">
        <f t="array" ref="AS94">IF($B94="","",SUMPRODUCT(--($B$2:$B$313=B94),--(AP94&lt;$AP$2:$AP$313))+1)</f>
        <v>6</v>
      </c>
      <c r="AT94" s="1">
        <f t="array" ref="AT94">IF($B94="","",SUMPRODUCT(--($B$2:$B$313=B94),--(AQ94&lt;$AQ$2:$AQ$313))+1)</f>
        <v>6</v>
      </c>
      <c r="AU94" s="1">
        <f t="shared" si="95"/>
        <v>9.2999999999999999E-8</v>
      </c>
      <c r="AV94" s="1">
        <f t="shared" ca="1" si="96"/>
        <v>3.0606092999999997E-2</v>
      </c>
      <c r="AW94" s="1" t="str">
        <f t="shared" si="68"/>
        <v/>
      </c>
      <c r="AX94" s="1" t="str">
        <f t="shared" si="97"/>
        <v/>
      </c>
      <c r="AY94" s="8">
        <f t="shared" ca="1" si="98"/>
        <v>3.0606092999999997E-2</v>
      </c>
      <c r="AZ94" s="1" cm="1">
        <f t="array" aca="1" ref="AZ94" ca="1">IF($B94="","",SUMPRODUCT(--($B$2:$B$313=B94),--(AY94&gt;$AY$2:$AY$313))+1)</f>
        <v>3</v>
      </c>
      <c r="BA94" s="1" t="str">
        <f t="shared" si="99"/>
        <v>K2024GP06_3_1</v>
      </c>
      <c r="BB94" s="1" t="str">
        <f t="shared" si="100"/>
        <v>K2024GP06_3_2</v>
      </c>
      <c r="BC94" s="1">
        <f t="shared" si="101"/>
        <v>0</v>
      </c>
      <c r="BD94" s="1">
        <f t="shared" si="102"/>
        <v>0</v>
      </c>
      <c r="BE94" s="1">
        <f t="shared" si="103"/>
        <v>1</v>
      </c>
      <c r="BF94" s="1">
        <f t="shared" si="104"/>
        <v>151</v>
      </c>
      <c r="BG94" s="1">
        <f t="shared" si="105"/>
        <v>147</v>
      </c>
      <c r="BH94" s="1">
        <f t="shared" si="106"/>
        <v>7</v>
      </c>
      <c r="BI94" s="1">
        <f t="shared" si="107"/>
        <v>2</v>
      </c>
      <c r="BJ94" s="1">
        <f t="shared" si="108"/>
        <v>7.0200000000000012E-2</v>
      </c>
      <c r="BK94" s="1">
        <f t="shared" si="109"/>
        <v>0</v>
      </c>
      <c r="BL94" s="1">
        <f t="shared" si="110"/>
        <v>9.8999999999999994E-5</v>
      </c>
      <c r="BM94" s="1">
        <f t="shared" si="111"/>
        <v>7.0299000000000014E-2</v>
      </c>
      <c r="BN94" s="1">
        <f t="shared" si="112"/>
        <v>0</v>
      </c>
      <c r="BO94" s="1">
        <f t="shared" si="69"/>
        <v>7</v>
      </c>
      <c r="BP94" s="1">
        <f t="shared" si="70"/>
        <v>0</v>
      </c>
      <c r="BQ94" s="1" cm="1">
        <f t="array" ref="BQ94">IF(I94="","",IF(BP94=1,"",IF(L94=0,"",IF(B94=1,"",_xlfn.XLOOKUP(1,($I$2:$I$313=$I94)*($B$2:$B$313=($B94-1)),$BO$2:$BO$313)))))</f>
        <v>6</v>
      </c>
      <c r="BR94" s="1">
        <f>IF(I94="","",IF($B94=1,_xlfn.MINIFS($BO$2:$BO$313,$B$2:$B$313,$B94),_xlfn.MINIFS(BQ$2:$BQ$313,$B$2:$B$313,$B94)))</f>
        <v>3</v>
      </c>
      <c r="BS94" s="1">
        <f t="shared" si="113"/>
        <v>4</v>
      </c>
      <c r="BT94" s="1" t="str" cm="1">
        <f t="array" ref="BT94">IF($I94="","",IF($B94=1,_xlfn.XLOOKUP(1,($B$2:$B$313=$B94)*($BO$2:$BO$313=BR94),Data!$I$2:$I$313,,0),_xlfn.XLOOKUP(1,($B$2:$B$313=$B94)*($BQ$2:$BQ$313=$BR94),$I$2:$I$313,,0)))</f>
        <v>Jami Kallio</v>
      </c>
      <c r="BU94" s="1" t="str" cm="1">
        <f t="array" ref="BU94">IF(I94="","",IF($B94=1,_xlfn.XLOOKUP(1,($B$2:$B$313=$B94)*($BO$2:$BO$313=$BS94),$I$2:$I$313,,0),_xlfn.XLOOKUP(1,($B$2:$B$313=$B94)*($BQ$2:$BQ$313=$BS94),$I$2:$I$313,,0)))</f>
        <v>Asko Haaksi</v>
      </c>
      <c r="BV94" s="1" t="str" cm="1">
        <f t="array" ref="BV94">IF($I94="","",IF($B94=1,"",IF($B94=2,_xlfn.XLOOKUP(1,($B$2:$B$313=1)*($BO$2:$BO$313=1),$I$2:$I$313,,0),_xlfn.XLOOKUP($B94-1,$B$2:$B$313,$CH$2:$CH$313,,0))))</f>
        <v>Miika Nordblad</v>
      </c>
      <c r="BW94" s="1" t="str" cm="1">
        <f t="array" ref="BW94">IF($I94="","",IF($B94=1,"",IF(_xlfn.XLOOKUP(1,($B$2:$B$313=$B94)*($I$2:$I$313=$BV94),$BQ$2:$BQ$313,,0)="","NOK","OK")))</f>
        <v>NOK</v>
      </c>
      <c r="BX94" s="1" t="str">
        <f t="shared" si="114"/>
        <v>Jami Kallio</v>
      </c>
      <c r="BY94" s="1" t="str">
        <f t="shared" si="115"/>
        <v>Asko Haaksi</v>
      </c>
      <c r="BZ94" s="1">
        <f t="shared" si="116"/>
        <v>164</v>
      </c>
      <c r="CA94" s="1">
        <f t="shared" si="117"/>
        <v>149</v>
      </c>
      <c r="CB94" s="1">
        <f t="shared" si="118"/>
        <v>9.8999999999999994E-5</v>
      </c>
      <c r="CC94" s="1">
        <f t="shared" si="119"/>
        <v>127</v>
      </c>
      <c r="CD94" s="1">
        <f t="shared" si="120"/>
        <v>97</v>
      </c>
      <c r="CE94" s="1">
        <f t="shared" si="121"/>
        <v>9.8999999999999994E-5</v>
      </c>
      <c r="CF94" s="1" t="str">
        <f t="shared" si="122"/>
        <v>Jami Kallio (3)</v>
      </c>
      <c r="CG94" s="1" t="str">
        <f t="shared" si="123"/>
        <v>Asko Haaksi (4)</v>
      </c>
      <c r="CH94" s="1" t="str">
        <f t="shared" si="124"/>
        <v>Jami Kallio</v>
      </c>
      <c r="CI94" s="1">
        <f t="shared" si="125"/>
        <v>0</v>
      </c>
      <c r="CJ94" s="1" t="str">
        <f ca="1">IF(B94="","",IF(SUM(AI94:AK94)&gt;0,"+SP","")&amp;IF(CI94&gt;0,"+KK","")&amp;IF(AB94&gt;0,"+KGP1","")&amp;IF(AC94&gt;0,"+KGP2","")&amp;IF(AG94&lt;0,"-KGP1","")&amp;IF(AH94&lt;0,"-KGP2",""))</f>
        <v>+SP</v>
      </c>
    </row>
    <row r="95" spans="1:88" x14ac:dyDescent="0.25">
      <c r="A95" s="1">
        <f>IFERROR(IF(ROW(A94)=1,1,IF(1+A94&lt;=$CP$1*$CP$2,1+A94,"")),"")</f>
        <v>94</v>
      </c>
      <c r="B95" s="1">
        <f>IF($I95="","",IF(ROW(B94)=1,1,ROUNDUP(A95/$CP$2,0)))</f>
        <v>6</v>
      </c>
      <c r="C95" s="4">
        <f t="shared" si="71"/>
        <v>45640</v>
      </c>
      <c r="D95" s="4" t="str">
        <f t="shared" si="65"/>
        <v>Aninkaisten keilahalli *</v>
      </c>
      <c r="E95" s="1">
        <f>IF($B95="","",COUNTIF($B$2:B95,B95))</f>
        <v>4</v>
      </c>
      <c r="F95" s="1" t="str">
        <f t="shared" si="66"/>
        <v>K2024GP06</v>
      </c>
      <c r="G95" s="1" t="str">
        <f t="shared" si="72"/>
        <v>K2024GP06_4</v>
      </c>
      <c r="H95" s="1">
        <f t="shared" si="73"/>
        <v>1</v>
      </c>
      <c r="I95" s="3" t="s">
        <v>141</v>
      </c>
      <c r="J95" s="3">
        <v>106</v>
      </c>
      <c r="K95" s="3">
        <v>184</v>
      </c>
      <c r="L95" s="1">
        <f t="shared" si="74"/>
        <v>290</v>
      </c>
      <c r="M95" s="1">
        <f t="shared" si="75"/>
        <v>1</v>
      </c>
      <c r="N95" s="1">
        <f t="shared" si="76"/>
        <v>5</v>
      </c>
      <c r="O95" s="1">
        <f t="shared" si="77"/>
        <v>290</v>
      </c>
      <c r="P95" s="1">
        <f t="shared" si="78"/>
        <v>60</v>
      </c>
      <c r="Q95" s="1">
        <f t="array" ref="Q95">IF($B95="","",IF(MAX(IF(B95=$B$2:$B$313,$L$2:$L$313))-L95=0,"",MAX(IF(B95=$B$2:$B$313,$L$2:$L$313))-L95))</f>
        <v>60</v>
      </c>
      <c r="R95" s="1">
        <f t="array" ref="R95">IF($B95="","",SUMPRODUCT(--($B$2:$B$313=B95),--(L95&lt;$L$2:$L$313))+1)</f>
        <v>5</v>
      </c>
      <c r="S95" s="1">
        <f t="shared" si="79"/>
        <v>2</v>
      </c>
      <c r="T95" s="1" cm="1">
        <f t="array" ref="T95">IF($B95="","",IF(M95=0,"",SUMPRODUCT(--($B$2:$B$313=B95),--(J95&lt;$J$2:$J$313))+1))</f>
        <v>10</v>
      </c>
      <c r="U95" s="1">
        <f t="shared" si="80"/>
        <v>-5</v>
      </c>
      <c r="V95" s="1" t="str">
        <f t="shared" si="81"/>
        <v>0605</v>
      </c>
      <c r="W95" s="1">
        <f t="shared" si="82"/>
        <v>1</v>
      </c>
      <c r="X95" s="1">
        <f t="shared" si="67"/>
        <v>1</v>
      </c>
      <c r="Y95" s="1">
        <f>IF($B95="","",MAX(_xlfn.MAXIFS($J$2:J95,$I$2:I95,$I95),_xlfn.MAXIFS($K$2:K95,$I$2:I95,$I95)))</f>
        <v>184</v>
      </c>
      <c r="Z95" s="1">
        <f t="shared" si="83"/>
        <v>204</v>
      </c>
      <c r="AA95" s="1">
        <f t="shared" si="84"/>
        <v>0</v>
      </c>
      <c r="AB95" s="1">
        <f t="shared" si="85"/>
        <v>0</v>
      </c>
      <c r="AC95" s="1">
        <f t="shared" si="86"/>
        <v>1</v>
      </c>
      <c r="AD95" s="1">
        <f>IF($B95="","",MIN(_xlfn.MINIFS($J$2:J95,$I$2:I95,$I95),_xlfn.MINIFS($K$2:K95,$I$2:I95,$I95)))</f>
        <v>102</v>
      </c>
      <c r="AE95" s="1">
        <f t="shared" si="87"/>
        <v>59</v>
      </c>
      <c r="AF95" s="1">
        <f t="shared" si="88"/>
        <v>0</v>
      </c>
      <c r="AG95" s="1">
        <f t="shared" si="89"/>
        <v>0</v>
      </c>
      <c r="AH95" s="1">
        <f t="shared" si="90"/>
        <v>0</v>
      </c>
      <c r="AI95" s="1">
        <f ca="1">IF($B95="","",IF($K95="",0,OFFSET($CO$17,R95,W95)))</f>
        <v>6</v>
      </c>
      <c r="AJ95" s="1">
        <f t="shared" ca="1" si="91"/>
        <v>0</v>
      </c>
      <c r="AK95" s="1">
        <f ca="1">IF(AJ95="","",IF(AJ95=0,0,IF(W95=1,0,SUM(OFFSET($CO$17,N95,1):OFFSET($CO$17,N95+W95-2,1))/W95)))</f>
        <v>0</v>
      </c>
      <c r="AL95" s="1">
        <f t="shared" ca="1" si="92"/>
        <v>7</v>
      </c>
      <c r="AM95" s="1">
        <f ca="1">IF($B95="","",SUMIFS($AL$2:AL95,$I$2:I95,$I95))</f>
        <v>15</v>
      </c>
      <c r="AN95" s="1">
        <f t="shared" si="93"/>
        <v>5.0000939999999998</v>
      </c>
      <c r="AO95" s="1">
        <f>IFERROR(IF($B95="","",AVERAGEIFS($L$2:L95,$I$2:I95,I95,$L$2:L95,"&lt;&gt;0")),0)</f>
        <v>259.8</v>
      </c>
      <c r="AP95" s="1">
        <f t="shared" si="94"/>
        <v>129.9</v>
      </c>
      <c r="AQ95" s="1">
        <f>IF($B95="","",COUNTIFS($R$2:R95,1,$I$2:I95,$I95))</f>
        <v>0</v>
      </c>
      <c r="AR95" s="1">
        <f t="array" aca="1" ref="AR95" ca="1">IF($B95="","",SUMPRODUCT(--($B$2:$B$313=B95),--(AM95&lt;$AM$2:$AM$313))+1)</f>
        <v>10</v>
      </c>
      <c r="AS95" s="1">
        <f t="array" ref="AS95">IF($B95="","",SUMPRODUCT(--($B$2:$B$313=B95),--(AP95&lt;$AP$2:$AP$313))+1)</f>
        <v>10</v>
      </c>
      <c r="AT95" s="1">
        <f t="array" ref="AT95">IF($B95="","",SUMPRODUCT(--($B$2:$B$313=B95),--(AQ95&lt;$AQ$2:$AQ$313))+1)</f>
        <v>6</v>
      </c>
      <c r="AU95" s="1">
        <f t="shared" si="95"/>
        <v>9.3999999999999995E-8</v>
      </c>
      <c r="AV95" s="1">
        <f t="shared" ca="1" si="96"/>
        <v>0.10100609400000002</v>
      </c>
      <c r="AW95" s="1" t="str">
        <f t="shared" si="68"/>
        <v/>
      </c>
      <c r="AX95" s="1" t="str">
        <f t="shared" si="97"/>
        <v/>
      </c>
      <c r="AY95" s="8">
        <f t="shared" ca="1" si="98"/>
        <v>0.10100609400000002</v>
      </c>
      <c r="AZ95" s="1" cm="1">
        <f t="array" aca="1" ref="AZ95" ca="1">IF($B95="","",SUMPRODUCT(--($B$2:$B$313=B95),--(AY95&gt;$AY$2:$AY$313))+1)</f>
        <v>10</v>
      </c>
      <c r="BA95" s="1" t="str">
        <f t="shared" si="99"/>
        <v>K2024GP06_4_1</v>
      </c>
      <c r="BB95" s="1" t="str">
        <f t="shared" si="100"/>
        <v>K2024GP06_4_2</v>
      </c>
      <c r="BC95" s="1">
        <f t="shared" si="101"/>
        <v>0</v>
      </c>
      <c r="BD95" s="1">
        <f t="shared" si="102"/>
        <v>0</v>
      </c>
      <c r="BE95" s="1">
        <f t="shared" si="103"/>
        <v>1</v>
      </c>
      <c r="BF95" s="1">
        <f t="shared" si="104"/>
        <v>184</v>
      </c>
      <c r="BG95" s="1">
        <f t="shared" si="105"/>
        <v>106</v>
      </c>
      <c r="BH95" s="1">
        <f t="shared" si="106"/>
        <v>2</v>
      </c>
      <c r="BI95" s="1">
        <f t="shared" si="107"/>
        <v>10</v>
      </c>
      <c r="BJ95" s="1">
        <f t="shared" si="108"/>
        <v>2.1000000000000001E-2</v>
      </c>
      <c r="BK95" s="1">
        <f t="shared" si="109"/>
        <v>0</v>
      </c>
      <c r="BL95" s="1">
        <f t="shared" si="110"/>
        <v>9.8999999999999994E-5</v>
      </c>
      <c r="BM95" s="1">
        <f t="shared" si="111"/>
        <v>2.1099E-2</v>
      </c>
      <c r="BN95" s="1">
        <f t="shared" si="112"/>
        <v>0</v>
      </c>
      <c r="BO95" s="1">
        <f t="shared" si="69"/>
        <v>2</v>
      </c>
      <c r="BP95" s="1">
        <f t="shared" si="70"/>
        <v>0</v>
      </c>
      <c r="BQ95" s="1" cm="1">
        <f t="array" ref="BQ95">IF(I95="","",IF(BP95=1,"",IF(L95=0,"",IF(B95=1,"",_xlfn.XLOOKUP(1,($I$2:$I$313=$I95)*($B$2:$B$313=($B95-1)),$BO$2:$BO$313)))))</f>
        <v>7</v>
      </c>
      <c r="BR95" s="1">
        <f>IF(I95="","",IF($B95=1,_xlfn.MINIFS($BO$2:$BO$313,$B$2:$B$313,$B95),_xlfn.MINIFS(BQ$2:$BQ$313,$B$2:$B$313,$B95)))</f>
        <v>3</v>
      </c>
      <c r="BS95" s="1">
        <f t="shared" si="113"/>
        <v>4</v>
      </c>
      <c r="BT95" s="1" t="str" cm="1">
        <f t="array" ref="BT95">IF($I95="","",IF($B95=1,_xlfn.XLOOKUP(1,($B$2:$B$313=$B95)*($BO$2:$BO$313=BR95),Data!$I$2:$I$313,,0),_xlfn.XLOOKUP(1,($B$2:$B$313=$B95)*($BQ$2:$BQ$313=$BR95),$I$2:$I$313,,0)))</f>
        <v>Jami Kallio</v>
      </c>
      <c r="BU95" s="1" t="str" cm="1">
        <f t="array" ref="BU95">IF(I95="","",IF($B95=1,_xlfn.XLOOKUP(1,($B$2:$B$313=$B95)*($BO$2:$BO$313=$BS95),$I$2:$I$313,,0),_xlfn.XLOOKUP(1,($B$2:$B$313=$B95)*($BQ$2:$BQ$313=$BS95),$I$2:$I$313,,0)))</f>
        <v>Asko Haaksi</v>
      </c>
      <c r="BV95" s="1" t="str" cm="1">
        <f t="array" ref="BV95">IF($I95="","",IF($B95=1,"",IF($B95=2,_xlfn.XLOOKUP(1,($B$2:$B$313=1)*($BO$2:$BO$313=1),$I$2:$I$313,,0),_xlfn.XLOOKUP($B95-1,$B$2:$B$313,$CH$2:$CH$313,,0))))</f>
        <v>Miika Nordblad</v>
      </c>
      <c r="BW95" s="1" t="str" cm="1">
        <f t="array" ref="BW95">IF($I95="","",IF($B95=1,"",IF(_xlfn.XLOOKUP(1,($B$2:$B$313=$B95)*($I$2:$I$313=$BV95),$BQ$2:$BQ$313,,0)="","NOK","OK")))</f>
        <v>NOK</v>
      </c>
      <c r="BX95" s="1" t="str">
        <f t="shared" si="114"/>
        <v>Jami Kallio</v>
      </c>
      <c r="BY95" s="1" t="str">
        <f t="shared" si="115"/>
        <v>Asko Haaksi</v>
      </c>
      <c r="BZ95" s="1">
        <f t="shared" si="116"/>
        <v>164</v>
      </c>
      <c r="CA95" s="1">
        <f t="shared" si="117"/>
        <v>149</v>
      </c>
      <c r="CB95" s="1">
        <f t="shared" si="118"/>
        <v>9.8999999999999994E-5</v>
      </c>
      <c r="CC95" s="1">
        <f t="shared" si="119"/>
        <v>127</v>
      </c>
      <c r="CD95" s="1">
        <f t="shared" si="120"/>
        <v>97</v>
      </c>
      <c r="CE95" s="1">
        <f t="shared" si="121"/>
        <v>9.8999999999999994E-5</v>
      </c>
      <c r="CF95" s="1" t="str">
        <f t="shared" si="122"/>
        <v>Jami Kallio (3)</v>
      </c>
      <c r="CG95" s="1" t="str">
        <f t="shared" si="123"/>
        <v>Asko Haaksi (4)</v>
      </c>
      <c r="CH95" s="1" t="str">
        <f t="shared" si="124"/>
        <v>Jami Kallio</v>
      </c>
      <c r="CI95" s="1">
        <f t="shared" si="125"/>
        <v>0</v>
      </c>
      <c r="CJ95" s="1" t="str">
        <f ca="1">IF(B95="","",IF(SUM(AI95:AK95)&gt;0,"+SP","")&amp;IF(CI95&gt;0,"+KK","")&amp;IF(AB95&gt;0,"+KGP1","")&amp;IF(AC95&gt;0,"+KGP2","")&amp;IF(AG95&lt;0,"-KGP1","")&amp;IF(AH95&lt;0,"-KGP2",""))</f>
        <v>+SP+KGP2</v>
      </c>
    </row>
    <row r="96" spans="1:88" x14ac:dyDescent="0.25">
      <c r="A96" s="1">
        <f>IFERROR(IF(ROW(A95)=1,1,IF(1+A95&lt;=$CP$1*$CP$2,1+A95,"")),"")</f>
        <v>95</v>
      </c>
      <c r="B96" s="1">
        <f>IF($I96="","",IF(ROW(B95)=1,1,ROUNDUP(A96/$CP$2,0)))</f>
        <v>6</v>
      </c>
      <c r="C96" s="4">
        <f t="shared" si="71"/>
        <v>45640</v>
      </c>
      <c r="D96" s="4" t="str">
        <f t="shared" si="65"/>
        <v>Aninkaisten keilahalli *</v>
      </c>
      <c r="E96" s="1">
        <f>IF($B96="","",COUNTIF($B$2:B96,B96))</f>
        <v>5</v>
      </c>
      <c r="F96" s="1" t="str">
        <f t="shared" si="66"/>
        <v>K2024GP06</v>
      </c>
      <c r="G96" s="1" t="str">
        <f t="shared" si="72"/>
        <v>K2024GP06_5</v>
      </c>
      <c r="H96" s="1">
        <f t="shared" si="73"/>
        <v>1</v>
      </c>
      <c r="I96" s="3" t="s">
        <v>134</v>
      </c>
      <c r="J96" s="3">
        <v>164</v>
      </c>
      <c r="K96" s="3">
        <v>149</v>
      </c>
      <c r="L96" s="1">
        <f t="shared" si="74"/>
        <v>313</v>
      </c>
      <c r="M96" s="1">
        <f t="shared" si="75"/>
        <v>1</v>
      </c>
      <c r="N96" s="1">
        <f t="shared" si="76"/>
        <v>2</v>
      </c>
      <c r="O96" s="1">
        <f t="shared" si="77"/>
        <v>313</v>
      </c>
      <c r="P96" s="1">
        <f t="shared" si="78"/>
        <v>37</v>
      </c>
      <c r="Q96" s="1">
        <f t="array" ref="Q96">IF($B96="","",IF(MAX(IF(B96=$B$2:$B$313,$L$2:$L$313))-L96=0,"",MAX(IF(B96=$B$2:$B$313,$L$2:$L$313))-L96))</f>
        <v>37</v>
      </c>
      <c r="R96" s="1">
        <f t="array" ref="R96">IF($B96="","",SUMPRODUCT(--($B$2:$B$313=B96),--(L96&lt;$L$2:$L$313))+1)</f>
        <v>2</v>
      </c>
      <c r="S96" s="1">
        <f t="shared" si="79"/>
        <v>2</v>
      </c>
      <c r="T96" s="1" cm="1">
        <f t="array" ref="T96">IF($B96="","",IF(M96=0,"",SUMPRODUCT(--($B$2:$B$313=B96),--(J96&lt;$J$2:$J$313))+1))</f>
        <v>2</v>
      </c>
      <c r="U96" s="1">
        <f t="shared" si="80"/>
        <v>0</v>
      </c>
      <c r="V96" s="1" t="str">
        <f t="shared" si="81"/>
        <v>0602</v>
      </c>
      <c r="W96" s="1">
        <f t="shared" si="82"/>
        <v>1</v>
      </c>
      <c r="X96" s="1">
        <f t="shared" si="67"/>
        <v>1</v>
      </c>
      <c r="Y96" s="1">
        <f>IF($B96="","",MAX(_xlfn.MAXIFS($J$2:J96,$I$2:I96,$I96),_xlfn.MAXIFS($K$2:K96,$I$2:I96,$I96)))</f>
        <v>196</v>
      </c>
      <c r="Z96" s="1">
        <f t="shared" si="83"/>
        <v>204</v>
      </c>
      <c r="AA96" s="1">
        <f t="shared" si="84"/>
        <v>0</v>
      </c>
      <c r="AB96" s="1">
        <f t="shared" si="85"/>
        <v>0</v>
      </c>
      <c r="AC96" s="1">
        <f t="shared" si="86"/>
        <v>0</v>
      </c>
      <c r="AD96" s="1">
        <f>IF($B96="","",MIN(_xlfn.MINIFS($J$2:J96,$I$2:I96,$I96),_xlfn.MINIFS($K$2:K96,$I$2:I96,$I96)))</f>
        <v>97</v>
      </c>
      <c r="AE96" s="1">
        <f t="shared" si="87"/>
        <v>59</v>
      </c>
      <c r="AF96" s="1">
        <f t="shared" si="88"/>
        <v>0</v>
      </c>
      <c r="AG96" s="1">
        <f t="shared" si="89"/>
        <v>0</v>
      </c>
      <c r="AH96" s="1">
        <f t="shared" si="90"/>
        <v>0</v>
      </c>
      <c r="AI96" s="1">
        <f ca="1">IF($B96="","",IF($K96="",0,OFFSET($CO$17,R96,W96)))</f>
        <v>10</v>
      </c>
      <c r="AJ96" s="1">
        <f t="shared" ca="1" si="91"/>
        <v>0</v>
      </c>
      <c r="AK96" s="1">
        <f ca="1">IF(AJ96="","",IF(AJ96=0,0,IF(W96=1,0,SUM(OFFSET($CO$17,N96,1):OFFSET($CO$17,N96+W96-2,1))/W96)))</f>
        <v>0</v>
      </c>
      <c r="AL96" s="1">
        <f t="shared" ca="1" si="92"/>
        <v>11</v>
      </c>
      <c r="AM96" s="1">
        <f ca="1">IF($B96="","",SUMIFS($AL$2:AL96,$I$2:I96,$I96))</f>
        <v>46</v>
      </c>
      <c r="AN96" s="1">
        <f t="shared" si="93"/>
        <v>2.000095</v>
      </c>
      <c r="AO96" s="1">
        <f>IFERROR(IF($B96="","",AVERAGEIFS($L$2:L96,$I$2:I96,I96,$L$2:L96,"&lt;&gt;0")),0)</f>
        <v>301.83333333333331</v>
      </c>
      <c r="AP96" s="1">
        <f t="shared" si="94"/>
        <v>150.91666666666666</v>
      </c>
      <c r="AQ96" s="1">
        <f>IF($B96="","",COUNTIFS($R$2:R96,1,$I$2:I96,$I96))</f>
        <v>1</v>
      </c>
      <c r="AR96" s="1">
        <f t="array" aca="1" ref="AR96" ca="1">IF($B96="","",SUMPRODUCT(--($B$2:$B$313=B96),--(AM96&lt;$AM$2:$AM$313))+1)</f>
        <v>1</v>
      </c>
      <c r="AS96" s="1">
        <f t="array" ref="AS96">IF($B96="","",SUMPRODUCT(--($B$2:$B$313=B96),--(AP96&lt;$AP$2:$AP$313))+1)</f>
        <v>4</v>
      </c>
      <c r="AT96" s="1">
        <f t="array" ref="AT96">IF($B96="","",SUMPRODUCT(--($B$2:$B$313=B96),--(AQ96&lt;$AQ$2:$AQ$313))+1)</f>
        <v>3</v>
      </c>
      <c r="AU96" s="1">
        <f t="shared" si="95"/>
        <v>9.5000000000000004E-8</v>
      </c>
      <c r="AV96" s="1">
        <f t="shared" ca="1" si="96"/>
        <v>1.0403094999999999E-2</v>
      </c>
      <c r="AW96" s="1" t="str">
        <f t="shared" si="68"/>
        <v/>
      </c>
      <c r="AX96" s="1" t="str">
        <f t="shared" si="97"/>
        <v/>
      </c>
      <c r="AY96" s="8">
        <f t="shared" ca="1" si="98"/>
        <v>1.0403094999999999E-2</v>
      </c>
      <c r="AZ96" s="1" cm="1">
        <f t="array" aca="1" ref="AZ96" ca="1">IF($B96="","",SUMPRODUCT(--($B$2:$B$313=B96),--(AY96&gt;$AY$2:$AY$313))+1)</f>
        <v>1</v>
      </c>
      <c r="BA96" s="1" t="str">
        <f t="shared" si="99"/>
        <v>K2024GP06_5_1</v>
      </c>
      <c r="BB96" s="1" t="str">
        <f t="shared" si="100"/>
        <v>K2024GP06_5_2</v>
      </c>
      <c r="BC96" s="1">
        <f t="shared" si="101"/>
        <v>0</v>
      </c>
      <c r="BD96" s="1">
        <f t="shared" si="102"/>
        <v>1</v>
      </c>
      <c r="BE96" s="1">
        <f t="shared" si="103"/>
        <v>1</v>
      </c>
      <c r="BF96" s="1">
        <f t="shared" si="104"/>
        <v>164</v>
      </c>
      <c r="BG96" s="1">
        <f t="shared" si="105"/>
        <v>149</v>
      </c>
      <c r="BH96" s="1">
        <f t="shared" si="106"/>
        <v>5</v>
      </c>
      <c r="BI96" s="1">
        <f t="shared" si="107"/>
        <v>1</v>
      </c>
      <c r="BJ96" s="1">
        <f t="shared" si="108"/>
        <v>5.0100000000000006E-2</v>
      </c>
      <c r="BK96" s="1">
        <f t="shared" si="109"/>
        <v>0</v>
      </c>
      <c r="BL96" s="1">
        <f t="shared" si="110"/>
        <v>9.8999999999999994E-5</v>
      </c>
      <c r="BM96" s="1">
        <f t="shared" si="111"/>
        <v>5.0199000000000008E-2</v>
      </c>
      <c r="BN96" s="1">
        <f t="shared" si="112"/>
        <v>0</v>
      </c>
      <c r="BO96" s="1">
        <f t="shared" si="69"/>
        <v>5</v>
      </c>
      <c r="BP96" s="1">
        <f t="shared" si="70"/>
        <v>0</v>
      </c>
      <c r="BQ96" s="1" cm="1">
        <f t="array" ref="BQ96">IF(I96="","",IF(BP96=1,"",IF(L96=0,"",IF(B96=1,"",_xlfn.XLOOKUP(1,($I$2:$I$313=$I96)*($B$2:$B$313=($B96-1)),$BO$2:$BO$313)))))</f>
        <v>3</v>
      </c>
      <c r="BR96" s="1">
        <f>IF(I96="","",IF($B96=1,_xlfn.MINIFS($BO$2:$BO$313,$B$2:$B$313,$B96),_xlfn.MINIFS(BQ$2:$BQ$313,$B$2:$B$313,$B96)))</f>
        <v>3</v>
      </c>
      <c r="BS96" s="1">
        <f t="shared" si="113"/>
        <v>4</v>
      </c>
      <c r="BT96" s="1" t="str" cm="1">
        <f t="array" ref="BT96">IF($I96="","",IF($B96=1,_xlfn.XLOOKUP(1,($B$2:$B$313=$B96)*($BO$2:$BO$313=BR96),Data!$I$2:$I$313,,0),_xlfn.XLOOKUP(1,($B$2:$B$313=$B96)*($BQ$2:$BQ$313=$BR96),$I$2:$I$313,,0)))</f>
        <v>Jami Kallio</v>
      </c>
      <c r="BU96" s="1" t="str" cm="1">
        <f t="array" ref="BU96">IF(I96="","",IF($B96=1,_xlfn.XLOOKUP(1,($B$2:$B$313=$B96)*($BO$2:$BO$313=$BS96),$I$2:$I$313,,0),_xlfn.XLOOKUP(1,($B$2:$B$313=$B96)*($BQ$2:$BQ$313=$BS96),$I$2:$I$313,,0)))</f>
        <v>Asko Haaksi</v>
      </c>
      <c r="BV96" s="1" t="str" cm="1">
        <f t="array" ref="BV96">IF($I96="","",IF($B96=1,"",IF($B96=2,_xlfn.XLOOKUP(1,($B$2:$B$313=1)*($BO$2:$BO$313=1),$I$2:$I$313,,0),_xlfn.XLOOKUP($B96-1,$B$2:$B$313,$CH$2:$CH$313,,0))))</f>
        <v>Miika Nordblad</v>
      </c>
      <c r="BW96" s="1" t="str" cm="1">
        <f t="array" ref="BW96">IF($I96="","",IF($B96=1,"",IF(_xlfn.XLOOKUP(1,($B$2:$B$313=$B96)*($I$2:$I$313=$BV96),$BQ$2:$BQ$313,,0)="","NOK","OK")))</f>
        <v>NOK</v>
      </c>
      <c r="BX96" s="1" t="str">
        <f t="shared" si="114"/>
        <v>Jami Kallio</v>
      </c>
      <c r="BY96" s="1" t="str">
        <f t="shared" si="115"/>
        <v>Asko Haaksi</v>
      </c>
      <c r="BZ96" s="1">
        <f t="shared" si="116"/>
        <v>164</v>
      </c>
      <c r="CA96" s="1">
        <f t="shared" si="117"/>
        <v>149</v>
      </c>
      <c r="CB96" s="1">
        <f t="shared" si="118"/>
        <v>9.8999999999999994E-5</v>
      </c>
      <c r="CC96" s="1">
        <f t="shared" si="119"/>
        <v>127</v>
      </c>
      <c r="CD96" s="1">
        <f t="shared" si="120"/>
        <v>97</v>
      </c>
      <c r="CE96" s="1">
        <f t="shared" si="121"/>
        <v>9.8999999999999994E-5</v>
      </c>
      <c r="CF96" s="1" t="str">
        <f t="shared" si="122"/>
        <v>Jami Kallio (3)</v>
      </c>
      <c r="CG96" s="1" t="str">
        <f t="shared" si="123"/>
        <v>Asko Haaksi (4)</v>
      </c>
      <c r="CH96" s="1" t="str">
        <f t="shared" si="124"/>
        <v>Jami Kallio</v>
      </c>
      <c r="CI96" s="1">
        <f t="shared" si="125"/>
        <v>1</v>
      </c>
      <c r="CJ96" s="1" t="str">
        <f ca="1">IF(B96="","",IF(SUM(AI96:AK96)&gt;0,"+SP","")&amp;IF(CI96&gt;0,"+KK","")&amp;IF(AB96&gt;0,"+KGP1","")&amp;IF(AC96&gt;0,"+KGP2","")&amp;IF(AG96&lt;0,"-KGP1","")&amp;IF(AH96&lt;0,"-KGP2",""))</f>
        <v>+SP+KK</v>
      </c>
    </row>
    <row r="97" spans="1:88" x14ac:dyDescent="0.25">
      <c r="A97" s="1">
        <f>IFERROR(IF(ROW(A96)=1,1,IF(1+A96&lt;=$CP$1*$CP$2,1+A96,"")),"")</f>
        <v>96</v>
      </c>
      <c r="B97" s="1">
        <f>IF($I97="","",IF(ROW(B96)=1,1,ROUNDUP(A97/$CP$2,0)))</f>
        <v>6</v>
      </c>
      <c r="C97" s="4">
        <f t="shared" si="71"/>
        <v>45640</v>
      </c>
      <c r="D97" s="4" t="str">
        <f t="shared" si="65"/>
        <v>Aninkaisten keilahalli *</v>
      </c>
      <c r="E97" s="1">
        <f>IF($B97="","",COUNTIF($B$2:B97,B97))</f>
        <v>6</v>
      </c>
      <c r="F97" s="1" t="str">
        <f t="shared" si="66"/>
        <v>K2024GP06</v>
      </c>
      <c r="G97" s="1" t="str">
        <f t="shared" si="72"/>
        <v>K2024GP06_6</v>
      </c>
      <c r="H97" s="1">
        <f t="shared" si="73"/>
        <v>1</v>
      </c>
      <c r="I97" s="3" t="s">
        <v>135</v>
      </c>
      <c r="J97" s="3">
        <v>84</v>
      </c>
      <c r="K97" s="3">
        <v>89</v>
      </c>
      <c r="L97" s="1">
        <f t="shared" si="74"/>
        <v>173</v>
      </c>
      <c r="M97" s="1">
        <f t="shared" si="75"/>
        <v>1</v>
      </c>
      <c r="N97" s="1">
        <f t="shared" si="76"/>
        <v>15</v>
      </c>
      <c r="O97" s="1">
        <f t="shared" si="77"/>
        <v>173</v>
      </c>
      <c r="P97" s="1">
        <f t="shared" si="78"/>
        <v>177</v>
      </c>
      <c r="Q97" s="1">
        <f t="array" ref="Q97">IF($B97="","",IF(MAX(IF(B97=$B$2:$B$313,$L$2:$L$313))-L97=0,"",MAX(IF(B97=$B$2:$B$313,$L$2:$L$313))-L97))</f>
        <v>177</v>
      </c>
      <c r="R97" s="1">
        <f t="array" ref="R97">IF($B97="","",SUMPRODUCT(--($B$2:$B$313=B97),--(L97&lt;$L$2:$L$313))+1)</f>
        <v>15</v>
      </c>
      <c r="S97" s="1">
        <f t="shared" si="79"/>
        <v>2</v>
      </c>
      <c r="T97" s="1" cm="1">
        <f t="array" ref="T97">IF($B97="","",IF(M97=0,"",SUMPRODUCT(--($B$2:$B$313=B97),--(J97&lt;$J$2:$J$313))+1))</f>
        <v>14</v>
      </c>
      <c r="U97" s="1">
        <f t="shared" si="80"/>
        <v>1</v>
      </c>
      <c r="V97" s="1" t="str">
        <f t="shared" si="81"/>
        <v>0615</v>
      </c>
      <c r="W97" s="1">
        <f t="shared" si="82"/>
        <v>1</v>
      </c>
      <c r="X97" s="1">
        <f t="shared" si="67"/>
        <v>1</v>
      </c>
      <c r="Y97" s="1">
        <f>IF($B97="","",MAX(_xlfn.MAXIFS($J$2:J97,$I$2:I97,$I97),_xlfn.MAXIFS($K$2:K97,$I$2:I97,$I97)))</f>
        <v>129</v>
      </c>
      <c r="Z97" s="1">
        <f t="shared" si="83"/>
        <v>204</v>
      </c>
      <c r="AA97" s="1">
        <f t="shared" si="84"/>
        <v>0</v>
      </c>
      <c r="AB97" s="1">
        <f t="shared" si="85"/>
        <v>0</v>
      </c>
      <c r="AC97" s="1">
        <f t="shared" si="86"/>
        <v>0</v>
      </c>
      <c r="AD97" s="1">
        <f>IF($B97="","",MIN(_xlfn.MINIFS($J$2:J97,$I$2:I97,$I97),_xlfn.MINIFS($K$2:K97,$I$2:I97,$I97)))</f>
        <v>84</v>
      </c>
      <c r="AE97" s="1">
        <f t="shared" si="87"/>
        <v>59</v>
      </c>
      <c r="AF97" s="1">
        <f t="shared" si="88"/>
        <v>0</v>
      </c>
      <c r="AG97" s="1">
        <f t="shared" si="89"/>
        <v>0</v>
      </c>
      <c r="AH97" s="1">
        <f t="shared" si="90"/>
        <v>-1</v>
      </c>
      <c r="AI97" s="1">
        <f ca="1">IF($B97="","",IF($K97="",0,OFFSET($CO$17,R97,W97)))</f>
        <v>0</v>
      </c>
      <c r="AJ97" s="1">
        <f t="shared" ca="1" si="91"/>
        <v>0</v>
      </c>
      <c r="AK97" s="1">
        <f ca="1">IF(AJ97="","",IF(AJ97=0,0,IF(W97=1,0,SUM(OFFSET($CO$17,N97,1):OFFSET($CO$17,N97+W97-2,1))/W97)))</f>
        <v>0</v>
      </c>
      <c r="AL97" s="1">
        <f t="shared" ca="1" si="92"/>
        <v>-1</v>
      </c>
      <c r="AM97" s="1">
        <f ca="1">IF($B97="","",SUMIFS($AL$2:AL97,$I$2:I97,$I97))</f>
        <v>5</v>
      </c>
      <c r="AN97" s="1">
        <f t="shared" si="93"/>
        <v>15.000095999999999</v>
      </c>
      <c r="AO97" s="1">
        <f>IFERROR(IF($B97="","",AVERAGEIFS($L$2:L97,$I$2:I97,I97,$L$2:L97,"&lt;&gt;0")),0)</f>
        <v>208.66666666666666</v>
      </c>
      <c r="AP97" s="1">
        <f t="shared" si="94"/>
        <v>104.33333333333333</v>
      </c>
      <c r="AQ97" s="1">
        <f>IF($B97="","",COUNTIFS($R$2:R97,1,$I$2:I97,$I97))</f>
        <v>0</v>
      </c>
      <c r="AR97" s="1">
        <f t="array" aca="1" ref="AR97" ca="1">IF($B97="","",SUMPRODUCT(--($B$2:$B$313=B97),--(AM97&lt;$AM$2:$AM$313))+1)</f>
        <v>15</v>
      </c>
      <c r="AS97" s="1">
        <f t="array" ref="AS97">IF($B97="","",SUMPRODUCT(--($B$2:$B$313=B97),--(AP97&lt;$AP$2:$AP$313))+1)</f>
        <v>17</v>
      </c>
      <c r="AT97" s="1">
        <f t="array" ref="AT97">IF($B97="","",SUMPRODUCT(--($B$2:$B$313=B97),--(AQ97&lt;$AQ$2:$AQ$313))+1)</f>
        <v>6</v>
      </c>
      <c r="AU97" s="1">
        <f t="shared" si="95"/>
        <v>9.5999999999999999E-8</v>
      </c>
      <c r="AV97" s="1">
        <f t="shared" ca="1" si="96"/>
        <v>0.15170609600000001</v>
      </c>
      <c r="AW97" s="1" t="str">
        <f t="shared" si="68"/>
        <v/>
      </c>
      <c r="AX97" s="1" t="str">
        <f t="shared" si="97"/>
        <v/>
      </c>
      <c r="AY97" s="8">
        <f t="shared" ca="1" si="98"/>
        <v>0.15170609600000001</v>
      </c>
      <c r="AZ97" s="1" cm="1">
        <f t="array" aca="1" ref="AZ97" ca="1">IF($B97="","",SUMPRODUCT(--($B$2:$B$313=B97),--(AY97&gt;$AY$2:$AY$313))+1)</f>
        <v>15</v>
      </c>
      <c r="BA97" s="1" t="str">
        <f t="shared" si="99"/>
        <v>K2024GP06_6_1</v>
      </c>
      <c r="BB97" s="1" t="str">
        <f t="shared" si="100"/>
        <v>K2024GP06_6_2</v>
      </c>
      <c r="BC97" s="1">
        <f t="shared" si="101"/>
        <v>0</v>
      </c>
      <c r="BD97" s="1">
        <f t="shared" si="102"/>
        <v>0</v>
      </c>
      <c r="BE97" s="1">
        <f t="shared" si="103"/>
        <v>1</v>
      </c>
      <c r="BF97" s="1">
        <f t="shared" si="104"/>
        <v>89</v>
      </c>
      <c r="BG97" s="1">
        <f t="shared" si="105"/>
        <v>84</v>
      </c>
      <c r="BH97" s="1">
        <f t="shared" si="106"/>
        <v>15</v>
      </c>
      <c r="BI97" s="1">
        <f t="shared" si="107"/>
        <v>14</v>
      </c>
      <c r="BJ97" s="1">
        <f t="shared" si="108"/>
        <v>0.15140000000000001</v>
      </c>
      <c r="BK97" s="1">
        <f t="shared" si="109"/>
        <v>0</v>
      </c>
      <c r="BL97" s="1">
        <f t="shared" si="110"/>
        <v>9.8999999999999994E-5</v>
      </c>
      <c r="BM97" s="1">
        <f t="shared" si="111"/>
        <v>0.15149899999999999</v>
      </c>
      <c r="BN97" s="1">
        <f t="shared" si="112"/>
        <v>0</v>
      </c>
      <c r="BO97" s="1">
        <f t="shared" si="69"/>
        <v>15</v>
      </c>
      <c r="BP97" s="1">
        <f t="shared" si="70"/>
        <v>0</v>
      </c>
      <c r="BQ97" s="1" cm="1">
        <f t="array" ref="BQ97">IF(I97="","",IF(BP97=1,"",IF(L97=0,"",IF(B97=1,"",_xlfn.XLOOKUP(1,($I$2:$I$313=$I97)*($B$2:$B$313=($B97-1)),$BO$2:$BO$313)))))</f>
        <v>17</v>
      </c>
      <c r="BR97" s="1">
        <f>IF(I97="","",IF($B97=1,_xlfn.MINIFS($BO$2:$BO$313,$B$2:$B$313,$B97),_xlfn.MINIFS(BQ$2:$BQ$313,$B$2:$B$313,$B97)))</f>
        <v>3</v>
      </c>
      <c r="BS97" s="1">
        <f t="shared" si="113"/>
        <v>4</v>
      </c>
      <c r="BT97" s="1" t="str" cm="1">
        <f t="array" ref="BT97">IF($I97="","",IF($B97=1,_xlfn.XLOOKUP(1,($B$2:$B$313=$B97)*($BO$2:$BO$313=BR97),Data!$I$2:$I$313,,0),_xlfn.XLOOKUP(1,($B$2:$B$313=$B97)*($BQ$2:$BQ$313=$BR97),$I$2:$I$313,,0)))</f>
        <v>Jami Kallio</v>
      </c>
      <c r="BU97" s="1" t="str" cm="1">
        <f t="array" ref="BU97">IF(I97="","",IF($B97=1,_xlfn.XLOOKUP(1,($B$2:$B$313=$B97)*($BO$2:$BO$313=$BS97),$I$2:$I$313,,0),_xlfn.XLOOKUP(1,($B$2:$B$313=$B97)*($BQ$2:$BQ$313=$BS97),$I$2:$I$313,,0)))</f>
        <v>Asko Haaksi</v>
      </c>
      <c r="BV97" s="1" t="str" cm="1">
        <f t="array" ref="BV97">IF($I97="","",IF($B97=1,"",IF($B97=2,_xlfn.XLOOKUP(1,($B$2:$B$313=1)*($BO$2:$BO$313=1),$I$2:$I$313,,0),_xlfn.XLOOKUP($B97-1,$B$2:$B$313,$CH$2:$CH$313,,0))))</f>
        <v>Miika Nordblad</v>
      </c>
      <c r="BW97" s="1" t="str" cm="1">
        <f t="array" ref="BW97">IF($I97="","",IF($B97=1,"",IF(_xlfn.XLOOKUP(1,($B$2:$B$313=$B97)*($I$2:$I$313=$BV97),$BQ$2:$BQ$313,,0)="","NOK","OK")))</f>
        <v>NOK</v>
      </c>
      <c r="BX97" s="1" t="str">
        <f t="shared" si="114"/>
        <v>Jami Kallio</v>
      </c>
      <c r="BY97" s="1" t="str">
        <f t="shared" si="115"/>
        <v>Asko Haaksi</v>
      </c>
      <c r="BZ97" s="1">
        <f t="shared" si="116"/>
        <v>164</v>
      </c>
      <c r="CA97" s="1">
        <f t="shared" si="117"/>
        <v>149</v>
      </c>
      <c r="CB97" s="1">
        <f t="shared" si="118"/>
        <v>9.8999999999999994E-5</v>
      </c>
      <c r="CC97" s="1">
        <f t="shared" si="119"/>
        <v>127</v>
      </c>
      <c r="CD97" s="1">
        <f t="shared" si="120"/>
        <v>97</v>
      </c>
      <c r="CE97" s="1">
        <f t="shared" si="121"/>
        <v>9.8999999999999994E-5</v>
      </c>
      <c r="CF97" s="1" t="str">
        <f t="shared" si="122"/>
        <v>Jami Kallio (3)</v>
      </c>
      <c r="CG97" s="1" t="str">
        <f t="shared" si="123"/>
        <v>Asko Haaksi (4)</v>
      </c>
      <c r="CH97" s="1" t="str">
        <f t="shared" si="124"/>
        <v>Jami Kallio</v>
      </c>
      <c r="CI97" s="1">
        <f t="shared" si="125"/>
        <v>0</v>
      </c>
      <c r="CJ97" s="1" t="str">
        <f ca="1">IF(B97="","",IF(SUM(AI97:AK97)&gt;0,"+SP","")&amp;IF(CI97&gt;0,"+KK","")&amp;IF(AB97&gt;0,"+KGP1","")&amp;IF(AC97&gt;0,"+KGP2","")&amp;IF(AG97&lt;0,"-KGP1","")&amp;IF(AH97&lt;0,"-KGP2",""))</f>
        <v>-KGP2</v>
      </c>
    </row>
    <row r="98" spans="1:88" x14ac:dyDescent="0.25">
      <c r="A98" s="1">
        <f>IFERROR(IF(ROW(A97)=1,1,IF(1+A97&lt;=$CP$1*$CP$2,1+A97,"")),"")</f>
        <v>97</v>
      </c>
      <c r="B98" s="1">
        <f>IF($I98="","",IF(ROW(B97)=1,1,ROUNDUP(A98/$CP$2,0)))</f>
        <v>6</v>
      </c>
      <c r="C98" s="4">
        <f t="shared" si="71"/>
        <v>45640</v>
      </c>
      <c r="D98" s="4" t="str">
        <f t="shared" si="65"/>
        <v>Aninkaisten keilahalli *</v>
      </c>
      <c r="E98" s="1">
        <f>IF($B98="","",COUNTIF($B$2:B98,B98))</f>
        <v>7</v>
      </c>
      <c r="F98" s="1" t="str">
        <f t="shared" si="66"/>
        <v>K2024GP06</v>
      </c>
      <c r="G98" s="1" t="str">
        <f t="shared" si="72"/>
        <v>K2024GP06_7</v>
      </c>
      <c r="H98" s="1">
        <f t="shared" si="73"/>
        <v>1</v>
      </c>
      <c r="I98" s="3" t="s">
        <v>133</v>
      </c>
      <c r="J98" s="3">
        <v>117</v>
      </c>
      <c r="K98" s="3">
        <v>137</v>
      </c>
      <c r="L98" s="1">
        <f t="shared" si="74"/>
        <v>254</v>
      </c>
      <c r="M98" s="1">
        <f t="shared" si="75"/>
        <v>1</v>
      </c>
      <c r="N98" s="1">
        <f t="shared" si="76"/>
        <v>9</v>
      </c>
      <c r="O98" s="1">
        <f t="shared" si="77"/>
        <v>254</v>
      </c>
      <c r="P98" s="1">
        <f t="shared" si="78"/>
        <v>96</v>
      </c>
      <c r="Q98" s="1">
        <f t="array" ref="Q98">IF($B98="","",IF(MAX(IF(B98=$B$2:$B$313,$L$2:$L$313))-L98=0,"",MAX(IF(B98=$B$2:$B$313,$L$2:$L$313))-L98))</f>
        <v>96</v>
      </c>
      <c r="R98" s="1">
        <f t="array" ref="R98">IF($B98="","",SUMPRODUCT(--($B$2:$B$313=B98),--(L98&lt;$L$2:$L$313))+1)</f>
        <v>9</v>
      </c>
      <c r="S98" s="1">
        <f t="shared" si="79"/>
        <v>2</v>
      </c>
      <c r="T98" s="1" cm="1">
        <f t="array" ref="T98">IF($B98="","",IF(M98=0,"",SUMPRODUCT(--($B$2:$B$313=B98),--(J98&lt;$J$2:$J$313))+1))</f>
        <v>7</v>
      </c>
      <c r="U98" s="1">
        <f t="shared" si="80"/>
        <v>2</v>
      </c>
      <c r="V98" s="1" t="str">
        <f t="shared" si="81"/>
        <v>0609</v>
      </c>
      <c r="W98" s="1">
        <f t="shared" si="82"/>
        <v>1</v>
      </c>
      <c r="X98" s="1">
        <f t="shared" si="67"/>
        <v>1</v>
      </c>
      <c r="Y98" s="1">
        <f>IF($B98="","",MAX(_xlfn.MAXIFS($J$2:J98,$I$2:I98,$I98),_xlfn.MAXIFS($K$2:K98,$I$2:I98,$I98)))</f>
        <v>178</v>
      </c>
      <c r="Z98" s="1">
        <f t="shared" si="83"/>
        <v>204</v>
      </c>
      <c r="AA98" s="1">
        <f t="shared" si="84"/>
        <v>0</v>
      </c>
      <c r="AB98" s="1">
        <f t="shared" si="85"/>
        <v>0</v>
      </c>
      <c r="AC98" s="1">
        <f t="shared" si="86"/>
        <v>0</v>
      </c>
      <c r="AD98" s="1">
        <f>IF($B98="","",MIN(_xlfn.MINIFS($J$2:J98,$I$2:I98,$I98),_xlfn.MINIFS($K$2:K98,$I$2:I98,$I98)))</f>
        <v>91</v>
      </c>
      <c r="AE98" s="1">
        <f t="shared" si="87"/>
        <v>59</v>
      </c>
      <c r="AF98" s="1">
        <f t="shared" si="88"/>
        <v>0</v>
      </c>
      <c r="AG98" s="1">
        <f t="shared" si="89"/>
        <v>0</v>
      </c>
      <c r="AH98" s="1">
        <f t="shared" si="90"/>
        <v>0</v>
      </c>
      <c r="AI98" s="1">
        <f ca="1">IF($B98="","",IF($K98="",0,OFFSET($CO$17,R98,W98)))</f>
        <v>2</v>
      </c>
      <c r="AJ98" s="1">
        <f t="shared" ca="1" si="91"/>
        <v>0</v>
      </c>
      <c r="AK98" s="1">
        <f ca="1">IF(AJ98="","",IF(AJ98=0,0,IF(W98=1,0,SUM(OFFSET($CO$17,N98,1):OFFSET($CO$17,N98+W98-2,1))/W98)))</f>
        <v>0</v>
      </c>
      <c r="AL98" s="1">
        <f t="shared" ca="1" si="92"/>
        <v>2</v>
      </c>
      <c r="AM98" s="1">
        <f ca="1">IF($B98="","",SUMIFS($AL$2:AL98,$I$2:I98,$I98))</f>
        <v>22</v>
      </c>
      <c r="AN98" s="1">
        <f t="shared" si="93"/>
        <v>9.0000970000000002</v>
      </c>
      <c r="AO98" s="1">
        <f>IFERROR(IF($B98="","",AVERAGEIFS($L$2:L98,$I$2:I98,I98,$L$2:L98,"&lt;&gt;0")),0)</f>
        <v>257.66666666666669</v>
      </c>
      <c r="AP98" s="1">
        <f t="shared" si="94"/>
        <v>128.83333333333334</v>
      </c>
      <c r="AQ98" s="1">
        <f>IF($B98="","",COUNTIFS($R$2:R98,1,$I$2:I98,$I98))</f>
        <v>0</v>
      </c>
      <c r="AR98" s="1">
        <f t="array" aca="1" ref="AR98" ca="1">IF($B98="","",SUMPRODUCT(--($B$2:$B$313=B98),--(AM98&lt;$AM$2:$AM$313))+1)</f>
        <v>7</v>
      </c>
      <c r="AS98" s="1">
        <f t="array" ref="AS98">IF($B98="","",SUMPRODUCT(--($B$2:$B$313=B98),--(AP98&lt;$AP$2:$AP$313))+1)</f>
        <v>11</v>
      </c>
      <c r="AT98" s="1">
        <f t="array" ref="AT98">IF($B98="","",SUMPRODUCT(--($B$2:$B$313=B98),--(AQ98&lt;$AQ$2:$AQ$313))+1)</f>
        <v>6</v>
      </c>
      <c r="AU98" s="1">
        <f t="shared" si="95"/>
        <v>9.6999999999999995E-8</v>
      </c>
      <c r="AV98" s="1">
        <f t="shared" ca="1" si="96"/>
        <v>7.1106097000000021E-2</v>
      </c>
      <c r="AW98" s="1" t="str">
        <f t="shared" si="68"/>
        <v/>
      </c>
      <c r="AX98" s="1" t="str">
        <f t="shared" si="97"/>
        <v/>
      </c>
      <c r="AY98" s="8">
        <f t="shared" ca="1" si="98"/>
        <v>7.1106097000000021E-2</v>
      </c>
      <c r="AZ98" s="1" cm="1">
        <f t="array" aca="1" ref="AZ98" ca="1">IF($B98="","",SUMPRODUCT(--($B$2:$B$313=B98),--(AY98&gt;$AY$2:$AY$313))+1)</f>
        <v>7</v>
      </c>
      <c r="BA98" s="1" t="str">
        <f t="shared" si="99"/>
        <v>K2024GP06_7_1</v>
      </c>
      <c r="BB98" s="1" t="str">
        <f t="shared" si="100"/>
        <v>K2024GP06_7_2</v>
      </c>
      <c r="BC98" s="1">
        <f t="shared" si="101"/>
        <v>0</v>
      </c>
      <c r="BD98" s="1">
        <f t="shared" si="102"/>
        <v>0</v>
      </c>
      <c r="BE98" s="1">
        <f t="shared" si="103"/>
        <v>1</v>
      </c>
      <c r="BF98" s="1">
        <f t="shared" si="104"/>
        <v>137</v>
      </c>
      <c r="BG98" s="1">
        <f t="shared" si="105"/>
        <v>117</v>
      </c>
      <c r="BH98" s="1">
        <f t="shared" si="106"/>
        <v>8</v>
      </c>
      <c r="BI98" s="1">
        <f t="shared" si="107"/>
        <v>7</v>
      </c>
      <c r="BJ98" s="1">
        <f t="shared" si="108"/>
        <v>8.0700000000000008E-2</v>
      </c>
      <c r="BK98" s="1">
        <f t="shared" si="109"/>
        <v>0</v>
      </c>
      <c r="BL98" s="1">
        <f t="shared" si="110"/>
        <v>9.8999999999999994E-5</v>
      </c>
      <c r="BM98" s="1">
        <f t="shared" si="111"/>
        <v>8.079900000000001E-2</v>
      </c>
      <c r="BN98" s="1">
        <f t="shared" si="112"/>
        <v>0</v>
      </c>
      <c r="BO98" s="1">
        <f t="shared" si="69"/>
        <v>8</v>
      </c>
      <c r="BP98" s="1">
        <f t="shared" si="70"/>
        <v>0</v>
      </c>
      <c r="BQ98" s="1" cm="1">
        <f t="array" ref="BQ98">IF(I98="","",IF(BP98=1,"",IF(L98=0,"",IF(B98=1,"",_xlfn.XLOOKUP(1,($I$2:$I$313=$I98)*($B$2:$B$313=($B98-1)),$BO$2:$BO$313)))))</f>
        <v>11</v>
      </c>
      <c r="BR98" s="1">
        <f>IF(I98="","",IF($B98=1,_xlfn.MINIFS($BO$2:$BO$313,$B$2:$B$313,$B98),_xlfn.MINIFS(BQ$2:$BQ$313,$B$2:$B$313,$B98)))</f>
        <v>3</v>
      </c>
      <c r="BS98" s="1">
        <f t="shared" si="113"/>
        <v>4</v>
      </c>
      <c r="BT98" s="1" t="str" cm="1">
        <f t="array" ref="BT98">IF($I98="","",IF($B98=1,_xlfn.XLOOKUP(1,($B$2:$B$313=$B98)*($BO$2:$BO$313=BR98),Data!$I$2:$I$313,,0),_xlfn.XLOOKUP(1,($B$2:$B$313=$B98)*($BQ$2:$BQ$313=$BR98),$I$2:$I$313,,0)))</f>
        <v>Jami Kallio</v>
      </c>
      <c r="BU98" s="1" t="str" cm="1">
        <f t="array" ref="BU98">IF(I98="","",IF($B98=1,_xlfn.XLOOKUP(1,($B$2:$B$313=$B98)*($BO$2:$BO$313=$BS98),$I$2:$I$313,,0),_xlfn.XLOOKUP(1,($B$2:$B$313=$B98)*($BQ$2:$BQ$313=$BS98),$I$2:$I$313,,0)))</f>
        <v>Asko Haaksi</v>
      </c>
      <c r="BV98" s="1" t="str" cm="1">
        <f t="array" ref="BV98">IF($I98="","",IF($B98=1,"",IF($B98=2,_xlfn.XLOOKUP(1,($B$2:$B$313=1)*($BO$2:$BO$313=1),$I$2:$I$313,,0),_xlfn.XLOOKUP($B98-1,$B$2:$B$313,$CH$2:$CH$313,,0))))</f>
        <v>Miika Nordblad</v>
      </c>
      <c r="BW98" s="1" t="str" cm="1">
        <f t="array" ref="BW98">IF($I98="","",IF($B98=1,"",IF(_xlfn.XLOOKUP(1,($B$2:$B$313=$B98)*($I$2:$I$313=$BV98),$BQ$2:$BQ$313,,0)="","NOK","OK")))</f>
        <v>NOK</v>
      </c>
      <c r="BX98" s="1" t="str">
        <f t="shared" si="114"/>
        <v>Jami Kallio</v>
      </c>
      <c r="BY98" s="1" t="str">
        <f t="shared" si="115"/>
        <v>Asko Haaksi</v>
      </c>
      <c r="BZ98" s="1">
        <f t="shared" si="116"/>
        <v>164</v>
      </c>
      <c r="CA98" s="1">
        <f t="shared" si="117"/>
        <v>149</v>
      </c>
      <c r="CB98" s="1">
        <f t="shared" si="118"/>
        <v>9.8999999999999994E-5</v>
      </c>
      <c r="CC98" s="1">
        <f t="shared" si="119"/>
        <v>127</v>
      </c>
      <c r="CD98" s="1">
        <f t="shared" si="120"/>
        <v>97</v>
      </c>
      <c r="CE98" s="1">
        <f t="shared" si="121"/>
        <v>9.8999999999999994E-5</v>
      </c>
      <c r="CF98" s="1" t="str">
        <f t="shared" si="122"/>
        <v>Jami Kallio (3)</v>
      </c>
      <c r="CG98" s="1" t="str">
        <f t="shared" si="123"/>
        <v>Asko Haaksi (4)</v>
      </c>
      <c r="CH98" s="1" t="str">
        <f t="shared" si="124"/>
        <v>Jami Kallio</v>
      </c>
      <c r="CI98" s="1">
        <f t="shared" si="125"/>
        <v>0</v>
      </c>
      <c r="CJ98" s="1" t="str">
        <f ca="1">IF(B98="","",IF(SUM(AI98:AK98)&gt;0,"+SP","")&amp;IF(CI98&gt;0,"+KK","")&amp;IF(AB98&gt;0,"+KGP1","")&amp;IF(AC98&gt;0,"+KGP2","")&amp;IF(AG98&lt;0,"-KGP1","")&amp;IF(AH98&lt;0,"-KGP2",""))</f>
        <v>+SP</v>
      </c>
    </row>
    <row r="99" spans="1:88" x14ac:dyDescent="0.25">
      <c r="A99" s="1">
        <f>IFERROR(IF(ROW(A98)=1,1,IF(1+A98&lt;=$CP$1*$CP$2,1+A98,"")),"")</f>
        <v>98</v>
      </c>
      <c r="B99" s="1">
        <f>IF($I99="","",IF(ROW(B98)=1,1,ROUNDUP(A99/$CP$2,0)))</f>
        <v>6</v>
      </c>
      <c r="C99" s="4">
        <f t="shared" si="71"/>
        <v>45640</v>
      </c>
      <c r="D99" s="4" t="str">
        <f t="shared" si="65"/>
        <v>Aninkaisten keilahalli *</v>
      </c>
      <c r="E99" s="1">
        <f>IF($B99="","",COUNTIF($B$2:B99,B99))</f>
        <v>8</v>
      </c>
      <c r="F99" s="1" t="str">
        <f t="shared" si="66"/>
        <v>K2024GP06</v>
      </c>
      <c r="G99" s="1" t="str">
        <f t="shared" si="72"/>
        <v>K2024GP06_8</v>
      </c>
      <c r="H99" s="1">
        <f t="shared" si="73"/>
        <v>1</v>
      </c>
      <c r="I99" s="3" t="s">
        <v>137</v>
      </c>
      <c r="J99" s="3">
        <v>111</v>
      </c>
      <c r="K99" s="3">
        <v>175</v>
      </c>
      <c r="L99" s="1">
        <f t="shared" si="74"/>
        <v>286</v>
      </c>
      <c r="M99" s="1">
        <f t="shared" si="75"/>
        <v>1</v>
      </c>
      <c r="N99" s="1">
        <f t="shared" si="76"/>
        <v>7</v>
      </c>
      <c r="O99" s="1">
        <f t="shared" si="77"/>
        <v>286</v>
      </c>
      <c r="P99" s="1">
        <f t="shared" si="78"/>
        <v>64</v>
      </c>
      <c r="Q99" s="1">
        <f t="array" ref="Q99">IF($B99="","",IF(MAX(IF(B99=$B$2:$B$313,$L$2:$L$313))-L99=0,"",MAX(IF(B99=$B$2:$B$313,$L$2:$L$313))-L99))</f>
        <v>64</v>
      </c>
      <c r="R99" s="1">
        <f t="array" ref="R99">IF($B99="","",SUMPRODUCT(--($B$2:$B$313=B99),--(L99&lt;$L$2:$L$313))+1)</f>
        <v>7</v>
      </c>
      <c r="S99" s="1">
        <f t="shared" si="79"/>
        <v>2</v>
      </c>
      <c r="T99" s="1" cm="1">
        <f t="array" ref="T99">IF($B99="","",IF(M99=0,"",SUMPRODUCT(--($B$2:$B$313=B99),--(J99&lt;$J$2:$J$313))+1))</f>
        <v>9</v>
      </c>
      <c r="U99" s="1">
        <f t="shared" si="80"/>
        <v>-2</v>
      </c>
      <c r="V99" s="1" t="str">
        <f t="shared" si="81"/>
        <v>0607</v>
      </c>
      <c r="W99" s="1">
        <f t="shared" si="82"/>
        <v>1</v>
      </c>
      <c r="X99" s="1">
        <f t="shared" si="67"/>
        <v>1</v>
      </c>
      <c r="Y99" s="1">
        <f>IF($B99="","",MAX(_xlfn.MAXIFS($J$2:J99,$I$2:I99,$I99),_xlfn.MAXIFS($K$2:K99,$I$2:I99,$I99)))</f>
        <v>175</v>
      </c>
      <c r="Z99" s="1">
        <f t="shared" si="83"/>
        <v>204</v>
      </c>
      <c r="AA99" s="1">
        <f t="shared" si="84"/>
        <v>0</v>
      </c>
      <c r="AB99" s="1">
        <f t="shared" si="85"/>
        <v>0</v>
      </c>
      <c r="AC99" s="1">
        <f t="shared" si="86"/>
        <v>1</v>
      </c>
      <c r="AD99" s="1">
        <f>IF($B99="","",MIN(_xlfn.MINIFS($J$2:J99,$I$2:I99,$I99),_xlfn.MINIFS($K$2:K99,$I$2:I99,$I99)))</f>
        <v>111</v>
      </c>
      <c r="AE99" s="1">
        <f t="shared" si="87"/>
        <v>59</v>
      </c>
      <c r="AF99" s="1">
        <f t="shared" si="88"/>
        <v>0</v>
      </c>
      <c r="AG99" s="1">
        <f t="shared" si="89"/>
        <v>0</v>
      </c>
      <c r="AH99" s="1">
        <f t="shared" si="90"/>
        <v>-1</v>
      </c>
      <c r="AI99" s="1">
        <f ca="1">IF($B99="","",IF($K99="",0,OFFSET($CO$17,R99,W99)))</f>
        <v>4</v>
      </c>
      <c r="AJ99" s="1">
        <f t="shared" ca="1" si="91"/>
        <v>0</v>
      </c>
      <c r="AK99" s="1">
        <f ca="1">IF(AJ99="","",IF(AJ99=0,0,IF(W99=1,0,SUM(OFFSET($CO$17,N99,1):OFFSET($CO$17,N99+W99-2,1))/W99)))</f>
        <v>0</v>
      </c>
      <c r="AL99" s="1">
        <f t="shared" ca="1" si="92"/>
        <v>4</v>
      </c>
      <c r="AM99" s="1">
        <f ca="1">IF($B99="","",SUMIFS($AL$2:AL99,$I$2:I99,$I99))</f>
        <v>13</v>
      </c>
      <c r="AN99" s="1">
        <f t="shared" si="93"/>
        <v>7.0000980000000004</v>
      </c>
      <c r="AO99" s="1">
        <f>IFERROR(IF($B99="","",AVERAGEIFS($L$2:L99,$I$2:I99,I99,$L$2:L99,"&lt;&gt;0")),0)</f>
        <v>276.75</v>
      </c>
      <c r="AP99" s="1">
        <f t="shared" si="94"/>
        <v>138.375</v>
      </c>
      <c r="AQ99" s="1">
        <f>IF($B99="","",COUNTIFS($R$2:R99,1,$I$2:I99,$I99))</f>
        <v>0</v>
      </c>
      <c r="AR99" s="1">
        <f t="array" aca="1" ref="AR99" ca="1">IF($B99="","",SUMPRODUCT(--($B$2:$B$313=B99),--(AM99&lt;$AM$2:$AM$313))+1)</f>
        <v>13</v>
      </c>
      <c r="AS99" s="1">
        <f t="array" ref="AS99">IF($B99="","",SUMPRODUCT(--($B$2:$B$313=B99),--(AP99&lt;$AP$2:$AP$313))+1)</f>
        <v>8</v>
      </c>
      <c r="AT99" s="1">
        <f t="array" ref="AT99">IF($B99="","",SUMPRODUCT(--($B$2:$B$313=B99),--(AQ99&lt;$AQ$2:$AQ$313))+1)</f>
        <v>6</v>
      </c>
      <c r="AU99" s="1">
        <f t="shared" si="95"/>
        <v>9.8000000000000004E-8</v>
      </c>
      <c r="AV99" s="1">
        <f t="shared" ca="1" si="96"/>
        <v>0.13080609800000001</v>
      </c>
      <c r="AW99" s="1" t="str">
        <f t="shared" si="68"/>
        <v/>
      </c>
      <c r="AX99" s="1" t="str">
        <f t="shared" si="97"/>
        <v/>
      </c>
      <c r="AY99" s="8">
        <f t="shared" ca="1" si="98"/>
        <v>0.13080609800000001</v>
      </c>
      <c r="AZ99" s="1" cm="1">
        <f t="array" aca="1" ref="AZ99" ca="1">IF($B99="","",SUMPRODUCT(--($B$2:$B$313=B99),--(AY99&gt;$AY$2:$AY$313))+1)</f>
        <v>14</v>
      </c>
      <c r="BA99" s="1" t="str">
        <f t="shared" si="99"/>
        <v>K2024GP06_8_1</v>
      </c>
      <c r="BB99" s="1" t="str">
        <f t="shared" si="100"/>
        <v>K2024GP06_8_2</v>
      </c>
      <c r="BC99" s="1">
        <f t="shared" si="101"/>
        <v>0</v>
      </c>
      <c r="BD99" s="1">
        <f t="shared" si="102"/>
        <v>0</v>
      </c>
      <c r="BE99" s="1">
        <f t="shared" si="103"/>
        <v>1</v>
      </c>
      <c r="BF99" s="1">
        <f t="shared" si="104"/>
        <v>175</v>
      </c>
      <c r="BG99" s="1">
        <f t="shared" si="105"/>
        <v>111</v>
      </c>
      <c r="BH99" s="1">
        <f t="shared" si="106"/>
        <v>3</v>
      </c>
      <c r="BI99" s="1">
        <f t="shared" si="107"/>
        <v>9</v>
      </c>
      <c r="BJ99" s="1">
        <f t="shared" si="108"/>
        <v>3.09E-2</v>
      </c>
      <c r="BK99" s="1">
        <f t="shared" si="109"/>
        <v>0</v>
      </c>
      <c r="BL99" s="1">
        <f t="shared" si="110"/>
        <v>9.8999999999999994E-5</v>
      </c>
      <c r="BM99" s="1">
        <f t="shared" si="111"/>
        <v>3.0998999999999999E-2</v>
      </c>
      <c r="BN99" s="1">
        <f t="shared" si="112"/>
        <v>0</v>
      </c>
      <c r="BO99" s="1">
        <f t="shared" si="69"/>
        <v>3</v>
      </c>
      <c r="BP99" s="1">
        <f t="shared" si="70"/>
        <v>0</v>
      </c>
      <c r="BQ99" s="1" cm="1">
        <f t="array" ref="BQ99">IF(I99="","",IF(BP99=1,"",IF(L99=0,"",IF(B99=1,"",_xlfn.XLOOKUP(1,($I$2:$I$313=$I99)*($B$2:$B$313=($B99-1)),$BO$2:$BO$313)))))</f>
        <v>8</v>
      </c>
      <c r="BR99" s="1">
        <f>IF(I99="","",IF($B99=1,_xlfn.MINIFS($BO$2:$BO$313,$B$2:$B$313,$B99),_xlfn.MINIFS(BQ$2:$BQ$313,$B$2:$B$313,$B99)))</f>
        <v>3</v>
      </c>
      <c r="BS99" s="1">
        <f t="shared" si="113"/>
        <v>4</v>
      </c>
      <c r="BT99" s="1" t="str" cm="1">
        <f t="array" ref="BT99">IF($I99="","",IF($B99=1,_xlfn.XLOOKUP(1,($B$2:$B$313=$B99)*($BO$2:$BO$313=BR99),Data!$I$2:$I$313,,0),_xlfn.XLOOKUP(1,($B$2:$B$313=$B99)*($BQ$2:$BQ$313=$BR99),$I$2:$I$313,,0)))</f>
        <v>Jami Kallio</v>
      </c>
      <c r="BU99" s="1" t="str" cm="1">
        <f t="array" ref="BU99">IF(I99="","",IF($B99=1,_xlfn.XLOOKUP(1,($B$2:$B$313=$B99)*($BO$2:$BO$313=$BS99),$I$2:$I$313,,0),_xlfn.XLOOKUP(1,($B$2:$B$313=$B99)*($BQ$2:$BQ$313=$BS99),$I$2:$I$313,,0)))</f>
        <v>Asko Haaksi</v>
      </c>
      <c r="BV99" s="1" t="str" cm="1">
        <f t="array" ref="BV99">IF($I99="","",IF($B99=1,"",IF($B99=2,_xlfn.XLOOKUP(1,($B$2:$B$313=1)*($BO$2:$BO$313=1),$I$2:$I$313,,0),_xlfn.XLOOKUP($B99-1,$B$2:$B$313,$CH$2:$CH$313,,0))))</f>
        <v>Miika Nordblad</v>
      </c>
      <c r="BW99" s="1" t="str" cm="1">
        <f t="array" ref="BW99">IF($I99="","",IF($B99=1,"",IF(_xlfn.XLOOKUP(1,($B$2:$B$313=$B99)*($I$2:$I$313=$BV99),$BQ$2:$BQ$313,,0)="","NOK","OK")))</f>
        <v>NOK</v>
      </c>
      <c r="BX99" s="1" t="str">
        <f t="shared" si="114"/>
        <v>Jami Kallio</v>
      </c>
      <c r="BY99" s="1" t="str">
        <f t="shared" si="115"/>
        <v>Asko Haaksi</v>
      </c>
      <c r="BZ99" s="1">
        <f t="shared" si="116"/>
        <v>164</v>
      </c>
      <c r="CA99" s="1">
        <f t="shared" si="117"/>
        <v>149</v>
      </c>
      <c r="CB99" s="1">
        <f t="shared" si="118"/>
        <v>9.8999999999999994E-5</v>
      </c>
      <c r="CC99" s="1">
        <f t="shared" si="119"/>
        <v>127</v>
      </c>
      <c r="CD99" s="1">
        <f t="shared" si="120"/>
        <v>97</v>
      </c>
      <c r="CE99" s="1">
        <f t="shared" si="121"/>
        <v>9.8999999999999994E-5</v>
      </c>
      <c r="CF99" s="1" t="str">
        <f t="shared" si="122"/>
        <v>Jami Kallio (3)</v>
      </c>
      <c r="CG99" s="1" t="str">
        <f t="shared" si="123"/>
        <v>Asko Haaksi (4)</v>
      </c>
      <c r="CH99" s="1" t="str">
        <f t="shared" si="124"/>
        <v>Jami Kallio</v>
      </c>
      <c r="CI99" s="1">
        <f t="shared" si="125"/>
        <v>0</v>
      </c>
      <c r="CJ99" s="1" t="str">
        <f ca="1">IF(B99="","",IF(SUM(AI99:AK99)&gt;0,"+SP","")&amp;IF(CI99&gt;0,"+KK","")&amp;IF(AB99&gt;0,"+KGP1","")&amp;IF(AC99&gt;0,"+KGP2","")&amp;IF(AG99&lt;0,"-KGP1","")&amp;IF(AH99&lt;0,"-KGP2",""))</f>
        <v>+SP+KGP2-KGP2</v>
      </c>
    </row>
    <row r="100" spans="1:88" x14ac:dyDescent="0.25">
      <c r="A100" s="1">
        <f>IFERROR(IF(ROW(A99)=1,1,IF(1+A99&lt;=$CP$1*$CP$2,1+A99,"")),"")</f>
        <v>99</v>
      </c>
      <c r="B100" s="1">
        <f>IF($I100="","",IF(ROW(B99)=1,1,ROUNDUP(A100/$CP$2,0)))</f>
        <v>6</v>
      </c>
      <c r="C100" s="4">
        <f t="shared" si="71"/>
        <v>45640</v>
      </c>
      <c r="D100" s="4" t="str">
        <f t="shared" si="65"/>
        <v>Aninkaisten keilahalli *</v>
      </c>
      <c r="E100" s="1">
        <f>IF($B100="","",COUNTIF($B$2:B100,B100))</f>
        <v>9</v>
      </c>
      <c r="F100" s="1" t="str">
        <f t="shared" si="66"/>
        <v>K2024GP06</v>
      </c>
      <c r="G100" s="1" t="str">
        <f t="shared" si="72"/>
        <v>K2024GP06_9</v>
      </c>
      <c r="H100" s="1">
        <f t="shared" si="73"/>
        <v>1</v>
      </c>
      <c r="I100" s="3" t="s">
        <v>136</v>
      </c>
      <c r="J100" s="3">
        <v>145</v>
      </c>
      <c r="K100" s="3">
        <v>159</v>
      </c>
      <c r="L100" s="1">
        <f t="shared" si="74"/>
        <v>304</v>
      </c>
      <c r="M100" s="1">
        <f t="shared" si="75"/>
        <v>1</v>
      </c>
      <c r="N100" s="1">
        <f t="shared" si="76"/>
        <v>3</v>
      </c>
      <c r="O100" s="1">
        <f t="shared" si="77"/>
        <v>304</v>
      </c>
      <c r="P100" s="1">
        <f t="shared" si="78"/>
        <v>46</v>
      </c>
      <c r="Q100" s="1">
        <f t="array" ref="Q100">IF($B100="","",IF(MAX(IF(B100=$B$2:$B$313,$L$2:$L$313))-L100=0,"",MAX(IF(B100=$B$2:$B$313,$L$2:$L$313))-L100))</f>
        <v>46</v>
      </c>
      <c r="R100" s="1">
        <f t="array" ref="R100">IF($B100="","",SUMPRODUCT(--($B$2:$B$313=B100),--(L100&lt;$L$2:$L$313))+1)</f>
        <v>3</v>
      </c>
      <c r="S100" s="1">
        <f t="shared" si="79"/>
        <v>2</v>
      </c>
      <c r="T100" s="1" cm="1">
        <f t="array" ref="T100">IF($B100="","",IF(M100=0,"",SUMPRODUCT(--($B$2:$B$313=B100),--(J100&lt;$J$2:$J$313))+1))</f>
        <v>5</v>
      </c>
      <c r="U100" s="1">
        <f t="shared" si="80"/>
        <v>-2</v>
      </c>
      <c r="V100" s="1" t="str">
        <f t="shared" si="81"/>
        <v>0603</v>
      </c>
      <c r="W100" s="1">
        <f t="shared" si="82"/>
        <v>1</v>
      </c>
      <c r="X100" s="1">
        <f t="shared" si="67"/>
        <v>1</v>
      </c>
      <c r="Y100" s="1">
        <f>IF($B100="","",MAX(_xlfn.MAXIFS($J$2:J100,$I$2:I100,$I100),_xlfn.MAXIFS($K$2:K100,$I$2:I100,$I100)))</f>
        <v>165</v>
      </c>
      <c r="Z100" s="1">
        <f t="shared" si="83"/>
        <v>204</v>
      </c>
      <c r="AA100" s="1">
        <f t="shared" si="84"/>
        <v>0</v>
      </c>
      <c r="AB100" s="1">
        <f t="shared" si="85"/>
        <v>0</v>
      </c>
      <c r="AC100" s="1">
        <f t="shared" si="86"/>
        <v>0</v>
      </c>
      <c r="AD100" s="1">
        <f>IF($B100="","",MIN(_xlfn.MINIFS($J$2:J100,$I$2:I100,$I100),_xlfn.MINIFS($K$2:K100,$I$2:I100,$I100)))</f>
        <v>127</v>
      </c>
      <c r="AE100" s="1">
        <f t="shared" si="87"/>
        <v>59</v>
      </c>
      <c r="AF100" s="1">
        <f t="shared" si="88"/>
        <v>0</v>
      </c>
      <c r="AG100" s="1">
        <f t="shared" si="89"/>
        <v>0</v>
      </c>
      <c r="AH100" s="1">
        <f t="shared" si="90"/>
        <v>0</v>
      </c>
      <c r="AI100" s="1">
        <f ca="1">IF($B100="","",IF($K100="",0,OFFSET($CO$17,R100,W100)))</f>
        <v>8</v>
      </c>
      <c r="AJ100" s="1">
        <f t="shared" ca="1" si="91"/>
        <v>0</v>
      </c>
      <c r="AK100" s="1">
        <f ca="1">IF(AJ100="","",IF(AJ100=0,0,IF(W100=1,0,SUM(OFFSET($CO$17,N100,1):OFFSET($CO$17,N100+W100-2,1))/W100)))</f>
        <v>0</v>
      </c>
      <c r="AL100" s="1">
        <f t="shared" ca="1" si="92"/>
        <v>8</v>
      </c>
      <c r="AM100" s="1">
        <f ca="1">IF($B100="","",SUMIFS($AL$2:AL100,$I$2:I100,$I100))</f>
        <v>14</v>
      </c>
      <c r="AN100" s="1">
        <f t="shared" si="93"/>
        <v>3.0000990000000001</v>
      </c>
      <c r="AO100" s="1">
        <f>IFERROR(IF($B100="","",AVERAGEIFS($L$2:L100,$I$2:I100,I100,$L$2:L100,"&lt;&gt;0")),0)</f>
        <v>292</v>
      </c>
      <c r="AP100" s="1">
        <f t="shared" si="94"/>
        <v>146</v>
      </c>
      <c r="AQ100" s="1">
        <f>IF($B100="","",COUNTIFS($R$2:R100,1,$I$2:I100,$I100))</f>
        <v>0</v>
      </c>
      <c r="AR100" s="1">
        <f t="array" aca="1" ref="AR100" ca="1">IF($B100="","",SUMPRODUCT(--($B$2:$B$313=B100),--(AM100&lt;$AM$2:$AM$313))+1)</f>
        <v>12</v>
      </c>
      <c r="AS100" s="1">
        <f t="array" ref="AS100">IF($B100="","",SUMPRODUCT(--($B$2:$B$313=B100),--(AP100&lt;$AP$2:$AP$313))+1)</f>
        <v>5</v>
      </c>
      <c r="AT100" s="1">
        <f t="array" ref="AT100">IF($B100="","",SUMPRODUCT(--($B$2:$B$313=B100),--(AQ100&lt;$AQ$2:$AQ$313))+1)</f>
        <v>6</v>
      </c>
      <c r="AU100" s="1">
        <f t="shared" si="95"/>
        <v>9.9E-8</v>
      </c>
      <c r="AV100" s="1">
        <f t="shared" ca="1" si="96"/>
        <v>0.12050609900000001</v>
      </c>
      <c r="AW100" s="1" t="str">
        <f t="shared" si="68"/>
        <v/>
      </c>
      <c r="AX100" s="1" t="str">
        <f t="shared" si="97"/>
        <v/>
      </c>
      <c r="AY100" s="8">
        <f t="shared" ca="1" si="98"/>
        <v>0.12050609900000001</v>
      </c>
      <c r="AZ100" s="1" cm="1">
        <f t="array" aca="1" ref="AZ100" ca="1">IF($B100="","",SUMPRODUCT(--($B$2:$B$313=B100),--(AY100&gt;$AY$2:$AY$313))+1)</f>
        <v>12</v>
      </c>
      <c r="BA100" s="1" t="str">
        <f t="shared" si="99"/>
        <v>K2024GP06_9_1</v>
      </c>
      <c r="BB100" s="1" t="str">
        <f t="shared" si="100"/>
        <v>K2024GP06_9_2</v>
      </c>
      <c r="BC100" s="1">
        <f t="shared" si="101"/>
        <v>0</v>
      </c>
      <c r="BD100" s="1">
        <f t="shared" si="102"/>
        <v>1</v>
      </c>
      <c r="BE100" s="1">
        <f t="shared" si="103"/>
        <v>1</v>
      </c>
      <c r="BF100" s="1">
        <f t="shared" si="104"/>
        <v>159</v>
      </c>
      <c r="BG100" s="1">
        <f t="shared" si="105"/>
        <v>145</v>
      </c>
      <c r="BH100" s="1">
        <f t="shared" si="106"/>
        <v>6</v>
      </c>
      <c r="BI100" s="1">
        <f t="shared" si="107"/>
        <v>4</v>
      </c>
      <c r="BJ100" s="1">
        <f t="shared" si="108"/>
        <v>6.0399999999999995E-2</v>
      </c>
      <c r="BK100" s="1">
        <f t="shared" si="109"/>
        <v>0</v>
      </c>
      <c r="BL100" s="1">
        <f t="shared" si="110"/>
        <v>9.8999999999999994E-5</v>
      </c>
      <c r="BM100" s="1">
        <f t="shared" si="111"/>
        <v>6.0498999999999997E-2</v>
      </c>
      <c r="BN100" s="1">
        <f t="shared" si="112"/>
        <v>0</v>
      </c>
      <c r="BO100" s="1">
        <f t="shared" si="69"/>
        <v>6</v>
      </c>
      <c r="BP100" s="1">
        <f t="shared" si="70"/>
        <v>0</v>
      </c>
      <c r="BQ100" s="1" cm="1">
        <f t="array" ref="BQ100">IF(I100="","",IF(BP100=1,"",IF(L100=0,"",IF(B100=1,"",_xlfn.XLOOKUP(1,($I$2:$I$313=$I100)*($B$2:$B$313=($B100-1)),$BO$2:$BO$313)))))</f>
        <v>14</v>
      </c>
      <c r="BR100" s="1">
        <f>IF(I100="","",IF($B100=1,_xlfn.MINIFS($BO$2:$BO$313,$B$2:$B$313,$B100),_xlfn.MINIFS(BQ$2:$BQ$313,$B$2:$B$313,$B100)))</f>
        <v>3</v>
      </c>
      <c r="BS100" s="1">
        <f t="shared" si="113"/>
        <v>4</v>
      </c>
      <c r="BT100" s="1" t="str" cm="1">
        <f t="array" ref="BT100">IF($I100="","",IF($B100=1,_xlfn.XLOOKUP(1,($B$2:$B$313=$B100)*($BO$2:$BO$313=BR100),Data!$I$2:$I$313,,0),_xlfn.XLOOKUP(1,($B$2:$B$313=$B100)*($BQ$2:$BQ$313=$BR100),$I$2:$I$313,,0)))</f>
        <v>Jami Kallio</v>
      </c>
      <c r="BU100" s="1" t="str" cm="1">
        <f t="array" ref="BU100">IF(I100="","",IF($B100=1,_xlfn.XLOOKUP(1,($B$2:$B$313=$B100)*($BO$2:$BO$313=$BS100),$I$2:$I$313,,0),_xlfn.XLOOKUP(1,($B$2:$B$313=$B100)*($BQ$2:$BQ$313=$BS100),$I$2:$I$313,,0)))</f>
        <v>Asko Haaksi</v>
      </c>
      <c r="BV100" s="1" t="str" cm="1">
        <f t="array" ref="BV100">IF($I100="","",IF($B100=1,"",IF($B100=2,_xlfn.XLOOKUP(1,($B$2:$B$313=1)*($BO$2:$BO$313=1),$I$2:$I$313,,0),_xlfn.XLOOKUP($B100-1,$B$2:$B$313,$CH$2:$CH$313,,0))))</f>
        <v>Miika Nordblad</v>
      </c>
      <c r="BW100" s="1" t="str" cm="1">
        <f t="array" ref="BW100">IF($I100="","",IF($B100=1,"",IF(_xlfn.XLOOKUP(1,($B$2:$B$313=$B100)*($I$2:$I$313=$BV100),$BQ$2:$BQ$313,,0)="","NOK","OK")))</f>
        <v>NOK</v>
      </c>
      <c r="BX100" s="1" t="str">
        <f t="shared" si="114"/>
        <v>Jami Kallio</v>
      </c>
      <c r="BY100" s="1" t="str">
        <f t="shared" si="115"/>
        <v>Asko Haaksi</v>
      </c>
      <c r="BZ100" s="1">
        <f t="shared" si="116"/>
        <v>164</v>
      </c>
      <c r="CA100" s="1">
        <f t="shared" si="117"/>
        <v>149</v>
      </c>
      <c r="CB100" s="1">
        <f t="shared" si="118"/>
        <v>9.8999999999999994E-5</v>
      </c>
      <c r="CC100" s="1">
        <f t="shared" si="119"/>
        <v>127</v>
      </c>
      <c r="CD100" s="1">
        <f t="shared" si="120"/>
        <v>97</v>
      </c>
      <c r="CE100" s="1">
        <f t="shared" si="121"/>
        <v>9.8999999999999994E-5</v>
      </c>
      <c r="CF100" s="1" t="str">
        <f t="shared" si="122"/>
        <v>Jami Kallio (3)</v>
      </c>
      <c r="CG100" s="1" t="str">
        <f t="shared" si="123"/>
        <v>Asko Haaksi (4)</v>
      </c>
      <c r="CH100" s="1" t="str">
        <f t="shared" si="124"/>
        <v>Jami Kallio</v>
      </c>
      <c r="CI100" s="1">
        <f t="shared" si="125"/>
        <v>0</v>
      </c>
      <c r="CJ100" s="1" t="str">
        <f ca="1">IF(B100="","",IF(SUM(AI100:AK100)&gt;0,"+SP","")&amp;IF(CI100&gt;0,"+KK","")&amp;IF(AB100&gt;0,"+KGP1","")&amp;IF(AC100&gt;0,"+KGP2","")&amp;IF(AG100&lt;0,"-KGP1","")&amp;IF(AH100&lt;0,"-KGP2",""))</f>
        <v>+SP</v>
      </c>
    </row>
    <row r="101" spans="1:88" x14ac:dyDescent="0.25">
      <c r="A101" s="1">
        <f>IFERROR(IF(ROW(A100)=1,1,IF(1+A100&lt;=$CP$1*$CP$2,1+A100,"")),"")</f>
        <v>100</v>
      </c>
      <c r="B101" s="1">
        <f>IF($I101="","",IF(ROW(B100)=1,1,ROUNDUP(A101/$CP$2,0)))</f>
        <v>6</v>
      </c>
      <c r="C101" s="4">
        <f t="shared" si="71"/>
        <v>45640</v>
      </c>
      <c r="D101" s="4" t="str">
        <f t="shared" si="65"/>
        <v>Aninkaisten keilahalli *</v>
      </c>
      <c r="E101" s="1">
        <f>IF($B101="","",COUNTIF($B$2:B101,B101))</f>
        <v>10</v>
      </c>
      <c r="F101" s="1" t="str">
        <f t="shared" si="66"/>
        <v>K2024GP06</v>
      </c>
      <c r="G101" s="1" t="str">
        <f t="shared" si="72"/>
        <v>K2024GP06_10</v>
      </c>
      <c r="H101" s="1">
        <f t="shared" si="73"/>
        <v>1</v>
      </c>
      <c r="I101" s="3" t="s">
        <v>130</v>
      </c>
      <c r="J101" s="3">
        <v>146</v>
      </c>
      <c r="K101" s="3">
        <v>204</v>
      </c>
      <c r="L101" s="1">
        <f t="shared" si="74"/>
        <v>350</v>
      </c>
      <c r="M101" s="1">
        <f t="shared" si="75"/>
        <v>1</v>
      </c>
      <c r="N101" s="1">
        <f t="shared" si="76"/>
        <v>1</v>
      </c>
      <c r="O101" s="1">
        <f t="shared" si="77"/>
        <v>350</v>
      </c>
      <c r="P101" s="1" t="str">
        <f t="shared" si="78"/>
        <v/>
      </c>
      <c r="Q101" s="1" t="str">
        <f t="array" ref="Q101">IF($B101="","",IF(MAX(IF(B101=$B$2:$B$313,$L$2:$L$313))-L101=0,"",MAX(IF(B101=$B$2:$B$313,$L$2:$L$313))-L101))</f>
        <v/>
      </c>
      <c r="R101" s="1">
        <f t="array" ref="R101">IF($B101="","",SUMPRODUCT(--($B$2:$B$313=B101),--(L101&lt;$L$2:$L$313))+1)</f>
        <v>1</v>
      </c>
      <c r="S101" s="1">
        <f t="shared" si="79"/>
        <v>2</v>
      </c>
      <c r="T101" s="1" cm="1">
        <f t="array" ref="T101">IF($B101="","",IF(M101=0,"",SUMPRODUCT(--($B$2:$B$313=B101),--(J101&lt;$J$2:$J$313))+1))</f>
        <v>4</v>
      </c>
      <c r="U101" s="1">
        <f t="shared" si="80"/>
        <v>-3</v>
      </c>
      <c r="V101" s="1" t="str">
        <f t="shared" si="81"/>
        <v>0601</v>
      </c>
      <c r="W101" s="1">
        <f t="shared" si="82"/>
        <v>1</v>
      </c>
      <c r="X101" s="1">
        <f t="shared" si="67"/>
        <v>1</v>
      </c>
      <c r="Y101" s="1">
        <f>IF($B101="","",MAX(_xlfn.MAXIFS($J$2:J101,$I$2:I101,$I101),_xlfn.MAXIFS($K$2:K101,$I$2:I101,$I101)))</f>
        <v>204</v>
      </c>
      <c r="Z101" s="1">
        <f t="shared" si="83"/>
        <v>204</v>
      </c>
      <c r="AA101" s="1">
        <f t="shared" si="84"/>
        <v>1</v>
      </c>
      <c r="AB101" s="1">
        <f t="shared" si="85"/>
        <v>1</v>
      </c>
      <c r="AC101" s="1">
        <f t="shared" si="86"/>
        <v>1</v>
      </c>
      <c r="AD101" s="1">
        <f>IF($B101="","",MIN(_xlfn.MINIFS($J$2:J101,$I$2:I101,$I101),_xlfn.MINIFS($K$2:K101,$I$2:I101,$I101)))</f>
        <v>111</v>
      </c>
      <c r="AE101" s="1">
        <f t="shared" si="87"/>
        <v>59</v>
      </c>
      <c r="AF101" s="1">
        <f t="shared" si="88"/>
        <v>0</v>
      </c>
      <c r="AG101" s="1">
        <f t="shared" si="89"/>
        <v>0</v>
      </c>
      <c r="AH101" s="1">
        <f t="shared" si="90"/>
        <v>0</v>
      </c>
      <c r="AI101" s="1">
        <f ca="1">IF($B101="","",IF($K101="",0,OFFSET($CO$17,R101,W101)))</f>
        <v>12</v>
      </c>
      <c r="AJ101" s="1">
        <f t="shared" ca="1" si="91"/>
        <v>0</v>
      </c>
      <c r="AK101" s="1">
        <f ca="1">IF(AJ101="","",IF(AJ101=0,0,IF(W101=1,0,SUM(OFFSET($CO$17,N101,1):OFFSET($CO$17,N101+W101-2,1))/W101)))</f>
        <v>0</v>
      </c>
      <c r="AL101" s="1">
        <f t="shared" ca="1" si="92"/>
        <v>14</v>
      </c>
      <c r="AM101" s="1">
        <f ca="1">IF($B101="","",SUMIFS($AL$2:AL101,$I$2:I101,$I101))</f>
        <v>32.5</v>
      </c>
      <c r="AN101" s="1">
        <f t="shared" si="93"/>
        <v>1.0001</v>
      </c>
      <c r="AO101" s="1">
        <f>IFERROR(IF($B101="","",AVERAGEIFS($L$2:L101,$I$2:I101,I101,$L$2:L101,"&lt;&gt;0")),0)</f>
        <v>308</v>
      </c>
      <c r="AP101" s="1">
        <f t="shared" si="94"/>
        <v>154</v>
      </c>
      <c r="AQ101" s="1">
        <f>IF($B101="","",COUNTIFS($R$2:R101,1,$I$2:I101,$I101))</f>
        <v>2</v>
      </c>
      <c r="AR101" s="1">
        <f t="array" aca="1" ref="AR101" ca="1">IF($B101="","",SUMPRODUCT(--($B$2:$B$313=B101),--(AM101&lt;$AM$2:$AM$313))+1)</f>
        <v>5</v>
      </c>
      <c r="AS101" s="1">
        <f t="array" ref="AS101">IF($B101="","",SUMPRODUCT(--($B$2:$B$313=B101),--(AP101&lt;$AP$2:$AP$313))+1)</f>
        <v>2</v>
      </c>
      <c r="AT101" s="1">
        <f t="array" ref="AT101">IF($B101="","",SUMPRODUCT(--($B$2:$B$313=B101),--(AQ101&lt;$AQ$2:$AQ$313))+1)</f>
        <v>1</v>
      </c>
      <c r="AU101" s="1">
        <f t="shared" si="95"/>
        <v>9.9999999999999995E-8</v>
      </c>
      <c r="AV101" s="1">
        <f t="shared" ca="1" si="96"/>
        <v>5.0201100000000005E-2</v>
      </c>
      <c r="AW101" s="1" t="str">
        <f t="shared" si="68"/>
        <v/>
      </c>
      <c r="AX101" s="1" t="str">
        <f t="shared" si="97"/>
        <v/>
      </c>
      <c r="AY101" s="8">
        <f t="shared" ca="1" si="98"/>
        <v>5.0201100000000005E-2</v>
      </c>
      <c r="AZ101" s="1" cm="1">
        <f t="array" aca="1" ref="AZ101" ca="1">IF($B101="","",SUMPRODUCT(--($B$2:$B$313=B101),--(AY101&gt;$AY$2:$AY$313))+1)</f>
        <v>5</v>
      </c>
      <c r="BA101" s="1" t="str">
        <f t="shared" si="99"/>
        <v>K2024GP06_10_1</v>
      </c>
      <c r="BB101" s="1" t="str">
        <f t="shared" si="100"/>
        <v>K2024GP06_10_2</v>
      </c>
      <c r="BC101" s="1">
        <f t="shared" si="101"/>
        <v>1</v>
      </c>
      <c r="BD101" s="1">
        <f t="shared" si="102"/>
        <v>1</v>
      </c>
      <c r="BE101" s="1">
        <f t="shared" si="103"/>
        <v>1</v>
      </c>
      <c r="BF101" s="1">
        <f t="shared" si="104"/>
        <v>204</v>
      </c>
      <c r="BG101" s="1">
        <f t="shared" si="105"/>
        <v>146</v>
      </c>
      <c r="BH101" s="1">
        <f t="shared" si="106"/>
        <v>1</v>
      </c>
      <c r="BI101" s="1">
        <f t="shared" si="107"/>
        <v>3</v>
      </c>
      <c r="BJ101" s="1">
        <f t="shared" si="108"/>
        <v>1.03E-2</v>
      </c>
      <c r="BK101" s="1">
        <f t="shared" si="109"/>
        <v>0</v>
      </c>
      <c r="BL101" s="1">
        <f t="shared" si="110"/>
        <v>9.8999999999999994E-5</v>
      </c>
      <c r="BM101" s="1">
        <f t="shared" si="111"/>
        <v>1.0399E-2</v>
      </c>
      <c r="BN101" s="1">
        <f t="shared" si="112"/>
        <v>0</v>
      </c>
      <c r="BO101" s="1">
        <f t="shared" si="69"/>
        <v>1</v>
      </c>
      <c r="BP101" s="1">
        <f t="shared" si="70"/>
        <v>0</v>
      </c>
      <c r="BQ101" s="1" cm="1">
        <f t="array" ref="BQ101">IF(I101="","",IF(BP101=1,"",IF(L101=0,"",IF(B101=1,"",_xlfn.XLOOKUP(1,($I$2:$I$313=$I101)*($B$2:$B$313=($B101-1)),$BO$2:$BO$313)))))</f>
        <v>18</v>
      </c>
      <c r="BR101" s="1">
        <f>IF(I101="","",IF($B101=1,_xlfn.MINIFS($BO$2:$BO$313,$B$2:$B$313,$B101),_xlfn.MINIFS(BQ$2:$BQ$313,$B$2:$B$313,$B101)))</f>
        <v>3</v>
      </c>
      <c r="BS101" s="1">
        <f t="shared" si="113"/>
        <v>4</v>
      </c>
      <c r="BT101" s="1" t="str" cm="1">
        <f t="array" ref="BT101">IF($I101="","",IF($B101=1,_xlfn.XLOOKUP(1,($B$2:$B$313=$B101)*($BO$2:$BO$313=BR101),Data!$I$2:$I$313,,0),_xlfn.XLOOKUP(1,($B$2:$B$313=$B101)*($BQ$2:$BQ$313=$BR101),$I$2:$I$313,,0)))</f>
        <v>Jami Kallio</v>
      </c>
      <c r="BU101" s="1" t="str" cm="1">
        <f t="array" ref="BU101">IF(I101="","",IF($B101=1,_xlfn.XLOOKUP(1,($B$2:$B$313=$B101)*($BO$2:$BO$313=$BS101),$I$2:$I$313,,0),_xlfn.XLOOKUP(1,($B$2:$B$313=$B101)*($BQ$2:$BQ$313=$BS101),$I$2:$I$313,,0)))</f>
        <v>Asko Haaksi</v>
      </c>
      <c r="BV101" s="1" t="str" cm="1">
        <f t="array" ref="BV101">IF($I101="","",IF($B101=1,"",IF($B101=2,_xlfn.XLOOKUP(1,($B$2:$B$313=1)*($BO$2:$BO$313=1),$I$2:$I$313,,0),_xlfn.XLOOKUP($B101-1,$B$2:$B$313,$CH$2:$CH$313,,0))))</f>
        <v>Miika Nordblad</v>
      </c>
      <c r="BW101" s="1" t="str" cm="1">
        <f t="array" ref="BW101">IF($I101="","",IF($B101=1,"",IF(_xlfn.XLOOKUP(1,($B$2:$B$313=$B101)*($I$2:$I$313=$BV101),$BQ$2:$BQ$313,,0)="","NOK","OK")))</f>
        <v>NOK</v>
      </c>
      <c r="BX101" s="1" t="str">
        <f t="shared" si="114"/>
        <v>Jami Kallio</v>
      </c>
      <c r="BY101" s="1" t="str">
        <f t="shared" si="115"/>
        <v>Asko Haaksi</v>
      </c>
      <c r="BZ101" s="1">
        <f t="shared" si="116"/>
        <v>164</v>
      </c>
      <c r="CA101" s="1">
        <f t="shared" si="117"/>
        <v>149</v>
      </c>
      <c r="CB101" s="1">
        <f t="shared" si="118"/>
        <v>9.8999999999999994E-5</v>
      </c>
      <c r="CC101" s="1">
        <f t="shared" si="119"/>
        <v>127</v>
      </c>
      <c r="CD101" s="1">
        <f t="shared" si="120"/>
        <v>97</v>
      </c>
      <c r="CE101" s="1">
        <f t="shared" si="121"/>
        <v>9.8999999999999994E-5</v>
      </c>
      <c r="CF101" s="1" t="str">
        <f t="shared" si="122"/>
        <v>Jami Kallio (3)</v>
      </c>
      <c r="CG101" s="1" t="str">
        <f t="shared" si="123"/>
        <v>Asko Haaksi (4)</v>
      </c>
      <c r="CH101" s="1" t="str">
        <f t="shared" si="124"/>
        <v>Jami Kallio</v>
      </c>
      <c r="CI101" s="1">
        <f t="shared" si="125"/>
        <v>0</v>
      </c>
      <c r="CJ101" s="1" t="str">
        <f ca="1">IF(B101="","",IF(SUM(AI101:AK101)&gt;0,"+SP","")&amp;IF(CI101&gt;0,"+KK","")&amp;IF(AB101&gt;0,"+KGP1","")&amp;IF(AC101&gt;0,"+KGP2","")&amp;IF(AG101&lt;0,"-KGP1","")&amp;IF(AH101&lt;0,"-KGP2",""))</f>
        <v>+SP+KGP1+KGP2</v>
      </c>
    </row>
    <row r="102" spans="1:88" x14ac:dyDescent="0.25">
      <c r="A102" s="1">
        <f>IFERROR(IF(ROW(A101)=1,1,IF(1+A101&lt;=$CP$1*$CP$2,1+A101,"")),"")</f>
        <v>101</v>
      </c>
      <c r="B102" s="1">
        <f>IF($I102="","",IF(ROW(B101)=1,1,ROUNDUP(A102/$CP$2,0)))</f>
        <v>6</v>
      </c>
      <c r="C102" s="4">
        <f t="shared" si="71"/>
        <v>45640</v>
      </c>
      <c r="D102" s="4" t="str">
        <f t="shared" si="65"/>
        <v>Aninkaisten keilahalli *</v>
      </c>
      <c r="E102" s="1">
        <f>IF($B102="","",COUNTIF($B$2:B102,B102))</f>
        <v>11</v>
      </c>
      <c r="F102" s="1" t="str">
        <f t="shared" si="66"/>
        <v>K2024GP06</v>
      </c>
      <c r="G102" s="1" t="str">
        <f t="shared" si="72"/>
        <v>K2024GP06_11</v>
      </c>
      <c r="H102" s="1">
        <f t="shared" si="73"/>
        <v>1</v>
      </c>
      <c r="I102" s="3" t="s">
        <v>128</v>
      </c>
      <c r="J102" s="3">
        <v>92</v>
      </c>
      <c r="K102" s="3">
        <v>126</v>
      </c>
      <c r="L102" s="1">
        <f t="shared" si="74"/>
        <v>218</v>
      </c>
      <c r="M102" s="1">
        <f t="shared" si="75"/>
        <v>1</v>
      </c>
      <c r="N102" s="1">
        <f t="shared" si="76"/>
        <v>13</v>
      </c>
      <c r="O102" s="1">
        <f t="shared" si="77"/>
        <v>218</v>
      </c>
      <c r="P102" s="1">
        <f t="shared" si="78"/>
        <v>132</v>
      </c>
      <c r="Q102" s="1">
        <f t="array" ref="Q102">IF($B102="","",IF(MAX(IF(B102=$B$2:$B$313,$L$2:$L$313))-L102=0,"",MAX(IF(B102=$B$2:$B$313,$L$2:$L$313))-L102))</f>
        <v>132</v>
      </c>
      <c r="R102" s="1">
        <f t="array" ref="R102">IF($B102="","",SUMPRODUCT(--($B$2:$B$313=B102),--(L102&lt;$L$2:$L$313))+1)</f>
        <v>13</v>
      </c>
      <c r="S102" s="1">
        <f t="shared" si="79"/>
        <v>2</v>
      </c>
      <c r="T102" s="1" cm="1">
        <f t="array" ref="T102">IF($B102="","",IF(M102=0,"",SUMPRODUCT(--($B$2:$B$313=B102),--(J102&lt;$J$2:$J$313))+1))</f>
        <v>13</v>
      </c>
      <c r="U102" s="1">
        <f t="shared" si="80"/>
        <v>0</v>
      </c>
      <c r="V102" s="1" t="str">
        <f t="shared" si="81"/>
        <v>0613</v>
      </c>
      <c r="W102" s="1">
        <f t="shared" si="82"/>
        <v>1</v>
      </c>
      <c r="X102" s="1">
        <f t="shared" si="67"/>
        <v>1</v>
      </c>
      <c r="Y102" s="1">
        <f>IF($B102="","",MAX(_xlfn.MAXIFS($J$2:J102,$I$2:I102,$I102),_xlfn.MAXIFS($K$2:K102,$I$2:I102,$I102)))</f>
        <v>164</v>
      </c>
      <c r="Z102" s="1">
        <f t="shared" si="83"/>
        <v>204</v>
      </c>
      <c r="AA102" s="1">
        <f t="shared" si="84"/>
        <v>0</v>
      </c>
      <c r="AB102" s="1">
        <f t="shared" si="85"/>
        <v>0</v>
      </c>
      <c r="AC102" s="1">
        <f t="shared" si="86"/>
        <v>0</v>
      </c>
      <c r="AD102" s="1">
        <f>IF($B102="","",MIN(_xlfn.MINIFS($J$2:J102,$I$2:I102,$I102),_xlfn.MINIFS($K$2:K102,$I$2:I102,$I102)))</f>
        <v>92</v>
      </c>
      <c r="AE102" s="1">
        <f t="shared" si="87"/>
        <v>59</v>
      </c>
      <c r="AF102" s="1">
        <f t="shared" si="88"/>
        <v>0</v>
      </c>
      <c r="AG102" s="1">
        <f t="shared" si="89"/>
        <v>0</v>
      </c>
      <c r="AH102" s="1">
        <f t="shared" si="90"/>
        <v>-1</v>
      </c>
      <c r="AI102" s="1">
        <f ca="1">IF($B102="","",IF($K102="",0,OFFSET($CO$17,R102,W102)))</f>
        <v>0</v>
      </c>
      <c r="AJ102" s="1">
        <f t="shared" ca="1" si="91"/>
        <v>0</v>
      </c>
      <c r="AK102" s="1">
        <f ca="1">IF(AJ102="","",IF(AJ102=0,0,IF(W102=1,0,SUM(OFFSET($CO$17,N102,1):OFFSET($CO$17,N102+W102-2,1))/W102)))</f>
        <v>0</v>
      </c>
      <c r="AL102" s="1">
        <f t="shared" ca="1" si="92"/>
        <v>-1</v>
      </c>
      <c r="AM102" s="1">
        <f ca="1">IF($B102="","",SUMIFS($AL$2:AL102,$I$2:I102,$I102))</f>
        <v>20</v>
      </c>
      <c r="AN102" s="1">
        <f t="shared" si="93"/>
        <v>13.000101000000001</v>
      </c>
      <c r="AO102" s="1">
        <f>IFERROR(IF($B102="","",AVERAGEIFS($L$2:L102,$I$2:I102,I102,$L$2:L102,"&lt;&gt;0")),0)</f>
        <v>249.8</v>
      </c>
      <c r="AP102" s="1">
        <f t="shared" si="94"/>
        <v>124.9</v>
      </c>
      <c r="AQ102" s="1">
        <f>IF($B102="","",COUNTIFS($R$2:R102,1,$I$2:I102,$I102))</f>
        <v>1</v>
      </c>
      <c r="AR102" s="1">
        <f t="array" aca="1" ref="AR102" ca="1">IF($B102="","",SUMPRODUCT(--($B$2:$B$313=B102),--(AM102&lt;$AM$2:$AM$313))+1)</f>
        <v>8</v>
      </c>
      <c r="AS102" s="1">
        <f t="array" ref="AS102">IF($B102="","",SUMPRODUCT(--($B$2:$B$313=B102),--(AP102&lt;$AP$2:$AP$313))+1)</f>
        <v>13</v>
      </c>
      <c r="AT102" s="1">
        <f t="array" ref="AT102">IF($B102="","",SUMPRODUCT(--($B$2:$B$313=B102),--(AQ102&lt;$AQ$2:$AQ$313))+1)</f>
        <v>3</v>
      </c>
      <c r="AU102" s="1">
        <f t="shared" si="95"/>
        <v>1.01E-7</v>
      </c>
      <c r="AV102" s="1">
        <f t="shared" ca="1" si="96"/>
        <v>8.1303101000000003E-2</v>
      </c>
      <c r="AW102" s="1" t="str">
        <f t="shared" si="68"/>
        <v/>
      </c>
      <c r="AX102" s="1" t="str">
        <f t="shared" si="97"/>
        <v/>
      </c>
      <c r="AY102" s="8">
        <f t="shared" ca="1" si="98"/>
        <v>8.1303101000000003E-2</v>
      </c>
      <c r="AZ102" s="1" cm="1">
        <f t="array" aca="1" ref="AZ102" ca="1">IF($B102="","",SUMPRODUCT(--($B$2:$B$313=B102),--(AY102&gt;$AY$2:$AY$313))+1)</f>
        <v>8</v>
      </c>
      <c r="BA102" s="1" t="str">
        <f t="shared" si="99"/>
        <v>K2024GP06_11_1</v>
      </c>
      <c r="BB102" s="1" t="str">
        <f t="shared" si="100"/>
        <v>K2024GP06_11_2</v>
      </c>
      <c r="BC102" s="1">
        <f t="shared" si="101"/>
        <v>0</v>
      </c>
      <c r="BD102" s="1">
        <f t="shared" si="102"/>
        <v>0</v>
      </c>
      <c r="BE102" s="1">
        <f t="shared" si="103"/>
        <v>1</v>
      </c>
      <c r="BF102" s="1">
        <f t="shared" si="104"/>
        <v>126</v>
      </c>
      <c r="BG102" s="1">
        <f t="shared" si="105"/>
        <v>92</v>
      </c>
      <c r="BH102" s="1">
        <f t="shared" si="106"/>
        <v>12</v>
      </c>
      <c r="BI102" s="1">
        <f t="shared" si="107"/>
        <v>13</v>
      </c>
      <c r="BJ102" s="1">
        <f t="shared" si="108"/>
        <v>0.12129999999999999</v>
      </c>
      <c r="BK102" s="1">
        <f t="shared" si="109"/>
        <v>0</v>
      </c>
      <c r="BL102" s="1">
        <f t="shared" si="110"/>
        <v>9.8999999999999994E-5</v>
      </c>
      <c r="BM102" s="1">
        <f t="shared" si="111"/>
        <v>0.12139899999999999</v>
      </c>
      <c r="BN102" s="1">
        <f t="shared" si="112"/>
        <v>0</v>
      </c>
      <c r="BO102" s="1">
        <f t="shared" si="69"/>
        <v>12</v>
      </c>
      <c r="BP102" s="1">
        <f t="shared" si="70"/>
        <v>0</v>
      </c>
      <c r="BQ102" s="1" cm="1">
        <f t="array" ref="BQ102">IF(I102="","",IF(BP102=1,"",IF(L102=0,"",IF(B102=1,"",_xlfn.XLOOKUP(1,($I$2:$I$313=$I102)*($B$2:$B$313=($B102-1)),$BO$2:$BO$313)))))</f>
        <v>15</v>
      </c>
      <c r="BR102" s="1">
        <f>IF(I102="","",IF($B102=1,_xlfn.MINIFS($BO$2:$BO$313,$B$2:$B$313,$B102),_xlfn.MINIFS(BQ$2:$BQ$313,$B$2:$B$313,$B102)))</f>
        <v>3</v>
      </c>
      <c r="BS102" s="1">
        <f t="shared" si="113"/>
        <v>4</v>
      </c>
      <c r="BT102" s="1" t="str" cm="1">
        <f t="array" ref="BT102">IF($I102="","",IF($B102=1,_xlfn.XLOOKUP(1,($B$2:$B$313=$B102)*($BO$2:$BO$313=BR102),Data!$I$2:$I$313,,0),_xlfn.XLOOKUP(1,($B$2:$B$313=$B102)*($BQ$2:$BQ$313=$BR102),$I$2:$I$313,,0)))</f>
        <v>Jami Kallio</v>
      </c>
      <c r="BU102" s="1" t="str" cm="1">
        <f t="array" ref="BU102">IF(I102="","",IF($B102=1,_xlfn.XLOOKUP(1,($B$2:$B$313=$B102)*($BO$2:$BO$313=$BS102),$I$2:$I$313,,0),_xlfn.XLOOKUP(1,($B$2:$B$313=$B102)*($BQ$2:$BQ$313=$BS102),$I$2:$I$313,,0)))</f>
        <v>Asko Haaksi</v>
      </c>
      <c r="BV102" s="1" t="str" cm="1">
        <f t="array" ref="BV102">IF($I102="","",IF($B102=1,"",IF($B102=2,_xlfn.XLOOKUP(1,($B$2:$B$313=1)*($BO$2:$BO$313=1),$I$2:$I$313,,0),_xlfn.XLOOKUP($B102-1,$B$2:$B$313,$CH$2:$CH$313,,0))))</f>
        <v>Miika Nordblad</v>
      </c>
      <c r="BW102" s="1" t="str" cm="1">
        <f t="array" ref="BW102">IF($I102="","",IF($B102=1,"",IF(_xlfn.XLOOKUP(1,($B$2:$B$313=$B102)*($I$2:$I$313=$BV102),$BQ$2:$BQ$313,,0)="","NOK","OK")))</f>
        <v>NOK</v>
      </c>
      <c r="BX102" s="1" t="str">
        <f t="shared" si="114"/>
        <v>Jami Kallio</v>
      </c>
      <c r="BY102" s="1" t="str">
        <f t="shared" si="115"/>
        <v>Asko Haaksi</v>
      </c>
      <c r="BZ102" s="1">
        <f t="shared" si="116"/>
        <v>164</v>
      </c>
      <c r="CA102" s="1">
        <f t="shared" si="117"/>
        <v>149</v>
      </c>
      <c r="CB102" s="1">
        <f t="shared" si="118"/>
        <v>9.8999999999999994E-5</v>
      </c>
      <c r="CC102" s="1">
        <f t="shared" si="119"/>
        <v>127</v>
      </c>
      <c r="CD102" s="1">
        <f t="shared" si="120"/>
        <v>97</v>
      </c>
      <c r="CE102" s="1">
        <f t="shared" si="121"/>
        <v>9.8999999999999994E-5</v>
      </c>
      <c r="CF102" s="1" t="str">
        <f t="shared" si="122"/>
        <v>Jami Kallio (3)</v>
      </c>
      <c r="CG102" s="1" t="str">
        <f t="shared" si="123"/>
        <v>Asko Haaksi (4)</v>
      </c>
      <c r="CH102" s="1" t="str">
        <f t="shared" si="124"/>
        <v>Jami Kallio</v>
      </c>
      <c r="CI102" s="1">
        <f t="shared" si="125"/>
        <v>0</v>
      </c>
      <c r="CJ102" s="1" t="str">
        <f ca="1">IF(B102="","",IF(SUM(AI102:AK102)&gt;0,"+SP","")&amp;IF(CI102&gt;0,"+KK","")&amp;IF(AB102&gt;0,"+KGP1","")&amp;IF(AC102&gt;0,"+KGP2","")&amp;IF(AG102&lt;0,"-KGP1","")&amp;IF(AH102&lt;0,"-KGP2",""))</f>
        <v>-KGP2</v>
      </c>
    </row>
    <row r="103" spans="1:88" x14ac:dyDescent="0.25">
      <c r="A103" s="1">
        <f>IFERROR(IF(ROW(A102)=1,1,IF(1+A102&lt;=$CP$1*$CP$2,1+A102,"")),"")</f>
        <v>102</v>
      </c>
      <c r="B103" s="1">
        <f>IF($I103="","",IF(ROW(B102)=1,1,ROUNDUP(A103/$CP$2,0)))</f>
        <v>6</v>
      </c>
      <c r="C103" s="4">
        <f t="shared" si="71"/>
        <v>45640</v>
      </c>
      <c r="D103" s="4" t="str">
        <f t="shared" si="65"/>
        <v>Aninkaisten keilahalli *</v>
      </c>
      <c r="E103" s="1">
        <f>IF($B103="","",COUNTIF($B$2:B103,B103))</f>
        <v>12</v>
      </c>
      <c r="F103" s="1" t="str">
        <f t="shared" si="66"/>
        <v>K2024GP06</v>
      </c>
      <c r="G103" s="1" t="str">
        <f t="shared" si="72"/>
        <v>K2024GP06_12</v>
      </c>
      <c r="H103" s="1">
        <f t="shared" si="73"/>
        <v>1</v>
      </c>
      <c r="I103" s="3" t="s">
        <v>127</v>
      </c>
      <c r="J103" s="3">
        <v>59</v>
      </c>
      <c r="K103" s="3">
        <v>119</v>
      </c>
      <c r="L103" s="1">
        <f t="shared" si="74"/>
        <v>178</v>
      </c>
      <c r="M103" s="1">
        <f t="shared" si="75"/>
        <v>1</v>
      </c>
      <c r="N103" s="1">
        <f t="shared" si="76"/>
        <v>14</v>
      </c>
      <c r="O103" s="1">
        <f t="shared" si="77"/>
        <v>178</v>
      </c>
      <c r="P103" s="1">
        <f t="shared" si="78"/>
        <v>172</v>
      </c>
      <c r="Q103" s="1">
        <f t="array" ref="Q103">IF($B103="","",IF(MAX(IF(B103=$B$2:$B$313,$L$2:$L$313))-L103=0,"",MAX(IF(B103=$B$2:$B$313,$L$2:$L$313))-L103))</f>
        <v>172</v>
      </c>
      <c r="R103" s="1">
        <f t="array" ref="R103">IF($B103="","",SUMPRODUCT(--($B$2:$B$313=B103),--(L103&lt;$L$2:$L$313))+1)</f>
        <v>14</v>
      </c>
      <c r="S103" s="1">
        <f t="shared" si="79"/>
        <v>2</v>
      </c>
      <c r="T103" s="1" cm="1">
        <f t="array" ref="T103">IF($B103="","",IF(M103=0,"",SUMPRODUCT(--($B$2:$B$313=B103),--(J103&lt;$J$2:$J$313))+1))</f>
        <v>15</v>
      </c>
      <c r="U103" s="1">
        <f t="shared" si="80"/>
        <v>-1</v>
      </c>
      <c r="V103" s="1" t="str">
        <f t="shared" si="81"/>
        <v>0614</v>
      </c>
      <c r="W103" s="1">
        <f t="shared" si="82"/>
        <v>1</v>
      </c>
      <c r="X103" s="1">
        <f t="shared" si="67"/>
        <v>1</v>
      </c>
      <c r="Y103" s="1">
        <f>IF($B103="","",MAX(_xlfn.MAXIFS($J$2:J103,$I$2:I103,$I103),_xlfn.MAXIFS($K$2:K103,$I$2:I103,$I103)))</f>
        <v>119</v>
      </c>
      <c r="Z103" s="1">
        <f t="shared" si="83"/>
        <v>204</v>
      </c>
      <c r="AA103" s="1">
        <f t="shared" si="84"/>
        <v>0</v>
      </c>
      <c r="AB103" s="1">
        <f t="shared" si="85"/>
        <v>0</v>
      </c>
      <c r="AC103" s="1">
        <f t="shared" si="86"/>
        <v>1</v>
      </c>
      <c r="AD103" s="1">
        <f>IF($B103="","",MIN(_xlfn.MINIFS($J$2:J103,$I$2:I103,$I103),_xlfn.MINIFS($K$2:K103,$I$2:I103,$I103)))</f>
        <v>59</v>
      </c>
      <c r="AE103" s="1">
        <f t="shared" si="87"/>
        <v>59</v>
      </c>
      <c r="AF103" s="1">
        <f t="shared" si="88"/>
        <v>1</v>
      </c>
      <c r="AG103" s="1">
        <f t="shared" si="89"/>
        <v>-1</v>
      </c>
      <c r="AH103" s="1">
        <f t="shared" si="90"/>
        <v>-1</v>
      </c>
      <c r="AI103" s="1">
        <f ca="1">IF($B103="","",IF($K103="",0,OFFSET($CO$17,R103,W103)))</f>
        <v>0</v>
      </c>
      <c r="AJ103" s="1">
        <f t="shared" ca="1" si="91"/>
        <v>0</v>
      </c>
      <c r="AK103" s="1">
        <f ca="1">IF(AJ103="","",IF(AJ103=0,0,IF(W103=1,0,SUM(OFFSET($CO$17,N103,1):OFFSET($CO$17,N103+W103-2,1))/W103)))</f>
        <v>0</v>
      </c>
      <c r="AL103" s="1">
        <f t="shared" ca="1" si="92"/>
        <v>-1</v>
      </c>
      <c r="AM103" s="1">
        <f ca="1">IF($B103="","",SUMIFS($AL$2:AL103,$I$2:I103,$I103))</f>
        <v>-1</v>
      </c>
      <c r="AN103" s="1">
        <f t="shared" si="93"/>
        <v>14.000102</v>
      </c>
      <c r="AO103" s="1">
        <f>IFERROR(IF($B103="","",AVERAGEIFS($L$2:L103,$I$2:I103,I103,$L$2:L103,"&lt;&gt;0")),0)</f>
        <v>178.33333333333334</v>
      </c>
      <c r="AP103" s="1">
        <f t="shared" si="94"/>
        <v>89.166666666666671</v>
      </c>
      <c r="AQ103" s="1">
        <f>IF($B103="","",COUNTIFS($R$2:R103,1,$I$2:I103,$I103))</f>
        <v>0</v>
      </c>
      <c r="AR103" s="1">
        <f t="array" aca="1" ref="AR103" ca="1">IF($B103="","",SUMPRODUCT(--($B$2:$B$313=B103),--(AM103&lt;$AM$2:$AM$313))+1)</f>
        <v>18</v>
      </c>
      <c r="AS103" s="1">
        <f t="array" ref="AS103">IF($B103="","",SUMPRODUCT(--($B$2:$B$313=B103),--(AP103&lt;$AP$2:$AP$313))+1)</f>
        <v>18</v>
      </c>
      <c r="AT103" s="1">
        <f t="array" ref="AT103">IF($B103="","",SUMPRODUCT(--($B$2:$B$313=B103),--(AQ103&lt;$AQ$2:$AQ$313))+1)</f>
        <v>6</v>
      </c>
      <c r="AU103" s="1">
        <f t="shared" si="95"/>
        <v>1.02E-7</v>
      </c>
      <c r="AV103" s="1">
        <f t="shared" ca="1" si="96"/>
        <v>0.181806102</v>
      </c>
      <c r="AW103" s="1" t="str">
        <f t="shared" si="68"/>
        <v/>
      </c>
      <c r="AX103" s="1" t="str">
        <f t="shared" si="97"/>
        <v/>
      </c>
      <c r="AY103" s="8">
        <f t="shared" ca="1" si="98"/>
        <v>0.181806102</v>
      </c>
      <c r="AZ103" s="1" cm="1">
        <f t="array" aca="1" ref="AZ103" ca="1">IF($B103="","",SUMPRODUCT(--($B$2:$B$313=B103),--(AY103&gt;$AY$2:$AY$313))+1)</f>
        <v>18</v>
      </c>
      <c r="BA103" s="1" t="str">
        <f t="shared" si="99"/>
        <v>K2024GP06_12_1</v>
      </c>
      <c r="BB103" s="1" t="str">
        <f t="shared" si="100"/>
        <v>K2024GP06_12_2</v>
      </c>
      <c r="BC103" s="1">
        <f t="shared" si="101"/>
        <v>0</v>
      </c>
      <c r="BD103" s="1">
        <f t="shared" si="102"/>
        <v>0</v>
      </c>
      <c r="BE103" s="1">
        <f t="shared" si="103"/>
        <v>1</v>
      </c>
      <c r="BF103" s="1">
        <f t="shared" si="104"/>
        <v>119</v>
      </c>
      <c r="BG103" s="1">
        <f t="shared" si="105"/>
        <v>59</v>
      </c>
      <c r="BH103" s="1">
        <f t="shared" si="106"/>
        <v>14</v>
      </c>
      <c r="BI103" s="1">
        <f t="shared" si="107"/>
        <v>15</v>
      </c>
      <c r="BJ103" s="1">
        <f t="shared" si="108"/>
        <v>0.14150000000000001</v>
      </c>
      <c r="BK103" s="1">
        <f t="shared" si="109"/>
        <v>0</v>
      </c>
      <c r="BL103" s="1">
        <f t="shared" si="110"/>
        <v>9.8999999999999994E-5</v>
      </c>
      <c r="BM103" s="1">
        <f t="shared" si="111"/>
        <v>0.141599</v>
      </c>
      <c r="BN103" s="1">
        <f t="shared" si="112"/>
        <v>0</v>
      </c>
      <c r="BO103" s="1">
        <f t="shared" si="69"/>
        <v>14</v>
      </c>
      <c r="BP103" s="1">
        <f t="shared" si="70"/>
        <v>0</v>
      </c>
      <c r="BQ103" s="1" cm="1">
        <f t="array" ref="BQ103">IF(I103="","",IF(BP103=1,"",IF(L103=0,"",IF(B103=1,"",_xlfn.XLOOKUP(1,($I$2:$I$313=$I103)*($B$2:$B$313=($B103-1)),$BO$2:$BO$313)))))</f>
        <v>16</v>
      </c>
      <c r="BR103" s="1">
        <f>IF(I103="","",IF($B103=1,_xlfn.MINIFS($BO$2:$BO$313,$B$2:$B$313,$B103),_xlfn.MINIFS(BQ$2:$BQ$313,$B$2:$B$313,$B103)))</f>
        <v>3</v>
      </c>
      <c r="BS103" s="1">
        <f t="shared" si="113"/>
        <v>4</v>
      </c>
      <c r="BT103" s="1" t="str" cm="1">
        <f t="array" ref="BT103">IF($I103="","",IF($B103=1,_xlfn.XLOOKUP(1,($B$2:$B$313=$B103)*($BO$2:$BO$313=BR103),Data!$I$2:$I$313,,0),_xlfn.XLOOKUP(1,($B$2:$B$313=$B103)*($BQ$2:$BQ$313=$BR103),$I$2:$I$313,,0)))</f>
        <v>Jami Kallio</v>
      </c>
      <c r="BU103" s="1" t="str" cm="1">
        <f t="array" ref="BU103">IF(I103="","",IF($B103=1,_xlfn.XLOOKUP(1,($B$2:$B$313=$B103)*($BO$2:$BO$313=$BS103),$I$2:$I$313,,0),_xlfn.XLOOKUP(1,($B$2:$B$313=$B103)*($BQ$2:$BQ$313=$BS103),$I$2:$I$313,,0)))</f>
        <v>Asko Haaksi</v>
      </c>
      <c r="BV103" s="1" t="str" cm="1">
        <f t="array" ref="BV103">IF($I103="","",IF($B103=1,"",IF($B103=2,_xlfn.XLOOKUP(1,($B$2:$B$313=1)*($BO$2:$BO$313=1),$I$2:$I$313,,0),_xlfn.XLOOKUP($B103-1,$B$2:$B$313,$CH$2:$CH$313,,0))))</f>
        <v>Miika Nordblad</v>
      </c>
      <c r="BW103" s="1" t="str" cm="1">
        <f t="array" ref="BW103">IF($I103="","",IF($B103=1,"",IF(_xlfn.XLOOKUP(1,($B$2:$B$313=$B103)*($I$2:$I$313=$BV103),$BQ$2:$BQ$313,,0)="","NOK","OK")))</f>
        <v>NOK</v>
      </c>
      <c r="BX103" s="1" t="str">
        <f t="shared" si="114"/>
        <v>Jami Kallio</v>
      </c>
      <c r="BY103" s="1" t="str">
        <f t="shared" si="115"/>
        <v>Asko Haaksi</v>
      </c>
      <c r="BZ103" s="1">
        <f t="shared" si="116"/>
        <v>164</v>
      </c>
      <c r="CA103" s="1">
        <f t="shared" si="117"/>
        <v>149</v>
      </c>
      <c r="CB103" s="1">
        <f t="shared" si="118"/>
        <v>9.8999999999999994E-5</v>
      </c>
      <c r="CC103" s="1">
        <f t="shared" si="119"/>
        <v>127</v>
      </c>
      <c r="CD103" s="1">
        <f t="shared" si="120"/>
        <v>97</v>
      </c>
      <c r="CE103" s="1">
        <f t="shared" si="121"/>
        <v>9.8999999999999994E-5</v>
      </c>
      <c r="CF103" s="1" t="str">
        <f t="shared" si="122"/>
        <v>Jami Kallio (3)</v>
      </c>
      <c r="CG103" s="1" t="str">
        <f t="shared" si="123"/>
        <v>Asko Haaksi (4)</v>
      </c>
      <c r="CH103" s="1" t="str">
        <f t="shared" si="124"/>
        <v>Jami Kallio</v>
      </c>
      <c r="CI103" s="1">
        <f t="shared" si="125"/>
        <v>0</v>
      </c>
      <c r="CJ103" s="1" t="str">
        <f ca="1">IF(B103="","",IF(SUM(AI103:AK103)&gt;0,"+SP","")&amp;IF(CI103&gt;0,"+KK","")&amp;IF(AB103&gt;0,"+KGP1","")&amp;IF(AC103&gt;0,"+KGP2","")&amp;IF(AG103&lt;0,"-KGP1","")&amp;IF(AH103&lt;0,"-KGP2",""))</f>
        <v>+KGP2-KGP1-KGP2</v>
      </c>
    </row>
    <row r="104" spans="1:88" x14ac:dyDescent="0.25">
      <c r="A104" s="1">
        <f>IFERROR(IF(ROW(A103)=1,1,IF(1+A103&lt;=$CP$1*$CP$2,1+A103,"")),"")</f>
        <v>103</v>
      </c>
      <c r="B104" s="1">
        <f>IF($I104="","",IF(ROW(B103)=1,1,ROUNDUP(A104/$CP$2,0)))</f>
        <v>6</v>
      </c>
      <c r="C104" s="4">
        <f t="shared" si="71"/>
        <v>45640</v>
      </c>
      <c r="D104" s="4" t="str">
        <f t="shared" si="65"/>
        <v>Aninkaisten keilahalli *</v>
      </c>
      <c r="E104" s="1">
        <f>IF($B104="","",COUNTIF($B$2:B104,B104))</f>
        <v>13</v>
      </c>
      <c r="F104" s="1" t="str">
        <f t="shared" si="66"/>
        <v>K2024GP06</v>
      </c>
      <c r="G104" s="1" t="str">
        <f t="shared" si="72"/>
        <v>K2024GP06_13</v>
      </c>
      <c r="H104" s="1">
        <f t="shared" si="73"/>
        <v>1</v>
      </c>
      <c r="I104" s="3" t="s">
        <v>117</v>
      </c>
      <c r="J104" s="3">
        <v>97</v>
      </c>
      <c r="K104" s="3">
        <v>127</v>
      </c>
      <c r="L104" s="1">
        <f t="shared" si="74"/>
        <v>224</v>
      </c>
      <c r="M104" s="1">
        <f t="shared" si="75"/>
        <v>1</v>
      </c>
      <c r="N104" s="1">
        <f t="shared" si="76"/>
        <v>12</v>
      </c>
      <c r="O104" s="1">
        <f t="shared" si="77"/>
        <v>224</v>
      </c>
      <c r="P104" s="1">
        <f t="shared" si="78"/>
        <v>126</v>
      </c>
      <c r="Q104" s="1">
        <f t="array" ref="Q104">IF($B104="","",IF(MAX(IF(B104=$B$2:$B$313,$L$2:$L$313))-L104=0,"",MAX(IF(B104=$B$2:$B$313,$L$2:$L$313))-L104))</f>
        <v>126</v>
      </c>
      <c r="R104" s="1">
        <f t="array" ref="R104">IF($B104="","",SUMPRODUCT(--($B$2:$B$313=B104),--(L104&lt;$L$2:$L$313))+1)</f>
        <v>12</v>
      </c>
      <c r="S104" s="1">
        <f t="shared" si="79"/>
        <v>2</v>
      </c>
      <c r="T104" s="1" cm="1">
        <f t="array" ref="T104">IF($B104="","",IF(M104=0,"",SUMPRODUCT(--($B$2:$B$313=B104),--(J104&lt;$J$2:$J$313))+1))</f>
        <v>12</v>
      </c>
      <c r="U104" s="1">
        <f t="shared" si="80"/>
        <v>0</v>
      </c>
      <c r="V104" s="1" t="str">
        <f t="shared" si="81"/>
        <v>0612</v>
      </c>
      <c r="W104" s="1">
        <f t="shared" si="82"/>
        <v>1</v>
      </c>
      <c r="X104" s="1">
        <f t="shared" si="67"/>
        <v>1</v>
      </c>
      <c r="Y104" s="1">
        <f>IF($B104="","",MAX(_xlfn.MAXIFS($J$2:J104,$I$2:I104,$I104),_xlfn.MAXIFS($K$2:K104,$I$2:I104,$I104)))</f>
        <v>176</v>
      </c>
      <c r="Z104" s="1">
        <f t="shared" si="83"/>
        <v>204</v>
      </c>
      <c r="AA104" s="1">
        <f t="shared" si="84"/>
        <v>0</v>
      </c>
      <c r="AB104" s="1">
        <f t="shared" si="85"/>
        <v>0</v>
      </c>
      <c r="AC104" s="1">
        <f t="shared" si="86"/>
        <v>0</v>
      </c>
      <c r="AD104" s="1">
        <f>IF($B104="","",MIN(_xlfn.MINIFS($J$2:J104,$I$2:I104,$I104),_xlfn.MINIFS($K$2:K104,$I$2:I104,$I104)))</f>
        <v>97</v>
      </c>
      <c r="AE104" s="1">
        <f t="shared" si="87"/>
        <v>59</v>
      </c>
      <c r="AF104" s="1">
        <f t="shared" si="88"/>
        <v>0</v>
      </c>
      <c r="AG104" s="1">
        <f t="shared" si="89"/>
        <v>0</v>
      </c>
      <c r="AH104" s="1">
        <f t="shared" si="90"/>
        <v>-1</v>
      </c>
      <c r="AI104" s="1">
        <f ca="1">IF($B104="","",IF($K104="",0,OFFSET($CO$17,R104,W104)))</f>
        <v>0</v>
      </c>
      <c r="AJ104" s="1">
        <f t="shared" ca="1" si="91"/>
        <v>0</v>
      </c>
      <c r="AK104" s="1">
        <f ca="1">IF(AJ104="","",IF(AJ104=0,0,IF(W104=1,0,SUM(OFFSET($CO$17,N104,1):OFFSET($CO$17,N104+W104-2,1))/W104)))</f>
        <v>0</v>
      </c>
      <c r="AL104" s="1">
        <f t="shared" ca="1" si="92"/>
        <v>-1</v>
      </c>
      <c r="AM104" s="1">
        <f ca="1">IF($B104="","",SUMIFS($AL$2:AL104,$I$2:I104,$I104))</f>
        <v>13</v>
      </c>
      <c r="AN104" s="1">
        <f t="shared" si="93"/>
        <v>12.000102999999999</v>
      </c>
      <c r="AO104" s="1">
        <f>IFERROR(IF($B104="","",AVERAGEIFS($L$2:L104,$I$2:I104,I104,$L$2:L104,"&lt;&gt;0")),0)</f>
        <v>277</v>
      </c>
      <c r="AP104" s="1">
        <f t="shared" si="94"/>
        <v>138.5</v>
      </c>
      <c r="AQ104" s="1">
        <f>IF($B104="","",COUNTIFS($R$2:R104,1,$I$2:I104,$I104))</f>
        <v>0</v>
      </c>
      <c r="AR104" s="1">
        <f t="array" aca="1" ref="AR104" ca="1">IF($B104="","",SUMPRODUCT(--($B$2:$B$313=B104),--(AM104&lt;$AM$2:$AM$313))+1)</f>
        <v>13</v>
      </c>
      <c r="AS104" s="1">
        <f t="array" ref="AS104">IF($B104="","",SUMPRODUCT(--($B$2:$B$313=B104),--(AP104&lt;$AP$2:$AP$313))+1)</f>
        <v>7</v>
      </c>
      <c r="AT104" s="1">
        <f t="array" ref="AT104">IF($B104="","",SUMPRODUCT(--($B$2:$B$313=B104),--(AQ104&lt;$AQ$2:$AQ$313))+1)</f>
        <v>6</v>
      </c>
      <c r="AU104" s="1">
        <f t="shared" si="95"/>
        <v>1.03E-7</v>
      </c>
      <c r="AV104" s="1">
        <f t="shared" ca="1" si="96"/>
        <v>0.13070610300000002</v>
      </c>
      <c r="AW104" s="1" t="str">
        <f t="shared" si="68"/>
        <v/>
      </c>
      <c r="AX104" s="1" t="str">
        <f t="shared" si="97"/>
        <v/>
      </c>
      <c r="AY104" s="8">
        <f t="shared" ca="1" si="98"/>
        <v>0.13070610300000002</v>
      </c>
      <c r="AZ104" s="1" cm="1">
        <f t="array" aca="1" ref="AZ104" ca="1">IF($B104="","",SUMPRODUCT(--($B$2:$B$313=B104),--(AY104&gt;$AY$2:$AY$313))+1)</f>
        <v>13</v>
      </c>
      <c r="BA104" s="1" t="str">
        <f t="shared" si="99"/>
        <v>K2024GP06_13_1</v>
      </c>
      <c r="BB104" s="1" t="str">
        <f t="shared" si="100"/>
        <v>K2024GP06_13_2</v>
      </c>
      <c r="BC104" s="1">
        <f t="shared" si="101"/>
        <v>0</v>
      </c>
      <c r="BD104" s="1">
        <f t="shared" si="102"/>
        <v>0</v>
      </c>
      <c r="BE104" s="1">
        <f t="shared" si="103"/>
        <v>1</v>
      </c>
      <c r="BF104" s="1">
        <f t="shared" si="104"/>
        <v>127</v>
      </c>
      <c r="BG104" s="1">
        <f t="shared" si="105"/>
        <v>97</v>
      </c>
      <c r="BH104" s="1">
        <f t="shared" si="106"/>
        <v>11</v>
      </c>
      <c r="BI104" s="1">
        <f t="shared" si="107"/>
        <v>12</v>
      </c>
      <c r="BJ104" s="1">
        <f t="shared" si="108"/>
        <v>0.11120000000000001</v>
      </c>
      <c r="BK104" s="1">
        <f t="shared" si="109"/>
        <v>0</v>
      </c>
      <c r="BL104" s="1">
        <f t="shared" si="110"/>
        <v>9.8999999999999994E-5</v>
      </c>
      <c r="BM104" s="1">
        <f t="shared" si="111"/>
        <v>0.11129900000000001</v>
      </c>
      <c r="BN104" s="1">
        <f t="shared" si="112"/>
        <v>0</v>
      </c>
      <c r="BO104" s="1">
        <f t="shared" si="69"/>
        <v>11</v>
      </c>
      <c r="BP104" s="1">
        <f t="shared" si="70"/>
        <v>0</v>
      </c>
      <c r="BQ104" s="1" cm="1">
        <f t="array" ref="BQ104">IF(I104="","",IF(BP104=1,"",IF(L104=0,"",IF(B104=1,"",_xlfn.XLOOKUP(1,($I$2:$I$313=$I104)*($B$2:$B$313=($B104-1)),$BO$2:$BO$313)))))</f>
        <v>4</v>
      </c>
      <c r="BR104" s="1">
        <f>IF(I104="","",IF($B104=1,_xlfn.MINIFS($BO$2:$BO$313,$B$2:$B$313,$B104),_xlfn.MINIFS(BQ$2:$BQ$313,$B$2:$B$313,$B104)))</f>
        <v>3</v>
      </c>
      <c r="BS104" s="1">
        <f t="shared" si="113"/>
        <v>4</v>
      </c>
      <c r="BT104" s="1" t="str" cm="1">
        <f t="array" ref="BT104">IF($I104="","",IF($B104=1,_xlfn.XLOOKUP(1,($B$2:$B$313=$B104)*($BO$2:$BO$313=BR104),Data!$I$2:$I$313,,0),_xlfn.XLOOKUP(1,($B$2:$B$313=$B104)*($BQ$2:$BQ$313=$BR104),$I$2:$I$313,,0)))</f>
        <v>Jami Kallio</v>
      </c>
      <c r="BU104" s="1" t="str" cm="1">
        <f t="array" ref="BU104">IF(I104="","",IF($B104=1,_xlfn.XLOOKUP(1,($B$2:$B$313=$B104)*($BO$2:$BO$313=$BS104),$I$2:$I$313,,0),_xlfn.XLOOKUP(1,($B$2:$B$313=$B104)*($BQ$2:$BQ$313=$BS104),$I$2:$I$313,,0)))</f>
        <v>Asko Haaksi</v>
      </c>
      <c r="BV104" s="1" t="str" cm="1">
        <f t="array" ref="BV104">IF($I104="","",IF($B104=1,"",IF($B104=2,_xlfn.XLOOKUP(1,($B$2:$B$313=1)*($BO$2:$BO$313=1),$I$2:$I$313,,0),_xlfn.XLOOKUP($B104-1,$B$2:$B$313,$CH$2:$CH$313,,0))))</f>
        <v>Miika Nordblad</v>
      </c>
      <c r="BW104" s="1" t="str" cm="1">
        <f t="array" ref="BW104">IF($I104="","",IF($B104=1,"",IF(_xlfn.XLOOKUP(1,($B$2:$B$313=$B104)*($I$2:$I$313=$BV104),$BQ$2:$BQ$313,,0)="","NOK","OK")))</f>
        <v>NOK</v>
      </c>
      <c r="BX104" s="1" t="str">
        <f t="shared" si="114"/>
        <v>Jami Kallio</v>
      </c>
      <c r="BY104" s="1" t="str">
        <f t="shared" si="115"/>
        <v>Asko Haaksi</v>
      </c>
      <c r="BZ104" s="1">
        <f t="shared" si="116"/>
        <v>164</v>
      </c>
      <c r="CA104" s="1">
        <f t="shared" si="117"/>
        <v>149</v>
      </c>
      <c r="CB104" s="1">
        <f t="shared" si="118"/>
        <v>9.8999999999999994E-5</v>
      </c>
      <c r="CC104" s="1">
        <f t="shared" si="119"/>
        <v>127</v>
      </c>
      <c r="CD104" s="1">
        <f t="shared" si="120"/>
        <v>97</v>
      </c>
      <c r="CE104" s="1">
        <f t="shared" si="121"/>
        <v>9.8999999999999994E-5</v>
      </c>
      <c r="CF104" s="1" t="str">
        <f t="shared" si="122"/>
        <v>Jami Kallio (3)</v>
      </c>
      <c r="CG104" s="1" t="str">
        <f t="shared" si="123"/>
        <v>Asko Haaksi (4)</v>
      </c>
      <c r="CH104" s="1" t="str">
        <f t="shared" si="124"/>
        <v>Jami Kallio</v>
      </c>
      <c r="CI104" s="1">
        <f t="shared" si="125"/>
        <v>0</v>
      </c>
      <c r="CJ104" s="1" t="str">
        <f ca="1">IF(B104="","",IF(SUM(AI104:AK104)&gt;0,"+SP","")&amp;IF(CI104&gt;0,"+KK","")&amp;IF(AB104&gt;0,"+KGP1","")&amp;IF(AC104&gt;0,"+KGP2","")&amp;IF(AG104&lt;0,"-KGP1","")&amp;IF(AH104&lt;0,"-KGP2",""))</f>
        <v>-KGP2</v>
      </c>
    </row>
    <row r="105" spans="1:88" x14ac:dyDescent="0.25">
      <c r="A105" s="1">
        <f>IFERROR(IF(ROW(A104)=1,1,IF(1+A104&lt;=$CP$1*$CP$2,1+A104,"")),"")</f>
        <v>104</v>
      </c>
      <c r="B105" s="1">
        <f>IF($I105="","",IF(ROW(B104)=1,1,ROUNDUP(A105/$CP$2,0)))</f>
        <v>6</v>
      </c>
      <c r="C105" s="4">
        <f t="shared" si="71"/>
        <v>45640</v>
      </c>
      <c r="D105" s="4" t="str">
        <f t="shared" si="65"/>
        <v>Aninkaisten keilahalli *</v>
      </c>
      <c r="E105" s="1">
        <f>IF($B105="","",COUNTIF($B$2:B105,B105))</f>
        <v>14</v>
      </c>
      <c r="F105" s="1" t="str">
        <f t="shared" si="66"/>
        <v>K2024GP06</v>
      </c>
      <c r="G105" s="1" t="str">
        <f t="shared" si="72"/>
        <v>K2024GP06_14</v>
      </c>
      <c r="H105" s="1">
        <f t="shared" si="73"/>
        <v>1</v>
      </c>
      <c r="I105" s="3" t="s">
        <v>143</v>
      </c>
      <c r="J105" s="3">
        <v>133</v>
      </c>
      <c r="K105" s="3">
        <v>123</v>
      </c>
      <c r="L105" s="1">
        <f t="shared" si="74"/>
        <v>256</v>
      </c>
      <c r="M105" s="1">
        <f t="shared" si="75"/>
        <v>1</v>
      </c>
      <c r="N105" s="1">
        <f t="shared" si="76"/>
        <v>8</v>
      </c>
      <c r="O105" s="1">
        <f t="shared" si="77"/>
        <v>256</v>
      </c>
      <c r="P105" s="1">
        <f t="shared" si="78"/>
        <v>94</v>
      </c>
      <c r="Q105" s="1">
        <f t="array" ref="Q105">IF($B105="","",IF(MAX(IF(B105=$B$2:$B$313,$L$2:$L$313))-L105=0,"",MAX(IF(B105=$B$2:$B$313,$L$2:$L$313))-L105))</f>
        <v>94</v>
      </c>
      <c r="R105" s="1">
        <f t="array" ref="R105">IF($B105="","",SUMPRODUCT(--($B$2:$B$313=B105),--(L105&lt;$L$2:$L$313))+1)</f>
        <v>8</v>
      </c>
      <c r="S105" s="1">
        <f t="shared" si="79"/>
        <v>2</v>
      </c>
      <c r="T105" s="1" cm="1">
        <f t="array" ref="T105">IF($B105="","",IF(M105=0,"",SUMPRODUCT(--($B$2:$B$313=B105),--(J105&lt;$J$2:$J$313))+1))</f>
        <v>6</v>
      </c>
      <c r="U105" s="1">
        <f t="shared" si="80"/>
        <v>2</v>
      </c>
      <c r="V105" s="1" t="str">
        <f t="shared" si="81"/>
        <v>0608</v>
      </c>
      <c r="W105" s="1">
        <f t="shared" si="82"/>
        <v>1</v>
      </c>
      <c r="X105" s="1">
        <f t="shared" si="67"/>
        <v>1</v>
      </c>
      <c r="Y105" s="1">
        <f>IF($B105="","",MAX(_xlfn.MAXIFS($J$2:J105,$I$2:I105,$I105),_xlfn.MAXIFS($K$2:K105,$I$2:I105,$I105)))</f>
        <v>184</v>
      </c>
      <c r="Z105" s="1">
        <f t="shared" si="83"/>
        <v>204</v>
      </c>
      <c r="AA105" s="1">
        <f t="shared" si="84"/>
        <v>0</v>
      </c>
      <c r="AB105" s="1">
        <f t="shared" si="85"/>
        <v>0</v>
      </c>
      <c r="AC105" s="1">
        <f t="shared" si="86"/>
        <v>0</v>
      </c>
      <c r="AD105" s="1">
        <f>IF($B105="","",MIN(_xlfn.MINIFS($J$2:J105,$I$2:I105,$I105),_xlfn.MINIFS($K$2:K105,$I$2:I105,$I105)))</f>
        <v>123</v>
      </c>
      <c r="AE105" s="1">
        <f t="shared" si="87"/>
        <v>59</v>
      </c>
      <c r="AF105" s="1">
        <f t="shared" si="88"/>
        <v>0</v>
      </c>
      <c r="AG105" s="1">
        <f t="shared" si="89"/>
        <v>0</v>
      </c>
      <c r="AH105" s="1">
        <f t="shared" si="90"/>
        <v>-1</v>
      </c>
      <c r="AI105" s="1">
        <f ca="1">IF($B105="","",IF($K105="",0,OFFSET($CO$17,R105,W105)))</f>
        <v>3</v>
      </c>
      <c r="AJ105" s="1">
        <f t="shared" ca="1" si="91"/>
        <v>0</v>
      </c>
      <c r="AK105" s="1">
        <f ca="1">IF(AJ105="","",IF(AJ105=0,0,IF(W105=1,0,SUM(OFFSET($CO$17,N105,1):OFFSET($CO$17,N105+W105-2,1))/W105)))</f>
        <v>0</v>
      </c>
      <c r="AL105" s="1">
        <f t="shared" ca="1" si="92"/>
        <v>2</v>
      </c>
      <c r="AM105" s="1">
        <f ca="1">IF($B105="","",SUMIFS($AL$2:AL105,$I$2:I105,$I105))</f>
        <v>42</v>
      </c>
      <c r="AN105" s="1">
        <f t="shared" si="93"/>
        <v>8.0001040000000003</v>
      </c>
      <c r="AO105" s="1">
        <f>IFERROR(IF($B105="","",AVERAGEIFS($L$2:L105,$I$2:I105,I105,$L$2:L105,"&lt;&gt;0")),0)</f>
        <v>306</v>
      </c>
      <c r="AP105" s="1">
        <f t="shared" si="94"/>
        <v>153</v>
      </c>
      <c r="AQ105" s="1">
        <f>IF($B105="","",COUNTIFS($R$2:R105,1,$I$2:I105,$I105))</f>
        <v>2</v>
      </c>
      <c r="AR105" s="1">
        <f t="array" aca="1" ref="AR105" ca="1">IF($B105="","",SUMPRODUCT(--($B$2:$B$313=B105),--(AM105&lt;$AM$2:$AM$313))+1)</f>
        <v>2</v>
      </c>
      <c r="AS105" s="1">
        <f t="array" ref="AS105">IF($B105="","",SUMPRODUCT(--($B$2:$B$313=B105),--(AP105&lt;$AP$2:$AP$313))+1)</f>
        <v>3</v>
      </c>
      <c r="AT105" s="1">
        <f t="array" ref="AT105">IF($B105="","",SUMPRODUCT(--($B$2:$B$313=B105),--(AQ105&lt;$AQ$2:$AQ$313))+1)</f>
        <v>1</v>
      </c>
      <c r="AU105" s="1">
        <f t="shared" si="95"/>
        <v>1.04E-7</v>
      </c>
      <c r="AV105" s="1">
        <f t="shared" ca="1" si="96"/>
        <v>2.0301104000000004E-2</v>
      </c>
      <c r="AW105" s="1" t="str">
        <f t="shared" si="68"/>
        <v/>
      </c>
      <c r="AX105" s="1" t="str">
        <f t="shared" si="97"/>
        <v/>
      </c>
      <c r="AY105" s="8">
        <f t="shared" ca="1" si="98"/>
        <v>2.0301104000000004E-2</v>
      </c>
      <c r="AZ105" s="1" cm="1">
        <f t="array" aca="1" ref="AZ105" ca="1">IF($B105="","",SUMPRODUCT(--($B$2:$B$313=B105),--(AY105&gt;$AY$2:$AY$313))+1)</f>
        <v>2</v>
      </c>
      <c r="BA105" s="1" t="str">
        <f t="shared" si="99"/>
        <v>K2024GP06_14_1</v>
      </c>
      <c r="BB105" s="1" t="str">
        <f t="shared" si="100"/>
        <v>K2024GP06_14_2</v>
      </c>
      <c r="BC105" s="1">
        <f t="shared" si="101"/>
        <v>0</v>
      </c>
      <c r="BD105" s="1">
        <f t="shared" si="102"/>
        <v>0</v>
      </c>
      <c r="BE105" s="1">
        <f t="shared" si="103"/>
        <v>1</v>
      </c>
      <c r="BF105" s="1">
        <f t="shared" si="104"/>
        <v>133</v>
      </c>
      <c r="BG105" s="1">
        <f t="shared" si="105"/>
        <v>123</v>
      </c>
      <c r="BH105" s="1">
        <f t="shared" si="106"/>
        <v>10</v>
      </c>
      <c r="BI105" s="1">
        <f t="shared" si="107"/>
        <v>6</v>
      </c>
      <c r="BJ105" s="1">
        <f t="shared" si="108"/>
        <v>0.10060000000000001</v>
      </c>
      <c r="BK105" s="1">
        <f t="shared" si="109"/>
        <v>0</v>
      </c>
      <c r="BL105" s="1">
        <f t="shared" si="110"/>
        <v>9.8999999999999994E-5</v>
      </c>
      <c r="BM105" s="1">
        <f t="shared" si="111"/>
        <v>0.10069900000000001</v>
      </c>
      <c r="BN105" s="1">
        <f t="shared" si="112"/>
        <v>0</v>
      </c>
      <c r="BO105" s="1">
        <f t="shared" si="69"/>
        <v>10</v>
      </c>
      <c r="BP105" s="1">
        <v>1</v>
      </c>
      <c r="BQ105" s="1" t="str" cm="1">
        <f t="array" ref="BQ105">IF(I105="","",IF(BP105=1,"",IF(L105=0,"",IF(B105=1,"",_xlfn.XLOOKUP(1,($I$2:$I$313=$I105)*($B$2:$B$313=($B105-1)),$BO$2:$BO$313)))))</f>
        <v/>
      </c>
      <c r="BR105" s="1">
        <f>IF(I105="","",IF($B105=1,_xlfn.MINIFS($BO$2:$BO$313,$B$2:$B$313,$B105),_xlfn.MINIFS(BQ$2:$BQ$313,$B$2:$B$313,$B105)))</f>
        <v>3</v>
      </c>
      <c r="BS105" s="1">
        <f t="shared" si="113"/>
        <v>4</v>
      </c>
      <c r="BT105" s="1" t="str" cm="1">
        <f t="array" ref="BT105">IF($I105="","",IF($B105=1,_xlfn.XLOOKUP(1,($B$2:$B$313=$B105)*($BO$2:$BO$313=BR105),Data!$I$2:$I$313,,0),_xlfn.XLOOKUP(1,($B$2:$B$313=$B105)*($BQ$2:$BQ$313=$BR105),$I$2:$I$313,,0)))</f>
        <v>Jami Kallio</v>
      </c>
      <c r="BU105" s="1" t="str" cm="1">
        <f t="array" ref="BU105">IF(I105="","",IF($B105=1,_xlfn.XLOOKUP(1,($B$2:$B$313=$B105)*($BO$2:$BO$313=$BS105),$I$2:$I$313,,0),_xlfn.XLOOKUP(1,($B$2:$B$313=$B105)*($BQ$2:$BQ$313=$BS105),$I$2:$I$313,,0)))</f>
        <v>Asko Haaksi</v>
      </c>
      <c r="BV105" s="1" t="str" cm="1">
        <f t="array" ref="BV105">IF($I105="","",IF($B105=1,"",IF($B105=2,_xlfn.XLOOKUP(1,($B$2:$B$313=1)*($BO$2:$BO$313=1),$I$2:$I$313,,0),_xlfn.XLOOKUP($B105-1,$B$2:$B$313,$CH$2:$CH$313,,0))))</f>
        <v>Miika Nordblad</v>
      </c>
      <c r="BW105" s="1" t="str" cm="1">
        <f t="array" ref="BW105">IF($I105="","",IF($B105=1,"",IF(_xlfn.XLOOKUP(1,($B$2:$B$313=$B105)*($I$2:$I$313=$BV105),$BQ$2:$BQ$313,,0)="","NOK","OK")))</f>
        <v>NOK</v>
      </c>
      <c r="BX105" s="1" t="str">
        <f t="shared" si="114"/>
        <v>Jami Kallio</v>
      </c>
      <c r="BY105" s="1" t="str">
        <f t="shared" si="115"/>
        <v>Asko Haaksi</v>
      </c>
      <c r="BZ105" s="1">
        <f t="shared" si="116"/>
        <v>164</v>
      </c>
      <c r="CA105" s="1">
        <f t="shared" si="117"/>
        <v>149</v>
      </c>
      <c r="CB105" s="1">
        <f t="shared" si="118"/>
        <v>9.8999999999999994E-5</v>
      </c>
      <c r="CC105" s="1">
        <f t="shared" si="119"/>
        <v>127</v>
      </c>
      <c r="CD105" s="1">
        <f t="shared" si="120"/>
        <v>97</v>
      </c>
      <c r="CE105" s="1">
        <f t="shared" si="121"/>
        <v>9.8999999999999994E-5</v>
      </c>
      <c r="CF105" s="1" t="str">
        <f t="shared" si="122"/>
        <v>Jami Kallio (3)</v>
      </c>
      <c r="CG105" s="1" t="str">
        <f t="shared" si="123"/>
        <v>Asko Haaksi (4)</v>
      </c>
      <c r="CH105" s="1" t="str">
        <f t="shared" si="124"/>
        <v>Jami Kallio</v>
      </c>
      <c r="CI105" s="1">
        <f t="shared" si="125"/>
        <v>0</v>
      </c>
      <c r="CJ105" s="1" t="str">
        <f ca="1">IF(B105="","",IF(SUM(AI105:AK105)&gt;0,"+SP","")&amp;IF(CI105&gt;0,"+KK","")&amp;IF(AB105&gt;0,"+KGP1","")&amp;IF(AC105&gt;0,"+KGP2","")&amp;IF(AG105&lt;0,"-KGP1","")&amp;IF(AH105&lt;0,"-KGP2",""))</f>
        <v>+SP-KGP2</v>
      </c>
    </row>
    <row r="106" spans="1:88" x14ac:dyDescent="0.25">
      <c r="A106" s="1">
        <f>IFERROR(IF(ROW(A105)=1,1,IF(1+A105&lt;=$CP$1*$CP$2,1+A105,"")),"")</f>
        <v>105</v>
      </c>
      <c r="B106" s="1">
        <f>IF($I106="","",IF(ROW(B105)=1,1,ROUNDUP(A106/$CP$2,0)))</f>
        <v>6</v>
      </c>
      <c r="C106" s="4">
        <f t="shared" si="71"/>
        <v>45640</v>
      </c>
      <c r="D106" s="4" t="str">
        <f t="shared" si="65"/>
        <v>Aninkaisten keilahalli *</v>
      </c>
      <c r="E106" s="1">
        <f>IF($B106="","",COUNTIF($B$2:B106,B106))</f>
        <v>15</v>
      </c>
      <c r="F106" s="1" t="str">
        <f t="shared" si="66"/>
        <v>K2024GP06</v>
      </c>
      <c r="G106" s="1" t="str">
        <f t="shared" si="72"/>
        <v>K2024GP06_15</v>
      </c>
      <c r="H106" s="1">
        <f t="shared" si="73"/>
        <v>1</v>
      </c>
      <c r="I106" s="3" t="s">
        <v>144</v>
      </c>
      <c r="J106" s="3">
        <v>103</v>
      </c>
      <c r="K106" s="3">
        <v>134</v>
      </c>
      <c r="L106" s="1">
        <f t="shared" si="74"/>
        <v>237</v>
      </c>
      <c r="M106" s="1">
        <f t="shared" si="75"/>
        <v>1</v>
      </c>
      <c r="N106" s="1">
        <f t="shared" si="76"/>
        <v>11</v>
      </c>
      <c r="O106" s="1">
        <f t="shared" si="77"/>
        <v>237</v>
      </c>
      <c r="P106" s="1">
        <f t="shared" si="78"/>
        <v>113</v>
      </c>
      <c r="Q106" s="1">
        <f t="array" ref="Q106">IF($B106="","",IF(MAX(IF(B106=$B$2:$B$313,$L$2:$L$313))-L106=0,"",MAX(IF(B106=$B$2:$B$313,$L$2:$L$313))-L106))</f>
        <v>113</v>
      </c>
      <c r="R106" s="1">
        <f t="array" ref="R106">IF($B106="","",SUMPRODUCT(--($B$2:$B$313=B106),--(L106&lt;$L$2:$L$313))+1)</f>
        <v>11</v>
      </c>
      <c r="S106" s="1">
        <f t="shared" si="79"/>
        <v>2</v>
      </c>
      <c r="T106" s="1" cm="1">
        <f t="array" ref="T106">IF($B106="","",IF(M106=0,"",SUMPRODUCT(--($B$2:$B$313=B106),--(J106&lt;$J$2:$J$313))+1))</f>
        <v>11</v>
      </c>
      <c r="U106" s="1">
        <f t="shared" si="80"/>
        <v>0</v>
      </c>
      <c r="V106" s="1" t="str">
        <f t="shared" si="81"/>
        <v>0611</v>
      </c>
      <c r="W106" s="1">
        <f t="shared" si="82"/>
        <v>1</v>
      </c>
      <c r="X106" s="1">
        <f t="shared" si="67"/>
        <v>1</v>
      </c>
      <c r="Y106" s="1">
        <f>IF($B106="","",MAX(_xlfn.MAXIFS($J$2:J106,$I$2:I106,$I106),_xlfn.MAXIFS($K$2:K106,$I$2:I106,$I106)))</f>
        <v>193</v>
      </c>
      <c r="Z106" s="1">
        <f t="shared" si="83"/>
        <v>204</v>
      </c>
      <c r="AA106" s="1">
        <f t="shared" si="84"/>
        <v>0</v>
      </c>
      <c r="AB106" s="1">
        <f t="shared" si="85"/>
        <v>0</v>
      </c>
      <c r="AC106" s="1">
        <f t="shared" si="86"/>
        <v>0</v>
      </c>
      <c r="AD106" s="1">
        <f>IF($B106="","",MIN(_xlfn.MINIFS($J$2:J106,$I$2:I106,$I106),_xlfn.MINIFS($K$2:K106,$I$2:I106,$I106)))</f>
        <v>82</v>
      </c>
      <c r="AE106" s="1">
        <f t="shared" si="87"/>
        <v>59</v>
      </c>
      <c r="AF106" s="1">
        <f t="shared" si="88"/>
        <v>0</v>
      </c>
      <c r="AG106" s="1">
        <f t="shared" si="89"/>
        <v>0</v>
      </c>
      <c r="AH106" s="1">
        <f t="shared" si="90"/>
        <v>0</v>
      </c>
      <c r="AI106" s="1">
        <f ca="1">IF($B106="","",IF($K106="",0,OFFSET($CO$17,R106,W106)))</f>
        <v>0</v>
      </c>
      <c r="AJ106" s="1">
        <f t="shared" ca="1" si="91"/>
        <v>0</v>
      </c>
      <c r="AK106" s="1">
        <f ca="1">IF(AJ106="","",IF(AJ106=0,0,IF(W106=1,0,SUM(OFFSET($CO$17,N106,1):OFFSET($CO$17,N106+W106-2,1))/W106)))</f>
        <v>0</v>
      </c>
      <c r="AL106" s="1">
        <f t="shared" ca="1" si="92"/>
        <v>0</v>
      </c>
      <c r="AM106" s="1">
        <f ca="1">IF($B106="","",SUMIFS($AL$2:AL106,$I$2:I106,$I106))</f>
        <v>15</v>
      </c>
      <c r="AN106" s="1">
        <f t="shared" si="93"/>
        <v>11.000105</v>
      </c>
      <c r="AO106" s="1">
        <f>IFERROR(IF($B106="","",AVERAGEIFS($L$2:L106,$I$2:I106,I106,$L$2:L106,"&lt;&gt;0")),0)</f>
        <v>255.8</v>
      </c>
      <c r="AP106" s="1">
        <f t="shared" si="94"/>
        <v>127.9</v>
      </c>
      <c r="AQ106" s="1">
        <f>IF($B106="","",COUNTIFS($R$2:R106,1,$I$2:I106,$I106))</f>
        <v>0</v>
      </c>
      <c r="AR106" s="1">
        <f t="array" aca="1" ref="AR106" ca="1">IF($B106="","",SUMPRODUCT(--($B$2:$B$313=B106),--(AM106&lt;$AM$2:$AM$313))+1)</f>
        <v>10</v>
      </c>
      <c r="AS106" s="1">
        <f t="array" ref="AS106">IF($B106="","",SUMPRODUCT(--($B$2:$B$313=B106),--(AP106&lt;$AP$2:$AP$313))+1)</f>
        <v>12</v>
      </c>
      <c r="AT106" s="1">
        <f t="array" ref="AT106">IF($B106="","",SUMPRODUCT(--($B$2:$B$313=B106),--(AQ106&lt;$AQ$2:$AQ$313))+1)</f>
        <v>6</v>
      </c>
      <c r="AU106" s="1">
        <f t="shared" si="95"/>
        <v>1.05E-7</v>
      </c>
      <c r="AV106" s="1">
        <f t="shared" ca="1" si="96"/>
        <v>0.10120610500000002</v>
      </c>
      <c r="AW106" s="1" t="str">
        <f t="shared" si="68"/>
        <v/>
      </c>
      <c r="AX106" s="1" t="str">
        <f t="shared" si="97"/>
        <v/>
      </c>
      <c r="AY106" s="8">
        <f t="shared" ca="1" si="98"/>
        <v>0.10120610500000002</v>
      </c>
      <c r="AZ106" s="1" cm="1">
        <f t="array" aca="1" ref="AZ106" ca="1">IF($B106="","",SUMPRODUCT(--($B$2:$B$313=B106),--(AY106&gt;$AY$2:$AY$313))+1)</f>
        <v>11</v>
      </c>
      <c r="BA106" s="1" t="str">
        <f t="shared" si="99"/>
        <v>K2024GP06_15_1</v>
      </c>
      <c r="BB106" s="1" t="str">
        <f t="shared" si="100"/>
        <v>K2024GP06_15_2</v>
      </c>
      <c r="BC106" s="1">
        <f t="shared" si="101"/>
        <v>0</v>
      </c>
      <c r="BD106" s="1">
        <f t="shared" si="102"/>
        <v>0</v>
      </c>
      <c r="BE106" s="1">
        <f t="shared" si="103"/>
        <v>1</v>
      </c>
      <c r="BF106" s="1">
        <f t="shared" si="104"/>
        <v>134</v>
      </c>
      <c r="BG106" s="1">
        <f t="shared" si="105"/>
        <v>103</v>
      </c>
      <c r="BH106" s="1">
        <f t="shared" si="106"/>
        <v>9</v>
      </c>
      <c r="BI106" s="1">
        <f t="shared" si="107"/>
        <v>11</v>
      </c>
      <c r="BJ106" s="1">
        <f t="shared" si="108"/>
        <v>9.11E-2</v>
      </c>
      <c r="BK106" s="1">
        <f t="shared" si="109"/>
        <v>0</v>
      </c>
      <c r="BL106" s="1">
        <f t="shared" si="110"/>
        <v>9.8999999999999994E-5</v>
      </c>
      <c r="BM106" s="1">
        <f t="shared" si="111"/>
        <v>9.1199000000000002E-2</v>
      </c>
      <c r="BN106" s="1">
        <f t="shared" si="112"/>
        <v>0</v>
      </c>
      <c r="BO106" s="1">
        <f t="shared" si="69"/>
        <v>9</v>
      </c>
      <c r="BP106" s="1">
        <f t="shared" si="70"/>
        <v>0</v>
      </c>
      <c r="BQ106" s="1" cm="1">
        <f t="array" ref="BQ106">IF(I106="","",IF(BP106=1,"",IF(L106=0,"",IF(B106=1,"",_xlfn.XLOOKUP(1,($I$2:$I$313=$I106)*($B$2:$B$313=($B106-1)),$BO$2:$BO$313)))))</f>
        <v>9</v>
      </c>
      <c r="BR106" s="1">
        <f>IF(I106="","",IF($B106=1,_xlfn.MINIFS($BO$2:$BO$313,$B$2:$B$313,$B106),_xlfn.MINIFS(BQ$2:$BQ$313,$B$2:$B$313,$B106)))</f>
        <v>3</v>
      </c>
      <c r="BS106" s="1">
        <f t="shared" si="113"/>
        <v>4</v>
      </c>
      <c r="BT106" s="1" t="str" cm="1">
        <f t="array" ref="BT106">IF($I106="","",IF($B106=1,_xlfn.XLOOKUP(1,($B$2:$B$313=$B106)*($BO$2:$BO$313=BR106),Data!$I$2:$I$313,,0),_xlfn.XLOOKUP(1,($B$2:$B$313=$B106)*($BQ$2:$BQ$313=$BR106),$I$2:$I$313,,0)))</f>
        <v>Jami Kallio</v>
      </c>
      <c r="BU106" s="1" t="str" cm="1">
        <f t="array" ref="BU106">IF(I106="","",IF($B106=1,_xlfn.XLOOKUP(1,($B$2:$B$313=$B106)*($BO$2:$BO$313=$BS106),$I$2:$I$313,,0),_xlfn.XLOOKUP(1,($B$2:$B$313=$B106)*($BQ$2:$BQ$313=$BS106),$I$2:$I$313,,0)))</f>
        <v>Asko Haaksi</v>
      </c>
      <c r="BV106" s="1" t="str" cm="1">
        <f t="array" ref="BV106">IF($I106="","",IF($B106=1,"",IF($B106=2,_xlfn.XLOOKUP(1,($B$2:$B$313=1)*($BO$2:$BO$313=1),$I$2:$I$313,,0),_xlfn.XLOOKUP($B106-1,$B$2:$B$313,$CH$2:$CH$313,,0))))</f>
        <v>Miika Nordblad</v>
      </c>
      <c r="BW106" s="1" t="str" cm="1">
        <f t="array" ref="BW106">IF($I106="","",IF($B106=1,"",IF(_xlfn.XLOOKUP(1,($B$2:$B$313=$B106)*($I$2:$I$313=$BV106),$BQ$2:$BQ$313,,0)="","NOK","OK")))</f>
        <v>NOK</v>
      </c>
      <c r="BX106" s="1" t="str">
        <f t="shared" si="114"/>
        <v>Jami Kallio</v>
      </c>
      <c r="BY106" s="1" t="str">
        <f t="shared" si="115"/>
        <v>Asko Haaksi</v>
      </c>
      <c r="BZ106" s="1">
        <f t="shared" si="116"/>
        <v>164</v>
      </c>
      <c r="CA106" s="1">
        <f t="shared" si="117"/>
        <v>149</v>
      </c>
      <c r="CB106" s="1">
        <f t="shared" si="118"/>
        <v>9.8999999999999994E-5</v>
      </c>
      <c r="CC106" s="1">
        <f t="shared" si="119"/>
        <v>127</v>
      </c>
      <c r="CD106" s="1">
        <f t="shared" si="120"/>
        <v>97</v>
      </c>
      <c r="CE106" s="1">
        <f t="shared" si="121"/>
        <v>9.8999999999999994E-5</v>
      </c>
      <c r="CF106" s="1" t="str">
        <f t="shared" si="122"/>
        <v>Jami Kallio (3)</v>
      </c>
      <c r="CG106" s="1" t="str">
        <f t="shared" si="123"/>
        <v>Asko Haaksi (4)</v>
      </c>
      <c r="CH106" s="1" t="str">
        <f t="shared" si="124"/>
        <v>Jami Kallio</v>
      </c>
      <c r="CI106" s="1">
        <f t="shared" si="125"/>
        <v>0</v>
      </c>
      <c r="CJ106" s="1" t="str">
        <f ca="1">IF(B106="","",IF(SUM(AI106:AK106)&gt;0,"+SP","")&amp;IF(CI106&gt;0,"+KK","")&amp;IF(AB106&gt;0,"+KGP1","")&amp;IF(AC106&gt;0,"+KGP2","")&amp;IF(AG106&lt;0,"-KGP1","")&amp;IF(AH106&lt;0,"-KGP2",""))</f>
        <v/>
      </c>
    </row>
    <row r="107" spans="1:88" x14ac:dyDescent="0.25">
      <c r="A107" s="1">
        <f>IFERROR(IF(ROW(A106)=1,1,IF(1+A106&lt;=$CP$1*$CP$2,1+A106,"")),"")</f>
        <v>106</v>
      </c>
      <c r="B107" s="1">
        <f>IF($I107="","",IF(ROW(B106)=1,1,ROUNDUP(A107/$CP$2,0)))</f>
        <v>6</v>
      </c>
      <c r="C107" s="4">
        <f t="shared" si="71"/>
        <v>45640</v>
      </c>
      <c r="D107" s="4" t="str">
        <f t="shared" si="65"/>
        <v>Aninkaisten keilahalli *</v>
      </c>
      <c r="E107" s="1">
        <f>IF($B107="","",COUNTIF($B$2:B107,B107))</f>
        <v>16</v>
      </c>
      <c r="F107" s="1" t="str">
        <f t="shared" si="66"/>
        <v>K2024GP06</v>
      </c>
      <c r="G107" s="1" t="str">
        <f t="shared" si="72"/>
        <v>K2024GP06_16</v>
      </c>
      <c r="H107" s="1">
        <f t="shared" si="73"/>
        <v>1</v>
      </c>
      <c r="I107" s="3" t="s">
        <v>139</v>
      </c>
      <c r="J107" s="3"/>
      <c r="K107" s="3"/>
      <c r="L107" s="1">
        <f t="shared" si="74"/>
        <v>0</v>
      </c>
      <c r="M107" s="1">
        <f t="shared" si="75"/>
        <v>0</v>
      </c>
      <c r="N107" s="1" t="str">
        <f t="shared" si="76"/>
        <v/>
      </c>
      <c r="O107" s="1" t="str">
        <f t="shared" si="77"/>
        <v/>
      </c>
      <c r="P107" s="1" t="str">
        <f t="shared" si="78"/>
        <v/>
      </c>
      <c r="Q107" s="1">
        <f t="array" ref="Q107">IF($B107="","",IF(MAX(IF(B107=$B$2:$B$313,$L$2:$L$313))-L107=0,"",MAX(IF(B107=$B$2:$B$313,$L$2:$L$313))-L107))</f>
        <v>350</v>
      </c>
      <c r="R107" s="1">
        <f t="array" ref="R107">IF($B107="","",SUMPRODUCT(--($B$2:$B$313=B107),--(L107&lt;$L$2:$L$313))+1)</f>
        <v>16</v>
      </c>
      <c r="S107" s="1">
        <f t="shared" si="79"/>
        <v>0</v>
      </c>
      <c r="T107" s="1" t="str" cm="1">
        <f t="array" ref="T107">IF($B107="","",IF(M107=0,"",SUMPRODUCT(--($B$2:$B$313=B107),--(J107&lt;$J$2:$J$313))+1))</f>
        <v/>
      </c>
      <c r="U107" s="1" t="str">
        <f t="shared" si="80"/>
        <v/>
      </c>
      <c r="V107" s="1" t="str">
        <f t="shared" si="81"/>
        <v>0616</v>
      </c>
      <c r="W107" s="1">
        <f t="shared" si="82"/>
        <v>3</v>
      </c>
      <c r="X107" s="1">
        <f t="shared" si="67"/>
        <v>1</v>
      </c>
      <c r="Y107" s="1">
        <f>IF($B107="","",MAX(_xlfn.MAXIFS($J$2:J107,$I$2:I107,$I107),_xlfn.MAXIFS($K$2:K107,$I$2:I107,$I107)))</f>
        <v>209</v>
      </c>
      <c r="Z107" s="1">
        <f t="shared" si="83"/>
        <v>204</v>
      </c>
      <c r="AA107" s="1">
        <f t="shared" si="84"/>
        <v>0</v>
      </c>
      <c r="AB107" s="1">
        <f t="shared" si="85"/>
        <v>0</v>
      </c>
      <c r="AC107" s="1">
        <f t="shared" si="86"/>
        <v>0</v>
      </c>
      <c r="AD107" s="1">
        <f>IF($B107="","",MIN(_xlfn.MINIFS($J$2:J107,$I$2:I107,$I107),_xlfn.MINIFS($K$2:K107,$I$2:I107,$I107)))</f>
        <v>111</v>
      </c>
      <c r="AE107" s="1">
        <f t="shared" si="87"/>
        <v>59</v>
      </c>
      <c r="AF107" s="1">
        <f t="shared" si="88"/>
        <v>0</v>
      </c>
      <c r="AG107" s="1">
        <f t="shared" si="89"/>
        <v>0</v>
      </c>
      <c r="AH107" s="1">
        <f t="shared" si="90"/>
        <v>0</v>
      </c>
      <c r="AI107" s="1">
        <f ca="1">IF($B107="","",IF($K107="",0,OFFSET($CO$17,R107,W107)))</f>
        <v>0</v>
      </c>
      <c r="AJ107" s="1">
        <f t="shared" ca="1" si="91"/>
        <v>0</v>
      </c>
      <c r="AK107" s="1">
        <f ca="1">IF(AJ107="","",IF(AJ107=0,0,IF(W107=1,0,SUM(OFFSET($CO$17,N107,1):OFFSET($CO$17,N107+W107-2,1))/W107)))</f>
        <v>0</v>
      </c>
      <c r="AL107" s="1">
        <f t="shared" si="92"/>
        <v>0</v>
      </c>
      <c r="AM107" s="1">
        <f ca="1">IF($B107="","",SUMIFS($AL$2:AL107,$I$2:I107,$I107))</f>
        <v>34.5</v>
      </c>
      <c r="AN107" s="1">
        <f t="shared" si="93"/>
        <v>16.000105999999999</v>
      </c>
      <c r="AO107" s="1">
        <f>IFERROR(IF($B107="","",AVERAGEIFS($L$2:L107,$I$2:I107,I107,$L$2:L107,"&lt;&gt;0")),0)</f>
        <v>317.5</v>
      </c>
      <c r="AP107" s="1">
        <f t="shared" si="94"/>
        <v>158.75</v>
      </c>
      <c r="AQ107" s="1">
        <f>IF($B107="","",COUNTIFS($R$2:R107,1,$I$2:I107,$I107))</f>
        <v>1</v>
      </c>
      <c r="AR107" s="1">
        <f t="array" aca="1" ref="AR107" ca="1">IF($B107="","",SUMPRODUCT(--($B$2:$B$313=B107),--(AM107&lt;$AM$2:$AM$313))+1)</f>
        <v>4</v>
      </c>
      <c r="AS107" s="1">
        <f t="array" ref="AS107">IF($B107="","",SUMPRODUCT(--($B$2:$B$313=B107),--(AP107&lt;$AP$2:$AP$313))+1)</f>
        <v>1</v>
      </c>
      <c r="AT107" s="1">
        <f t="array" ref="AT107">IF($B107="","",SUMPRODUCT(--($B$2:$B$313=B107),--(AQ107&lt;$AQ$2:$AQ$313))+1)</f>
        <v>3</v>
      </c>
      <c r="AU107" s="1">
        <f t="shared" si="95"/>
        <v>1.06E-7</v>
      </c>
      <c r="AV107" s="1">
        <f t="shared" ca="1" si="96"/>
        <v>4.0103106000000006E-2</v>
      </c>
      <c r="AW107" s="1" t="str">
        <f t="shared" si="68"/>
        <v/>
      </c>
      <c r="AX107" s="1" t="str">
        <f t="shared" si="97"/>
        <v/>
      </c>
      <c r="AY107" s="8">
        <f t="shared" ca="1" si="98"/>
        <v>4.0103106000000006E-2</v>
      </c>
      <c r="AZ107" s="1" cm="1">
        <f t="array" aca="1" ref="AZ107" ca="1">IF($B107="","",SUMPRODUCT(--($B$2:$B$313=B107),--(AY107&gt;$AY$2:$AY$313))+1)</f>
        <v>4</v>
      </c>
      <c r="BA107" s="1" t="str">
        <f t="shared" si="99"/>
        <v>K2024GP06_16_1</v>
      </c>
      <c r="BB107" s="1" t="str">
        <f t="shared" si="100"/>
        <v>K2024GP06_16_2</v>
      </c>
      <c r="BC107" s="1">
        <f t="shared" si="101"/>
        <v>0</v>
      </c>
      <c r="BD107" s="1">
        <f t="shared" si="102"/>
        <v>0</v>
      </c>
      <c r="BE107" s="1">
        <f t="shared" si="103"/>
        <v>1</v>
      </c>
      <c r="BF107" s="1">
        <f t="shared" si="104"/>
        <v>0</v>
      </c>
      <c r="BG107" s="1">
        <f t="shared" si="105"/>
        <v>0</v>
      </c>
      <c r="BH107" s="1">
        <f t="shared" si="106"/>
        <v>16</v>
      </c>
      <c r="BI107" s="1">
        <f t="shared" si="107"/>
        <v>16</v>
      </c>
      <c r="BJ107" s="1">
        <f t="shared" si="108"/>
        <v>0.16159999999999999</v>
      </c>
      <c r="BK107" s="1" t="str">
        <f t="shared" si="109"/>
        <v/>
      </c>
      <c r="BL107" s="1">
        <f t="shared" si="110"/>
        <v>9.8999999999999994E-5</v>
      </c>
      <c r="BM107" s="1">
        <f t="shared" si="111"/>
        <v>0.16170969999999998</v>
      </c>
      <c r="BN107" s="1" t="str">
        <f t="shared" si="112"/>
        <v/>
      </c>
      <c r="BO107" s="1">
        <f t="shared" si="69"/>
        <v>16</v>
      </c>
      <c r="BP107" s="1">
        <f t="shared" si="70"/>
        <v>0</v>
      </c>
      <c r="BQ107" s="1" t="str" cm="1">
        <f t="array" ref="BQ107">IF(I107="","",IF(BP107=1,"",IF(L107=0,"",IF(B107=1,"",_xlfn.XLOOKUP(1,($I$2:$I$313=$I107)*($B$2:$B$313=($B107-1)),$BO$2:$BO$313)))))</f>
        <v/>
      </c>
      <c r="BR107" s="1">
        <f>IF(I107="","",IF($B107=1,_xlfn.MINIFS($BO$2:$BO$313,$B$2:$B$313,$B107),_xlfn.MINIFS(BQ$2:$BQ$313,$B$2:$B$313,$B107)))</f>
        <v>3</v>
      </c>
      <c r="BS107" s="1">
        <f t="shared" si="113"/>
        <v>4</v>
      </c>
      <c r="BT107" s="1" t="str" cm="1">
        <f t="array" ref="BT107">IF($I107="","",IF($B107=1,_xlfn.XLOOKUP(1,($B$2:$B$313=$B107)*($BO$2:$BO$313=BR107),Data!$I$2:$I$313,,0),_xlfn.XLOOKUP(1,($B$2:$B$313=$B107)*($BQ$2:$BQ$313=$BR107),$I$2:$I$313,,0)))</f>
        <v>Jami Kallio</v>
      </c>
      <c r="BU107" s="1" t="str" cm="1">
        <f t="array" ref="BU107">IF(I107="","",IF($B107=1,_xlfn.XLOOKUP(1,($B$2:$B$313=$B107)*($BO$2:$BO$313=$BS107),$I$2:$I$313,,0),_xlfn.XLOOKUP(1,($B$2:$B$313=$B107)*($BQ$2:$BQ$313=$BS107),$I$2:$I$313,,0)))</f>
        <v>Asko Haaksi</v>
      </c>
      <c r="BV107" s="1" t="str" cm="1">
        <f t="array" ref="BV107">IF($I107="","",IF($B107=1,"",IF($B107=2,_xlfn.XLOOKUP(1,($B$2:$B$313=1)*($BO$2:$BO$313=1),$I$2:$I$313,,0),_xlfn.XLOOKUP($B107-1,$B$2:$B$313,$CH$2:$CH$313,,0))))</f>
        <v>Miika Nordblad</v>
      </c>
      <c r="BW107" s="1" t="str" cm="1">
        <f t="array" ref="BW107">IF($I107="","",IF($B107=1,"",IF(_xlfn.XLOOKUP(1,($B$2:$B$313=$B107)*($I$2:$I$313=$BV107),$BQ$2:$BQ$313,,0)="","NOK","OK")))</f>
        <v>NOK</v>
      </c>
      <c r="BX107" s="1" t="str">
        <f t="shared" si="114"/>
        <v>Jami Kallio</v>
      </c>
      <c r="BY107" s="1" t="str">
        <f t="shared" si="115"/>
        <v>Asko Haaksi</v>
      </c>
      <c r="BZ107" s="1">
        <f t="shared" si="116"/>
        <v>164</v>
      </c>
      <c r="CA107" s="1">
        <f t="shared" si="117"/>
        <v>149</v>
      </c>
      <c r="CB107" s="1">
        <f t="shared" si="118"/>
        <v>9.8999999999999994E-5</v>
      </c>
      <c r="CC107" s="1">
        <f t="shared" si="119"/>
        <v>127</v>
      </c>
      <c r="CD107" s="1">
        <f t="shared" si="120"/>
        <v>97</v>
      </c>
      <c r="CE107" s="1">
        <f t="shared" si="121"/>
        <v>9.8999999999999994E-5</v>
      </c>
      <c r="CF107" s="1" t="str">
        <f t="shared" si="122"/>
        <v>Jami Kallio (3)</v>
      </c>
      <c r="CG107" s="1" t="str">
        <f t="shared" si="123"/>
        <v>Asko Haaksi (4)</v>
      </c>
      <c r="CH107" s="1" t="str">
        <f t="shared" si="124"/>
        <v>Jami Kallio</v>
      </c>
      <c r="CI107" s="1">
        <f t="shared" si="125"/>
        <v>0</v>
      </c>
      <c r="CJ107" s="1" t="str">
        <f ca="1">IF(B107="","",IF(SUM(AI107:AK107)&gt;0,"+SP","")&amp;IF(CI107&gt;0,"+KK","")&amp;IF(AB107&gt;0,"+KGP1","")&amp;IF(AC107&gt;0,"+KGP2","")&amp;IF(AG107&lt;0,"-KGP1","")&amp;IF(AH107&lt;0,"-KGP2",""))</f>
        <v/>
      </c>
    </row>
    <row r="108" spans="1:88" x14ac:dyDescent="0.25">
      <c r="A108" s="1">
        <f>IFERROR(IF(ROW(A107)=1,1,IF(1+A107&lt;=$CP$1*$CP$2,1+A107,"")),"")</f>
        <v>107</v>
      </c>
      <c r="B108" s="1">
        <f>IF($I108="","",IF(ROW(B107)=1,1,ROUNDUP(A108/$CP$2,0)))</f>
        <v>6</v>
      </c>
      <c r="C108" s="4">
        <f t="shared" si="71"/>
        <v>45640</v>
      </c>
      <c r="D108" s="4" t="str">
        <f t="shared" si="65"/>
        <v>Aninkaisten keilahalli *</v>
      </c>
      <c r="E108" s="1">
        <f>IF($B108="","",COUNTIF($B$2:B108,B108))</f>
        <v>17</v>
      </c>
      <c r="F108" s="1" t="str">
        <f t="shared" si="66"/>
        <v>K2024GP06</v>
      </c>
      <c r="G108" s="1" t="str">
        <f t="shared" si="72"/>
        <v>K2024GP06_17</v>
      </c>
      <c r="H108" s="1">
        <f t="shared" si="73"/>
        <v>1</v>
      </c>
      <c r="I108" s="3" t="s">
        <v>132</v>
      </c>
      <c r="J108" s="3"/>
      <c r="K108" s="3"/>
      <c r="L108" s="1">
        <f t="shared" si="74"/>
        <v>0</v>
      </c>
      <c r="M108" s="1">
        <f t="shared" si="75"/>
        <v>0</v>
      </c>
      <c r="N108" s="1" t="str">
        <f t="shared" si="76"/>
        <v/>
      </c>
      <c r="O108" s="1" t="str">
        <f t="shared" si="77"/>
        <v/>
      </c>
      <c r="P108" s="1" t="str">
        <f t="shared" si="78"/>
        <v/>
      </c>
      <c r="Q108" s="1">
        <f t="array" ref="Q108">IF($B108="","",IF(MAX(IF(B108=$B$2:$B$313,$L$2:$L$313))-L108=0,"",MAX(IF(B108=$B$2:$B$313,$L$2:$L$313))-L108))</f>
        <v>350</v>
      </c>
      <c r="R108" s="1">
        <f t="array" ref="R108">IF($B108="","",SUMPRODUCT(--($B$2:$B$313=B108),--(L108&lt;$L$2:$L$313))+1)</f>
        <v>16</v>
      </c>
      <c r="S108" s="1">
        <f t="shared" si="79"/>
        <v>0</v>
      </c>
      <c r="T108" s="1" t="str" cm="1">
        <f t="array" ref="T108">IF($B108="","",IF(M108=0,"",SUMPRODUCT(--($B$2:$B$313=B108),--(J108&lt;$J$2:$J$313))+1))</f>
        <v/>
      </c>
      <c r="U108" s="1" t="str">
        <f t="shared" si="80"/>
        <v/>
      </c>
      <c r="V108" s="1" t="str">
        <f t="shared" si="81"/>
        <v>0616</v>
      </c>
      <c r="W108" s="1">
        <f t="shared" si="82"/>
        <v>3</v>
      </c>
      <c r="X108" s="1">
        <f t="shared" si="67"/>
        <v>1</v>
      </c>
      <c r="Y108" s="1">
        <f>IF($B108="","",MAX(_xlfn.MAXIFS($J$2:J108,$I$2:I108,$I108),_xlfn.MAXIFS($K$2:K108,$I$2:I108,$I108)))</f>
        <v>131</v>
      </c>
      <c r="Z108" s="1">
        <f t="shared" si="83"/>
        <v>204</v>
      </c>
      <c r="AA108" s="1">
        <f t="shared" si="84"/>
        <v>0</v>
      </c>
      <c r="AB108" s="1">
        <f t="shared" si="85"/>
        <v>0</v>
      </c>
      <c r="AC108" s="1">
        <f t="shared" si="86"/>
        <v>0</v>
      </c>
      <c r="AD108" s="1">
        <f>IF($B108="","",MIN(_xlfn.MINIFS($J$2:J108,$I$2:I108,$I108),_xlfn.MINIFS($K$2:K108,$I$2:I108,$I108)))</f>
        <v>73</v>
      </c>
      <c r="AE108" s="1">
        <f t="shared" si="87"/>
        <v>59</v>
      </c>
      <c r="AF108" s="1">
        <f t="shared" si="88"/>
        <v>0</v>
      </c>
      <c r="AG108" s="1">
        <f t="shared" si="89"/>
        <v>0</v>
      </c>
      <c r="AH108" s="1">
        <f t="shared" si="90"/>
        <v>0</v>
      </c>
      <c r="AI108" s="1">
        <f ca="1">IF($B108="","",IF($K108="",0,OFFSET($CO$17,R108,W108)))</f>
        <v>0</v>
      </c>
      <c r="AJ108" s="1">
        <f t="shared" ca="1" si="91"/>
        <v>0</v>
      </c>
      <c r="AK108" s="1">
        <f ca="1">IF(AJ108="","",IF(AJ108=0,0,IF(W108=1,0,SUM(OFFSET($CO$17,N108,1):OFFSET($CO$17,N108+W108-2,1))/W108)))</f>
        <v>0</v>
      </c>
      <c r="AL108" s="1">
        <f t="shared" si="92"/>
        <v>0</v>
      </c>
      <c r="AM108" s="1">
        <f ca="1">IF($B108="","",SUMIFS($AL$2:AL108,$I$2:I108,$I108))</f>
        <v>4</v>
      </c>
      <c r="AN108" s="1">
        <f t="shared" si="93"/>
        <v>16.000107</v>
      </c>
      <c r="AO108" s="1">
        <f>IFERROR(IF($B108="","",AVERAGEIFS($L$2:L108,$I$2:I108,I108,$L$2:L108,"&lt;&gt;0")),0)</f>
        <v>214</v>
      </c>
      <c r="AP108" s="1">
        <f t="shared" si="94"/>
        <v>107</v>
      </c>
      <c r="AQ108" s="1">
        <f>IF($B108="","",COUNTIFS($R$2:R108,1,$I$2:I108,$I108))</f>
        <v>0</v>
      </c>
      <c r="AR108" s="1">
        <f t="array" aca="1" ref="AR108" ca="1">IF($B108="","",SUMPRODUCT(--($B$2:$B$313=B108),--(AM108&lt;$AM$2:$AM$313))+1)</f>
        <v>16</v>
      </c>
      <c r="AS108" s="1">
        <f t="array" ref="AS108">IF($B108="","",SUMPRODUCT(--($B$2:$B$313=B108),--(AP108&lt;$AP$2:$AP$313))+1)</f>
        <v>16</v>
      </c>
      <c r="AT108" s="1">
        <f t="array" ref="AT108">IF($B108="","",SUMPRODUCT(--($B$2:$B$313=B108),--(AQ108&lt;$AQ$2:$AQ$313))+1)</f>
        <v>6</v>
      </c>
      <c r="AU108" s="1">
        <f t="shared" si="95"/>
        <v>1.0700000000000001E-7</v>
      </c>
      <c r="AV108" s="1">
        <f t="shared" ca="1" si="96"/>
        <v>0.161606107</v>
      </c>
      <c r="AW108" s="1" t="str">
        <f t="shared" si="68"/>
        <v/>
      </c>
      <c r="AX108" s="1" t="str">
        <f t="shared" si="97"/>
        <v/>
      </c>
      <c r="AY108" s="8">
        <f t="shared" ca="1" si="98"/>
        <v>0.161606107</v>
      </c>
      <c r="AZ108" s="1" cm="1">
        <f t="array" aca="1" ref="AZ108" ca="1">IF($B108="","",SUMPRODUCT(--($B$2:$B$313=B108),--(AY108&gt;$AY$2:$AY$313))+1)</f>
        <v>16</v>
      </c>
      <c r="BA108" s="1" t="str">
        <f t="shared" si="99"/>
        <v>K2024GP06_17_1</v>
      </c>
      <c r="BB108" s="1" t="str">
        <f t="shared" si="100"/>
        <v>K2024GP06_17_2</v>
      </c>
      <c r="BC108" s="1">
        <f t="shared" si="101"/>
        <v>0</v>
      </c>
      <c r="BD108" s="1">
        <f t="shared" si="102"/>
        <v>0</v>
      </c>
      <c r="BE108" s="1">
        <f t="shared" si="103"/>
        <v>1</v>
      </c>
      <c r="BF108" s="1">
        <f t="shared" si="104"/>
        <v>0</v>
      </c>
      <c r="BG108" s="1">
        <f t="shared" si="105"/>
        <v>0</v>
      </c>
      <c r="BH108" s="1">
        <f t="shared" si="106"/>
        <v>16</v>
      </c>
      <c r="BI108" s="1">
        <f t="shared" si="107"/>
        <v>16</v>
      </c>
      <c r="BJ108" s="1">
        <f t="shared" si="108"/>
        <v>0.16159999999999999</v>
      </c>
      <c r="BK108" s="1" t="str">
        <f t="shared" si="109"/>
        <v/>
      </c>
      <c r="BL108" s="1">
        <f t="shared" si="110"/>
        <v>9.8999999999999994E-5</v>
      </c>
      <c r="BM108" s="1">
        <f t="shared" si="111"/>
        <v>0.16170979999999999</v>
      </c>
      <c r="BN108" s="1" t="str">
        <f t="shared" si="112"/>
        <v/>
      </c>
      <c r="BO108" s="1">
        <f t="shared" si="69"/>
        <v>17</v>
      </c>
      <c r="BP108" s="1">
        <f t="shared" si="70"/>
        <v>0</v>
      </c>
      <c r="BQ108" s="1" t="str" cm="1">
        <f t="array" ref="BQ108">IF(I108="","",IF(BP108=1,"",IF(L108=0,"",IF(B108=1,"",_xlfn.XLOOKUP(1,($I$2:$I$313=$I108)*($B$2:$B$313=($B108-1)),$BO$2:$BO$313)))))</f>
        <v/>
      </c>
      <c r="BR108" s="1">
        <f>IF(I108="","",IF($B108=1,_xlfn.MINIFS($BO$2:$BO$313,$B$2:$B$313,$B108),_xlfn.MINIFS(BQ$2:$BQ$313,$B$2:$B$313,$B108)))</f>
        <v>3</v>
      </c>
      <c r="BS108" s="1">
        <f t="shared" si="113"/>
        <v>4</v>
      </c>
      <c r="BT108" s="1" t="str" cm="1">
        <f t="array" ref="BT108">IF($I108="","",IF($B108=1,_xlfn.XLOOKUP(1,($B$2:$B$313=$B108)*($BO$2:$BO$313=BR108),Data!$I$2:$I$313,,0),_xlfn.XLOOKUP(1,($B$2:$B$313=$B108)*($BQ$2:$BQ$313=$BR108),$I$2:$I$313,,0)))</f>
        <v>Jami Kallio</v>
      </c>
      <c r="BU108" s="1" t="str" cm="1">
        <f t="array" ref="BU108">IF(I108="","",IF($B108=1,_xlfn.XLOOKUP(1,($B$2:$B$313=$B108)*($BO$2:$BO$313=$BS108),$I$2:$I$313,,0),_xlfn.XLOOKUP(1,($B$2:$B$313=$B108)*($BQ$2:$BQ$313=$BS108),$I$2:$I$313,,0)))</f>
        <v>Asko Haaksi</v>
      </c>
      <c r="BV108" s="1" t="str" cm="1">
        <f t="array" ref="BV108">IF($I108="","",IF($B108=1,"",IF($B108=2,_xlfn.XLOOKUP(1,($B$2:$B$313=1)*($BO$2:$BO$313=1),$I$2:$I$313,,0),_xlfn.XLOOKUP($B108-1,$B$2:$B$313,$CH$2:$CH$313,,0))))</f>
        <v>Miika Nordblad</v>
      </c>
      <c r="BW108" s="1" t="str" cm="1">
        <f t="array" ref="BW108">IF($I108="","",IF($B108=1,"",IF(_xlfn.XLOOKUP(1,($B$2:$B$313=$B108)*($I$2:$I$313=$BV108),$BQ$2:$BQ$313,,0)="","NOK","OK")))</f>
        <v>NOK</v>
      </c>
      <c r="BX108" s="1" t="str">
        <f t="shared" si="114"/>
        <v>Jami Kallio</v>
      </c>
      <c r="BY108" s="1" t="str">
        <f t="shared" si="115"/>
        <v>Asko Haaksi</v>
      </c>
      <c r="BZ108" s="1">
        <f t="shared" si="116"/>
        <v>164</v>
      </c>
      <c r="CA108" s="1">
        <f t="shared" si="117"/>
        <v>149</v>
      </c>
      <c r="CB108" s="1">
        <f t="shared" si="118"/>
        <v>9.8999999999999994E-5</v>
      </c>
      <c r="CC108" s="1">
        <f t="shared" si="119"/>
        <v>127</v>
      </c>
      <c r="CD108" s="1">
        <f t="shared" si="120"/>
        <v>97</v>
      </c>
      <c r="CE108" s="1">
        <f t="shared" si="121"/>
        <v>9.8999999999999994E-5</v>
      </c>
      <c r="CF108" s="1" t="str">
        <f t="shared" si="122"/>
        <v>Jami Kallio (3)</v>
      </c>
      <c r="CG108" s="1" t="str">
        <f t="shared" si="123"/>
        <v>Asko Haaksi (4)</v>
      </c>
      <c r="CH108" s="1" t="str">
        <f t="shared" si="124"/>
        <v>Jami Kallio</v>
      </c>
      <c r="CI108" s="1">
        <f t="shared" si="125"/>
        <v>0</v>
      </c>
      <c r="CJ108" s="1" t="str">
        <f ca="1">IF(B108="","",IF(SUM(AI108:AK108)&gt;0,"+SP","")&amp;IF(CI108&gt;0,"+KK","")&amp;IF(AB108&gt;0,"+KGP1","")&amp;IF(AC108&gt;0,"+KGP2","")&amp;IF(AG108&lt;0,"-KGP1","")&amp;IF(AH108&lt;0,"-KGP2",""))</f>
        <v/>
      </c>
    </row>
    <row r="109" spans="1:88" x14ac:dyDescent="0.25">
      <c r="A109" s="1">
        <f>IFERROR(IF(ROW(A108)=1,1,IF(1+A108&lt;=$CP$1*$CP$2,1+A108,"")),"")</f>
        <v>108</v>
      </c>
      <c r="B109" s="1">
        <f>IF($I109="","",IF(ROW(B108)=1,1,ROUNDUP(A109/$CP$2,0)))</f>
        <v>6</v>
      </c>
      <c r="C109" s="4">
        <f t="shared" si="71"/>
        <v>45640</v>
      </c>
      <c r="D109" s="4" t="str">
        <f t="shared" si="65"/>
        <v>Aninkaisten keilahalli *</v>
      </c>
      <c r="E109" s="1">
        <f>IF($B109="","",COUNTIF($B$2:B109,B109))</f>
        <v>18</v>
      </c>
      <c r="F109" s="1" t="str">
        <f t="shared" si="66"/>
        <v>K2024GP06</v>
      </c>
      <c r="G109" s="1" t="str">
        <f t="shared" si="72"/>
        <v>K2024GP06_18</v>
      </c>
      <c r="H109" s="1">
        <f t="shared" si="73"/>
        <v>1</v>
      </c>
      <c r="I109" s="3" t="s">
        <v>236</v>
      </c>
      <c r="J109" s="3"/>
      <c r="K109" s="3"/>
      <c r="L109" s="1">
        <f t="shared" si="74"/>
        <v>0</v>
      </c>
      <c r="M109" s="1">
        <f t="shared" si="75"/>
        <v>0</v>
      </c>
      <c r="N109" s="1" t="str">
        <f t="shared" si="76"/>
        <v/>
      </c>
      <c r="O109" s="1" t="str">
        <f t="shared" si="77"/>
        <v/>
      </c>
      <c r="P109" s="1" t="str">
        <f t="shared" si="78"/>
        <v/>
      </c>
      <c r="Q109" s="1">
        <f t="array" ref="Q109">IF($B109="","",IF(MAX(IF(B109=$B$2:$B$313,$L$2:$L$313))-L109=0,"",MAX(IF(B109=$B$2:$B$313,$L$2:$L$313))-L109))</f>
        <v>350</v>
      </c>
      <c r="R109" s="1">
        <f t="array" ref="R109">IF($B109="","",SUMPRODUCT(--($B$2:$B$313=B109),--(L109&lt;$L$2:$L$313))+1)</f>
        <v>16</v>
      </c>
      <c r="S109" s="1">
        <f t="shared" si="79"/>
        <v>0</v>
      </c>
      <c r="T109" s="1" t="str" cm="1">
        <f t="array" ref="T109">IF($B109="","",IF(M109=0,"",SUMPRODUCT(--($B$2:$B$313=B109),--(J109&lt;$J$2:$J$313))+1))</f>
        <v/>
      </c>
      <c r="U109" s="1" t="str">
        <f t="shared" si="80"/>
        <v/>
      </c>
      <c r="V109" s="1" t="str">
        <f t="shared" si="81"/>
        <v>0616</v>
      </c>
      <c r="W109" s="1">
        <f t="shared" si="82"/>
        <v>3</v>
      </c>
      <c r="X109" s="1">
        <f t="shared" si="67"/>
        <v>1</v>
      </c>
      <c r="Y109" s="1">
        <f>IF($B109="","",MAX(_xlfn.MAXIFS($J$2:J109,$I$2:I109,$I109),_xlfn.MAXIFS($K$2:K109,$I$2:I109,$I109)))</f>
        <v>183</v>
      </c>
      <c r="Z109" s="1">
        <f t="shared" si="83"/>
        <v>204</v>
      </c>
      <c r="AA109" s="1">
        <f t="shared" si="84"/>
        <v>0</v>
      </c>
      <c r="AB109" s="1">
        <f t="shared" si="85"/>
        <v>0</v>
      </c>
      <c r="AC109" s="1">
        <f t="shared" si="86"/>
        <v>0</v>
      </c>
      <c r="AD109" s="1">
        <f>IF($B109="","",MIN(_xlfn.MINIFS($J$2:J109,$I$2:I109,$I109),_xlfn.MINIFS($K$2:K109,$I$2:I109,$I109)))</f>
        <v>73</v>
      </c>
      <c r="AE109" s="1">
        <f t="shared" si="87"/>
        <v>59</v>
      </c>
      <c r="AF109" s="1">
        <f t="shared" si="88"/>
        <v>0</v>
      </c>
      <c r="AG109" s="1">
        <f t="shared" si="89"/>
        <v>0</v>
      </c>
      <c r="AH109" s="1">
        <f t="shared" si="90"/>
        <v>0</v>
      </c>
      <c r="AI109" s="1">
        <f ca="1">IF($B109="","",IF($K109="",0,OFFSET($CO$17,R109,W109)))</f>
        <v>0</v>
      </c>
      <c r="AJ109" s="1">
        <f t="shared" ca="1" si="91"/>
        <v>0</v>
      </c>
      <c r="AK109" s="1">
        <f ca="1">IF(AJ109="","",IF(AJ109=0,0,IF(W109=1,0,SUM(OFFSET($CO$17,N109,1):OFFSET($CO$17,N109+W109-2,1))/W109)))</f>
        <v>0</v>
      </c>
      <c r="AL109" s="1">
        <f t="shared" si="92"/>
        <v>0</v>
      </c>
      <c r="AM109" s="1">
        <f ca="1">IF($B109="","",SUMIFS($AL$2:AL109,$I$2:I109,$I109))</f>
        <v>17</v>
      </c>
      <c r="AN109" s="1">
        <f t="shared" si="93"/>
        <v>16.000108000000001</v>
      </c>
      <c r="AO109" s="1">
        <f>IFERROR(IF($B109="","",AVERAGEIFS($L$2:L109,$I$2:I109,I109,$L$2:L109,"&lt;&gt;0")),0)</f>
        <v>249.6</v>
      </c>
      <c r="AP109" s="1">
        <f t="shared" si="94"/>
        <v>124.8</v>
      </c>
      <c r="AQ109" s="1">
        <f>IF($B109="","",COUNTIFS($R$2:R109,1,$I$2:I109,$I109))</f>
        <v>0</v>
      </c>
      <c r="AR109" s="1">
        <f t="array" aca="1" ref="AR109" ca="1">IF($B109="","",SUMPRODUCT(--($B$2:$B$313=B109),--(AM109&lt;$AM$2:$AM$313))+1)</f>
        <v>9</v>
      </c>
      <c r="AS109" s="1">
        <f t="array" ref="AS109">IF($B109="","",SUMPRODUCT(--($B$2:$B$313=B109),--(AP109&lt;$AP$2:$AP$313))+1)</f>
        <v>14</v>
      </c>
      <c r="AT109" s="1">
        <f t="array" ref="AT109">IF($B109="","",SUMPRODUCT(--($B$2:$B$313=B109),--(AQ109&lt;$AQ$2:$AQ$313))+1)</f>
        <v>6</v>
      </c>
      <c r="AU109" s="1">
        <f t="shared" si="95"/>
        <v>1.08E-7</v>
      </c>
      <c r="AV109" s="1">
        <f t="shared" ca="1" si="96"/>
        <v>9.1406108E-2</v>
      </c>
      <c r="AW109" s="1" t="str">
        <f t="shared" si="68"/>
        <v/>
      </c>
      <c r="AX109" s="1" t="str">
        <f t="shared" si="97"/>
        <v/>
      </c>
      <c r="AY109" s="8">
        <f t="shared" ca="1" si="98"/>
        <v>9.1406108E-2</v>
      </c>
      <c r="AZ109" s="1" cm="1">
        <f t="array" aca="1" ref="AZ109" ca="1">IF($B109="","",SUMPRODUCT(--($B$2:$B$313=B109),--(AY109&gt;$AY$2:$AY$313))+1)</f>
        <v>9</v>
      </c>
      <c r="BA109" s="1" t="str">
        <f t="shared" si="99"/>
        <v>K2024GP06_18_1</v>
      </c>
      <c r="BB109" s="1" t="str">
        <f t="shared" si="100"/>
        <v>K2024GP06_18_2</v>
      </c>
      <c r="BC109" s="1">
        <f t="shared" si="101"/>
        <v>0</v>
      </c>
      <c r="BD109" s="1">
        <f t="shared" si="102"/>
        <v>0</v>
      </c>
      <c r="BE109" s="1">
        <f t="shared" si="103"/>
        <v>1</v>
      </c>
      <c r="BF109" s="1">
        <f t="shared" si="104"/>
        <v>0</v>
      </c>
      <c r="BG109" s="1">
        <f t="shared" si="105"/>
        <v>0</v>
      </c>
      <c r="BH109" s="1">
        <f t="shared" si="106"/>
        <v>16</v>
      </c>
      <c r="BI109" s="1">
        <f t="shared" si="107"/>
        <v>16</v>
      </c>
      <c r="BJ109" s="1">
        <f t="shared" si="108"/>
        <v>0.16159999999999999</v>
      </c>
      <c r="BK109" s="1" t="str">
        <f t="shared" si="109"/>
        <v/>
      </c>
      <c r="BL109" s="1">
        <f t="shared" si="110"/>
        <v>9.8999999999999994E-5</v>
      </c>
      <c r="BM109" s="1">
        <f t="shared" si="111"/>
        <v>0.16170989999999999</v>
      </c>
      <c r="BN109" s="1" t="str">
        <f t="shared" si="112"/>
        <v/>
      </c>
      <c r="BO109" s="1">
        <f t="shared" si="69"/>
        <v>18</v>
      </c>
      <c r="BP109" s="1">
        <f t="shared" si="70"/>
        <v>0</v>
      </c>
      <c r="BQ109" s="1" t="str" cm="1">
        <f t="array" ref="BQ109">IF(I109="","",IF(BP109=1,"",IF(L109=0,"",IF(B109=1,"",_xlfn.XLOOKUP(1,($I$2:$I$313=$I109)*($B$2:$B$313=($B109-1)),$BO$2:$BO$313)))))</f>
        <v/>
      </c>
      <c r="BR109" s="1">
        <f>IF(I109="","",IF($B109=1,_xlfn.MINIFS($BO$2:$BO$313,$B$2:$B$313,$B109),_xlfn.MINIFS(BQ$2:$BQ$313,$B$2:$B$313,$B109)))</f>
        <v>3</v>
      </c>
      <c r="BS109" s="1">
        <f t="shared" si="113"/>
        <v>4</v>
      </c>
      <c r="BT109" s="1" t="str" cm="1">
        <f t="array" ref="BT109">IF($I109="","",IF($B109=1,_xlfn.XLOOKUP(1,($B$2:$B$313=$B109)*($BO$2:$BO$313=BR109),Data!$I$2:$I$313,,0),_xlfn.XLOOKUP(1,($B$2:$B$313=$B109)*($BQ$2:$BQ$313=$BR109),$I$2:$I$313,,0)))</f>
        <v>Jami Kallio</v>
      </c>
      <c r="BU109" s="1" t="str" cm="1">
        <f t="array" ref="BU109">IF(I109="","",IF($B109=1,_xlfn.XLOOKUP(1,($B$2:$B$313=$B109)*($BO$2:$BO$313=$BS109),$I$2:$I$313,,0),_xlfn.XLOOKUP(1,($B$2:$B$313=$B109)*($BQ$2:$BQ$313=$BS109),$I$2:$I$313,,0)))</f>
        <v>Asko Haaksi</v>
      </c>
      <c r="BV109" s="1" t="str" cm="1">
        <f t="array" ref="BV109">IF($I109="","",IF($B109=1,"",IF($B109=2,_xlfn.XLOOKUP(1,($B$2:$B$313=1)*($BO$2:$BO$313=1),$I$2:$I$313,,0),_xlfn.XLOOKUP($B109-1,$B$2:$B$313,$CH$2:$CH$313,,0))))</f>
        <v>Miika Nordblad</v>
      </c>
      <c r="BW109" s="1" t="str" cm="1">
        <f t="array" ref="BW109">IF($I109="","",IF($B109=1,"",IF(_xlfn.XLOOKUP(1,($B$2:$B$313=$B109)*($I$2:$I$313=$BV109),$BQ$2:$BQ$313,,0)="","NOK","OK")))</f>
        <v>NOK</v>
      </c>
      <c r="BX109" s="1" t="str">
        <f t="shared" si="114"/>
        <v>Jami Kallio</v>
      </c>
      <c r="BY109" s="1" t="str">
        <f t="shared" si="115"/>
        <v>Asko Haaksi</v>
      </c>
      <c r="BZ109" s="1">
        <f t="shared" si="116"/>
        <v>164</v>
      </c>
      <c r="CA109" s="1">
        <f t="shared" si="117"/>
        <v>149</v>
      </c>
      <c r="CB109" s="1">
        <f t="shared" si="118"/>
        <v>9.8999999999999994E-5</v>
      </c>
      <c r="CC109" s="1">
        <f t="shared" si="119"/>
        <v>127</v>
      </c>
      <c r="CD109" s="1">
        <f t="shared" si="120"/>
        <v>97</v>
      </c>
      <c r="CE109" s="1">
        <f t="shared" si="121"/>
        <v>9.8999999999999994E-5</v>
      </c>
      <c r="CF109" s="1" t="str">
        <f t="shared" si="122"/>
        <v>Jami Kallio (3)</v>
      </c>
      <c r="CG109" s="1" t="str">
        <f t="shared" si="123"/>
        <v>Asko Haaksi (4)</v>
      </c>
      <c r="CH109" s="1" t="str">
        <f t="shared" si="124"/>
        <v>Jami Kallio</v>
      </c>
      <c r="CI109" s="1">
        <f t="shared" si="125"/>
        <v>0</v>
      </c>
      <c r="CJ109" s="1" t="str">
        <f ca="1">IF(B109="","",IF(SUM(AI109:AK109)&gt;0,"+SP","")&amp;IF(CI109&gt;0,"+KK","")&amp;IF(AB109&gt;0,"+KGP1","")&amp;IF(AC109&gt;0,"+KGP2","")&amp;IF(AG109&lt;0,"-KGP1","")&amp;IF(AH109&lt;0,"-KGP2",""))</f>
        <v/>
      </c>
    </row>
    <row r="110" spans="1:88" x14ac:dyDescent="0.25">
      <c r="A110" s="1">
        <f>IFERROR(IF(ROW(A109)=1,1,IF(1+A109&lt;=$CP$1*$CP$2,1+A109,"")),"")</f>
        <v>109</v>
      </c>
      <c r="B110" s="1">
        <f>IF($I110="","",IF(ROW(B109)=1,1,ROUNDUP(A110/$CP$2,0)))</f>
        <v>7</v>
      </c>
      <c r="C110" s="4">
        <f t="shared" si="71"/>
        <v>45669</v>
      </c>
      <c r="D110" s="4" t="str">
        <f t="shared" si="65"/>
        <v>Kupittaan keilahalli</v>
      </c>
      <c r="E110" s="1">
        <f>IF($B110="","",COUNTIF($B$2:B110,B110))</f>
        <v>1</v>
      </c>
      <c r="F110" s="1" t="str">
        <f t="shared" si="66"/>
        <v>K2024GP07</v>
      </c>
      <c r="G110" s="1" t="str">
        <f t="shared" si="72"/>
        <v>K2024GP07_1</v>
      </c>
      <c r="H110" s="1">
        <f t="shared" si="73"/>
        <v>1</v>
      </c>
      <c r="I110" s="3" t="s">
        <v>236</v>
      </c>
      <c r="J110" s="3">
        <v>112</v>
      </c>
      <c r="K110" s="3">
        <v>153</v>
      </c>
      <c r="L110" s="1">
        <f t="shared" si="74"/>
        <v>265</v>
      </c>
      <c r="M110" s="1">
        <f t="shared" si="75"/>
        <v>1</v>
      </c>
      <c r="N110" s="1">
        <f t="shared" si="76"/>
        <v>8</v>
      </c>
      <c r="O110" s="1">
        <f t="shared" si="77"/>
        <v>265</v>
      </c>
      <c r="P110" s="1">
        <f t="shared" si="78"/>
        <v>67</v>
      </c>
      <c r="Q110" s="1">
        <f t="array" ref="Q110">IF($B110="","",IF(MAX(IF(B110=$B$2:$B$313,$L$2:$L$313))-L110=0,"",MAX(IF(B110=$B$2:$B$313,$L$2:$L$313))-L110))</f>
        <v>67</v>
      </c>
      <c r="R110" s="1">
        <f t="array" ref="R110">IF($B110="","",SUMPRODUCT(--($B$2:$B$313=B110),--(L110&lt;$L$2:$L$313))+1)</f>
        <v>8</v>
      </c>
      <c r="S110" s="1">
        <f t="shared" si="79"/>
        <v>2</v>
      </c>
      <c r="T110" s="1" cm="1">
        <f t="array" ref="T110">IF($B110="","",IF(M110=0,"",SUMPRODUCT(--($B$2:$B$313=B110),--(J110&lt;$J$2:$J$313))+1))</f>
        <v>9</v>
      </c>
      <c r="U110" s="1">
        <f t="shared" si="80"/>
        <v>-1</v>
      </c>
      <c r="V110" s="1" t="str">
        <f t="shared" si="81"/>
        <v>0708</v>
      </c>
      <c r="W110" s="1">
        <f t="shared" si="82"/>
        <v>1</v>
      </c>
      <c r="X110" s="1">
        <f t="shared" si="67"/>
        <v>0</v>
      </c>
      <c r="Y110" s="1">
        <f>IF($B110="","",MAX(_xlfn.MAXIFS($J$2:J110,$I$2:I110,$I110),_xlfn.MAXIFS($K$2:K110,$I$2:I110,$I110)))</f>
        <v>183</v>
      </c>
      <c r="Z110" s="1">
        <f t="shared" si="83"/>
        <v>177</v>
      </c>
      <c r="AA110" s="1">
        <f t="shared" si="84"/>
        <v>0</v>
      </c>
      <c r="AB110" s="1">
        <f t="shared" si="85"/>
        <v>0</v>
      </c>
      <c r="AC110" s="1">
        <f t="shared" si="86"/>
        <v>0</v>
      </c>
      <c r="AD110" s="1">
        <f>IF($B110="","",MIN(_xlfn.MINIFS($J$2:J110,$I$2:I110,$I110),_xlfn.MINIFS($K$2:K110,$I$2:I110,$I110)))</f>
        <v>73</v>
      </c>
      <c r="AE110" s="1">
        <f t="shared" si="87"/>
        <v>87</v>
      </c>
      <c r="AF110" s="1">
        <f t="shared" si="88"/>
        <v>0</v>
      </c>
      <c r="AG110" s="1">
        <f t="shared" si="89"/>
        <v>0</v>
      </c>
      <c r="AH110" s="1">
        <f t="shared" si="90"/>
        <v>0</v>
      </c>
      <c r="AI110" s="1">
        <f ca="1">IF($B110="","",IF($K110="",0,OFFSET($CO$17,R110,W110)))</f>
        <v>3</v>
      </c>
      <c r="AJ110" s="1">
        <f t="shared" ca="1" si="91"/>
        <v>0</v>
      </c>
      <c r="AK110" s="1">
        <f ca="1">IF(AJ110="","",IF(AJ110=0,0,IF(W110=1,0,SUM(OFFSET($CO$17,N110,1):OFFSET($CO$17,N110+W110-2,1))/W110)))</f>
        <v>0</v>
      </c>
      <c r="AL110" s="1">
        <f t="shared" ca="1" si="92"/>
        <v>3</v>
      </c>
      <c r="AM110" s="1">
        <f ca="1">IF($B110="","",SUMIFS($AL$2:AL110,$I$2:I110,$I110))</f>
        <v>20</v>
      </c>
      <c r="AN110" s="1">
        <f t="shared" si="93"/>
        <v>8.0001090000000001</v>
      </c>
      <c r="AO110" s="1">
        <f>IFERROR(IF($B110="","",AVERAGEIFS($L$2:L110,$I$2:I110,I110,$L$2:L110,"&lt;&gt;0")),0)</f>
        <v>252.16666666666666</v>
      </c>
      <c r="AP110" s="1">
        <f t="shared" si="94"/>
        <v>126.08333333333333</v>
      </c>
      <c r="AQ110" s="1">
        <f>IF($B110="","",COUNTIFS($R$2:R110,1,$I$2:I110,$I110))</f>
        <v>0</v>
      </c>
      <c r="AR110" s="1">
        <f t="array" aca="1" ref="AR110" ca="1">IF($B110="","",SUMPRODUCT(--($B$2:$B$313=B110),--(AM110&lt;$AM$2:$AM$313))+1)</f>
        <v>9</v>
      </c>
      <c r="AS110" s="1">
        <f t="array" ref="AS110">IF($B110="","",SUMPRODUCT(--($B$2:$B$313=B110),--(AP110&lt;$AP$2:$AP$313))+1)</f>
        <v>13</v>
      </c>
      <c r="AT110" s="1">
        <f t="array" ref="AT110">IF($B110="","",SUMPRODUCT(--($B$2:$B$313=B110),--(AQ110&lt;$AQ$2:$AQ$313))+1)</f>
        <v>7</v>
      </c>
      <c r="AU110" s="1">
        <f t="shared" si="95"/>
        <v>1.09E-7</v>
      </c>
      <c r="AV110" s="1">
        <f t="shared" ca="1" si="96"/>
        <v>9.1307108999999984E-2</v>
      </c>
      <c r="AW110" s="1" t="str">
        <f t="shared" si="68"/>
        <v/>
      </c>
      <c r="AX110" s="1" t="str">
        <f t="shared" si="97"/>
        <v/>
      </c>
      <c r="AY110" s="8">
        <f t="shared" ca="1" si="98"/>
        <v>9.1307108999999984E-2</v>
      </c>
      <c r="AZ110" s="1" cm="1">
        <f t="array" aca="1" ref="AZ110" ca="1">IF($B110="","",SUMPRODUCT(--($B$2:$B$313=B110),--(AY110&gt;$AY$2:$AY$313))+1)</f>
        <v>9</v>
      </c>
      <c r="BA110" s="1" t="str">
        <f t="shared" si="99"/>
        <v>K2024GP07_1_1</v>
      </c>
      <c r="BB110" s="1" t="str">
        <f t="shared" si="100"/>
        <v>K2024GP07_1_2</v>
      </c>
      <c r="BC110" s="1">
        <f t="shared" si="101"/>
        <v>0</v>
      </c>
      <c r="BD110" s="1">
        <f t="shared" si="102"/>
        <v>0</v>
      </c>
      <c r="BE110" s="1">
        <f t="shared" si="103"/>
        <v>1</v>
      </c>
      <c r="BF110" s="1">
        <f t="shared" si="104"/>
        <v>153</v>
      </c>
      <c r="BG110" s="1">
        <f t="shared" si="105"/>
        <v>112</v>
      </c>
      <c r="BH110" s="1">
        <f t="shared" si="106"/>
        <v>9</v>
      </c>
      <c r="BI110" s="1">
        <f t="shared" si="107"/>
        <v>8</v>
      </c>
      <c r="BJ110" s="1">
        <f t="shared" si="108"/>
        <v>9.0799999999999992E-2</v>
      </c>
      <c r="BK110" s="1">
        <f t="shared" si="109"/>
        <v>0</v>
      </c>
      <c r="BL110" s="1">
        <f t="shared" si="110"/>
        <v>9.8999999999999994E-5</v>
      </c>
      <c r="BM110" s="1">
        <f t="shared" si="111"/>
        <v>9.0898999999999994E-2</v>
      </c>
      <c r="BN110" s="1">
        <f t="shared" si="112"/>
        <v>0</v>
      </c>
      <c r="BO110" s="1">
        <f t="shared" si="69"/>
        <v>9</v>
      </c>
      <c r="BP110" s="1">
        <f t="shared" si="70"/>
        <v>0</v>
      </c>
      <c r="BQ110" s="1" cm="1">
        <f t="array" ref="BQ110">IF(I110="","",IF(BP110=1,"",IF(L110=0,"",IF(B110=1,"",_xlfn.XLOOKUP(1,($I$2:$I$313=$I110)*($B$2:$B$313=($B110-1)),$BO$2:$BO$313)))))</f>
        <v>18</v>
      </c>
      <c r="BR110" s="1">
        <f>IF(I110="","",IF($B110=1,_xlfn.MINIFS($BO$2:$BO$313,$B$2:$B$313,$B110),_xlfn.MINIFS(BQ$2:$BQ$313,$B$2:$B$313,$B110)))</f>
        <v>2</v>
      </c>
      <c r="BS110" s="1">
        <f t="shared" si="113"/>
        <v>3</v>
      </c>
      <c r="BT110" s="1" t="str" cm="1">
        <f t="array" ref="BT110">IF($I110="","",IF($B110=1,_xlfn.XLOOKUP(1,($B$2:$B$313=$B110)*($BO$2:$BO$313=BR110),Data!$I$2:$I$313,,0),_xlfn.XLOOKUP(1,($B$2:$B$313=$B110)*($BQ$2:$BQ$313=$BR110),$I$2:$I$313,,0)))</f>
        <v>Juho Korpi</v>
      </c>
      <c r="BU110" s="1" t="str" cm="1">
        <f t="array" ref="BU110">IF(I110="","",IF($B110=1,_xlfn.XLOOKUP(1,($B$2:$B$313=$B110)*($BO$2:$BO$313=$BS110),$I$2:$I$313,,0),_xlfn.XLOOKUP(1,($B$2:$B$313=$B110)*($BQ$2:$BQ$313=$BS110),$I$2:$I$313,,0)))</f>
        <v>Olli Kajava</v>
      </c>
      <c r="BV110" s="1" t="str" cm="1">
        <f t="array" ref="BV110">IF($I110="","",IF($B110=1,"",IF($B110=2,_xlfn.XLOOKUP(1,($B$2:$B$313=1)*($BO$2:$BO$313=1),$I$2:$I$313,,0),_xlfn.XLOOKUP($B110-1,$B$2:$B$313,$CH$2:$CH$313,,0))))</f>
        <v>Jami Kallio</v>
      </c>
      <c r="BW110" s="1" t="str" cm="1">
        <f t="array" ref="BW110">IF($I110="","",IF($B110=1,"",IF(_xlfn.XLOOKUP(1,($B$2:$B$313=$B110)*($I$2:$I$313=$BV110),$BQ$2:$BQ$313,,0)="","NOK","OK")))</f>
        <v>OK</v>
      </c>
      <c r="BX110" s="1" t="str">
        <f t="shared" si="114"/>
        <v>Jami Kallio</v>
      </c>
      <c r="BY110" s="1" t="str">
        <f t="shared" si="115"/>
        <v>Juho Korpi</v>
      </c>
      <c r="BZ110" s="1">
        <f t="shared" si="116"/>
        <v>157</v>
      </c>
      <c r="CA110" s="1">
        <f t="shared" si="117"/>
        <v>155</v>
      </c>
      <c r="CB110" s="1">
        <f t="shared" si="118"/>
        <v>9.8999999999999994E-5</v>
      </c>
      <c r="CC110" s="1">
        <f t="shared" si="119"/>
        <v>142</v>
      </c>
      <c r="CD110" s="1">
        <f t="shared" si="120"/>
        <v>128</v>
      </c>
      <c r="CE110" s="1">
        <f t="shared" si="121"/>
        <v>9.8999999999999994E-5</v>
      </c>
      <c r="CF110" s="1" t="str">
        <f t="shared" si="122"/>
        <v>Jami Kallio (P)</v>
      </c>
      <c r="CG110" s="1" t="str">
        <f t="shared" si="123"/>
        <v>Juho Korpi (2)</v>
      </c>
      <c r="CH110" s="1" t="str">
        <f t="shared" si="124"/>
        <v>Jami Kallio</v>
      </c>
      <c r="CI110" s="1">
        <f t="shared" si="125"/>
        <v>0</v>
      </c>
      <c r="CJ110" s="1" t="str">
        <f ca="1">IF(B110="","",IF(SUM(AI110:AK110)&gt;0,"+SP","")&amp;IF(CI110&gt;0,"+KK","")&amp;IF(AB110&gt;0,"+KGP1","")&amp;IF(AC110&gt;0,"+KGP2","")&amp;IF(AG110&lt;0,"-KGP1","")&amp;IF(AH110&lt;0,"-KGP2",""))</f>
        <v>+SP</v>
      </c>
    </row>
    <row r="111" spans="1:88" x14ac:dyDescent="0.25">
      <c r="A111" s="1">
        <f>IFERROR(IF(ROW(A110)=1,1,IF(1+A110&lt;=$CP$1*$CP$2,1+A110,"")),"")</f>
        <v>110</v>
      </c>
      <c r="B111" s="1">
        <f>IF($I111="","",IF(ROW(B110)=1,1,ROUNDUP(A111/$CP$2,0)))</f>
        <v>7</v>
      </c>
      <c r="C111" s="4">
        <f t="shared" si="71"/>
        <v>45669</v>
      </c>
      <c r="D111" s="4" t="str">
        <f t="shared" si="65"/>
        <v>Kupittaan keilahalli</v>
      </c>
      <c r="E111" s="1">
        <f>IF($B111="","",COUNTIF($B$2:B111,B111))</f>
        <v>2</v>
      </c>
      <c r="F111" s="1" t="str">
        <f t="shared" si="66"/>
        <v>K2024GP07</v>
      </c>
      <c r="G111" s="1" t="str">
        <f t="shared" si="72"/>
        <v>K2024GP07_2</v>
      </c>
      <c r="H111" s="1">
        <f t="shared" si="73"/>
        <v>1</v>
      </c>
      <c r="I111" s="3" t="s">
        <v>126</v>
      </c>
      <c r="J111" s="3">
        <v>105</v>
      </c>
      <c r="K111" s="3">
        <v>128</v>
      </c>
      <c r="L111" s="1">
        <f t="shared" si="74"/>
        <v>233</v>
      </c>
      <c r="M111" s="1">
        <f t="shared" si="75"/>
        <v>1</v>
      </c>
      <c r="N111" s="1">
        <f t="shared" si="76"/>
        <v>11</v>
      </c>
      <c r="O111" s="1">
        <f t="shared" si="77"/>
        <v>233</v>
      </c>
      <c r="P111" s="1">
        <f t="shared" si="78"/>
        <v>99</v>
      </c>
      <c r="Q111" s="1">
        <f t="array" ref="Q111">IF($B111="","",IF(MAX(IF(B111=$B$2:$B$313,$L$2:$L$313))-L111=0,"",MAX(IF(B111=$B$2:$B$313,$L$2:$L$313))-L111))</f>
        <v>99</v>
      </c>
      <c r="R111" s="1">
        <f t="array" ref="R111">IF($B111="","",SUMPRODUCT(--($B$2:$B$313=B111),--(L111&lt;$L$2:$L$313))+1)</f>
        <v>11</v>
      </c>
      <c r="S111" s="1">
        <f t="shared" si="79"/>
        <v>2</v>
      </c>
      <c r="T111" s="1" cm="1">
        <f t="array" ref="T111">IF($B111="","",IF(M111=0,"",SUMPRODUCT(--($B$2:$B$313=B111),--(J111&lt;$J$2:$J$313))+1))</f>
        <v>10</v>
      </c>
      <c r="U111" s="1">
        <f t="shared" si="80"/>
        <v>1</v>
      </c>
      <c r="V111" s="1" t="str">
        <f t="shared" si="81"/>
        <v>0711</v>
      </c>
      <c r="W111" s="1">
        <f t="shared" si="82"/>
        <v>1</v>
      </c>
      <c r="X111" s="1">
        <f t="shared" si="67"/>
        <v>0</v>
      </c>
      <c r="Y111" s="1">
        <f>IF($B111="","",MAX(_xlfn.MAXIFS($J$2:J111,$I$2:I111,$I111),_xlfn.MAXIFS($K$2:K111,$I$2:I111,$I111)))</f>
        <v>142</v>
      </c>
      <c r="Z111" s="1">
        <f t="shared" si="83"/>
        <v>177</v>
      </c>
      <c r="AA111" s="1">
        <f t="shared" si="84"/>
        <v>0</v>
      </c>
      <c r="AB111" s="1">
        <f t="shared" si="85"/>
        <v>0</v>
      </c>
      <c r="AC111" s="1">
        <f t="shared" si="86"/>
        <v>0</v>
      </c>
      <c r="AD111" s="1">
        <f>IF($B111="","",MIN(_xlfn.MINIFS($J$2:J111,$I$2:I111,$I111),_xlfn.MINIFS($K$2:K111,$I$2:I111,$I111)))</f>
        <v>95</v>
      </c>
      <c r="AE111" s="1">
        <f t="shared" si="87"/>
        <v>87</v>
      </c>
      <c r="AF111" s="1">
        <f t="shared" si="88"/>
        <v>0</v>
      </c>
      <c r="AG111" s="1">
        <f t="shared" si="89"/>
        <v>0</v>
      </c>
      <c r="AH111" s="1">
        <f t="shared" si="90"/>
        <v>0</v>
      </c>
      <c r="AI111" s="1">
        <f ca="1">IF($B111="","",IF($K111="",0,OFFSET($CO$17,R111,W111)))</f>
        <v>0</v>
      </c>
      <c r="AJ111" s="1">
        <f t="shared" ca="1" si="91"/>
        <v>0</v>
      </c>
      <c r="AK111" s="1">
        <f ca="1">IF(AJ111="","",IF(AJ111=0,0,IF(W111=1,0,SUM(OFFSET($CO$17,N111,1):OFFSET($CO$17,N111+W111-2,1))/W111)))</f>
        <v>0</v>
      </c>
      <c r="AL111" s="1">
        <f t="shared" ca="1" si="92"/>
        <v>0</v>
      </c>
      <c r="AM111" s="1">
        <f ca="1">IF($B111="","",SUMIFS($AL$2:AL111,$I$2:I111,$I111))</f>
        <v>1</v>
      </c>
      <c r="AN111" s="1">
        <f t="shared" si="93"/>
        <v>11.000109999999999</v>
      </c>
      <c r="AO111" s="1">
        <f>IFERROR(IF($B111="","",AVERAGEIFS($L$2:L111,$I$2:I111,I111,$L$2:L111,"&lt;&gt;0")),0)</f>
        <v>238.2</v>
      </c>
      <c r="AP111" s="1">
        <f t="shared" si="94"/>
        <v>119.1</v>
      </c>
      <c r="AQ111" s="1">
        <f>IF($B111="","",COUNTIFS($R$2:R111,1,$I$2:I111,$I111))</f>
        <v>0</v>
      </c>
      <c r="AR111" s="1">
        <f t="array" aca="1" ref="AR111" ca="1">IF($B111="","",SUMPRODUCT(--($B$2:$B$313=B111),--(AM111&lt;$AM$2:$AM$313))+1)</f>
        <v>17</v>
      </c>
      <c r="AS111" s="1">
        <f t="array" ref="AS111">IF($B111="","",SUMPRODUCT(--($B$2:$B$313=B111),--(AP111&lt;$AP$2:$AP$313))+1)</f>
        <v>15</v>
      </c>
      <c r="AT111" s="1">
        <f t="array" ref="AT111">IF($B111="","",SUMPRODUCT(--($B$2:$B$313=B111),--(AQ111&lt;$AQ$2:$AQ$313))+1)</f>
        <v>7</v>
      </c>
      <c r="AU111" s="1">
        <f t="shared" si="95"/>
        <v>1.1000000000000001E-7</v>
      </c>
      <c r="AV111" s="1">
        <f t="shared" ca="1" si="96"/>
        <v>0.17150711000000002</v>
      </c>
      <c r="AW111" s="1" t="str">
        <f t="shared" si="68"/>
        <v/>
      </c>
      <c r="AX111" s="1" t="str">
        <f t="shared" si="97"/>
        <v/>
      </c>
      <c r="AY111" s="8">
        <f t="shared" ca="1" si="98"/>
        <v>0.17150711000000002</v>
      </c>
      <c r="AZ111" s="1" cm="1">
        <f t="array" aca="1" ref="AZ111" ca="1">IF($B111="","",SUMPRODUCT(--($B$2:$B$313=B111),--(AY111&gt;$AY$2:$AY$313))+1)</f>
        <v>17</v>
      </c>
      <c r="BA111" s="1" t="str">
        <f t="shared" si="99"/>
        <v>K2024GP07_2_1</v>
      </c>
      <c r="BB111" s="1" t="str">
        <f t="shared" si="100"/>
        <v>K2024GP07_2_2</v>
      </c>
      <c r="BC111" s="1">
        <f t="shared" si="101"/>
        <v>0</v>
      </c>
      <c r="BD111" s="1">
        <f t="shared" si="102"/>
        <v>0</v>
      </c>
      <c r="BE111" s="1">
        <f t="shared" si="103"/>
        <v>1</v>
      </c>
      <c r="BF111" s="1">
        <f t="shared" si="104"/>
        <v>128</v>
      </c>
      <c r="BG111" s="1">
        <f t="shared" si="105"/>
        <v>105</v>
      </c>
      <c r="BH111" s="1">
        <f t="shared" si="106"/>
        <v>11</v>
      </c>
      <c r="BI111" s="1">
        <f t="shared" si="107"/>
        <v>10</v>
      </c>
      <c r="BJ111" s="1">
        <f t="shared" si="108"/>
        <v>0.111</v>
      </c>
      <c r="BK111" s="1">
        <f t="shared" si="109"/>
        <v>0</v>
      </c>
      <c r="BL111" s="1">
        <f t="shared" si="110"/>
        <v>9.8999999999999994E-5</v>
      </c>
      <c r="BM111" s="1">
        <f t="shared" si="111"/>
        <v>0.111099</v>
      </c>
      <c r="BN111" s="1">
        <f t="shared" si="112"/>
        <v>0</v>
      </c>
      <c r="BO111" s="1">
        <f t="shared" si="69"/>
        <v>11</v>
      </c>
      <c r="BP111" s="1">
        <f t="shared" si="70"/>
        <v>0</v>
      </c>
      <c r="BQ111" s="1" cm="1">
        <f t="array" ref="BQ111">IF(I111="","",IF(BP111=1,"",IF(L111=0,"",IF(B111=1,"",_xlfn.XLOOKUP(1,($I$2:$I$313=$I111)*($B$2:$B$313=($B111-1)),$BO$2:$BO$313)))))</f>
        <v>13</v>
      </c>
      <c r="BR111" s="1">
        <f>IF(I111="","",IF($B111=1,_xlfn.MINIFS($BO$2:$BO$313,$B$2:$B$313,$B111),_xlfn.MINIFS(BQ$2:$BQ$313,$B$2:$B$313,$B111)))</f>
        <v>2</v>
      </c>
      <c r="BS111" s="1">
        <f t="shared" si="113"/>
        <v>3</v>
      </c>
      <c r="BT111" s="1" t="str" cm="1">
        <f t="array" ref="BT111">IF($I111="","",IF($B111=1,_xlfn.XLOOKUP(1,($B$2:$B$313=$B111)*($BO$2:$BO$313=BR111),Data!$I$2:$I$313,,0),_xlfn.XLOOKUP(1,($B$2:$B$313=$B111)*($BQ$2:$BQ$313=$BR111),$I$2:$I$313,,0)))</f>
        <v>Juho Korpi</v>
      </c>
      <c r="BU111" s="1" t="str" cm="1">
        <f t="array" ref="BU111">IF(I111="","",IF($B111=1,_xlfn.XLOOKUP(1,($B$2:$B$313=$B111)*($BO$2:$BO$313=$BS111),$I$2:$I$313,,0),_xlfn.XLOOKUP(1,($B$2:$B$313=$B111)*($BQ$2:$BQ$313=$BS111),$I$2:$I$313,,0)))</f>
        <v>Olli Kajava</v>
      </c>
      <c r="BV111" s="1" t="str" cm="1">
        <f t="array" ref="BV111">IF($I111="","",IF($B111=1,"",IF($B111=2,_xlfn.XLOOKUP(1,($B$2:$B$313=1)*($BO$2:$BO$313=1),$I$2:$I$313,,0),_xlfn.XLOOKUP($B111-1,$B$2:$B$313,$CH$2:$CH$313,,0))))</f>
        <v>Jami Kallio</v>
      </c>
      <c r="BW111" s="1" t="str" cm="1">
        <f t="array" ref="BW111">IF($I111="","",IF($B111=1,"",IF(_xlfn.XLOOKUP(1,($B$2:$B$313=$B111)*($I$2:$I$313=$BV111),$BQ$2:$BQ$313,,0)="","NOK","OK")))</f>
        <v>OK</v>
      </c>
      <c r="BX111" s="1" t="str">
        <f t="shared" si="114"/>
        <v>Jami Kallio</v>
      </c>
      <c r="BY111" s="1" t="str">
        <f t="shared" si="115"/>
        <v>Juho Korpi</v>
      </c>
      <c r="BZ111" s="1">
        <f t="shared" si="116"/>
        <v>157</v>
      </c>
      <c r="CA111" s="1">
        <f t="shared" si="117"/>
        <v>155</v>
      </c>
      <c r="CB111" s="1">
        <f t="shared" si="118"/>
        <v>9.8999999999999994E-5</v>
      </c>
      <c r="CC111" s="1">
        <f t="shared" si="119"/>
        <v>142</v>
      </c>
      <c r="CD111" s="1">
        <f t="shared" si="120"/>
        <v>128</v>
      </c>
      <c r="CE111" s="1">
        <f t="shared" si="121"/>
        <v>9.8999999999999994E-5</v>
      </c>
      <c r="CF111" s="1" t="str">
        <f t="shared" si="122"/>
        <v>Jami Kallio (P)</v>
      </c>
      <c r="CG111" s="1" t="str">
        <f t="shared" si="123"/>
        <v>Juho Korpi (2)</v>
      </c>
      <c r="CH111" s="1" t="str">
        <f t="shared" si="124"/>
        <v>Jami Kallio</v>
      </c>
      <c r="CI111" s="1">
        <f t="shared" si="125"/>
        <v>0</v>
      </c>
      <c r="CJ111" s="1" t="str">
        <f ca="1">IF(B111="","",IF(SUM(AI111:AK111)&gt;0,"+SP","")&amp;IF(CI111&gt;0,"+KK","")&amp;IF(AB111&gt;0,"+KGP1","")&amp;IF(AC111&gt;0,"+KGP2","")&amp;IF(AG111&lt;0,"-KGP1","")&amp;IF(AH111&lt;0,"-KGP2",""))</f>
        <v/>
      </c>
    </row>
    <row r="112" spans="1:88" x14ac:dyDescent="0.25">
      <c r="A112" s="1">
        <f>IFERROR(IF(ROW(A111)=1,1,IF(1+A111&lt;=$CP$1*$CP$2,1+A111,"")),"")</f>
        <v>111</v>
      </c>
      <c r="B112" s="1">
        <f>IF($I112="","",IF(ROW(B111)=1,1,ROUNDUP(A112/$CP$2,0)))</f>
        <v>7</v>
      </c>
      <c r="C112" s="4">
        <f t="shared" si="71"/>
        <v>45669</v>
      </c>
      <c r="D112" s="4" t="str">
        <f t="shared" si="65"/>
        <v>Kupittaan keilahalli</v>
      </c>
      <c r="E112" s="1">
        <f>IF($B112="","",COUNTIF($B$2:B112,B112))</f>
        <v>3</v>
      </c>
      <c r="F112" s="1" t="str">
        <f t="shared" si="66"/>
        <v>K2024GP07</v>
      </c>
      <c r="G112" s="1" t="str">
        <f t="shared" si="72"/>
        <v>K2024GP07_3</v>
      </c>
      <c r="H112" s="1">
        <f t="shared" si="73"/>
        <v>1</v>
      </c>
      <c r="I112" s="3" t="s">
        <v>117</v>
      </c>
      <c r="J112" s="3">
        <v>177</v>
      </c>
      <c r="K112" s="3">
        <v>155</v>
      </c>
      <c r="L112" s="1">
        <f t="shared" si="74"/>
        <v>332</v>
      </c>
      <c r="M112" s="1">
        <f t="shared" si="75"/>
        <v>1</v>
      </c>
      <c r="N112" s="1">
        <f t="shared" si="76"/>
        <v>1</v>
      </c>
      <c r="O112" s="1">
        <f t="shared" si="77"/>
        <v>332</v>
      </c>
      <c r="P112" s="1" t="str">
        <f t="shared" si="78"/>
        <v/>
      </c>
      <c r="Q112" s="1" t="str">
        <f t="array" ref="Q112">IF($B112="","",IF(MAX(IF(B112=$B$2:$B$313,$L$2:$L$313))-L112=0,"",MAX(IF(B112=$B$2:$B$313,$L$2:$L$313))-L112))</f>
        <v/>
      </c>
      <c r="R112" s="1">
        <f t="array" ref="R112">IF($B112="","",SUMPRODUCT(--($B$2:$B$313=B112),--(L112&lt;$L$2:$L$313))+1)</f>
        <v>1</v>
      </c>
      <c r="S112" s="1">
        <f t="shared" si="79"/>
        <v>2</v>
      </c>
      <c r="T112" s="1" cm="1">
        <f t="array" ref="T112">IF($B112="","",IF(M112=0,"",SUMPRODUCT(--($B$2:$B$313=B112),--(J112&lt;$J$2:$J$313))+1))</f>
        <v>1</v>
      </c>
      <c r="U112" s="1">
        <f t="shared" si="80"/>
        <v>0</v>
      </c>
      <c r="V112" s="1" t="str">
        <f t="shared" si="81"/>
        <v>0701</v>
      </c>
      <c r="W112" s="1">
        <f t="shared" si="82"/>
        <v>1</v>
      </c>
      <c r="X112" s="1">
        <f t="shared" si="67"/>
        <v>0</v>
      </c>
      <c r="Y112" s="1">
        <f>IF($B112="","",MAX(_xlfn.MAXIFS($J$2:J112,$I$2:I112,$I112),_xlfn.MAXIFS($K$2:K112,$I$2:I112,$I112)))</f>
        <v>177</v>
      </c>
      <c r="Z112" s="1">
        <f t="shared" si="83"/>
        <v>177</v>
      </c>
      <c r="AA112" s="1">
        <f t="shared" si="84"/>
        <v>0</v>
      </c>
      <c r="AB112" s="1">
        <f t="shared" si="85"/>
        <v>0</v>
      </c>
      <c r="AC112" s="1">
        <f t="shared" si="86"/>
        <v>0</v>
      </c>
      <c r="AD112" s="1">
        <f>IF($B112="","",MIN(_xlfn.MINIFS($J$2:J112,$I$2:I112,$I112),_xlfn.MINIFS($K$2:K112,$I$2:I112,$I112)))</f>
        <v>97</v>
      </c>
      <c r="AE112" s="1">
        <f t="shared" si="87"/>
        <v>87</v>
      </c>
      <c r="AF112" s="1">
        <f t="shared" si="88"/>
        <v>0</v>
      </c>
      <c r="AG112" s="1">
        <f t="shared" si="89"/>
        <v>0</v>
      </c>
      <c r="AH112" s="1">
        <f t="shared" si="90"/>
        <v>0</v>
      </c>
      <c r="AI112" s="1">
        <f ca="1">IF($B112="","",IF($K112="",0,OFFSET($CO$17,R112,W112)))</f>
        <v>12</v>
      </c>
      <c r="AJ112" s="1">
        <f t="shared" ca="1" si="91"/>
        <v>0</v>
      </c>
      <c r="AK112" s="1">
        <f ca="1">IF(AJ112="","",IF(AJ112=0,0,IF(W112=1,0,SUM(OFFSET($CO$17,N112,1):OFFSET($CO$17,N112+W112-2,1))/W112)))</f>
        <v>0</v>
      </c>
      <c r="AL112" s="1">
        <f t="shared" ca="1" si="92"/>
        <v>12</v>
      </c>
      <c r="AM112" s="1">
        <f ca="1">IF($B112="","",SUMIFS($AL$2:AL112,$I$2:I112,$I112))</f>
        <v>25</v>
      </c>
      <c r="AN112" s="1">
        <f t="shared" si="93"/>
        <v>1.000111</v>
      </c>
      <c r="AO112" s="1">
        <f>IFERROR(IF($B112="","",AVERAGEIFS($L$2:L112,$I$2:I112,I112,$L$2:L112,"&lt;&gt;0")),0)</f>
        <v>288</v>
      </c>
      <c r="AP112" s="1">
        <f t="shared" si="94"/>
        <v>144</v>
      </c>
      <c r="AQ112" s="1">
        <f>IF($B112="","",COUNTIFS($R$2:R112,1,$I$2:I112,$I112))</f>
        <v>1</v>
      </c>
      <c r="AR112" s="1">
        <f t="array" aca="1" ref="AR112" ca="1">IF($B112="","",SUMPRODUCT(--($B$2:$B$313=B112),--(AM112&lt;$AM$2:$AM$313))+1)</f>
        <v>8</v>
      </c>
      <c r="AS112" s="1">
        <f t="array" ref="AS112">IF($B112="","",SUMPRODUCT(--($B$2:$B$313=B112),--(AP112&lt;$AP$2:$AP$313))+1)</f>
        <v>6</v>
      </c>
      <c r="AT112" s="1">
        <f t="array" ref="AT112">IF($B112="","",SUMPRODUCT(--($B$2:$B$313=B112),--(AQ112&lt;$AQ$2:$AQ$313))+1)</f>
        <v>3</v>
      </c>
      <c r="AU112" s="1">
        <f t="shared" si="95"/>
        <v>1.11E-7</v>
      </c>
      <c r="AV112" s="1">
        <f t="shared" ca="1" si="96"/>
        <v>8.0603111000000005E-2</v>
      </c>
      <c r="AW112" s="1" t="str">
        <f t="shared" si="68"/>
        <v/>
      </c>
      <c r="AX112" s="1" t="str">
        <f t="shared" si="97"/>
        <v/>
      </c>
      <c r="AY112" s="8">
        <f t="shared" ca="1" si="98"/>
        <v>8.0603111000000005E-2</v>
      </c>
      <c r="AZ112" s="1" cm="1">
        <f t="array" aca="1" ref="AZ112" ca="1">IF($B112="","",SUMPRODUCT(--($B$2:$B$313=B112),--(AY112&gt;$AY$2:$AY$313))+1)</f>
        <v>8</v>
      </c>
      <c r="BA112" s="1" t="str">
        <f t="shared" si="99"/>
        <v>K2024GP07_3_1</v>
      </c>
      <c r="BB112" s="1" t="str">
        <f t="shared" si="100"/>
        <v>K2024GP07_3_2</v>
      </c>
      <c r="BC112" s="1">
        <f t="shared" si="101"/>
        <v>1</v>
      </c>
      <c r="BD112" s="1">
        <f t="shared" si="102"/>
        <v>1</v>
      </c>
      <c r="BE112" s="1">
        <f t="shared" si="103"/>
        <v>1</v>
      </c>
      <c r="BF112" s="1">
        <f t="shared" si="104"/>
        <v>177</v>
      </c>
      <c r="BG112" s="1">
        <f t="shared" si="105"/>
        <v>155</v>
      </c>
      <c r="BH112" s="1">
        <f t="shared" si="106"/>
        <v>1</v>
      </c>
      <c r="BI112" s="1">
        <f t="shared" si="107"/>
        <v>1</v>
      </c>
      <c r="BJ112" s="1">
        <f t="shared" si="108"/>
        <v>1.01E-2</v>
      </c>
      <c r="BK112" s="1">
        <f t="shared" si="109"/>
        <v>0</v>
      </c>
      <c r="BL112" s="1">
        <f t="shared" si="110"/>
        <v>9.8999999999999994E-5</v>
      </c>
      <c r="BM112" s="1">
        <f t="shared" si="111"/>
        <v>1.0199E-2</v>
      </c>
      <c r="BN112" s="1">
        <f t="shared" si="112"/>
        <v>0</v>
      </c>
      <c r="BO112" s="1">
        <f t="shared" si="69"/>
        <v>1</v>
      </c>
      <c r="BP112" s="1">
        <f t="shared" si="70"/>
        <v>0</v>
      </c>
      <c r="BQ112" s="1" cm="1">
        <f t="array" ref="BQ112">IF(I112="","",IF(BP112=1,"",IF(L112=0,"",IF(B112=1,"",_xlfn.XLOOKUP(1,($I$2:$I$313=$I112)*($B$2:$B$313=($B112-1)),$BO$2:$BO$313)))))</f>
        <v>11</v>
      </c>
      <c r="BR112" s="1">
        <f>IF(I112="","",IF($B112=1,_xlfn.MINIFS($BO$2:$BO$313,$B$2:$B$313,$B112),_xlfn.MINIFS(BQ$2:$BQ$313,$B$2:$B$313,$B112)))</f>
        <v>2</v>
      </c>
      <c r="BS112" s="1">
        <f t="shared" si="113"/>
        <v>3</v>
      </c>
      <c r="BT112" s="1" t="str" cm="1">
        <f t="array" ref="BT112">IF($I112="","",IF($B112=1,_xlfn.XLOOKUP(1,($B$2:$B$313=$B112)*($BO$2:$BO$313=BR112),Data!$I$2:$I$313,,0),_xlfn.XLOOKUP(1,($B$2:$B$313=$B112)*($BQ$2:$BQ$313=$BR112),$I$2:$I$313,,0)))</f>
        <v>Juho Korpi</v>
      </c>
      <c r="BU112" s="1" t="str" cm="1">
        <f t="array" ref="BU112">IF(I112="","",IF($B112=1,_xlfn.XLOOKUP(1,($B$2:$B$313=$B112)*($BO$2:$BO$313=$BS112),$I$2:$I$313,,0),_xlfn.XLOOKUP(1,($B$2:$B$313=$B112)*($BQ$2:$BQ$313=$BS112),$I$2:$I$313,,0)))</f>
        <v>Olli Kajava</v>
      </c>
      <c r="BV112" s="1" t="str" cm="1">
        <f t="array" ref="BV112">IF($I112="","",IF($B112=1,"",IF($B112=2,_xlfn.XLOOKUP(1,($B$2:$B$313=1)*($BO$2:$BO$313=1),$I$2:$I$313,,0),_xlfn.XLOOKUP($B112-1,$B$2:$B$313,$CH$2:$CH$313,,0))))</f>
        <v>Jami Kallio</v>
      </c>
      <c r="BW112" s="1" t="str" cm="1">
        <f t="array" ref="BW112">IF($I112="","",IF($B112=1,"",IF(_xlfn.XLOOKUP(1,($B$2:$B$313=$B112)*($I$2:$I$313=$BV112),$BQ$2:$BQ$313,,0)="","NOK","OK")))</f>
        <v>OK</v>
      </c>
      <c r="BX112" s="1" t="str">
        <f t="shared" si="114"/>
        <v>Jami Kallio</v>
      </c>
      <c r="BY112" s="1" t="str">
        <f t="shared" si="115"/>
        <v>Juho Korpi</v>
      </c>
      <c r="BZ112" s="1">
        <f t="shared" si="116"/>
        <v>157</v>
      </c>
      <c r="CA112" s="1">
        <f t="shared" si="117"/>
        <v>155</v>
      </c>
      <c r="CB112" s="1">
        <f t="shared" si="118"/>
        <v>9.8999999999999994E-5</v>
      </c>
      <c r="CC112" s="1">
        <f t="shared" si="119"/>
        <v>142</v>
      </c>
      <c r="CD112" s="1">
        <f t="shared" si="120"/>
        <v>128</v>
      </c>
      <c r="CE112" s="1">
        <f t="shared" si="121"/>
        <v>9.8999999999999994E-5</v>
      </c>
      <c r="CF112" s="1" t="str">
        <f t="shared" si="122"/>
        <v>Jami Kallio (P)</v>
      </c>
      <c r="CG112" s="1" t="str">
        <f t="shared" si="123"/>
        <v>Juho Korpi (2)</v>
      </c>
      <c r="CH112" s="1" t="str">
        <f t="shared" si="124"/>
        <v>Jami Kallio</v>
      </c>
      <c r="CI112" s="1">
        <f t="shared" si="125"/>
        <v>0</v>
      </c>
      <c r="CJ112" s="1" t="str">
        <f ca="1">IF(B112="","",IF(SUM(AI112:AK112)&gt;0,"+SP","")&amp;IF(CI112&gt;0,"+KK","")&amp;IF(AB112&gt;0,"+KGP1","")&amp;IF(AC112&gt;0,"+KGP2","")&amp;IF(AG112&lt;0,"-KGP1","")&amp;IF(AH112&lt;0,"-KGP2",""))</f>
        <v>+SP</v>
      </c>
    </row>
    <row r="113" spans="1:88" x14ac:dyDescent="0.25">
      <c r="A113" s="1">
        <f>IFERROR(IF(ROW(A112)=1,1,IF(1+A112&lt;=$CP$1*$CP$2,1+A112,"")),"")</f>
        <v>112</v>
      </c>
      <c r="B113" s="1">
        <f>IF($I113="","",IF(ROW(B112)=1,1,ROUNDUP(A113/$CP$2,0)))</f>
        <v>7</v>
      </c>
      <c r="C113" s="4">
        <f t="shared" si="71"/>
        <v>45669</v>
      </c>
      <c r="D113" s="4" t="str">
        <f t="shared" si="65"/>
        <v>Kupittaan keilahalli</v>
      </c>
      <c r="E113" s="1">
        <f>IF($B113="","",COUNTIF($B$2:B113,B113))</f>
        <v>4</v>
      </c>
      <c r="F113" s="1" t="str">
        <f t="shared" si="66"/>
        <v>K2024GP07</v>
      </c>
      <c r="G113" s="1" t="str">
        <f t="shared" si="72"/>
        <v>K2024GP07_4</v>
      </c>
      <c r="H113" s="1">
        <f t="shared" si="73"/>
        <v>1</v>
      </c>
      <c r="I113" s="3" t="s">
        <v>131</v>
      </c>
      <c r="J113" s="3">
        <v>132</v>
      </c>
      <c r="K113" s="3">
        <v>156</v>
      </c>
      <c r="L113" s="1">
        <f t="shared" si="74"/>
        <v>288</v>
      </c>
      <c r="M113" s="1">
        <f t="shared" si="75"/>
        <v>1</v>
      </c>
      <c r="N113" s="1">
        <f t="shared" si="76"/>
        <v>6</v>
      </c>
      <c r="O113" s="1">
        <f t="shared" si="77"/>
        <v>288</v>
      </c>
      <c r="P113" s="1">
        <f t="shared" si="78"/>
        <v>44</v>
      </c>
      <c r="Q113" s="1">
        <f t="array" ref="Q113">IF($B113="","",IF(MAX(IF(B113=$B$2:$B$313,$L$2:$L$313))-L113=0,"",MAX(IF(B113=$B$2:$B$313,$L$2:$L$313))-L113))</f>
        <v>44</v>
      </c>
      <c r="R113" s="1">
        <f t="array" ref="R113">IF($B113="","",SUMPRODUCT(--($B$2:$B$313=B113),--(L113&lt;$L$2:$L$313))+1)</f>
        <v>6</v>
      </c>
      <c r="S113" s="1">
        <f t="shared" si="79"/>
        <v>2</v>
      </c>
      <c r="T113" s="1" cm="1">
        <f t="array" ref="T113">IF($B113="","",IF(M113=0,"",SUMPRODUCT(--($B$2:$B$313=B113),--(J113&lt;$J$2:$J$313))+1))</f>
        <v>7</v>
      </c>
      <c r="U113" s="1">
        <f t="shared" si="80"/>
        <v>-1</v>
      </c>
      <c r="V113" s="1" t="str">
        <f t="shared" si="81"/>
        <v>0706</v>
      </c>
      <c r="W113" s="1">
        <f t="shared" si="82"/>
        <v>1</v>
      </c>
      <c r="X113" s="1">
        <f t="shared" si="67"/>
        <v>0</v>
      </c>
      <c r="Y113" s="1">
        <f>IF($B113="","",MAX(_xlfn.MAXIFS($J$2:J113,$I$2:I113,$I113),_xlfn.MAXIFS($K$2:K113,$I$2:I113,$I113)))</f>
        <v>170</v>
      </c>
      <c r="Z113" s="1">
        <f t="shared" si="83"/>
        <v>177</v>
      </c>
      <c r="AA113" s="1">
        <f t="shared" si="84"/>
        <v>0</v>
      </c>
      <c r="AB113" s="1">
        <f t="shared" si="85"/>
        <v>0</v>
      </c>
      <c r="AC113" s="1">
        <f t="shared" si="86"/>
        <v>0</v>
      </c>
      <c r="AD113" s="1">
        <f>IF($B113="","",MIN(_xlfn.MINIFS($J$2:J113,$I$2:I113,$I113),_xlfn.MINIFS($K$2:K113,$I$2:I113,$I113)))</f>
        <v>102</v>
      </c>
      <c r="AE113" s="1">
        <f t="shared" si="87"/>
        <v>87</v>
      </c>
      <c r="AF113" s="1">
        <f t="shared" si="88"/>
        <v>0</v>
      </c>
      <c r="AG113" s="1">
        <f t="shared" si="89"/>
        <v>0</v>
      </c>
      <c r="AH113" s="1">
        <f t="shared" si="90"/>
        <v>0</v>
      </c>
      <c r="AI113" s="1">
        <f ca="1">IF($B113="","",IF($K113="",0,OFFSET($CO$17,R113,W113)))</f>
        <v>5</v>
      </c>
      <c r="AJ113" s="1">
        <f t="shared" ca="1" si="91"/>
        <v>0</v>
      </c>
      <c r="AK113" s="1">
        <f ca="1">IF(AJ113="","",IF(AJ113=0,0,IF(W113=1,0,SUM(OFFSET($CO$17,N113,1):OFFSET($CO$17,N113+W113-2,1))/W113)))</f>
        <v>0</v>
      </c>
      <c r="AL113" s="1">
        <f t="shared" ca="1" si="92"/>
        <v>5</v>
      </c>
      <c r="AM113" s="1">
        <f ca="1">IF($B113="","",SUMIFS($AL$2:AL113,$I$2:I113,$I113))</f>
        <v>40</v>
      </c>
      <c r="AN113" s="1">
        <f t="shared" si="93"/>
        <v>6.0001119999999997</v>
      </c>
      <c r="AO113" s="1">
        <f>IFERROR(IF($B113="","",AVERAGEIFS($L$2:L113,$I$2:I113,I113,$L$2:L113,"&lt;&gt;0")),0)</f>
        <v>281.85714285714283</v>
      </c>
      <c r="AP113" s="1">
        <f t="shared" si="94"/>
        <v>140.92857142857142</v>
      </c>
      <c r="AQ113" s="1">
        <f>IF($B113="","",COUNTIFS($R$2:R113,1,$I$2:I113,$I113))</f>
        <v>0</v>
      </c>
      <c r="AR113" s="1">
        <f t="array" aca="1" ref="AR113" ca="1">IF($B113="","",SUMPRODUCT(--($B$2:$B$313=B113),--(AM113&lt;$AM$2:$AM$313))+1)</f>
        <v>3</v>
      </c>
      <c r="AS113" s="1">
        <f t="array" ref="AS113">IF($B113="","",SUMPRODUCT(--($B$2:$B$313=B113),--(AP113&lt;$AP$2:$AP$313))+1)</f>
        <v>7</v>
      </c>
      <c r="AT113" s="1">
        <f t="array" ref="AT113">IF($B113="","",SUMPRODUCT(--($B$2:$B$313=B113),--(AQ113&lt;$AQ$2:$AQ$313))+1)</f>
        <v>7</v>
      </c>
      <c r="AU113" s="1">
        <f t="shared" si="95"/>
        <v>1.12E-7</v>
      </c>
      <c r="AV113" s="1">
        <f t="shared" ca="1" si="96"/>
        <v>3.0707111999999998E-2</v>
      </c>
      <c r="AW113" s="1" t="str">
        <f t="shared" si="68"/>
        <v/>
      </c>
      <c r="AX113" s="1" t="str">
        <f t="shared" si="97"/>
        <v/>
      </c>
      <c r="AY113" s="8">
        <f t="shared" ca="1" si="98"/>
        <v>3.0707111999999998E-2</v>
      </c>
      <c r="AZ113" s="1" cm="1">
        <f t="array" aca="1" ref="AZ113" ca="1">IF($B113="","",SUMPRODUCT(--($B$2:$B$313=B113),--(AY113&gt;$AY$2:$AY$313))+1)</f>
        <v>3</v>
      </c>
      <c r="BA113" s="1" t="str">
        <f t="shared" si="99"/>
        <v>K2024GP07_4_1</v>
      </c>
      <c r="BB113" s="1" t="str">
        <f t="shared" si="100"/>
        <v>K2024GP07_4_2</v>
      </c>
      <c r="BC113" s="1">
        <f t="shared" si="101"/>
        <v>0</v>
      </c>
      <c r="BD113" s="1">
        <f t="shared" si="102"/>
        <v>0</v>
      </c>
      <c r="BE113" s="1">
        <f t="shared" si="103"/>
        <v>1</v>
      </c>
      <c r="BF113" s="1">
        <f t="shared" si="104"/>
        <v>156</v>
      </c>
      <c r="BG113" s="1">
        <f t="shared" si="105"/>
        <v>132</v>
      </c>
      <c r="BH113" s="1">
        <f t="shared" si="106"/>
        <v>7</v>
      </c>
      <c r="BI113" s="1">
        <f t="shared" si="107"/>
        <v>5</v>
      </c>
      <c r="BJ113" s="1">
        <f t="shared" si="108"/>
        <v>7.0500000000000007E-2</v>
      </c>
      <c r="BK113" s="1">
        <f t="shared" si="109"/>
        <v>0</v>
      </c>
      <c r="BL113" s="1">
        <f t="shared" si="110"/>
        <v>9.8999999999999994E-5</v>
      </c>
      <c r="BM113" s="1">
        <f t="shared" si="111"/>
        <v>7.0599000000000009E-2</v>
      </c>
      <c r="BN113" s="1">
        <f t="shared" si="112"/>
        <v>0</v>
      </c>
      <c r="BO113" s="1">
        <f t="shared" si="69"/>
        <v>7</v>
      </c>
      <c r="BP113" s="1">
        <f t="shared" si="70"/>
        <v>0</v>
      </c>
      <c r="BQ113" s="1" cm="1">
        <f t="array" ref="BQ113">IF(I113="","",IF(BP113=1,"",IF(L113=0,"",IF(B113=1,"",_xlfn.XLOOKUP(1,($I$2:$I$313=$I113)*($B$2:$B$313=($B113-1)),$BO$2:$BO$313)))))</f>
        <v>7</v>
      </c>
      <c r="BR113" s="1">
        <f>IF(I113="","",IF($B113=1,_xlfn.MINIFS($BO$2:$BO$313,$B$2:$B$313,$B113),_xlfn.MINIFS(BQ$2:$BQ$313,$B$2:$B$313,$B113)))</f>
        <v>2</v>
      </c>
      <c r="BS113" s="1">
        <f t="shared" si="113"/>
        <v>3</v>
      </c>
      <c r="BT113" s="1" t="str" cm="1">
        <f t="array" ref="BT113">IF($I113="","",IF($B113=1,_xlfn.XLOOKUP(1,($B$2:$B$313=$B113)*($BO$2:$BO$313=BR113),Data!$I$2:$I$313,,0),_xlfn.XLOOKUP(1,($B$2:$B$313=$B113)*($BQ$2:$BQ$313=$BR113),$I$2:$I$313,,0)))</f>
        <v>Juho Korpi</v>
      </c>
      <c r="BU113" s="1" t="str" cm="1">
        <f t="array" ref="BU113">IF(I113="","",IF($B113=1,_xlfn.XLOOKUP(1,($B$2:$B$313=$B113)*($BO$2:$BO$313=$BS113),$I$2:$I$313,,0),_xlfn.XLOOKUP(1,($B$2:$B$313=$B113)*($BQ$2:$BQ$313=$BS113),$I$2:$I$313,,0)))</f>
        <v>Olli Kajava</v>
      </c>
      <c r="BV113" s="1" t="str" cm="1">
        <f t="array" ref="BV113">IF($I113="","",IF($B113=1,"",IF($B113=2,_xlfn.XLOOKUP(1,($B$2:$B$313=1)*($BO$2:$BO$313=1),$I$2:$I$313,,0),_xlfn.XLOOKUP($B113-1,$B$2:$B$313,$CH$2:$CH$313,,0))))</f>
        <v>Jami Kallio</v>
      </c>
      <c r="BW113" s="1" t="str" cm="1">
        <f t="array" ref="BW113">IF($I113="","",IF($B113=1,"",IF(_xlfn.XLOOKUP(1,($B$2:$B$313=$B113)*($I$2:$I$313=$BV113),$BQ$2:$BQ$313,,0)="","NOK","OK")))</f>
        <v>OK</v>
      </c>
      <c r="BX113" s="1" t="str">
        <f t="shared" si="114"/>
        <v>Jami Kallio</v>
      </c>
      <c r="BY113" s="1" t="str">
        <f t="shared" si="115"/>
        <v>Juho Korpi</v>
      </c>
      <c r="BZ113" s="1">
        <f t="shared" si="116"/>
        <v>157</v>
      </c>
      <c r="CA113" s="1">
        <f t="shared" si="117"/>
        <v>155</v>
      </c>
      <c r="CB113" s="1">
        <f t="shared" si="118"/>
        <v>9.8999999999999994E-5</v>
      </c>
      <c r="CC113" s="1">
        <f t="shared" si="119"/>
        <v>142</v>
      </c>
      <c r="CD113" s="1">
        <f t="shared" si="120"/>
        <v>128</v>
      </c>
      <c r="CE113" s="1">
        <f t="shared" si="121"/>
        <v>9.8999999999999994E-5</v>
      </c>
      <c r="CF113" s="1" t="str">
        <f t="shared" si="122"/>
        <v>Jami Kallio (P)</v>
      </c>
      <c r="CG113" s="1" t="str">
        <f t="shared" si="123"/>
        <v>Juho Korpi (2)</v>
      </c>
      <c r="CH113" s="1" t="str">
        <f t="shared" si="124"/>
        <v>Jami Kallio</v>
      </c>
      <c r="CI113" s="1">
        <f t="shared" si="125"/>
        <v>0</v>
      </c>
      <c r="CJ113" s="1" t="str">
        <f ca="1">IF(B113="","",IF(SUM(AI113:AK113)&gt;0,"+SP","")&amp;IF(CI113&gt;0,"+KK","")&amp;IF(AB113&gt;0,"+KGP1","")&amp;IF(AC113&gt;0,"+KGP2","")&amp;IF(AG113&lt;0,"-KGP1","")&amp;IF(AH113&lt;0,"-KGP2",""))</f>
        <v>+SP</v>
      </c>
    </row>
    <row r="114" spans="1:88" x14ac:dyDescent="0.25">
      <c r="A114" s="1">
        <f>IFERROR(IF(ROW(A113)=1,1,IF(1+A113&lt;=$CP$1*$CP$2,1+A113,"")),"")</f>
        <v>113</v>
      </c>
      <c r="B114" s="1">
        <f>IF($I114="","",IF(ROW(B113)=1,1,ROUNDUP(A114/$CP$2,0)))</f>
        <v>7</v>
      </c>
      <c r="C114" s="4">
        <f t="shared" si="71"/>
        <v>45669</v>
      </c>
      <c r="D114" s="4" t="str">
        <f t="shared" si="65"/>
        <v>Kupittaan keilahalli</v>
      </c>
      <c r="E114" s="1">
        <f>IF($B114="","",COUNTIF($B$2:B114,B114))</f>
        <v>5</v>
      </c>
      <c r="F114" s="1" t="str">
        <f t="shared" si="66"/>
        <v>K2024GP07</v>
      </c>
      <c r="G114" s="1" t="str">
        <f t="shared" si="72"/>
        <v>K2024GP07_5</v>
      </c>
      <c r="H114" s="1">
        <f t="shared" si="73"/>
        <v>1</v>
      </c>
      <c r="I114" s="3" t="s">
        <v>141</v>
      </c>
      <c r="J114" s="3">
        <v>128</v>
      </c>
      <c r="K114" s="3">
        <v>142</v>
      </c>
      <c r="L114" s="1">
        <f t="shared" si="74"/>
        <v>270</v>
      </c>
      <c r="M114" s="1">
        <f t="shared" si="75"/>
        <v>1</v>
      </c>
      <c r="N114" s="1">
        <f t="shared" si="76"/>
        <v>7</v>
      </c>
      <c r="O114" s="1">
        <f t="shared" si="77"/>
        <v>270</v>
      </c>
      <c r="P114" s="1">
        <f t="shared" si="78"/>
        <v>62</v>
      </c>
      <c r="Q114" s="1">
        <f t="array" ref="Q114">IF($B114="","",IF(MAX(IF(B114=$B$2:$B$313,$L$2:$L$313))-L114=0,"",MAX(IF(B114=$B$2:$B$313,$L$2:$L$313))-L114))</f>
        <v>62</v>
      </c>
      <c r="R114" s="1">
        <f t="array" ref="R114">IF($B114="","",SUMPRODUCT(--($B$2:$B$313=B114),--(L114&lt;$L$2:$L$313))+1)</f>
        <v>7</v>
      </c>
      <c r="S114" s="1">
        <f t="shared" si="79"/>
        <v>2</v>
      </c>
      <c r="T114" s="1" cm="1">
        <f t="array" ref="T114">IF($B114="","",IF(M114=0,"",SUMPRODUCT(--($B$2:$B$313=B114),--(J114&lt;$J$2:$J$313))+1))</f>
        <v>8</v>
      </c>
      <c r="U114" s="1">
        <f t="shared" si="80"/>
        <v>-1</v>
      </c>
      <c r="V114" s="1" t="str">
        <f t="shared" si="81"/>
        <v>0707</v>
      </c>
      <c r="W114" s="1">
        <f t="shared" si="82"/>
        <v>1</v>
      </c>
      <c r="X114" s="1">
        <f t="shared" si="67"/>
        <v>0</v>
      </c>
      <c r="Y114" s="1">
        <f>IF($B114="","",MAX(_xlfn.MAXIFS($J$2:J114,$I$2:I114,$I114),_xlfn.MAXIFS($K$2:K114,$I$2:I114,$I114)))</f>
        <v>184</v>
      </c>
      <c r="Z114" s="1">
        <f t="shared" si="83"/>
        <v>177</v>
      </c>
      <c r="AA114" s="1">
        <f t="shared" si="84"/>
        <v>0</v>
      </c>
      <c r="AB114" s="1">
        <f t="shared" si="85"/>
        <v>0</v>
      </c>
      <c r="AC114" s="1">
        <f t="shared" si="86"/>
        <v>0</v>
      </c>
      <c r="AD114" s="1">
        <f>IF($B114="","",MIN(_xlfn.MINIFS($J$2:J114,$I$2:I114,$I114),_xlfn.MINIFS($K$2:K114,$I$2:I114,$I114)))</f>
        <v>102</v>
      </c>
      <c r="AE114" s="1">
        <f t="shared" si="87"/>
        <v>87</v>
      </c>
      <c r="AF114" s="1">
        <f t="shared" si="88"/>
        <v>0</v>
      </c>
      <c r="AG114" s="1">
        <f t="shared" si="89"/>
        <v>0</v>
      </c>
      <c r="AH114" s="1">
        <f t="shared" si="90"/>
        <v>0</v>
      </c>
      <c r="AI114" s="1">
        <f ca="1">IF($B114="","",IF($K114="",0,OFFSET($CO$17,R114,W114)))</f>
        <v>4</v>
      </c>
      <c r="AJ114" s="1">
        <f t="shared" ca="1" si="91"/>
        <v>0</v>
      </c>
      <c r="AK114" s="1">
        <f ca="1">IF(AJ114="","",IF(AJ114=0,0,IF(W114=1,0,SUM(OFFSET($CO$17,N114,1):OFFSET($CO$17,N114+W114-2,1))/W114)))</f>
        <v>0</v>
      </c>
      <c r="AL114" s="1">
        <f t="shared" ca="1" si="92"/>
        <v>4</v>
      </c>
      <c r="AM114" s="1">
        <f ca="1">IF($B114="","",SUMIFS($AL$2:AL114,$I$2:I114,$I114))</f>
        <v>19</v>
      </c>
      <c r="AN114" s="1">
        <f t="shared" si="93"/>
        <v>7.0001129999999998</v>
      </c>
      <c r="AO114" s="1">
        <f>IFERROR(IF($B114="","",AVERAGEIFS($L$2:L114,$I$2:I114,I114,$L$2:L114,"&lt;&gt;0")),0)</f>
        <v>261.5</v>
      </c>
      <c r="AP114" s="1">
        <f t="shared" si="94"/>
        <v>130.75</v>
      </c>
      <c r="AQ114" s="1">
        <f>IF($B114="","",COUNTIFS($R$2:R114,1,$I$2:I114,$I114))</f>
        <v>0</v>
      </c>
      <c r="AR114" s="1">
        <f t="array" aca="1" ref="AR114" ca="1">IF($B114="","",SUMPRODUCT(--($B$2:$B$313=B114),--(AM114&lt;$AM$2:$AM$313))+1)</f>
        <v>11</v>
      </c>
      <c r="AS114" s="1">
        <f t="array" ref="AS114">IF($B114="","",SUMPRODUCT(--($B$2:$B$313=B114),--(AP114&lt;$AP$2:$AP$313))+1)</f>
        <v>11</v>
      </c>
      <c r="AT114" s="1">
        <f t="array" ref="AT114">IF($B114="","",SUMPRODUCT(--($B$2:$B$313=B114),--(AQ114&lt;$AQ$2:$AQ$313))+1)</f>
        <v>7</v>
      </c>
      <c r="AU114" s="1">
        <f t="shared" si="95"/>
        <v>1.1300000000000001E-7</v>
      </c>
      <c r="AV114" s="1">
        <f t="shared" ca="1" si="96"/>
        <v>0.11110711299999999</v>
      </c>
      <c r="AW114" s="1" t="str">
        <f t="shared" si="68"/>
        <v/>
      </c>
      <c r="AX114" s="1" t="str">
        <f t="shared" si="97"/>
        <v/>
      </c>
      <c r="AY114" s="8">
        <f t="shared" ca="1" si="98"/>
        <v>0.11110711299999999</v>
      </c>
      <c r="AZ114" s="1" cm="1">
        <f t="array" aca="1" ref="AZ114" ca="1">IF($B114="","",SUMPRODUCT(--($B$2:$B$313=B114),--(AY114&gt;$AY$2:$AY$313))+1)</f>
        <v>12</v>
      </c>
      <c r="BA114" s="1" t="str">
        <f t="shared" si="99"/>
        <v>K2024GP07_5_1</v>
      </c>
      <c r="BB114" s="1" t="str">
        <f t="shared" si="100"/>
        <v>K2024GP07_5_2</v>
      </c>
      <c r="BC114" s="1">
        <f t="shared" si="101"/>
        <v>0</v>
      </c>
      <c r="BD114" s="1">
        <f t="shared" si="102"/>
        <v>0</v>
      </c>
      <c r="BE114" s="1">
        <f t="shared" si="103"/>
        <v>1</v>
      </c>
      <c r="BF114" s="1">
        <f t="shared" si="104"/>
        <v>142</v>
      </c>
      <c r="BG114" s="1">
        <f t="shared" si="105"/>
        <v>128</v>
      </c>
      <c r="BH114" s="1">
        <f t="shared" si="106"/>
        <v>10</v>
      </c>
      <c r="BI114" s="1">
        <f t="shared" si="107"/>
        <v>7</v>
      </c>
      <c r="BJ114" s="1">
        <f t="shared" si="108"/>
        <v>0.10070000000000001</v>
      </c>
      <c r="BK114" s="1">
        <f t="shared" si="109"/>
        <v>0</v>
      </c>
      <c r="BL114" s="1">
        <f t="shared" si="110"/>
        <v>9.8999999999999994E-5</v>
      </c>
      <c r="BM114" s="1">
        <f t="shared" si="111"/>
        <v>0.10079900000000001</v>
      </c>
      <c r="BN114" s="1">
        <f t="shared" si="112"/>
        <v>0</v>
      </c>
      <c r="BO114" s="1">
        <f t="shared" si="69"/>
        <v>10</v>
      </c>
      <c r="BP114" s="1">
        <f t="shared" si="70"/>
        <v>0</v>
      </c>
      <c r="BQ114" s="1" cm="1">
        <f t="array" ref="BQ114">IF(I114="","",IF(BP114=1,"",IF(L114=0,"",IF(B114=1,"",_xlfn.XLOOKUP(1,($I$2:$I$313=$I114)*($B$2:$B$313=($B114-1)),$BO$2:$BO$313)))))</f>
        <v>2</v>
      </c>
      <c r="BR114" s="1">
        <f>IF(I114="","",IF($B114=1,_xlfn.MINIFS($BO$2:$BO$313,$B$2:$B$313,$B114),_xlfn.MINIFS(BQ$2:$BQ$313,$B$2:$B$313,$B114)))</f>
        <v>2</v>
      </c>
      <c r="BS114" s="1">
        <f t="shared" si="113"/>
        <v>3</v>
      </c>
      <c r="BT114" s="1" t="str" cm="1">
        <f t="array" ref="BT114">IF($I114="","",IF($B114=1,_xlfn.XLOOKUP(1,($B$2:$B$313=$B114)*($BO$2:$BO$313=BR114),Data!$I$2:$I$313,,0),_xlfn.XLOOKUP(1,($B$2:$B$313=$B114)*($BQ$2:$BQ$313=$BR114),$I$2:$I$313,,0)))</f>
        <v>Juho Korpi</v>
      </c>
      <c r="BU114" s="1" t="str" cm="1">
        <f t="array" ref="BU114">IF(I114="","",IF($B114=1,_xlfn.XLOOKUP(1,($B$2:$B$313=$B114)*($BO$2:$BO$313=$BS114),$I$2:$I$313,,0),_xlfn.XLOOKUP(1,($B$2:$B$313=$B114)*($BQ$2:$BQ$313=$BS114),$I$2:$I$313,,0)))</f>
        <v>Olli Kajava</v>
      </c>
      <c r="BV114" s="1" t="str" cm="1">
        <f t="array" ref="BV114">IF($I114="","",IF($B114=1,"",IF($B114=2,_xlfn.XLOOKUP(1,($B$2:$B$313=1)*($BO$2:$BO$313=1),$I$2:$I$313,,0),_xlfn.XLOOKUP($B114-1,$B$2:$B$313,$CH$2:$CH$313,,0))))</f>
        <v>Jami Kallio</v>
      </c>
      <c r="BW114" s="1" t="str" cm="1">
        <f t="array" ref="BW114">IF($I114="","",IF($B114=1,"",IF(_xlfn.XLOOKUP(1,($B$2:$B$313=$B114)*($I$2:$I$313=$BV114),$BQ$2:$BQ$313,,0)="","NOK","OK")))</f>
        <v>OK</v>
      </c>
      <c r="BX114" s="1" t="str">
        <f t="shared" si="114"/>
        <v>Jami Kallio</v>
      </c>
      <c r="BY114" s="1" t="str">
        <f t="shared" si="115"/>
        <v>Juho Korpi</v>
      </c>
      <c r="BZ114" s="1">
        <f t="shared" si="116"/>
        <v>157</v>
      </c>
      <c r="CA114" s="1">
        <f t="shared" si="117"/>
        <v>155</v>
      </c>
      <c r="CB114" s="1">
        <f t="shared" si="118"/>
        <v>9.8999999999999994E-5</v>
      </c>
      <c r="CC114" s="1">
        <f t="shared" si="119"/>
        <v>142</v>
      </c>
      <c r="CD114" s="1">
        <f t="shared" si="120"/>
        <v>128</v>
      </c>
      <c r="CE114" s="1">
        <f t="shared" si="121"/>
        <v>9.8999999999999994E-5</v>
      </c>
      <c r="CF114" s="1" t="str">
        <f t="shared" si="122"/>
        <v>Jami Kallio (P)</v>
      </c>
      <c r="CG114" s="1" t="str">
        <f t="shared" si="123"/>
        <v>Juho Korpi (2)</v>
      </c>
      <c r="CH114" s="1" t="str">
        <f t="shared" si="124"/>
        <v>Jami Kallio</v>
      </c>
      <c r="CI114" s="1">
        <f t="shared" si="125"/>
        <v>0</v>
      </c>
      <c r="CJ114" s="1" t="str">
        <f ca="1">IF(B114="","",IF(SUM(AI114:AK114)&gt;0,"+SP","")&amp;IF(CI114&gt;0,"+KK","")&amp;IF(AB114&gt;0,"+KGP1","")&amp;IF(AC114&gt;0,"+KGP2","")&amp;IF(AG114&lt;0,"-KGP1","")&amp;IF(AH114&lt;0,"-KGP2",""))</f>
        <v>+SP</v>
      </c>
    </row>
    <row r="115" spans="1:88" x14ac:dyDescent="0.25">
      <c r="A115" s="1">
        <f>IFERROR(IF(ROW(A114)=1,1,IF(1+A114&lt;=$CP$1*$CP$2,1+A114,"")),"")</f>
        <v>114</v>
      </c>
      <c r="B115" s="1">
        <f>IF($I115="","",IF(ROW(B114)=1,1,ROUNDUP(A115/$CP$2,0)))</f>
        <v>7</v>
      </c>
      <c r="C115" s="4">
        <f t="shared" si="71"/>
        <v>45669</v>
      </c>
      <c r="D115" s="4" t="str">
        <f t="shared" si="65"/>
        <v>Kupittaan keilahalli</v>
      </c>
      <c r="E115" s="1">
        <f>IF($B115="","",COUNTIF($B$2:B115,B115))</f>
        <v>6</v>
      </c>
      <c r="F115" s="1" t="str">
        <f t="shared" si="66"/>
        <v>K2024GP07</v>
      </c>
      <c r="G115" s="1" t="str">
        <f t="shared" si="72"/>
        <v>K2024GP07_6</v>
      </c>
      <c r="H115" s="1">
        <f t="shared" si="73"/>
        <v>1</v>
      </c>
      <c r="I115" s="3" t="s">
        <v>134</v>
      </c>
      <c r="J115" s="3">
        <v>155</v>
      </c>
      <c r="K115" s="3">
        <v>157</v>
      </c>
      <c r="L115" s="1">
        <f t="shared" si="74"/>
        <v>312</v>
      </c>
      <c r="M115" s="1">
        <f t="shared" si="75"/>
        <v>1</v>
      </c>
      <c r="N115" s="1">
        <f t="shared" si="76"/>
        <v>2</v>
      </c>
      <c r="O115" s="1">
        <f t="shared" si="77"/>
        <v>312</v>
      </c>
      <c r="P115" s="1">
        <f t="shared" si="78"/>
        <v>20</v>
      </c>
      <c r="Q115" s="1">
        <f t="array" ref="Q115">IF($B115="","",IF(MAX(IF(B115=$B$2:$B$313,$L$2:$L$313))-L115=0,"",MAX(IF(B115=$B$2:$B$313,$L$2:$L$313))-L115))</f>
        <v>20</v>
      </c>
      <c r="R115" s="1">
        <f t="array" ref="R115">IF($B115="","",SUMPRODUCT(--($B$2:$B$313=B115),--(L115&lt;$L$2:$L$313))+1)</f>
        <v>2</v>
      </c>
      <c r="S115" s="1">
        <f t="shared" si="79"/>
        <v>2</v>
      </c>
      <c r="T115" s="1" cm="1">
        <f t="array" ref="T115">IF($B115="","",IF(M115=0,"",SUMPRODUCT(--($B$2:$B$313=B115),--(J115&lt;$J$2:$J$313))+1))</f>
        <v>3</v>
      </c>
      <c r="U115" s="1">
        <f t="shared" si="80"/>
        <v>-1</v>
      </c>
      <c r="V115" s="1" t="str">
        <f t="shared" si="81"/>
        <v>0702</v>
      </c>
      <c r="W115" s="1">
        <f t="shared" si="82"/>
        <v>1</v>
      </c>
      <c r="X115" s="1">
        <f t="shared" si="67"/>
        <v>0</v>
      </c>
      <c r="Y115" s="1">
        <f>IF($B115="","",MAX(_xlfn.MAXIFS($J$2:J115,$I$2:I115,$I115),_xlfn.MAXIFS($K$2:K115,$I$2:I115,$I115)))</f>
        <v>196</v>
      </c>
      <c r="Z115" s="1">
        <f t="shared" si="83"/>
        <v>177</v>
      </c>
      <c r="AA115" s="1">
        <f t="shared" si="84"/>
        <v>0</v>
      </c>
      <c r="AB115" s="1">
        <f t="shared" si="85"/>
        <v>0</v>
      </c>
      <c r="AC115" s="1">
        <f t="shared" si="86"/>
        <v>0</v>
      </c>
      <c r="AD115" s="1">
        <f>IF($B115="","",MIN(_xlfn.MINIFS($J$2:J115,$I$2:I115,$I115),_xlfn.MINIFS($K$2:K115,$I$2:I115,$I115)))</f>
        <v>97</v>
      </c>
      <c r="AE115" s="1">
        <f t="shared" si="87"/>
        <v>87</v>
      </c>
      <c r="AF115" s="1">
        <f t="shared" si="88"/>
        <v>0</v>
      </c>
      <c r="AG115" s="1">
        <f t="shared" si="89"/>
        <v>0</v>
      </c>
      <c r="AH115" s="1">
        <f t="shared" si="90"/>
        <v>0</v>
      </c>
      <c r="AI115" s="1">
        <f ca="1">IF($B115="","",IF($K115="",0,OFFSET($CO$17,R115,W115)))</f>
        <v>10</v>
      </c>
      <c r="AJ115" s="1">
        <f t="shared" ca="1" si="91"/>
        <v>0</v>
      </c>
      <c r="AK115" s="1">
        <f ca="1">IF(AJ115="","",IF(AJ115=0,0,IF(W115=1,0,SUM(OFFSET($CO$17,N115,1):OFFSET($CO$17,N115+W115-2,1))/W115)))</f>
        <v>0</v>
      </c>
      <c r="AL115" s="1">
        <f t="shared" ca="1" si="92"/>
        <v>11</v>
      </c>
      <c r="AM115" s="1">
        <f ca="1">IF($B115="","",SUMIFS($AL$2:AL115,$I$2:I115,$I115))</f>
        <v>57</v>
      </c>
      <c r="AN115" s="1">
        <f t="shared" si="93"/>
        <v>2.0001139999999999</v>
      </c>
      <c r="AO115" s="1">
        <f>IFERROR(IF($B115="","",AVERAGEIFS($L$2:L115,$I$2:I115,I115,$L$2:L115,"&lt;&gt;0")),0)</f>
        <v>303.28571428571428</v>
      </c>
      <c r="AP115" s="1">
        <f t="shared" si="94"/>
        <v>151.64285714285714</v>
      </c>
      <c r="AQ115" s="1">
        <f>IF($B115="","",COUNTIFS($R$2:R115,1,$I$2:I115,$I115))</f>
        <v>1</v>
      </c>
      <c r="AR115" s="1">
        <f t="array" aca="1" ref="AR115" ca="1">IF($B115="","",SUMPRODUCT(--($B$2:$B$313=B115),--(AM115&lt;$AM$2:$AM$313))+1)</f>
        <v>1</v>
      </c>
      <c r="AS115" s="1">
        <f t="array" ref="AS115">IF($B115="","",SUMPRODUCT(--($B$2:$B$313=B115),--(AP115&lt;$AP$2:$AP$313))+1)</f>
        <v>4</v>
      </c>
      <c r="AT115" s="1">
        <f t="array" ref="AT115">IF($B115="","",SUMPRODUCT(--($B$2:$B$313=B115),--(AQ115&lt;$AQ$2:$AQ$313))+1)</f>
        <v>3</v>
      </c>
      <c r="AU115" s="1">
        <f t="shared" si="95"/>
        <v>1.14E-7</v>
      </c>
      <c r="AV115" s="1">
        <f t="shared" ca="1" si="96"/>
        <v>1.0403114E-2</v>
      </c>
      <c r="AW115" s="1" t="str">
        <f t="shared" si="68"/>
        <v/>
      </c>
      <c r="AX115" s="1" t="str">
        <f t="shared" si="97"/>
        <v/>
      </c>
      <c r="AY115" s="8">
        <f t="shared" ca="1" si="98"/>
        <v>1.0403114E-2</v>
      </c>
      <c r="AZ115" s="1" cm="1">
        <f t="array" aca="1" ref="AZ115" ca="1">IF($B115="","",SUMPRODUCT(--($B$2:$B$313=B115),--(AY115&gt;$AY$2:$AY$313))+1)</f>
        <v>1</v>
      </c>
      <c r="BA115" s="1" t="str">
        <f t="shared" si="99"/>
        <v>K2024GP07_6_1</v>
      </c>
      <c r="BB115" s="1" t="str">
        <f t="shared" si="100"/>
        <v>K2024GP07_6_2</v>
      </c>
      <c r="BC115" s="1">
        <f t="shared" si="101"/>
        <v>0</v>
      </c>
      <c r="BD115" s="1">
        <f t="shared" si="102"/>
        <v>1</v>
      </c>
      <c r="BE115" s="1">
        <f t="shared" si="103"/>
        <v>1</v>
      </c>
      <c r="BF115" s="1">
        <f t="shared" si="104"/>
        <v>157</v>
      </c>
      <c r="BG115" s="1">
        <f t="shared" si="105"/>
        <v>155</v>
      </c>
      <c r="BH115" s="1">
        <f t="shared" si="106"/>
        <v>6</v>
      </c>
      <c r="BI115" s="1">
        <f t="shared" si="107"/>
        <v>1</v>
      </c>
      <c r="BJ115" s="1">
        <f t="shared" si="108"/>
        <v>6.0100000000000001E-2</v>
      </c>
      <c r="BK115" s="1">
        <f t="shared" si="109"/>
        <v>0</v>
      </c>
      <c r="BL115" s="1">
        <f t="shared" si="110"/>
        <v>9.8999999999999994E-5</v>
      </c>
      <c r="BM115" s="1">
        <f t="shared" si="111"/>
        <v>6.0199000000000003E-2</v>
      </c>
      <c r="BN115" s="1">
        <f t="shared" si="112"/>
        <v>0</v>
      </c>
      <c r="BO115" s="1">
        <f t="shared" si="69"/>
        <v>6</v>
      </c>
      <c r="BP115" s="1">
        <f t="shared" si="70"/>
        <v>0</v>
      </c>
      <c r="BQ115" s="1" cm="1">
        <f t="array" ref="BQ115">IF(I115="","",IF(BP115=1,"",IF(L115=0,"",IF(B115=1,"",_xlfn.XLOOKUP(1,($I$2:$I$313=$I115)*($B$2:$B$313=($B115-1)),$BO$2:$BO$313)))))</f>
        <v>5</v>
      </c>
      <c r="BR115" s="1">
        <f>IF(I115="","",IF($B115=1,_xlfn.MINIFS($BO$2:$BO$313,$B$2:$B$313,$B115),_xlfn.MINIFS(BQ$2:$BQ$313,$B$2:$B$313,$B115)))</f>
        <v>2</v>
      </c>
      <c r="BS115" s="1">
        <f t="shared" si="113"/>
        <v>3</v>
      </c>
      <c r="BT115" s="1" t="str" cm="1">
        <f t="array" ref="BT115">IF($I115="","",IF($B115=1,_xlfn.XLOOKUP(1,($B$2:$B$313=$B115)*($BO$2:$BO$313=BR115),Data!$I$2:$I$313,,0),_xlfn.XLOOKUP(1,($B$2:$B$313=$B115)*($BQ$2:$BQ$313=$BR115),$I$2:$I$313,,0)))</f>
        <v>Juho Korpi</v>
      </c>
      <c r="BU115" s="1" t="str" cm="1">
        <f t="array" ref="BU115">IF(I115="","",IF($B115=1,_xlfn.XLOOKUP(1,($B$2:$B$313=$B115)*($BO$2:$BO$313=$BS115),$I$2:$I$313,,0),_xlfn.XLOOKUP(1,($B$2:$B$313=$B115)*($BQ$2:$BQ$313=$BS115),$I$2:$I$313,,0)))</f>
        <v>Olli Kajava</v>
      </c>
      <c r="BV115" s="1" t="str" cm="1">
        <f t="array" ref="BV115">IF($I115="","",IF($B115=1,"",IF($B115=2,_xlfn.XLOOKUP(1,($B$2:$B$313=1)*($BO$2:$BO$313=1),$I$2:$I$313,,0),_xlfn.XLOOKUP($B115-1,$B$2:$B$313,$CH$2:$CH$313,,0))))</f>
        <v>Jami Kallio</v>
      </c>
      <c r="BW115" s="1" t="str" cm="1">
        <f t="array" ref="BW115">IF($I115="","",IF($B115=1,"",IF(_xlfn.XLOOKUP(1,($B$2:$B$313=$B115)*($I$2:$I$313=$BV115),$BQ$2:$BQ$313,,0)="","NOK","OK")))</f>
        <v>OK</v>
      </c>
      <c r="BX115" s="1" t="str">
        <f t="shared" si="114"/>
        <v>Jami Kallio</v>
      </c>
      <c r="BY115" s="1" t="str">
        <f t="shared" si="115"/>
        <v>Juho Korpi</v>
      </c>
      <c r="BZ115" s="1">
        <f t="shared" si="116"/>
        <v>157</v>
      </c>
      <c r="CA115" s="1">
        <f t="shared" si="117"/>
        <v>155</v>
      </c>
      <c r="CB115" s="1">
        <f t="shared" si="118"/>
        <v>9.8999999999999994E-5</v>
      </c>
      <c r="CC115" s="1">
        <f t="shared" si="119"/>
        <v>142</v>
      </c>
      <c r="CD115" s="1">
        <f t="shared" si="120"/>
        <v>128</v>
      </c>
      <c r="CE115" s="1">
        <f t="shared" si="121"/>
        <v>9.8999999999999994E-5</v>
      </c>
      <c r="CF115" s="1" t="str">
        <f t="shared" si="122"/>
        <v>Jami Kallio (P)</v>
      </c>
      <c r="CG115" s="1" t="str">
        <f t="shared" si="123"/>
        <v>Juho Korpi (2)</v>
      </c>
      <c r="CH115" s="1" t="str">
        <f t="shared" si="124"/>
        <v>Jami Kallio</v>
      </c>
      <c r="CI115" s="1">
        <f t="shared" si="125"/>
        <v>1</v>
      </c>
      <c r="CJ115" s="1" t="str">
        <f ca="1">IF(B115="","",IF(SUM(AI115:AK115)&gt;0,"+SP","")&amp;IF(CI115&gt;0,"+KK","")&amp;IF(AB115&gt;0,"+KGP1","")&amp;IF(AC115&gt;0,"+KGP2","")&amp;IF(AG115&lt;0,"-KGP1","")&amp;IF(AH115&lt;0,"-KGP2",""))</f>
        <v>+SP+KK</v>
      </c>
    </row>
    <row r="116" spans="1:88" x14ac:dyDescent="0.25">
      <c r="A116" s="1">
        <f>IFERROR(IF(ROW(A115)=1,1,IF(1+A115&lt;=$CP$1*$CP$2,1+A115,"")),"")</f>
        <v>115</v>
      </c>
      <c r="B116" s="1">
        <f>IF($I116="","",IF(ROW(B115)=1,1,ROUNDUP(A116/$CP$2,0)))</f>
        <v>7</v>
      </c>
      <c r="C116" s="4">
        <f t="shared" si="71"/>
        <v>45669</v>
      </c>
      <c r="D116" s="4" t="str">
        <f t="shared" si="65"/>
        <v>Kupittaan keilahalli</v>
      </c>
      <c r="E116" s="1">
        <f>IF($B116="","",COUNTIF($B$2:B116,B116))</f>
        <v>7</v>
      </c>
      <c r="F116" s="1" t="str">
        <f t="shared" si="66"/>
        <v>K2024GP07</v>
      </c>
      <c r="G116" s="1" t="str">
        <f t="shared" si="72"/>
        <v>K2024GP07_7</v>
      </c>
      <c r="H116" s="1">
        <f t="shared" si="73"/>
        <v>1</v>
      </c>
      <c r="I116" s="3" t="s">
        <v>137</v>
      </c>
      <c r="J116" s="3">
        <v>163</v>
      </c>
      <c r="K116" s="3">
        <v>129</v>
      </c>
      <c r="L116" s="1">
        <f t="shared" si="74"/>
        <v>292</v>
      </c>
      <c r="M116" s="1">
        <f t="shared" si="75"/>
        <v>1</v>
      </c>
      <c r="N116" s="1">
        <f t="shared" si="76"/>
        <v>5</v>
      </c>
      <c r="O116" s="1">
        <f t="shared" si="77"/>
        <v>292</v>
      </c>
      <c r="P116" s="1">
        <f t="shared" si="78"/>
        <v>40</v>
      </c>
      <c r="Q116" s="1">
        <f t="array" ref="Q116">IF($B116="","",IF(MAX(IF(B116=$B$2:$B$313,$L$2:$L$313))-L116=0,"",MAX(IF(B116=$B$2:$B$313,$L$2:$L$313))-L116))</f>
        <v>40</v>
      </c>
      <c r="R116" s="1">
        <f t="array" ref="R116">IF($B116="","",SUMPRODUCT(--($B$2:$B$313=B116),--(L116&lt;$L$2:$L$313))+1)</f>
        <v>5</v>
      </c>
      <c r="S116" s="1">
        <f t="shared" si="79"/>
        <v>2</v>
      </c>
      <c r="T116" s="1" cm="1">
        <f t="array" ref="T116">IF($B116="","",IF(M116=0,"",SUMPRODUCT(--($B$2:$B$313=B116),--(J116&lt;$J$2:$J$313))+1))</f>
        <v>2</v>
      </c>
      <c r="U116" s="1">
        <f t="shared" si="80"/>
        <v>3</v>
      </c>
      <c r="V116" s="1" t="str">
        <f t="shared" si="81"/>
        <v>0705</v>
      </c>
      <c r="W116" s="1">
        <f t="shared" si="82"/>
        <v>1</v>
      </c>
      <c r="X116" s="1">
        <f t="shared" si="67"/>
        <v>0</v>
      </c>
      <c r="Y116" s="1">
        <f>IF($B116="","",MAX(_xlfn.MAXIFS($J$2:J116,$I$2:I116,$I116),_xlfn.MAXIFS($K$2:K116,$I$2:I116,$I116)))</f>
        <v>175</v>
      </c>
      <c r="Z116" s="1">
        <f t="shared" si="83"/>
        <v>177</v>
      </c>
      <c r="AA116" s="1">
        <f t="shared" si="84"/>
        <v>0</v>
      </c>
      <c r="AB116" s="1">
        <f t="shared" si="85"/>
        <v>0</v>
      </c>
      <c r="AC116" s="1">
        <f t="shared" si="86"/>
        <v>0</v>
      </c>
      <c r="AD116" s="1">
        <f>IF($B116="","",MIN(_xlfn.MINIFS($J$2:J116,$I$2:I116,$I116),_xlfn.MINIFS($K$2:K116,$I$2:I116,$I116)))</f>
        <v>111</v>
      </c>
      <c r="AE116" s="1">
        <f t="shared" si="87"/>
        <v>87</v>
      </c>
      <c r="AF116" s="1">
        <f t="shared" si="88"/>
        <v>0</v>
      </c>
      <c r="AG116" s="1">
        <f t="shared" si="89"/>
        <v>0</v>
      </c>
      <c r="AH116" s="1">
        <f t="shared" si="90"/>
        <v>0</v>
      </c>
      <c r="AI116" s="1">
        <f ca="1">IF($B116="","",IF($K116="",0,OFFSET($CO$17,R116,W116)))</f>
        <v>6</v>
      </c>
      <c r="AJ116" s="1">
        <f t="shared" ca="1" si="91"/>
        <v>0</v>
      </c>
      <c r="AK116" s="1">
        <f ca="1">IF(AJ116="","",IF(AJ116=0,0,IF(W116=1,0,SUM(OFFSET($CO$17,N116,1):OFFSET($CO$17,N116+W116-2,1))/W116)))</f>
        <v>0</v>
      </c>
      <c r="AL116" s="1">
        <f t="shared" ca="1" si="92"/>
        <v>6</v>
      </c>
      <c r="AM116" s="1">
        <f ca="1">IF($B116="","",SUMIFS($AL$2:AL116,$I$2:I116,$I116))</f>
        <v>19</v>
      </c>
      <c r="AN116" s="1">
        <f t="shared" si="93"/>
        <v>5.0001150000000001</v>
      </c>
      <c r="AO116" s="1">
        <f>IFERROR(IF($B116="","",AVERAGEIFS($L$2:L116,$I$2:I116,I116,$L$2:L116,"&lt;&gt;0")),0)</f>
        <v>279.8</v>
      </c>
      <c r="AP116" s="1">
        <f t="shared" si="94"/>
        <v>139.9</v>
      </c>
      <c r="AQ116" s="1">
        <f>IF($B116="","",COUNTIFS($R$2:R116,1,$I$2:I116,$I116))</f>
        <v>0</v>
      </c>
      <c r="AR116" s="1">
        <f t="array" aca="1" ref="AR116" ca="1">IF($B116="","",SUMPRODUCT(--($B$2:$B$313=B116),--(AM116&lt;$AM$2:$AM$313))+1)</f>
        <v>11</v>
      </c>
      <c r="AS116" s="1">
        <f t="array" ref="AS116">IF($B116="","",SUMPRODUCT(--($B$2:$B$313=B116),--(AP116&lt;$AP$2:$AP$313))+1)</f>
        <v>8</v>
      </c>
      <c r="AT116" s="1">
        <f t="array" ref="AT116">IF($B116="","",SUMPRODUCT(--($B$2:$B$313=B116),--(AQ116&lt;$AQ$2:$AQ$313))+1)</f>
        <v>7</v>
      </c>
      <c r="AU116" s="1">
        <f t="shared" si="95"/>
        <v>1.15E-7</v>
      </c>
      <c r="AV116" s="1">
        <f t="shared" ca="1" si="96"/>
        <v>0.11080711499999998</v>
      </c>
      <c r="AW116" s="1" t="str">
        <f t="shared" si="68"/>
        <v/>
      </c>
      <c r="AX116" s="1" t="str">
        <f t="shared" si="97"/>
        <v/>
      </c>
      <c r="AY116" s="8">
        <f t="shared" ca="1" si="98"/>
        <v>0.11080711499999998</v>
      </c>
      <c r="AZ116" s="1" cm="1">
        <f t="array" aca="1" ref="AZ116" ca="1">IF($B116="","",SUMPRODUCT(--($B$2:$B$313=B116),--(AY116&gt;$AY$2:$AY$313))+1)</f>
        <v>11</v>
      </c>
      <c r="BA116" s="1" t="str">
        <f t="shared" si="99"/>
        <v>K2024GP07_7_1</v>
      </c>
      <c r="BB116" s="1" t="str">
        <f t="shared" si="100"/>
        <v>K2024GP07_7_2</v>
      </c>
      <c r="BC116" s="1">
        <f t="shared" si="101"/>
        <v>0</v>
      </c>
      <c r="BD116" s="1">
        <f t="shared" si="102"/>
        <v>0</v>
      </c>
      <c r="BE116" s="1">
        <f t="shared" si="103"/>
        <v>1</v>
      </c>
      <c r="BF116" s="1">
        <f t="shared" si="104"/>
        <v>163</v>
      </c>
      <c r="BG116" s="1">
        <f t="shared" si="105"/>
        <v>129</v>
      </c>
      <c r="BH116" s="1">
        <f t="shared" si="106"/>
        <v>2</v>
      </c>
      <c r="BI116" s="1">
        <f t="shared" si="107"/>
        <v>6</v>
      </c>
      <c r="BJ116" s="1">
        <f t="shared" si="108"/>
        <v>2.06E-2</v>
      </c>
      <c r="BK116" s="1">
        <f t="shared" si="109"/>
        <v>0</v>
      </c>
      <c r="BL116" s="1">
        <f t="shared" si="110"/>
        <v>9.8999999999999994E-5</v>
      </c>
      <c r="BM116" s="1">
        <f t="shared" si="111"/>
        <v>2.0698999999999999E-2</v>
      </c>
      <c r="BN116" s="1">
        <f t="shared" si="112"/>
        <v>0</v>
      </c>
      <c r="BO116" s="1">
        <f t="shared" si="69"/>
        <v>2</v>
      </c>
      <c r="BP116" s="1">
        <f t="shared" si="70"/>
        <v>0</v>
      </c>
      <c r="BQ116" s="1" cm="1">
        <f t="array" ref="BQ116">IF(I116="","",IF(BP116=1,"",IF(L116=0,"",IF(B116=1,"",_xlfn.XLOOKUP(1,($I$2:$I$313=$I116)*($B$2:$B$313=($B116-1)),$BO$2:$BO$313)))))</f>
        <v>3</v>
      </c>
      <c r="BR116" s="1">
        <f>IF(I116="","",IF($B116=1,_xlfn.MINIFS($BO$2:$BO$313,$B$2:$B$313,$B116),_xlfn.MINIFS(BQ$2:$BQ$313,$B$2:$B$313,$B116)))</f>
        <v>2</v>
      </c>
      <c r="BS116" s="1">
        <f t="shared" si="113"/>
        <v>3</v>
      </c>
      <c r="BT116" s="1" t="str" cm="1">
        <f t="array" ref="BT116">IF($I116="","",IF($B116=1,_xlfn.XLOOKUP(1,($B$2:$B$313=$B116)*($BO$2:$BO$313=BR116),Data!$I$2:$I$313,,0),_xlfn.XLOOKUP(1,($B$2:$B$313=$B116)*($BQ$2:$BQ$313=$BR116),$I$2:$I$313,,0)))</f>
        <v>Juho Korpi</v>
      </c>
      <c r="BU116" s="1" t="str" cm="1">
        <f t="array" ref="BU116">IF(I116="","",IF($B116=1,_xlfn.XLOOKUP(1,($B$2:$B$313=$B116)*($BO$2:$BO$313=$BS116),$I$2:$I$313,,0),_xlfn.XLOOKUP(1,($B$2:$B$313=$B116)*($BQ$2:$BQ$313=$BS116),$I$2:$I$313,,0)))</f>
        <v>Olli Kajava</v>
      </c>
      <c r="BV116" s="1" t="str" cm="1">
        <f t="array" ref="BV116">IF($I116="","",IF($B116=1,"",IF($B116=2,_xlfn.XLOOKUP(1,($B$2:$B$313=1)*($BO$2:$BO$313=1),$I$2:$I$313,,0),_xlfn.XLOOKUP($B116-1,$B$2:$B$313,$CH$2:$CH$313,,0))))</f>
        <v>Jami Kallio</v>
      </c>
      <c r="BW116" s="1" t="str" cm="1">
        <f t="array" ref="BW116">IF($I116="","",IF($B116=1,"",IF(_xlfn.XLOOKUP(1,($B$2:$B$313=$B116)*($I$2:$I$313=$BV116),$BQ$2:$BQ$313,,0)="","NOK","OK")))</f>
        <v>OK</v>
      </c>
      <c r="BX116" s="1" t="str">
        <f t="shared" si="114"/>
        <v>Jami Kallio</v>
      </c>
      <c r="BY116" s="1" t="str">
        <f t="shared" si="115"/>
        <v>Juho Korpi</v>
      </c>
      <c r="BZ116" s="1">
        <f t="shared" si="116"/>
        <v>157</v>
      </c>
      <c r="CA116" s="1">
        <f t="shared" si="117"/>
        <v>155</v>
      </c>
      <c r="CB116" s="1">
        <f t="shared" si="118"/>
        <v>9.8999999999999994E-5</v>
      </c>
      <c r="CC116" s="1">
        <f t="shared" si="119"/>
        <v>142</v>
      </c>
      <c r="CD116" s="1">
        <f t="shared" si="120"/>
        <v>128</v>
      </c>
      <c r="CE116" s="1">
        <f t="shared" si="121"/>
        <v>9.8999999999999994E-5</v>
      </c>
      <c r="CF116" s="1" t="str">
        <f t="shared" si="122"/>
        <v>Jami Kallio (P)</v>
      </c>
      <c r="CG116" s="1" t="str">
        <f t="shared" si="123"/>
        <v>Juho Korpi (2)</v>
      </c>
      <c r="CH116" s="1" t="str">
        <f t="shared" si="124"/>
        <v>Jami Kallio</v>
      </c>
      <c r="CI116" s="1">
        <f t="shared" si="125"/>
        <v>0</v>
      </c>
      <c r="CJ116" s="1" t="str">
        <f ca="1">IF(B116="","",IF(SUM(AI116:AK116)&gt;0,"+SP","")&amp;IF(CI116&gt;0,"+KK","")&amp;IF(AB116&gt;0,"+KGP1","")&amp;IF(AC116&gt;0,"+KGP2","")&amp;IF(AG116&lt;0,"-KGP1","")&amp;IF(AH116&lt;0,"-KGP2",""))</f>
        <v>+SP</v>
      </c>
    </row>
    <row r="117" spans="1:88" x14ac:dyDescent="0.25">
      <c r="A117" s="1">
        <f>IFERROR(IF(ROW(A116)=1,1,IF(1+A116&lt;=$CP$1*$CP$2,1+A116,"")),"")</f>
        <v>116</v>
      </c>
      <c r="B117" s="1">
        <f>IF($I117="","",IF(ROW(B116)=1,1,ROUNDUP(A117/$CP$2,0)))</f>
        <v>7</v>
      </c>
      <c r="C117" s="4">
        <f t="shared" si="71"/>
        <v>45669</v>
      </c>
      <c r="D117" s="4" t="str">
        <f t="shared" si="65"/>
        <v>Kupittaan keilahalli</v>
      </c>
      <c r="E117" s="1">
        <f>IF($B117="","",COUNTIF($B$2:B117,B117))</f>
        <v>8</v>
      </c>
      <c r="F117" s="1" t="str">
        <f t="shared" si="66"/>
        <v>K2024GP07</v>
      </c>
      <c r="G117" s="1" t="str">
        <f t="shared" si="72"/>
        <v>K2024GP07_8</v>
      </c>
      <c r="H117" s="1">
        <f t="shared" si="73"/>
        <v>1</v>
      </c>
      <c r="I117" s="3" t="s">
        <v>133</v>
      </c>
      <c r="J117" s="3">
        <v>133</v>
      </c>
      <c r="K117" s="3">
        <v>162</v>
      </c>
      <c r="L117" s="1">
        <f t="shared" si="74"/>
        <v>295</v>
      </c>
      <c r="M117" s="1">
        <f t="shared" si="75"/>
        <v>1</v>
      </c>
      <c r="N117" s="1">
        <f t="shared" si="76"/>
        <v>4</v>
      </c>
      <c r="O117" s="1">
        <f t="shared" si="77"/>
        <v>295</v>
      </c>
      <c r="P117" s="1">
        <f t="shared" si="78"/>
        <v>37</v>
      </c>
      <c r="Q117" s="1">
        <f t="array" ref="Q117">IF($B117="","",IF(MAX(IF(B117=$B$2:$B$313,$L$2:$L$313))-L117=0,"",MAX(IF(B117=$B$2:$B$313,$L$2:$L$313))-L117))</f>
        <v>37</v>
      </c>
      <c r="R117" s="1">
        <f t="array" ref="R117">IF($B117="","",SUMPRODUCT(--($B$2:$B$313=B117),--(L117&lt;$L$2:$L$313))+1)</f>
        <v>4</v>
      </c>
      <c r="S117" s="1">
        <f t="shared" si="79"/>
        <v>2</v>
      </c>
      <c r="T117" s="1" cm="1">
        <f t="array" ref="T117">IF($B117="","",IF(M117=0,"",SUMPRODUCT(--($B$2:$B$313=B117),--(J117&lt;$J$2:$J$313))+1))</f>
        <v>6</v>
      </c>
      <c r="U117" s="1">
        <f t="shared" si="80"/>
        <v>-2</v>
      </c>
      <c r="V117" s="1" t="str">
        <f t="shared" si="81"/>
        <v>0704</v>
      </c>
      <c r="W117" s="1">
        <f t="shared" si="82"/>
        <v>1</v>
      </c>
      <c r="X117" s="1">
        <f t="shared" si="67"/>
        <v>0</v>
      </c>
      <c r="Y117" s="1">
        <f>IF($B117="","",MAX(_xlfn.MAXIFS($J$2:J117,$I$2:I117,$I117),_xlfn.MAXIFS($K$2:K117,$I$2:I117,$I117)))</f>
        <v>178</v>
      </c>
      <c r="Z117" s="1">
        <f t="shared" si="83"/>
        <v>177</v>
      </c>
      <c r="AA117" s="1">
        <f t="shared" si="84"/>
        <v>0</v>
      </c>
      <c r="AB117" s="1">
        <f t="shared" si="85"/>
        <v>0</v>
      </c>
      <c r="AC117" s="1">
        <f t="shared" si="86"/>
        <v>0</v>
      </c>
      <c r="AD117" s="1">
        <f>IF($B117="","",MIN(_xlfn.MINIFS($J$2:J117,$I$2:I117,$I117),_xlfn.MINIFS($K$2:K117,$I$2:I117,$I117)))</f>
        <v>91</v>
      </c>
      <c r="AE117" s="1">
        <f t="shared" si="87"/>
        <v>87</v>
      </c>
      <c r="AF117" s="1">
        <f t="shared" si="88"/>
        <v>0</v>
      </c>
      <c r="AG117" s="1">
        <f t="shared" si="89"/>
        <v>0</v>
      </c>
      <c r="AH117" s="1">
        <f t="shared" si="90"/>
        <v>0</v>
      </c>
      <c r="AI117" s="1">
        <f ca="1">IF($B117="","",IF($K117="",0,OFFSET($CO$17,R117,W117)))</f>
        <v>7</v>
      </c>
      <c r="AJ117" s="1">
        <f t="shared" ca="1" si="91"/>
        <v>0</v>
      </c>
      <c r="AK117" s="1">
        <f ca="1">IF(AJ117="","",IF(AJ117=0,0,IF(W117=1,0,SUM(OFFSET($CO$17,N117,1):OFFSET($CO$17,N117+W117-2,1))/W117)))</f>
        <v>0</v>
      </c>
      <c r="AL117" s="1">
        <f t="shared" ca="1" si="92"/>
        <v>7</v>
      </c>
      <c r="AM117" s="1">
        <f ca="1">IF($B117="","",SUMIFS($AL$2:AL117,$I$2:I117,$I117))</f>
        <v>29</v>
      </c>
      <c r="AN117" s="1">
        <f t="shared" si="93"/>
        <v>4.0001160000000002</v>
      </c>
      <c r="AO117" s="1">
        <f>IFERROR(IF($B117="","",AVERAGEIFS($L$2:L117,$I$2:I117,I117,$L$2:L117,"&lt;&gt;0")),0)</f>
        <v>263</v>
      </c>
      <c r="AP117" s="1">
        <f t="shared" si="94"/>
        <v>131.5</v>
      </c>
      <c r="AQ117" s="1">
        <f>IF($B117="","",COUNTIFS($R$2:R117,1,$I$2:I117,$I117))</f>
        <v>0</v>
      </c>
      <c r="AR117" s="1">
        <f t="array" aca="1" ref="AR117" ca="1">IF($B117="","",SUMPRODUCT(--($B$2:$B$313=B117),--(AM117&lt;$AM$2:$AM$313))+1)</f>
        <v>6</v>
      </c>
      <c r="AS117" s="1">
        <f t="array" ref="AS117">IF($B117="","",SUMPRODUCT(--($B$2:$B$313=B117),--(AP117&lt;$AP$2:$AP$313))+1)</f>
        <v>10</v>
      </c>
      <c r="AT117" s="1">
        <f t="array" ref="AT117">IF($B117="","",SUMPRODUCT(--($B$2:$B$313=B117),--(AQ117&lt;$AQ$2:$AQ$313))+1)</f>
        <v>7</v>
      </c>
      <c r="AU117" s="1">
        <f t="shared" si="95"/>
        <v>1.1600000000000001E-7</v>
      </c>
      <c r="AV117" s="1">
        <f t="shared" ca="1" si="96"/>
        <v>6.1007116E-2</v>
      </c>
      <c r="AW117" s="1" t="str">
        <f t="shared" si="68"/>
        <v/>
      </c>
      <c r="AX117" s="1" t="str">
        <f t="shared" si="97"/>
        <v/>
      </c>
      <c r="AY117" s="8">
        <f t="shared" ca="1" si="98"/>
        <v>6.1007116E-2</v>
      </c>
      <c r="AZ117" s="1" cm="1">
        <f t="array" aca="1" ref="AZ117" ca="1">IF($B117="","",SUMPRODUCT(--($B$2:$B$313=B117),--(AY117&gt;$AY$2:$AY$313))+1)</f>
        <v>6</v>
      </c>
      <c r="BA117" s="1" t="str">
        <f t="shared" si="99"/>
        <v>K2024GP07_8_1</v>
      </c>
      <c r="BB117" s="1" t="str">
        <f t="shared" si="100"/>
        <v>K2024GP07_8_2</v>
      </c>
      <c r="BC117" s="1">
        <f t="shared" si="101"/>
        <v>0</v>
      </c>
      <c r="BD117" s="1">
        <f t="shared" si="102"/>
        <v>0</v>
      </c>
      <c r="BE117" s="1">
        <f t="shared" si="103"/>
        <v>1</v>
      </c>
      <c r="BF117" s="1">
        <f t="shared" si="104"/>
        <v>162</v>
      </c>
      <c r="BG117" s="1">
        <f t="shared" si="105"/>
        <v>133</v>
      </c>
      <c r="BH117" s="1">
        <f t="shared" si="106"/>
        <v>3</v>
      </c>
      <c r="BI117" s="1">
        <f t="shared" si="107"/>
        <v>4</v>
      </c>
      <c r="BJ117" s="1">
        <f t="shared" si="108"/>
        <v>3.04E-2</v>
      </c>
      <c r="BK117" s="1">
        <f t="shared" si="109"/>
        <v>0</v>
      </c>
      <c r="BL117" s="1">
        <f t="shared" si="110"/>
        <v>9.8999999999999994E-5</v>
      </c>
      <c r="BM117" s="1">
        <f t="shared" si="111"/>
        <v>3.0498999999999998E-2</v>
      </c>
      <c r="BN117" s="1">
        <f t="shared" si="112"/>
        <v>0</v>
      </c>
      <c r="BO117" s="1">
        <f t="shared" si="69"/>
        <v>3</v>
      </c>
      <c r="BP117" s="1">
        <f t="shared" si="70"/>
        <v>0</v>
      </c>
      <c r="BQ117" s="1" cm="1">
        <f t="array" ref="BQ117">IF(I117="","",IF(BP117=1,"",IF(L117=0,"",IF(B117=1,"",_xlfn.XLOOKUP(1,($I$2:$I$313=$I117)*($B$2:$B$313=($B117-1)),$BO$2:$BO$313)))))</f>
        <v>8</v>
      </c>
      <c r="BR117" s="1">
        <f>IF(I117="","",IF($B117=1,_xlfn.MINIFS($BO$2:$BO$313,$B$2:$B$313,$B117),_xlfn.MINIFS(BQ$2:$BQ$313,$B$2:$B$313,$B117)))</f>
        <v>2</v>
      </c>
      <c r="BS117" s="1">
        <f t="shared" si="113"/>
        <v>3</v>
      </c>
      <c r="BT117" s="1" t="str" cm="1">
        <f t="array" ref="BT117">IF($I117="","",IF($B117=1,_xlfn.XLOOKUP(1,($B$2:$B$313=$B117)*($BO$2:$BO$313=BR117),Data!$I$2:$I$313,,0),_xlfn.XLOOKUP(1,($B$2:$B$313=$B117)*($BQ$2:$BQ$313=$BR117),$I$2:$I$313,,0)))</f>
        <v>Juho Korpi</v>
      </c>
      <c r="BU117" s="1" t="str" cm="1">
        <f t="array" ref="BU117">IF(I117="","",IF($B117=1,_xlfn.XLOOKUP(1,($B$2:$B$313=$B117)*($BO$2:$BO$313=$BS117),$I$2:$I$313,,0),_xlfn.XLOOKUP(1,($B$2:$B$313=$B117)*($BQ$2:$BQ$313=$BS117),$I$2:$I$313,,0)))</f>
        <v>Olli Kajava</v>
      </c>
      <c r="BV117" s="1" t="str" cm="1">
        <f t="array" ref="BV117">IF($I117="","",IF($B117=1,"",IF($B117=2,_xlfn.XLOOKUP(1,($B$2:$B$313=1)*($BO$2:$BO$313=1),$I$2:$I$313,,0),_xlfn.XLOOKUP($B117-1,$B$2:$B$313,$CH$2:$CH$313,,0))))</f>
        <v>Jami Kallio</v>
      </c>
      <c r="BW117" s="1" t="str" cm="1">
        <f t="array" ref="BW117">IF($I117="","",IF($B117=1,"",IF(_xlfn.XLOOKUP(1,($B$2:$B$313=$B117)*($I$2:$I$313=$BV117),$BQ$2:$BQ$313,,0)="","NOK","OK")))</f>
        <v>OK</v>
      </c>
      <c r="BX117" s="1" t="str">
        <f t="shared" si="114"/>
        <v>Jami Kallio</v>
      </c>
      <c r="BY117" s="1" t="str">
        <f t="shared" si="115"/>
        <v>Juho Korpi</v>
      </c>
      <c r="BZ117" s="1">
        <f t="shared" si="116"/>
        <v>157</v>
      </c>
      <c r="CA117" s="1">
        <f t="shared" si="117"/>
        <v>155</v>
      </c>
      <c r="CB117" s="1">
        <f t="shared" si="118"/>
        <v>9.8999999999999994E-5</v>
      </c>
      <c r="CC117" s="1">
        <f t="shared" si="119"/>
        <v>142</v>
      </c>
      <c r="CD117" s="1">
        <f t="shared" si="120"/>
        <v>128</v>
      </c>
      <c r="CE117" s="1">
        <f t="shared" si="121"/>
        <v>9.8999999999999994E-5</v>
      </c>
      <c r="CF117" s="1" t="str">
        <f t="shared" si="122"/>
        <v>Jami Kallio (P)</v>
      </c>
      <c r="CG117" s="1" t="str">
        <f t="shared" si="123"/>
        <v>Juho Korpi (2)</v>
      </c>
      <c r="CH117" s="1" t="str">
        <f t="shared" si="124"/>
        <v>Jami Kallio</v>
      </c>
      <c r="CI117" s="1">
        <f t="shared" si="125"/>
        <v>0</v>
      </c>
      <c r="CJ117" s="1" t="str">
        <f ca="1">IF(B117="","",IF(SUM(AI117:AK117)&gt;0,"+SP","")&amp;IF(CI117&gt;0,"+KK","")&amp;IF(AB117&gt;0,"+KGP1","")&amp;IF(AC117&gt;0,"+KGP2","")&amp;IF(AG117&lt;0,"-KGP1","")&amp;IF(AH117&lt;0,"-KGP2",""))</f>
        <v>+SP</v>
      </c>
    </row>
    <row r="118" spans="1:88" x14ac:dyDescent="0.25">
      <c r="A118" s="1">
        <f>IFERROR(IF(ROW(A117)=1,1,IF(1+A117&lt;=$CP$1*$CP$2,1+A117,"")),"")</f>
        <v>117</v>
      </c>
      <c r="B118" s="1">
        <f>IF($I118="","",IF(ROW(B117)=1,1,ROUNDUP(A118/$CP$2,0)))</f>
        <v>7</v>
      </c>
      <c r="C118" s="4">
        <f t="shared" si="71"/>
        <v>45669</v>
      </c>
      <c r="D118" s="4" t="str">
        <f t="shared" si="65"/>
        <v>Kupittaan keilahalli</v>
      </c>
      <c r="E118" s="1">
        <f>IF($B118="","",COUNTIF($B$2:B118,B118))</f>
        <v>9</v>
      </c>
      <c r="F118" s="1" t="str">
        <f t="shared" si="66"/>
        <v>K2024GP07</v>
      </c>
      <c r="G118" s="1" t="str">
        <f t="shared" si="72"/>
        <v>K2024GP07_9</v>
      </c>
      <c r="H118" s="1">
        <f t="shared" si="73"/>
        <v>1</v>
      </c>
      <c r="I118" s="3" t="s">
        <v>138</v>
      </c>
      <c r="J118" s="3">
        <v>155</v>
      </c>
      <c r="K118" s="3">
        <v>106</v>
      </c>
      <c r="L118" s="1">
        <f t="shared" si="74"/>
        <v>261</v>
      </c>
      <c r="M118" s="1">
        <f t="shared" si="75"/>
        <v>1</v>
      </c>
      <c r="N118" s="1">
        <f t="shared" si="76"/>
        <v>9</v>
      </c>
      <c r="O118" s="1">
        <f t="shared" si="77"/>
        <v>261</v>
      </c>
      <c r="P118" s="1">
        <f t="shared" si="78"/>
        <v>71</v>
      </c>
      <c r="Q118" s="1">
        <f t="array" ref="Q118">IF($B118="","",IF(MAX(IF(B118=$B$2:$B$313,$L$2:$L$313))-L118=0,"",MAX(IF(B118=$B$2:$B$313,$L$2:$L$313))-L118))</f>
        <v>71</v>
      </c>
      <c r="R118" s="1">
        <f t="array" ref="R118">IF($B118="","",SUMPRODUCT(--($B$2:$B$313=B118),--(L118&lt;$L$2:$L$313))+1)</f>
        <v>9</v>
      </c>
      <c r="S118" s="1">
        <f t="shared" si="79"/>
        <v>2</v>
      </c>
      <c r="T118" s="1" cm="1">
        <f t="array" ref="T118">IF($B118="","",IF(M118=0,"",SUMPRODUCT(--($B$2:$B$313=B118),--(J118&lt;$J$2:$J$313))+1))</f>
        <v>3</v>
      </c>
      <c r="U118" s="1">
        <f t="shared" si="80"/>
        <v>6</v>
      </c>
      <c r="V118" s="1" t="str">
        <f t="shared" si="81"/>
        <v>0709</v>
      </c>
      <c r="W118" s="1">
        <f t="shared" si="82"/>
        <v>1</v>
      </c>
      <c r="X118" s="1">
        <f t="shared" si="67"/>
        <v>0</v>
      </c>
      <c r="Y118" s="1">
        <f>IF($B118="","",MAX(_xlfn.MAXIFS($J$2:J118,$I$2:I118,$I118),_xlfn.MAXIFS($K$2:K118,$I$2:I118,$I118)))</f>
        <v>178</v>
      </c>
      <c r="Z118" s="1">
        <f t="shared" si="83"/>
        <v>177</v>
      </c>
      <c r="AA118" s="1">
        <f t="shared" si="84"/>
        <v>0</v>
      </c>
      <c r="AB118" s="1">
        <f t="shared" si="85"/>
        <v>0</v>
      </c>
      <c r="AC118" s="1">
        <f t="shared" si="86"/>
        <v>0</v>
      </c>
      <c r="AD118" s="1">
        <f>IF($B118="","",MIN(_xlfn.MINIFS($J$2:J118,$I$2:I118,$I118),_xlfn.MINIFS($K$2:K118,$I$2:I118,$I118)))</f>
        <v>87</v>
      </c>
      <c r="AE118" s="1">
        <f t="shared" si="87"/>
        <v>87</v>
      </c>
      <c r="AF118" s="1">
        <f t="shared" si="88"/>
        <v>0</v>
      </c>
      <c r="AG118" s="1">
        <f t="shared" si="89"/>
        <v>0</v>
      </c>
      <c r="AH118" s="1">
        <f t="shared" si="90"/>
        <v>0</v>
      </c>
      <c r="AI118" s="1">
        <f ca="1">IF($B118="","",IF($K118="",0,OFFSET($CO$17,R118,W118)))</f>
        <v>2</v>
      </c>
      <c r="AJ118" s="1">
        <f t="shared" ca="1" si="91"/>
        <v>0</v>
      </c>
      <c r="AK118" s="1">
        <f ca="1">IF(AJ118="","",IF(AJ118=0,0,IF(W118=1,0,SUM(OFFSET($CO$17,N118,1):OFFSET($CO$17,N118+W118-2,1))/W118)))</f>
        <v>0</v>
      </c>
      <c r="AL118" s="1">
        <f t="shared" ca="1" si="92"/>
        <v>2</v>
      </c>
      <c r="AM118" s="1">
        <f ca="1">IF($B118="","",SUMIFS($AL$2:AL118,$I$2:I118,$I118))</f>
        <v>26</v>
      </c>
      <c r="AN118" s="1">
        <f t="shared" si="93"/>
        <v>9.0001169999999995</v>
      </c>
      <c r="AO118" s="1">
        <f>IFERROR(IF($B118="","",AVERAGEIFS($L$2:L118,$I$2:I118,I118,$L$2:L118,"&lt;&gt;0")),0)</f>
        <v>267</v>
      </c>
      <c r="AP118" s="1">
        <f t="shared" si="94"/>
        <v>133.5</v>
      </c>
      <c r="AQ118" s="1">
        <f>IF($B118="","",COUNTIFS($R$2:R118,1,$I$2:I118,$I118))</f>
        <v>0</v>
      </c>
      <c r="AR118" s="1">
        <f t="array" aca="1" ref="AR118" ca="1">IF($B118="","",SUMPRODUCT(--($B$2:$B$313=B118),--(AM118&lt;$AM$2:$AM$313))+1)</f>
        <v>7</v>
      </c>
      <c r="AS118" s="1">
        <f t="array" ref="AS118">IF($B118="","",SUMPRODUCT(--($B$2:$B$313=B118),--(AP118&lt;$AP$2:$AP$313))+1)</f>
        <v>9</v>
      </c>
      <c r="AT118" s="1">
        <f t="array" ref="AT118">IF($B118="","",SUMPRODUCT(--($B$2:$B$313=B118),--(AQ118&lt;$AQ$2:$AQ$313))+1)</f>
        <v>7</v>
      </c>
      <c r="AU118" s="1">
        <f t="shared" si="95"/>
        <v>1.17E-7</v>
      </c>
      <c r="AV118" s="1">
        <f t="shared" ca="1" si="96"/>
        <v>7.0907116999999992E-2</v>
      </c>
      <c r="AW118" s="1" t="str">
        <f t="shared" si="68"/>
        <v/>
      </c>
      <c r="AX118" s="1" t="str">
        <f t="shared" si="97"/>
        <v/>
      </c>
      <c r="AY118" s="8">
        <f t="shared" ca="1" si="98"/>
        <v>7.0907116999999992E-2</v>
      </c>
      <c r="AZ118" s="1" cm="1">
        <f t="array" aca="1" ref="AZ118" ca="1">IF($B118="","",SUMPRODUCT(--($B$2:$B$313=B118),--(AY118&gt;$AY$2:$AY$313))+1)</f>
        <v>7</v>
      </c>
      <c r="BA118" s="1" t="str">
        <f t="shared" si="99"/>
        <v>K2024GP07_9_1</v>
      </c>
      <c r="BB118" s="1" t="str">
        <f t="shared" si="100"/>
        <v>K2024GP07_9_2</v>
      </c>
      <c r="BC118" s="1">
        <f t="shared" si="101"/>
        <v>0</v>
      </c>
      <c r="BD118" s="1">
        <f t="shared" si="102"/>
        <v>0</v>
      </c>
      <c r="BE118" s="1">
        <f t="shared" si="103"/>
        <v>1</v>
      </c>
      <c r="BF118" s="1">
        <f t="shared" si="104"/>
        <v>155</v>
      </c>
      <c r="BG118" s="1">
        <f t="shared" si="105"/>
        <v>106</v>
      </c>
      <c r="BH118" s="1">
        <f t="shared" si="106"/>
        <v>8</v>
      </c>
      <c r="BI118" s="1">
        <f t="shared" si="107"/>
        <v>9</v>
      </c>
      <c r="BJ118" s="1">
        <f t="shared" si="108"/>
        <v>8.09E-2</v>
      </c>
      <c r="BK118" s="1">
        <f t="shared" si="109"/>
        <v>0</v>
      </c>
      <c r="BL118" s="1">
        <f t="shared" si="110"/>
        <v>9.8999999999999994E-5</v>
      </c>
      <c r="BM118" s="1">
        <f t="shared" si="111"/>
        <v>8.0999000000000002E-2</v>
      </c>
      <c r="BN118" s="1">
        <f t="shared" si="112"/>
        <v>0</v>
      </c>
      <c r="BO118" s="1">
        <f t="shared" si="69"/>
        <v>8</v>
      </c>
      <c r="BP118" s="1">
        <f t="shared" si="70"/>
        <v>0</v>
      </c>
      <c r="BQ118" s="1" cm="1">
        <f t="array" ref="BQ118">IF(I118="","",IF(BP118=1,"",IF(L118=0,"",IF(B118=1,"",_xlfn.XLOOKUP(1,($I$2:$I$313=$I118)*($B$2:$B$313=($B118-1)),$BO$2:$BO$313)))))</f>
        <v>4</v>
      </c>
      <c r="BR118" s="1">
        <f>IF(I118="","",IF($B118=1,_xlfn.MINIFS($BO$2:$BO$313,$B$2:$B$313,$B118),_xlfn.MINIFS(BQ$2:$BQ$313,$B$2:$B$313,$B118)))</f>
        <v>2</v>
      </c>
      <c r="BS118" s="1">
        <f t="shared" si="113"/>
        <v>3</v>
      </c>
      <c r="BT118" s="1" t="str" cm="1">
        <f t="array" ref="BT118">IF($I118="","",IF($B118=1,_xlfn.XLOOKUP(1,($B$2:$B$313=$B118)*($BO$2:$BO$313=BR118),Data!$I$2:$I$313,,0),_xlfn.XLOOKUP(1,($B$2:$B$313=$B118)*($BQ$2:$BQ$313=$BR118),$I$2:$I$313,,0)))</f>
        <v>Juho Korpi</v>
      </c>
      <c r="BU118" s="1" t="str" cm="1">
        <f t="array" ref="BU118">IF(I118="","",IF($B118=1,_xlfn.XLOOKUP(1,($B$2:$B$313=$B118)*($BO$2:$BO$313=$BS118),$I$2:$I$313,,0),_xlfn.XLOOKUP(1,($B$2:$B$313=$B118)*($BQ$2:$BQ$313=$BS118),$I$2:$I$313,,0)))</f>
        <v>Olli Kajava</v>
      </c>
      <c r="BV118" s="1" t="str" cm="1">
        <f t="array" ref="BV118">IF($I118="","",IF($B118=1,"",IF($B118=2,_xlfn.XLOOKUP(1,($B$2:$B$313=1)*($BO$2:$BO$313=1),$I$2:$I$313,,0),_xlfn.XLOOKUP($B118-1,$B$2:$B$313,$CH$2:$CH$313,,0))))</f>
        <v>Jami Kallio</v>
      </c>
      <c r="BW118" s="1" t="str" cm="1">
        <f t="array" ref="BW118">IF($I118="","",IF($B118=1,"",IF(_xlfn.XLOOKUP(1,($B$2:$B$313=$B118)*($I$2:$I$313=$BV118),$BQ$2:$BQ$313,,0)="","NOK","OK")))</f>
        <v>OK</v>
      </c>
      <c r="BX118" s="1" t="str">
        <f t="shared" si="114"/>
        <v>Jami Kallio</v>
      </c>
      <c r="BY118" s="1" t="str">
        <f t="shared" si="115"/>
        <v>Juho Korpi</v>
      </c>
      <c r="BZ118" s="1">
        <f t="shared" si="116"/>
        <v>157</v>
      </c>
      <c r="CA118" s="1">
        <f t="shared" si="117"/>
        <v>155</v>
      </c>
      <c r="CB118" s="1">
        <f t="shared" si="118"/>
        <v>9.8999999999999994E-5</v>
      </c>
      <c r="CC118" s="1">
        <f t="shared" si="119"/>
        <v>142</v>
      </c>
      <c r="CD118" s="1">
        <f t="shared" si="120"/>
        <v>128</v>
      </c>
      <c r="CE118" s="1">
        <f t="shared" si="121"/>
        <v>9.8999999999999994E-5</v>
      </c>
      <c r="CF118" s="1" t="str">
        <f t="shared" si="122"/>
        <v>Jami Kallio (P)</v>
      </c>
      <c r="CG118" s="1" t="str">
        <f t="shared" si="123"/>
        <v>Juho Korpi (2)</v>
      </c>
      <c r="CH118" s="1" t="str">
        <f t="shared" si="124"/>
        <v>Jami Kallio</v>
      </c>
      <c r="CI118" s="1">
        <f t="shared" si="125"/>
        <v>0</v>
      </c>
      <c r="CJ118" s="1" t="str">
        <f ca="1">IF(B118="","",IF(SUM(AI118:AK118)&gt;0,"+SP","")&amp;IF(CI118&gt;0,"+KK","")&amp;IF(AB118&gt;0,"+KGP1","")&amp;IF(AC118&gt;0,"+KGP2","")&amp;IF(AG118&lt;0,"-KGP1","")&amp;IF(AH118&lt;0,"-KGP2",""))</f>
        <v>+SP</v>
      </c>
    </row>
    <row r="119" spans="1:88" x14ac:dyDescent="0.25">
      <c r="A119" s="1">
        <f>IFERROR(IF(ROW(A118)=1,1,IF(1+A118&lt;=$CP$1*$CP$2,1+A118,"")),"")</f>
        <v>118</v>
      </c>
      <c r="B119" s="1">
        <f>IF($I119="","",IF(ROW(B118)=1,1,ROUNDUP(A119/$CP$2,0)))</f>
        <v>7</v>
      </c>
      <c r="C119" s="4">
        <f t="shared" si="71"/>
        <v>45669</v>
      </c>
      <c r="D119" s="4" t="str">
        <f t="shared" si="65"/>
        <v>Kupittaan keilahalli</v>
      </c>
      <c r="E119" s="1">
        <f>IF($B119="","",COUNTIF($B$2:B119,B119))</f>
        <v>10</v>
      </c>
      <c r="F119" s="1" t="str">
        <f t="shared" si="66"/>
        <v>K2024GP07</v>
      </c>
      <c r="G119" s="1" t="str">
        <f t="shared" si="72"/>
        <v>K2024GP07_10</v>
      </c>
      <c r="H119" s="1">
        <f t="shared" si="73"/>
        <v>1</v>
      </c>
      <c r="I119" s="3" t="s">
        <v>143</v>
      </c>
      <c r="J119" s="3">
        <v>148</v>
      </c>
      <c r="K119" s="3">
        <v>161</v>
      </c>
      <c r="L119" s="1">
        <f t="shared" si="74"/>
        <v>309</v>
      </c>
      <c r="M119" s="1">
        <f t="shared" si="75"/>
        <v>1</v>
      </c>
      <c r="N119" s="1">
        <f t="shared" si="76"/>
        <v>3</v>
      </c>
      <c r="O119" s="1">
        <f t="shared" si="77"/>
        <v>309</v>
      </c>
      <c r="P119" s="1">
        <f t="shared" si="78"/>
        <v>23</v>
      </c>
      <c r="Q119" s="1">
        <f t="array" ref="Q119">IF($B119="","",IF(MAX(IF(B119=$B$2:$B$313,$L$2:$L$313))-L119=0,"",MAX(IF(B119=$B$2:$B$313,$L$2:$L$313))-L119))</f>
        <v>23</v>
      </c>
      <c r="R119" s="1">
        <f t="array" ref="R119">IF($B119="","",SUMPRODUCT(--($B$2:$B$313=B119),--(L119&lt;$L$2:$L$313))+1)</f>
        <v>3</v>
      </c>
      <c r="S119" s="1">
        <f t="shared" si="79"/>
        <v>2</v>
      </c>
      <c r="T119" s="1" cm="1">
        <f t="array" ref="T119">IF($B119="","",IF(M119=0,"",SUMPRODUCT(--($B$2:$B$313=B119),--(J119&lt;$J$2:$J$313))+1))</f>
        <v>5</v>
      </c>
      <c r="U119" s="1">
        <f t="shared" si="80"/>
        <v>-2</v>
      </c>
      <c r="V119" s="1" t="str">
        <f t="shared" si="81"/>
        <v>0703</v>
      </c>
      <c r="W119" s="1">
        <f t="shared" si="82"/>
        <v>1</v>
      </c>
      <c r="X119" s="1">
        <f t="shared" si="67"/>
        <v>0</v>
      </c>
      <c r="Y119" s="1">
        <f>IF($B119="","",MAX(_xlfn.MAXIFS($J$2:J119,$I$2:I119,$I119),_xlfn.MAXIFS($K$2:K119,$I$2:I119,$I119)))</f>
        <v>184</v>
      </c>
      <c r="Z119" s="1">
        <f t="shared" si="83"/>
        <v>177</v>
      </c>
      <c r="AA119" s="1">
        <f t="shared" si="84"/>
        <v>0</v>
      </c>
      <c r="AB119" s="1">
        <f t="shared" si="85"/>
        <v>0</v>
      </c>
      <c r="AC119" s="1">
        <f t="shared" si="86"/>
        <v>0</v>
      </c>
      <c r="AD119" s="1">
        <f>IF($B119="","",MIN(_xlfn.MINIFS($J$2:J119,$I$2:I119,$I119),_xlfn.MINIFS($K$2:K119,$I$2:I119,$I119)))</f>
        <v>123</v>
      </c>
      <c r="AE119" s="1">
        <f t="shared" si="87"/>
        <v>87</v>
      </c>
      <c r="AF119" s="1">
        <f t="shared" si="88"/>
        <v>0</v>
      </c>
      <c r="AG119" s="1">
        <f t="shared" si="89"/>
        <v>0</v>
      </c>
      <c r="AH119" s="1">
        <f t="shared" si="90"/>
        <v>0</v>
      </c>
      <c r="AI119" s="1">
        <f ca="1">IF($B119="","",IF($K119="",0,OFFSET($CO$17,R119,W119)))</f>
        <v>8</v>
      </c>
      <c r="AJ119" s="1">
        <f t="shared" ca="1" si="91"/>
        <v>0</v>
      </c>
      <c r="AK119" s="1">
        <f ca="1">IF(AJ119="","",IF(AJ119=0,0,IF(W119=1,0,SUM(OFFSET($CO$17,N119,1):OFFSET($CO$17,N119+W119-2,1))/W119)))</f>
        <v>0</v>
      </c>
      <c r="AL119" s="1">
        <f t="shared" ca="1" si="92"/>
        <v>8</v>
      </c>
      <c r="AM119" s="1">
        <f ca="1">IF($B119="","",SUMIFS($AL$2:AL119,$I$2:I119,$I119))</f>
        <v>50</v>
      </c>
      <c r="AN119" s="1">
        <f t="shared" si="93"/>
        <v>3.0001180000000001</v>
      </c>
      <c r="AO119" s="1">
        <f>IFERROR(IF($B119="","",AVERAGEIFS($L$2:L119,$I$2:I119,I119,$L$2:L119,"&lt;&gt;0")),0)</f>
        <v>306.5</v>
      </c>
      <c r="AP119" s="1">
        <f t="shared" si="94"/>
        <v>153.25</v>
      </c>
      <c r="AQ119" s="1">
        <f>IF($B119="","",COUNTIFS($R$2:R119,1,$I$2:I119,$I119))</f>
        <v>2</v>
      </c>
      <c r="AR119" s="1">
        <f t="array" aca="1" ref="AR119" ca="1">IF($B119="","",SUMPRODUCT(--($B$2:$B$313=B119),--(AM119&lt;$AM$2:$AM$313))+1)</f>
        <v>2</v>
      </c>
      <c r="AS119" s="1">
        <f t="array" ref="AS119">IF($B119="","",SUMPRODUCT(--($B$2:$B$313=B119),--(AP119&lt;$AP$2:$AP$313))+1)</f>
        <v>2</v>
      </c>
      <c r="AT119" s="1">
        <f t="array" ref="AT119">IF($B119="","",SUMPRODUCT(--($B$2:$B$313=B119),--(AQ119&lt;$AQ$2:$AQ$313))+1)</f>
        <v>1</v>
      </c>
      <c r="AU119" s="1">
        <f t="shared" si="95"/>
        <v>1.18E-7</v>
      </c>
      <c r="AV119" s="1">
        <f t="shared" ca="1" si="96"/>
        <v>2.0201118000000001E-2</v>
      </c>
      <c r="AW119" s="1" t="str">
        <f t="shared" si="68"/>
        <v/>
      </c>
      <c r="AX119" s="1" t="str">
        <f t="shared" si="97"/>
        <v/>
      </c>
      <c r="AY119" s="8">
        <f t="shared" ca="1" si="98"/>
        <v>2.0201118000000001E-2</v>
      </c>
      <c r="AZ119" s="1" cm="1">
        <f t="array" aca="1" ref="AZ119" ca="1">IF($B119="","",SUMPRODUCT(--($B$2:$B$313=B119),--(AY119&gt;$AY$2:$AY$313))+1)</f>
        <v>2</v>
      </c>
      <c r="BA119" s="1" t="str">
        <f t="shared" si="99"/>
        <v>K2024GP07_10_1</v>
      </c>
      <c r="BB119" s="1" t="str">
        <f t="shared" si="100"/>
        <v>K2024GP07_10_2</v>
      </c>
      <c r="BC119" s="1">
        <f t="shared" si="101"/>
        <v>0</v>
      </c>
      <c r="BD119" s="1">
        <f t="shared" si="102"/>
        <v>1</v>
      </c>
      <c r="BE119" s="1">
        <f t="shared" si="103"/>
        <v>1</v>
      </c>
      <c r="BF119" s="1">
        <f t="shared" si="104"/>
        <v>161</v>
      </c>
      <c r="BG119" s="1">
        <f t="shared" si="105"/>
        <v>148</v>
      </c>
      <c r="BH119" s="1">
        <f t="shared" si="106"/>
        <v>4</v>
      </c>
      <c r="BI119" s="1">
        <f t="shared" si="107"/>
        <v>3</v>
      </c>
      <c r="BJ119" s="1">
        <f t="shared" si="108"/>
        <v>4.0300000000000002E-2</v>
      </c>
      <c r="BK119" s="1">
        <f t="shared" si="109"/>
        <v>0</v>
      </c>
      <c r="BL119" s="1">
        <f t="shared" si="110"/>
        <v>9.8999999999999994E-5</v>
      </c>
      <c r="BM119" s="1">
        <f t="shared" si="111"/>
        <v>4.0399000000000004E-2</v>
      </c>
      <c r="BN119" s="1">
        <f t="shared" si="112"/>
        <v>0</v>
      </c>
      <c r="BO119" s="1">
        <f t="shared" si="69"/>
        <v>4</v>
      </c>
      <c r="BP119" s="1">
        <f t="shared" si="70"/>
        <v>0</v>
      </c>
      <c r="BQ119" s="1" cm="1">
        <f t="array" ref="BQ119">IF(I119="","",IF(BP119=1,"",IF(L119=0,"",IF(B119=1,"",_xlfn.XLOOKUP(1,($I$2:$I$313=$I119)*($B$2:$B$313=($B119-1)),$BO$2:$BO$313)))))</f>
        <v>10</v>
      </c>
      <c r="BR119" s="1">
        <f>IF(I119="","",IF($B119=1,_xlfn.MINIFS($BO$2:$BO$313,$B$2:$B$313,$B119),_xlfn.MINIFS(BQ$2:$BQ$313,$B$2:$B$313,$B119)))</f>
        <v>2</v>
      </c>
      <c r="BS119" s="1">
        <f t="shared" si="113"/>
        <v>3</v>
      </c>
      <c r="BT119" s="1" t="str" cm="1">
        <f t="array" ref="BT119">IF($I119="","",IF($B119=1,_xlfn.XLOOKUP(1,($B$2:$B$313=$B119)*($BO$2:$BO$313=BR119),Data!$I$2:$I$313,,0),_xlfn.XLOOKUP(1,($B$2:$B$313=$B119)*($BQ$2:$BQ$313=$BR119),$I$2:$I$313,,0)))</f>
        <v>Juho Korpi</v>
      </c>
      <c r="BU119" s="1" t="str" cm="1">
        <f t="array" ref="BU119">IF(I119="","",IF($B119=1,_xlfn.XLOOKUP(1,($B$2:$B$313=$B119)*($BO$2:$BO$313=$BS119),$I$2:$I$313,,0),_xlfn.XLOOKUP(1,($B$2:$B$313=$B119)*($BQ$2:$BQ$313=$BS119),$I$2:$I$313,,0)))</f>
        <v>Olli Kajava</v>
      </c>
      <c r="BV119" s="1" t="str" cm="1">
        <f t="array" ref="BV119">IF($I119="","",IF($B119=1,"",IF($B119=2,_xlfn.XLOOKUP(1,($B$2:$B$313=1)*($BO$2:$BO$313=1),$I$2:$I$313,,0),_xlfn.XLOOKUP($B119-1,$B$2:$B$313,$CH$2:$CH$313,,0))))</f>
        <v>Jami Kallio</v>
      </c>
      <c r="BW119" s="1" t="str" cm="1">
        <f t="array" ref="BW119">IF($I119="","",IF($B119=1,"",IF(_xlfn.XLOOKUP(1,($B$2:$B$313=$B119)*($I$2:$I$313=$BV119),$BQ$2:$BQ$313,,0)="","NOK","OK")))</f>
        <v>OK</v>
      </c>
      <c r="BX119" s="1" t="str">
        <f t="shared" si="114"/>
        <v>Jami Kallio</v>
      </c>
      <c r="BY119" s="1" t="str">
        <f t="shared" si="115"/>
        <v>Juho Korpi</v>
      </c>
      <c r="BZ119" s="1">
        <f t="shared" si="116"/>
        <v>157</v>
      </c>
      <c r="CA119" s="1">
        <f t="shared" si="117"/>
        <v>155</v>
      </c>
      <c r="CB119" s="1">
        <f t="shared" si="118"/>
        <v>9.8999999999999994E-5</v>
      </c>
      <c r="CC119" s="1">
        <f t="shared" si="119"/>
        <v>142</v>
      </c>
      <c r="CD119" s="1">
        <f t="shared" si="120"/>
        <v>128</v>
      </c>
      <c r="CE119" s="1">
        <f t="shared" si="121"/>
        <v>9.8999999999999994E-5</v>
      </c>
      <c r="CF119" s="1" t="str">
        <f t="shared" si="122"/>
        <v>Jami Kallio (P)</v>
      </c>
      <c r="CG119" s="1" t="str">
        <f t="shared" si="123"/>
        <v>Juho Korpi (2)</v>
      </c>
      <c r="CH119" s="1" t="str">
        <f t="shared" si="124"/>
        <v>Jami Kallio</v>
      </c>
      <c r="CI119" s="1">
        <f t="shared" si="125"/>
        <v>0</v>
      </c>
      <c r="CJ119" s="1" t="str">
        <f ca="1">IF(B119="","",IF(SUM(AI119:AK119)&gt;0,"+SP","")&amp;IF(CI119&gt;0,"+KK","")&amp;IF(AB119&gt;0,"+KGP1","")&amp;IF(AC119&gt;0,"+KGP2","")&amp;IF(AG119&lt;0,"-KGP1","")&amp;IF(AH119&lt;0,"-KGP2",""))</f>
        <v>+SP</v>
      </c>
    </row>
    <row r="120" spans="1:88" x14ac:dyDescent="0.25">
      <c r="A120" s="1">
        <f>IFERROR(IF(ROW(A119)=1,1,IF(1+A119&lt;=$CP$1*$CP$2,1+A119,"")),"")</f>
        <v>119</v>
      </c>
      <c r="B120" s="1">
        <f>IF($I120="","",IF(ROW(B119)=1,1,ROUNDUP(A120/$CP$2,0)))</f>
        <v>7</v>
      </c>
      <c r="C120" s="4">
        <f t="shared" si="71"/>
        <v>45669</v>
      </c>
      <c r="D120" s="4" t="str">
        <f t="shared" si="65"/>
        <v>Kupittaan keilahalli</v>
      </c>
      <c r="E120" s="1">
        <f>IF($B120="","",COUNTIF($B$2:B120,B120))</f>
        <v>11</v>
      </c>
      <c r="F120" s="1" t="str">
        <f t="shared" si="66"/>
        <v>K2024GP07</v>
      </c>
      <c r="G120" s="1" t="str">
        <f t="shared" si="72"/>
        <v>K2024GP07_11</v>
      </c>
      <c r="H120" s="1">
        <f t="shared" si="73"/>
        <v>1</v>
      </c>
      <c r="I120" s="3" t="s">
        <v>139</v>
      </c>
      <c r="J120" s="3">
        <v>87</v>
      </c>
      <c r="K120" s="3">
        <v>160</v>
      </c>
      <c r="L120" s="1">
        <f t="shared" si="74"/>
        <v>247</v>
      </c>
      <c r="M120" s="1">
        <f t="shared" si="75"/>
        <v>1</v>
      </c>
      <c r="N120" s="1">
        <f t="shared" si="76"/>
        <v>10</v>
      </c>
      <c r="O120" s="1">
        <f t="shared" si="77"/>
        <v>247</v>
      </c>
      <c r="P120" s="1">
        <f t="shared" si="78"/>
        <v>85</v>
      </c>
      <c r="Q120" s="1">
        <f t="array" ref="Q120">IF($B120="","",IF(MAX(IF(B120=$B$2:$B$313,$L$2:$L$313))-L120=0,"",MAX(IF(B120=$B$2:$B$313,$L$2:$L$313))-L120))</f>
        <v>85</v>
      </c>
      <c r="R120" s="1">
        <f t="array" ref="R120">IF($B120="","",SUMPRODUCT(--($B$2:$B$313=B120),--(L120&lt;$L$2:$L$313))+1)</f>
        <v>10</v>
      </c>
      <c r="S120" s="1">
        <f t="shared" si="79"/>
        <v>2</v>
      </c>
      <c r="T120" s="1" cm="1">
        <f t="array" ref="T120">IF($B120="","",IF(M120=0,"",SUMPRODUCT(--($B$2:$B$313=B120),--(J120&lt;$J$2:$J$313))+1))</f>
        <v>11</v>
      </c>
      <c r="U120" s="1">
        <f t="shared" si="80"/>
        <v>-1</v>
      </c>
      <c r="V120" s="1" t="str">
        <f t="shared" si="81"/>
        <v>0710</v>
      </c>
      <c r="W120" s="1">
        <f t="shared" si="82"/>
        <v>1</v>
      </c>
      <c r="X120" s="1">
        <f t="shared" si="67"/>
        <v>0</v>
      </c>
      <c r="Y120" s="1">
        <f>IF($B120="","",MAX(_xlfn.MAXIFS($J$2:J120,$I$2:I120,$I120),_xlfn.MAXIFS($K$2:K120,$I$2:I120,$I120)))</f>
        <v>209</v>
      </c>
      <c r="Z120" s="1">
        <f t="shared" si="83"/>
        <v>177</v>
      </c>
      <c r="AA120" s="1">
        <f t="shared" si="84"/>
        <v>0</v>
      </c>
      <c r="AB120" s="1">
        <f t="shared" si="85"/>
        <v>0</v>
      </c>
      <c r="AC120" s="1">
        <f t="shared" si="86"/>
        <v>0</v>
      </c>
      <c r="AD120" s="1">
        <f>IF($B120="","",MIN(_xlfn.MINIFS($J$2:J120,$I$2:I120,$I120),_xlfn.MINIFS($K$2:K120,$I$2:I120,$I120)))</f>
        <v>87</v>
      </c>
      <c r="AE120" s="1">
        <f t="shared" si="87"/>
        <v>87</v>
      </c>
      <c r="AF120" s="1">
        <f t="shared" si="88"/>
        <v>0</v>
      </c>
      <c r="AG120" s="1">
        <f t="shared" si="89"/>
        <v>0</v>
      </c>
      <c r="AH120" s="1">
        <f t="shared" si="90"/>
        <v>0</v>
      </c>
      <c r="AI120" s="1">
        <f ca="1">IF($B120="","",IF($K120="",0,OFFSET($CO$17,R120,W120)))</f>
        <v>1</v>
      </c>
      <c r="AJ120" s="1">
        <f t="shared" ca="1" si="91"/>
        <v>0</v>
      </c>
      <c r="AK120" s="1">
        <f ca="1">IF(AJ120="","",IF(AJ120=0,0,IF(W120=1,0,SUM(OFFSET($CO$17,N120,1):OFFSET($CO$17,N120+W120-2,1))/W120)))</f>
        <v>0</v>
      </c>
      <c r="AL120" s="1">
        <f t="shared" ca="1" si="92"/>
        <v>1</v>
      </c>
      <c r="AM120" s="1">
        <f ca="1">IF($B120="","",SUMIFS($AL$2:AL120,$I$2:I120,$I120))</f>
        <v>35.5</v>
      </c>
      <c r="AN120" s="1">
        <f t="shared" si="93"/>
        <v>10.000119</v>
      </c>
      <c r="AO120" s="1">
        <f>IFERROR(IF($B120="","",AVERAGEIFS($L$2:L120,$I$2:I120,I120,$L$2:L120,"&lt;&gt;0")),0)</f>
        <v>303.39999999999998</v>
      </c>
      <c r="AP120" s="1">
        <f t="shared" si="94"/>
        <v>151.69999999999999</v>
      </c>
      <c r="AQ120" s="1">
        <f>IF($B120="","",COUNTIFS($R$2:R120,1,$I$2:I120,$I120))</f>
        <v>1</v>
      </c>
      <c r="AR120" s="1">
        <f t="array" aca="1" ref="AR120" ca="1">IF($B120="","",SUMPRODUCT(--($B$2:$B$313=B120),--(AM120&lt;$AM$2:$AM$313))+1)</f>
        <v>4</v>
      </c>
      <c r="AS120" s="1">
        <f t="array" ref="AS120">IF($B120="","",SUMPRODUCT(--($B$2:$B$313=B120),--(AP120&lt;$AP$2:$AP$313))+1)</f>
        <v>3</v>
      </c>
      <c r="AT120" s="1">
        <f t="array" ref="AT120">IF($B120="","",SUMPRODUCT(--($B$2:$B$313=B120),--(AQ120&lt;$AQ$2:$AQ$313))+1)</f>
        <v>3</v>
      </c>
      <c r="AU120" s="1">
        <f t="shared" si="95"/>
        <v>1.1899999999999999E-7</v>
      </c>
      <c r="AV120" s="1">
        <f t="shared" ca="1" si="96"/>
        <v>4.0303119000000005E-2</v>
      </c>
      <c r="AW120" s="1" t="str">
        <f t="shared" si="68"/>
        <v/>
      </c>
      <c r="AX120" s="1" t="str">
        <f t="shared" si="97"/>
        <v/>
      </c>
      <c r="AY120" s="8">
        <f t="shared" ca="1" si="98"/>
        <v>4.0303119000000005E-2</v>
      </c>
      <c r="AZ120" s="1" cm="1">
        <f t="array" aca="1" ref="AZ120" ca="1">IF($B120="","",SUMPRODUCT(--($B$2:$B$313=B120),--(AY120&gt;$AY$2:$AY$313))+1)</f>
        <v>4</v>
      </c>
      <c r="BA120" s="1" t="str">
        <f t="shared" si="99"/>
        <v>K2024GP07_11_1</v>
      </c>
      <c r="BB120" s="1" t="str">
        <f t="shared" si="100"/>
        <v>K2024GP07_11_2</v>
      </c>
      <c r="BC120" s="1">
        <f t="shared" si="101"/>
        <v>0</v>
      </c>
      <c r="BD120" s="1">
        <f t="shared" si="102"/>
        <v>0</v>
      </c>
      <c r="BE120" s="1">
        <f t="shared" si="103"/>
        <v>1</v>
      </c>
      <c r="BF120" s="1">
        <f t="shared" si="104"/>
        <v>160</v>
      </c>
      <c r="BG120" s="1">
        <f t="shared" si="105"/>
        <v>87</v>
      </c>
      <c r="BH120" s="1">
        <f t="shared" si="106"/>
        <v>5</v>
      </c>
      <c r="BI120" s="1">
        <f t="shared" si="107"/>
        <v>11</v>
      </c>
      <c r="BJ120" s="1">
        <f t="shared" si="108"/>
        <v>5.11E-2</v>
      </c>
      <c r="BK120" s="1">
        <f t="shared" si="109"/>
        <v>0</v>
      </c>
      <c r="BL120" s="1">
        <f t="shared" si="110"/>
        <v>9.8999999999999994E-5</v>
      </c>
      <c r="BM120" s="1">
        <f t="shared" si="111"/>
        <v>5.1199000000000001E-2</v>
      </c>
      <c r="BN120" s="1">
        <f t="shared" si="112"/>
        <v>0</v>
      </c>
      <c r="BO120" s="1">
        <f t="shared" si="69"/>
        <v>5</v>
      </c>
      <c r="BP120" s="1">
        <f t="shared" si="70"/>
        <v>0</v>
      </c>
      <c r="BQ120" s="1" cm="1">
        <f t="array" ref="BQ120">IF(I120="","",IF(BP120=1,"",IF(L120=0,"",IF(B120=1,"",_xlfn.XLOOKUP(1,($I$2:$I$313=$I120)*($B$2:$B$313=($B120-1)),$BO$2:$BO$313)))))</f>
        <v>16</v>
      </c>
      <c r="BR120" s="1">
        <f>IF(I120="","",IF($B120=1,_xlfn.MINIFS($BO$2:$BO$313,$B$2:$B$313,$B120),_xlfn.MINIFS(BQ$2:$BQ$313,$B$2:$B$313,$B120)))</f>
        <v>2</v>
      </c>
      <c r="BS120" s="1">
        <f t="shared" si="113"/>
        <v>3</v>
      </c>
      <c r="BT120" s="1" t="str" cm="1">
        <f t="array" ref="BT120">IF($I120="","",IF($B120=1,_xlfn.XLOOKUP(1,($B$2:$B$313=$B120)*($BO$2:$BO$313=BR120),Data!$I$2:$I$313,,0),_xlfn.XLOOKUP(1,($B$2:$B$313=$B120)*($BQ$2:$BQ$313=$BR120),$I$2:$I$313,,0)))</f>
        <v>Juho Korpi</v>
      </c>
      <c r="BU120" s="1" t="str" cm="1">
        <f t="array" ref="BU120">IF(I120="","",IF($B120=1,_xlfn.XLOOKUP(1,($B$2:$B$313=$B120)*($BO$2:$BO$313=$BS120),$I$2:$I$313,,0),_xlfn.XLOOKUP(1,($B$2:$B$313=$B120)*($BQ$2:$BQ$313=$BS120),$I$2:$I$313,,0)))</f>
        <v>Olli Kajava</v>
      </c>
      <c r="BV120" s="1" t="str" cm="1">
        <f t="array" ref="BV120">IF($I120="","",IF($B120=1,"",IF($B120=2,_xlfn.XLOOKUP(1,($B$2:$B$313=1)*($BO$2:$BO$313=1),$I$2:$I$313,,0),_xlfn.XLOOKUP($B120-1,$B$2:$B$313,$CH$2:$CH$313,,0))))</f>
        <v>Jami Kallio</v>
      </c>
      <c r="BW120" s="1" t="str" cm="1">
        <f t="array" ref="BW120">IF($I120="","",IF($B120=1,"",IF(_xlfn.XLOOKUP(1,($B$2:$B$313=$B120)*($I$2:$I$313=$BV120),$BQ$2:$BQ$313,,0)="","NOK","OK")))</f>
        <v>OK</v>
      </c>
      <c r="BX120" s="1" t="str">
        <f t="shared" si="114"/>
        <v>Jami Kallio</v>
      </c>
      <c r="BY120" s="1" t="str">
        <f t="shared" si="115"/>
        <v>Juho Korpi</v>
      </c>
      <c r="BZ120" s="1">
        <f t="shared" si="116"/>
        <v>157</v>
      </c>
      <c r="CA120" s="1">
        <f t="shared" si="117"/>
        <v>155</v>
      </c>
      <c r="CB120" s="1">
        <f t="shared" si="118"/>
        <v>9.8999999999999994E-5</v>
      </c>
      <c r="CC120" s="1">
        <f t="shared" si="119"/>
        <v>142</v>
      </c>
      <c r="CD120" s="1">
        <f t="shared" si="120"/>
        <v>128</v>
      </c>
      <c r="CE120" s="1">
        <f t="shared" si="121"/>
        <v>9.8999999999999994E-5</v>
      </c>
      <c r="CF120" s="1" t="str">
        <f t="shared" si="122"/>
        <v>Jami Kallio (P)</v>
      </c>
      <c r="CG120" s="1" t="str">
        <f t="shared" si="123"/>
        <v>Juho Korpi (2)</v>
      </c>
      <c r="CH120" s="1" t="str">
        <f t="shared" si="124"/>
        <v>Jami Kallio</v>
      </c>
      <c r="CI120" s="1">
        <f t="shared" si="125"/>
        <v>0</v>
      </c>
      <c r="CJ120" s="1" t="str">
        <f ca="1">IF(B120="","",IF(SUM(AI120:AK120)&gt;0,"+SP","")&amp;IF(CI120&gt;0,"+KK","")&amp;IF(AB120&gt;0,"+KGP1","")&amp;IF(AC120&gt;0,"+KGP2","")&amp;IF(AG120&lt;0,"-KGP1","")&amp;IF(AH120&lt;0,"-KGP2",""))</f>
        <v>+SP</v>
      </c>
    </row>
    <row r="121" spans="1:88" x14ac:dyDescent="0.25">
      <c r="A121" s="1">
        <f>IFERROR(IF(ROW(A120)=1,1,IF(1+A120&lt;=$CP$1*$CP$2,1+A120,"")),"")</f>
        <v>120</v>
      </c>
      <c r="B121" s="1">
        <f>IF($I121="","",IF(ROW(B120)=1,1,ROUNDUP(A121/$CP$2,0)))</f>
        <v>7</v>
      </c>
      <c r="C121" s="4">
        <f t="shared" si="71"/>
        <v>45669</v>
      </c>
      <c r="D121" s="4" t="str">
        <f t="shared" si="65"/>
        <v>Kupittaan keilahalli</v>
      </c>
      <c r="E121" s="1">
        <f>IF($B121="","",COUNTIF($B$2:B121,B121))</f>
        <v>12</v>
      </c>
      <c r="F121" s="1" t="str">
        <f t="shared" si="66"/>
        <v>K2024GP07</v>
      </c>
      <c r="G121" s="1" t="str">
        <f t="shared" si="72"/>
        <v>K2024GP07_12</v>
      </c>
      <c r="H121" s="1">
        <f t="shared" si="73"/>
        <v>1</v>
      </c>
      <c r="I121" s="3" t="s">
        <v>136</v>
      </c>
      <c r="J121" s="3"/>
      <c r="K121" s="3"/>
      <c r="L121" s="1">
        <f t="shared" si="74"/>
        <v>0</v>
      </c>
      <c r="M121" s="1">
        <f t="shared" si="75"/>
        <v>0</v>
      </c>
      <c r="N121" s="1" t="str">
        <f t="shared" si="76"/>
        <v/>
      </c>
      <c r="O121" s="1" t="str">
        <f t="shared" si="77"/>
        <v/>
      </c>
      <c r="P121" s="1" t="str">
        <f t="shared" si="78"/>
        <v/>
      </c>
      <c r="Q121" s="1">
        <f t="array" ref="Q121">IF($B121="","",IF(MAX(IF(B121=$B$2:$B$313,$L$2:$L$313))-L121=0,"",MAX(IF(B121=$B$2:$B$313,$L$2:$L$313))-L121))</f>
        <v>332</v>
      </c>
      <c r="R121" s="1">
        <f t="array" ref="R121">IF($B121="","",SUMPRODUCT(--($B$2:$B$313=B121),--(L121&lt;$L$2:$L$313))+1)</f>
        <v>12</v>
      </c>
      <c r="S121" s="1">
        <f t="shared" si="79"/>
        <v>0</v>
      </c>
      <c r="T121" s="1" t="str" cm="1">
        <f t="array" ref="T121">IF($B121="","",IF(M121=0,"",SUMPRODUCT(--($B$2:$B$313=B121),--(J121&lt;$J$2:$J$313))+1))</f>
        <v/>
      </c>
      <c r="U121" s="1" t="str">
        <f t="shared" si="80"/>
        <v/>
      </c>
      <c r="V121" s="1" t="str">
        <f t="shared" si="81"/>
        <v>0712</v>
      </c>
      <c r="W121" s="1">
        <f t="shared" si="82"/>
        <v>7</v>
      </c>
      <c r="X121" s="1">
        <f t="shared" si="67"/>
        <v>0</v>
      </c>
      <c r="Y121" s="1">
        <f>IF($B121="","",MAX(_xlfn.MAXIFS($J$2:J121,$I$2:I121,$I121),_xlfn.MAXIFS($K$2:K121,$I$2:I121,$I121)))</f>
        <v>165</v>
      </c>
      <c r="Z121" s="1">
        <f t="shared" si="83"/>
        <v>177</v>
      </c>
      <c r="AA121" s="1">
        <f t="shared" si="84"/>
        <v>0</v>
      </c>
      <c r="AB121" s="1">
        <f t="shared" si="85"/>
        <v>0</v>
      </c>
      <c r="AC121" s="1">
        <f t="shared" si="86"/>
        <v>0</v>
      </c>
      <c r="AD121" s="1">
        <f>IF($B121="","",MIN(_xlfn.MINIFS($J$2:J121,$I$2:I121,$I121),_xlfn.MINIFS($K$2:K121,$I$2:I121,$I121)))</f>
        <v>127</v>
      </c>
      <c r="AE121" s="1">
        <f t="shared" si="87"/>
        <v>87</v>
      </c>
      <c r="AF121" s="1">
        <f t="shared" si="88"/>
        <v>0</v>
      </c>
      <c r="AG121" s="1">
        <f t="shared" si="89"/>
        <v>0</v>
      </c>
      <c r="AH121" s="1">
        <f t="shared" si="90"/>
        <v>0</v>
      </c>
      <c r="AI121" s="1">
        <f ca="1">IF($B121="","",IF($K121="",0,OFFSET($CO$17,R121,W121)))</f>
        <v>0</v>
      </c>
      <c r="AJ121" s="1">
        <f t="shared" ca="1" si="91"/>
        <v>0</v>
      </c>
      <c r="AK121" s="1">
        <f ca="1">IF(AJ121="","",IF(AJ121=0,0,IF(W121=1,0,SUM(OFFSET($CO$17,N121,1):OFFSET($CO$17,N121+W121-2,1))/W121)))</f>
        <v>0</v>
      </c>
      <c r="AL121" s="1">
        <f t="shared" si="92"/>
        <v>0</v>
      </c>
      <c r="AM121" s="1">
        <f ca="1">IF($B121="","",SUMIFS($AL$2:AL121,$I$2:I121,$I121))</f>
        <v>14</v>
      </c>
      <c r="AN121" s="1">
        <f t="shared" si="93"/>
        <v>12.000120000000001</v>
      </c>
      <c r="AO121" s="1">
        <f>IFERROR(IF($B121="","",AVERAGEIFS($L$2:L121,$I$2:I121,I121,$L$2:L121,"&lt;&gt;0")),0)</f>
        <v>292</v>
      </c>
      <c r="AP121" s="1">
        <f t="shared" si="94"/>
        <v>146</v>
      </c>
      <c r="AQ121" s="1">
        <f>IF($B121="","",COUNTIFS($R$2:R121,1,$I$2:I121,$I121))</f>
        <v>0</v>
      </c>
      <c r="AR121" s="1">
        <f t="array" aca="1" ref="AR121" ca="1">IF($B121="","",SUMPRODUCT(--($B$2:$B$313=B121),--(AM121&lt;$AM$2:$AM$313))+1)</f>
        <v>14</v>
      </c>
      <c r="AS121" s="1">
        <f t="array" ref="AS121">IF($B121="","",SUMPRODUCT(--($B$2:$B$313=B121),--(AP121&lt;$AP$2:$AP$313))+1)</f>
        <v>5</v>
      </c>
      <c r="AT121" s="1">
        <f t="array" ref="AT121">IF($B121="","",SUMPRODUCT(--($B$2:$B$313=B121),--(AQ121&lt;$AQ$2:$AQ$313))+1)</f>
        <v>7</v>
      </c>
      <c r="AU121" s="1">
        <f t="shared" si="95"/>
        <v>1.1999999999999999E-7</v>
      </c>
      <c r="AV121" s="1">
        <f t="shared" ca="1" si="96"/>
        <v>0.14050712000000001</v>
      </c>
      <c r="AW121" s="1" t="str">
        <f t="shared" si="68"/>
        <v/>
      </c>
      <c r="AX121" s="1" t="str">
        <f t="shared" si="97"/>
        <v/>
      </c>
      <c r="AY121" s="8">
        <f t="shared" ca="1" si="98"/>
        <v>0.14050712000000001</v>
      </c>
      <c r="AZ121" s="1" cm="1">
        <f t="array" aca="1" ref="AZ121" ca="1">IF($B121="","",SUMPRODUCT(--($B$2:$B$313=B121),--(AY121&gt;$AY$2:$AY$313))+1)</f>
        <v>14</v>
      </c>
      <c r="BA121" s="1" t="str">
        <f t="shared" si="99"/>
        <v>K2024GP07_12_1</v>
      </c>
      <c r="BB121" s="1" t="str">
        <f t="shared" si="100"/>
        <v>K2024GP07_12_2</v>
      </c>
      <c r="BC121" s="1">
        <f t="shared" si="101"/>
        <v>0</v>
      </c>
      <c r="BD121" s="1">
        <f t="shared" si="102"/>
        <v>0</v>
      </c>
      <c r="BE121" s="1">
        <f t="shared" si="103"/>
        <v>1</v>
      </c>
      <c r="BF121" s="1">
        <f t="shared" si="104"/>
        <v>0</v>
      </c>
      <c r="BG121" s="1">
        <f t="shared" si="105"/>
        <v>0</v>
      </c>
      <c r="BH121" s="1">
        <f t="shared" si="106"/>
        <v>12</v>
      </c>
      <c r="BI121" s="1">
        <f t="shared" si="107"/>
        <v>12</v>
      </c>
      <c r="BJ121" s="1">
        <f t="shared" si="108"/>
        <v>0.1212</v>
      </c>
      <c r="BK121" s="1" t="str">
        <f t="shared" si="109"/>
        <v/>
      </c>
      <c r="BL121" s="1">
        <f t="shared" si="110"/>
        <v>9.8999999999999994E-5</v>
      </c>
      <c r="BM121" s="1">
        <f t="shared" si="111"/>
        <v>0.12131110000000001</v>
      </c>
      <c r="BN121" s="1" t="str">
        <f t="shared" si="112"/>
        <v/>
      </c>
      <c r="BO121" s="1">
        <f t="shared" si="69"/>
        <v>12</v>
      </c>
      <c r="BP121" s="1">
        <f t="shared" si="70"/>
        <v>0</v>
      </c>
      <c r="BQ121" s="1" t="str" cm="1">
        <f t="array" ref="BQ121">IF(I121="","",IF(BP121=1,"",IF(L121=0,"",IF(B121=1,"",_xlfn.XLOOKUP(1,($I$2:$I$313=$I121)*($B$2:$B$313=($B121-1)),$BO$2:$BO$313)))))</f>
        <v/>
      </c>
      <c r="BR121" s="1">
        <f>IF(I121="","",IF($B121=1,_xlfn.MINIFS($BO$2:$BO$313,$B$2:$B$313,$B121),_xlfn.MINIFS(BQ$2:$BQ$313,$B$2:$B$313,$B121)))</f>
        <v>2</v>
      </c>
      <c r="BS121" s="1">
        <f t="shared" si="113"/>
        <v>3</v>
      </c>
      <c r="BT121" s="1" t="str" cm="1">
        <f t="array" ref="BT121">IF($I121="","",IF($B121=1,_xlfn.XLOOKUP(1,($B$2:$B$313=$B121)*($BO$2:$BO$313=BR121),Data!$I$2:$I$313,,0),_xlfn.XLOOKUP(1,($B$2:$B$313=$B121)*($BQ$2:$BQ$313=$BR121),$I$2:$I$313,,0)))</f>
        <v>Juho Korpi</v>
      </c>
      <c r="BU121" s="1" t="str" cm="1">
        <f t="array" ref="BU121">IF(I121="","",IF($B121=1,_xlfn.XLOOKUP(1,($B$2:$B$313=$B121)*($BO$2:$BO$313=$BS121),$I$2:$I$313,,0),_xlfn.XLOOKUP(1,($B$2:$B$313=$B121)*($BQ$2:$BQ$313=$BS121),$I$2:$I$313,,0)))</f>
        <v>Olli Kajava</v>
      </c>
      <c r="BV121" s="1" t="str" cm="1">
        <f t="array" ref="BV121">IF($I121="","",IF($B121=1,"",IF($B121=2,_xlfn.XLOOKUP(1,($B$2:$B$313=1)*($BO$2:$BO$313=1),$I$2:$I$313,,0),_xlfn.XLOOKUP($B121-1,$B$2:$B$313,$CH$2:$CH$313,,0))))</f>
        <v>Jami Kallio</v>
      </c>
      <c r="BW121" s="1" t="str" cm="1">
        <f t="array" ref="BW121">IF($I121="","",IF($B121=1,"",IF(_xlfn.XLOOKUP(1,($B$2:$B$313=$B121)*($I$2:$I$313=$BV121),$BQ$2:$BQ$313,,0)="","NOK","OK")))</f>
        <v>OK</v>
      </c>
      <c r="BX121" s="1" t="str">
        <f t="shared" si="114"/>
        <v>Jami Kallio</v>
      </c>
      <c r="BY121" s="1" t="str">
        <f t="shared" si="115"/>
        <v>Juho Korpi</v>
      </c>
      <c r="BZ121" s="1">
        <f t="shared" si="116"/>
        <v>157</v>
      </c>
      <c r="CA121" s="1">
        <f t="shared" si="117"/>
        <v>155</v>
      </c>
      <c r="CB121" s="1">
        <f t="shared" si="118"/>
        <v>9.8999999999999994E-5</v>
      </c>
      <c r="CC121" s="1">
        <f t="shared" si="119"/>
        <v>142</v>
      </c>
      <c r="CD121" s="1">
        <f t="shared" si="120"/>
        <v>128</v>
      </c>
      <c r="CE121" s="1">
        <f t="shared" si="121"/>
        <v>9.8999999999999994E-5</v>
      </c>
      <c r="CF121" s="1" t="str">
        <f t="shared" si="122"/>
        <v>Jami Kallio (P)</v>
      </c>
      <c r="CG121" s="1" t="str">
        <f t="shared" si="123"/>
        <v>Juho Korpi (2)</v>
      </c>
      <c r="CH121" s="1" t="str">
        <f t="shared" si="124"/>
        <v>Jami Kallio</v>
      </c>
      <c r="CI121" s="1">
        <f t="shared" si="125"/>
        <v>0</v>
      </c>
      <c r="CJ121" s="1" t="str">
        <f ca="1">IF(B121="","",IF(SUM(AI121:AK121)&gt;0,"+SP","")&amp;IF(CI121&gt;0,"+KK","")&amp;IF(AB121&gt;0,"+KGP1","")&amp;IF(AC121&gt;0,"+KGP2","")&amp;IF(AG121&lt;0,"-KGP1","")&amp;IF(AH121&lt;0,"-KGP2",""))</f>
        <v/>
      </c>
    </row>
    <row r="122" spans="1:88" x14ac:dyDescent="0.25">
      <c r="A122" s="1">
        <f>IFERROR(IF(ROW(A121)=1,1,IF(1+A121&lt;=$CP$1*$CP$2,1+A121,"")),"")</f>
        <v>121</v>
      </c>
      <c r="B122" s="1">
        <f>IF($I122="","",IF(ROW(B121)=1,1,ROUNDUP(A122/$CP$2,0)))</f>
        <v>7</v>
      </c>
      <c r="C122" s="4">
        <f t="shared" si="71"/>
        <v>45669</v>
      </c>
      <c r="D122" s="4" t="str">
        <f t="shared" si="65"/>
        <v>Kupittaan keilahalli</v>
      </c>
      <c r="E122" s="1">
        <f>IF($B122="","",COUNTIF($B$2:B122,B122))</f>
        <v>13</v>
      </c>
      <c r="F122" s="1" t="str">
        <f t="shared" si="66"/>
        <v>K2024GP07</v>
      </c>
      <c r="G122" s="1" t="str">
        <f t="shared" si="72"/>
        <v>K2024GP07_13</v>
      </c>
      <c r="H122" s="1">
        <f t="shared" si="73"/>
        <v>1</v>
      </c>
      <c r="I122" s="3" t="s">
        <v>130</v>
      </c>
      <c r="J122" s="3"/>
      <c r="K122" s="3"/>
      <c r="L122" s="1">
        <f t="shared" si="74"/>
        <v>0</v>
      </c>
      <c r="M122" s="1">
        <f t="shared" si="75"/>
        <v>0</v>
      </c>
      <c r="N122" s="1" t="str">
        <f t="shared" si="76"/>
        <v/>
      </c>
      <c r="O122" s="1" t="str">
        <f t="shared" si="77"/>
        <v/>
      </c>
      <c r="P122" s="1" t="str">
        <f t="shared" si="78"/>
        <v/>
      </c>
      <c r="Q122" s="1">
        <f t="array" ref="Q122">IF($B122="","",IF(MAX(IF(B122=$B$2:$B$313,$L$2:$L$313))-L122=0,"",MAX(IF(B122=$B$2:$B$313,$L$2:$L$313))-L122))</f>
        <v>332</v>
      </c>
      <c r="R122" s="1">
        <f t="array" ref="R122">IF($B122="","",SUMPRODUCT(--($B$2:$B$313=B122),--(L122&lt;$L$2:$L$313))+1)</f>
        <v>12</v>
      </c>
      <c r="S122" s="1">
        <f t="shared" si="79"/>
        <v>0</v>
      </c>
      <c r="T122" s="1" t="str" cm="1">
        <f t="array" ref="T122">IF($B122="","",IF(M122=0,"",SUMPRODUCT(--($B$2:$B$313=B122),--(J122&lt;$J$2:$J$313))+1))</f>
        <v/>
      </c>
      <c r="U122" s="1" t="str">
        <f t="shared" si="80"/>
        <v/>
      </c>
      <c r="V122" s="1" t="str">
        <f t="shared" si="81"/>
        <v>0712</v>
      </c>
      <c r="W122" s="1">
        <f t="shared" si="82"/>
        <v>7</v>
      </c>
      <c r="X122" s="1">
        <f t="shared" si="67"/>
        <v>0</v>
      </c>
      <c r="Y122" s="1">
        <f>IF($B122="","",MAX(_xlfn.MAXIFS($J$2:J122,$I$2:I122,$I122),_xlfn.MAXIFS($K$2:K122,$I$2:I122,$I122)))</f>
        <v>204</v>
      </c>
      <c r="Z122" s="1">
        <f t="shared" si="83"/>
        <v>177</v>
      </c>
      <c r="AA122" s="1">
        <f t="shared" si="84"/>
        <v>0</v>
      </c>
      <c r="AB122" s="1">
        <f t="shared" si="85"/>
        <v>0</v>
      </c>
      <c r="AC122" s="1">
        <f t="shared" si="86"/>
        <v>0</v>
      </c>
      <c r="AD122" s="1">
        <f>IF($B122="","",MIN(_xlfn.MINIFS($J$2:J122,$I$2:I122,$I122),_xlfn.MINIFS($K$2:K122,$I$2:I122,$I122)))</f>
        <v>111</v>
      </c>
      <c r="AE122" s="1">
        <f t="shared" si="87"/>
        <v>87</v>
      </c>
      <c r="AF122" s="1">
        <f t="shared" si="88"/>
        <v>0</v>
      </c>
      <c r="AG122" s="1">
        <f t="shared" si="89"/>
        <v>0</v>
      </c>
      <c r="AH122" s="1">
        <f t="shared" si="90"/>
        <v>0</v>
      </c>
      <c r="AI122" s="1">
        <f ca="1">IF($B122="","",IF($K122="",0,OFFSET($CO$17,R122,W122)))</f>
        <v>0</v>
      </c>
      <c r="AJ122" s="1">
        <f t="shared" ca="1" si="91"/>
        <v>0</v>
      </c>
      <c r="AK122" s="1">
        <f ca="1">IF(AJ122="","",IF(AJ122=0,0,IF(W122=1,0,SUM(OFFSET($CO$17,N122,1):OFFSET($CO$17,N122+W122-2,1))/W122)))</f>
        <v>0</v>
      </c>
      <c r="AL122" s="1">
        <f t="shared" si="92"/>
        <v>0</v>
      </c>
      <c r="AM122" s="1">
        <f ca="1">IF($B122="","",SUMIFS($AL$2:AL122,$I$2:I122,$I122))</f>
        <v>32.5</v>
      </c>
      <c r="AN122" s="1">
        <f t="shared" si="93"/>
        <v>12.000121</v>
      </c>
      <c r="AO122" s="1">
        <f>IFERROR(IF($B122="","",AVERAGEIFS($L$2:L122,$I$2:I122,I122,$L$2:L122,"&lt;&gt;0")),0)</f>
        <v>308</v>
      </c>
      <c r="AP122" s="1">
        <f t="shared" si="94"/>
        <v>154</v>
      </c>
      <c r="AQ122" s="1">
        <f>IF($B122="","",COUNTIFS($R$2:R122,1,$I$2:I122,$I122))</f>
        <v>2</v>
      </c>
      <c r="AR122" s="1">
        <f t="array" aca="1" ref="AR122" ca="1">IF($B122="","",SUMPRODUCT(--($B$2:$B$313=B122),--(AM122&lt;$AM$2:$AM$313))+1)</f>
        <v>5</v>
      </c>
      <c r="AS122" s="1">
        <f t="array" ref="AS122">IF($B122="","",SUMPRODUCT(--($B$2:$B$313=B122),--(AP122&lt;$AP$2:$AP$313))+1)</f>
        <v>1</v>
      </c>
      <c r="AT122" s="1">
        <f t="array" ref="AT122">IF($B122="","",SUMPRODUCT(--($B$2:$B$313=B122),--(AQ122&lt;$AQ$2:$AQ$313))+1)</f>
        <v>1</v>
      </c>
      <c r="AU122" s="1">
        <f t="shared" si="95"/>
        <v>1.2100000000000001E-7</v>
      </c>
      <c r="AV122" s="1">
        <f t="shared" ca="1" si="96"/>
        <v>5.0101121000000005E-2</v>
      </c>
      <c r="AW122" s="1" t="str">
        <f t="shared" si="68"/>
        <v/>
      </c>
      <c r="AX122" s="1" t="str">
        <f t="shared" si="97"/>
        <v/>
      </c>
      <c r="AY122" s="8">
        <f t="shared" ca="1" si="98"/>
        <v>5.0101121000000005E-2</v>
      </c>
      <c r="AZ122" s="1" cm="1">
        <f t="array" aca="1" ref="AZ122" ca="1">IF($B122="","",SUMPRODUCT(--($B$2:$B$313=B122),--(AY122&gt;$AY$2:$AY$313))+1)</f>
        <v>5</v>
      </c>
      <c r="BA122" s="1" t="str">
        <f t="shared" si="99"/>
        <v>K2024GP07_13_1</v>
      </c>
      <c r="BB122" s="1" t="str">
        <f t="shared" si="100"/>
        <v>K2024GP07_13_2</v>
      </c>
      <c r="BC122" s="1">
        <f t="shared" si="101"/>
        <v>0</v>
      </c>
      <c r="BD122" s="1">
        <f t="shared" si="102"/>
        <v>0</v>
      </c>
      <c r="BE122" s="1">
        <f t="shared" si="103"/>
        <v>1</v>
      </c>
      <c r="BF122" s="1">
        <f t="shared" si="104"/>
        <v>0</v>
      </c>
      <c r="BG122" s="1">
        <f t="shared" si="105"/>
        <v>0</v>
      </c>
      <c r="BH122" s="1">
        <f t="shared" si="106"/>
        <v>12</v>
      </c>
      <c r="BI122" s="1">
        <f t="shared" si="107"/>
        <v>12</v>
      </c>
      <c r="BJ122" s="1">
        <f t="shared" si="108"/>
        <v>0.1212</v>
      </c>
      <c r="BK122" s="1" t="str">
        <f t="shared" si="109"/>
        <v/>
      </c>
      <c r="BL122" s="1">
        <f t="shared" si="110"/>
        <v>9.8999999999999994E-5</v>
      </c>
      <c r="BM122" s="1">
        <f t="shared" si="111"/>
        <v>0.12131120000000001</v>
      </c>
      <c r="BN122" s="1" t="str">
        <f t="shared" si="112"/>
        <v/>
      </c>
      <c r="BO122" s="1">
        <f t="shared" si="69"/>
        <v>13</v>
      </c>
      <c r="BP122" s="1">
        <f t="shared" si="70"/>
        <v>0</v>
      </c>
      <c r="BQ122" s="1" t="str" cm="1">
        <f t="array" ref="BQ122">IF(I122="","",IF(BP122=1,"",IF(L122=0,"",IF(B122=1,"",_xlfn.XLOOKUP(1,($I$2:$I$313=$I122)*($B$2:$B$313=($B122-1)),$BO$2:$BO$313)))))</f>
        <v/>
      </c>
      <c r="BR122" s="1">
        <f>IF(I122="","",IF($B122=1,_xlfn.MINIFS($BO$2:$BO$313,$B$2:$B$313,$B122),_xlfn.MINIFS(BQ$2:$BQ$313,$B$2:$B$313,$B122)))</f>
        <v>2</v>
      </c>
      <c r="BS122" s="1">
        <f t="shared" si="113"/>
        <v>3</v>
      </c>
      <c r="BT122" s="1" t="str" cm="1">
        <f t="array" ref="BT122">IF($I122="","",IF($B122=1,_xlfn.XLOOKUP(1,($B$2:$B$313=$B122)*($BO$2:$BO$313=BR122),Data!$I$2:$I$313,,0),_xlfn.XLOOKUP(1,($B$2:$B$313=$B122)*($BQ$2:$BQ$313=$BR122),$I$2:$I$313,,0)))</f>
        <v>Juho Korpi</v>
      </c>
      <c r="BU122" s="1" t="str" cm="1">
        <f t="array" ref="BU122">IF(I122="","",IF($B122=1,_xlfn.XLOOKUP(1,($B$2:$B$313=$B122)*($BO$2:$BO$313=$BS122),$I$2:$I$313,,0),_xlfn.XLOOKUP(1,($B$2:$B$313=$B122)*($BQ$2:$BQ$313=$BS122),$I$2:$I$313,,0)))</f>
        <v>Olli Kajava</v>
      </c>
      <c r="BV122" s="1" t="str" cm="1">
        <f t="array" ref="BV122">IF($I122="","",IF($B122=1,"",IF($B122=2,_xlfn.XLOOKUP(1,($B$2:$B$313=1)*($BO$2:$BO$313=1),$I$2:$I$313,,0),_xlfn.XLOOKUP($B122-1,$B$2:$B$313,$CH$2:$CH$313,,0))))</f>
        <v>Jami Kallio</v>
      </c>
      <c r="BW122" s="1" t="str" cm="1">
        <f t="array" ref="BW122">IF($I122="","",IF($B122=1,"",IF(_xlfn.XLOOKUP(1,($B$2:$B$313=$B122)*($I$2:$I$313=$BV122),$BQ$2:$BQ$313,,0)="","NOK","OK")))</f>
        <v>OK</v>
      </c>
      <c r="BX122" s="1" t="str">
        <f t="shared" si="114"/>
        <v>Jami Kallio</v>
      </c>
      <c r="BY122" s="1" t="str">
        <f t="shared" si="115"/>
        <v>Juho Korpi</v>
      </c>
      <c r="BZ122" s="1">
        <f t="shared" si="116"/>
        <v>157</v>
      </c>
      <c r="CA122" s="1">
        <f t="shared" si="117"/>
        <v>155</v>
      </c>
      <c r="CB122" s="1">
        <f t="shared" si="118"/>
        <v>9.8999999999999994E-5</v>
      </c>
      <c r="CC122" s="1">
        <f t="shared" si="119"/>
        <v>142</v>
      </c>
      <c r="CD122" s="1">
        <f t="shared" si="120"/>
        <v>128</v>
      </c>
      <c r="CE122" s="1">
        <f t="shared" si="121"/>
        <v>9.8999999999999994E-5</v>
      </c>
      <c r="CF122" s="1" t="str">
        <f t="shared" si="122"/>
        <v>Jami Kallio (P)</v>
      </c>
      <c r="CG122" s="1" t="str">
        <f t="shared" si="123"/>
        <v>Juho Korpi (2)</v>
      </c>
      <c r="CH122" s="1" t="str">
        <f t="shared" si="124"/>
        <v>Jami Kallio</v>
      </c>
      <c r="CI122" s="1">
        <f t="shared" si="125"/>
        <v>0</v>
      </c>
      <c r="CJ122" s="1" t="str">
        <f ca="1">IF(B122="","",IF(SUM(AI122:AK122)&gt;0,"+SP","")&amp;IF(CI122&gt;0,"+KK","")&amp;IF(AB122&gt;0,"+KGP1","")&amp;IF(AC122&gt;0,"+KGP2","")&amp;IF(AG122&lt;0,"-KGP1","")&amp;IF(AH122&lt;0,"-KGP2",""))</f>
        <v/>
      </c>
    </row>
    <row r="123" spans="1:88" x14ac:dyDescent="0.25">
      <c r="A123" s="1">
        <f>IFERROR(IF(ROW(A122)=1,1,IF(1+A122&lt;=$CP$1*$CP$2,1+A122,"")),"")</f>
        <v>122</v>
      </c>
      <c r="B123" s="1">
        <f>IF($I123="","",IF(ROW(B122)=1,1,ROUNDUP(A123/$CP$2,0)))</f>
        <v>7</v>
      </c>
      <c r="C123" s="4">
        <f t="shared" si="71"/>
        <v>45669</v>
      </c>
      <c r="D123" s="4" t="str">
        <f t="shared" si="65"/>
        <v>Kupittaan keilahalli</v>
      </c>
      <c r="E123" s="1">
        <f>IF($B123="","",COUNTIF($B$2:B123,B123))</f>
        <v>14</v>
      </c>
      <c r="F123" s="1" t="str">
        <f t="shared" si="66"/>
        <v>K2024GP07</v>
      </c>
      <c r="G123" s="1" t="str">
        <f t="shared" si="72"/>
        <v>K2024GP07_14</v>
      </c>
      <c r="H123" s="1">
        <f t="shared" si="73"/>
        <v>1</v>
      </c>
      <c r="I123" s="3" t="s">
        <v>128</v>
      </c>
      <c r="J123" s="3"/>
      <c r="K123" s="3"/>
      <c r="L123" s="1">
        <f t="shared" si="74"/>
        <v>0</v>
      </c>
      <c r="M123" s="1">
        <f t="shared" si="75"/>
        <v>0</v>
      </c>
      <c r="N123" s="1" t="str">
        <f t="shared" si="76"/>
        <v/>
      </c>
      <c r="O123" s="1" t="str">
        <f t="shared" si="77"/>
        <v/>
      </c>
      <c r="P123" s="1" t="str">
        <f t="shared" si="78"/>
        <v/>
      </c>
      <c r="Q123" s="1">
        <f t="array" ref="Q123">IF($B123="","",IF(MAX(IF(B123=$B$2:$B$313,$L$2:$L$313))-L123=0,"",MAX(IF(B123=$B$2:$B$313,$L$2:$L$313))-L123))</f>
        <v>332</v>
      </c>
      <c r="R123" s="1">
        <f t="array" ref="R123">IF($B123="","",SUMPRODUCT(--($B$2:$B$313=B123),--(L123&lt;$L$2:$L$313))+1)</f>
        <v>12</v>
      </c>
      <c r="S123" s="1">
        <f t="shared" si="79"/>
        <v>0</v>
      </c>
      <c r="T123" s="1" t="str" cm="1">
        <f t="array" ref="T123">IF($B123="","",IF(M123=0,"",SUMPRODUCT(--($B$2:$B$313=B123),--(J123&lt;$J$2:$J$313))+1))</f>
        <v/>
      </c>
      <c r="U123" s="1" t="str">
        <f t="shared" si="80"/>
        <v/>
      </c>
      <c r="V123" s="1" t="str">
        <f t="shared" si="81"/>
        <v>0712</v>
      </c>
      <c r="W123" s="1">
        <f t="shared" si="82"/>
        <v>7</v>
      </c>
      <c r="X123" s="1">
        <f t="shared" si="67"/>
        <v>0</v>
      </c>
      <c r="Y123" s="1">
        <f>IF($B123="","",MAX(_xlfn.MAXIFS($J$2:J123,$I$2:I123,$I123),_xlfn.MAXIFS($K$2:K123,$I$2:I123,$I123)))</f>
        <v>164</v>
      </c>
      <c r="Z123" s="1">
        <f t="shared" si="83"/>
        <v>177</v>
      </c>
      <c r="AA123" s="1">
        <f t="shared" si="84"/>
        <v>0</v>
      </c>
      <c r="AB123" s="1">
        <f t="shared" si="85"/>
        <v>0</v>
      </c>
      <c r="AC123" s="1">
        <f t="shared" si="86"/>
        <v>0</v>
      </c>
      <c r="AD123" s="1">
        <f>IF($B123="","",MIN(_xlfn.MINIFS($J$2:J123,$I$2:I123,$I123),_xlfn.MINIFS($K$2:K123,$I$2:I123,$I123)))</f>
        <v>92</v>
      </c>
      <c r="AE123" s="1">
        <f t="shared" si="87"/>
        <v>87</v>
      </c>
      <c r="AF123" s="1">
        <f t="shared" si="88"/>
        <v>0</v>
      </c>
      <c r="AG123" s="1">
        <f t="shared" si="89"/>
        <v>0</v>
      </c>
      <c r="AH123" s="1">
        <f t="shared" si="90"/>
        <v>0</v>
      </c>
      <c r="AI123" s="1">
        <f ca="1">IF($B123="","",IF($K123="",0,OFFSET($CO$17,R123,W123)))</f>
        <v>0</v>
      </c>
      <c r="AJ123" s="1">
        <f t="shared" ca="1" si="91"/>
        <v>0</v>
      </c>
      <c r="AK123" s="1">
        <f ca="1">IF(AJ123="","",IF(AJ123=0,0,IF(W123=1,0,SUM(OFFSET($CO$17,N123,1):OFFSET($CO$17,N123+W123-2,1))/W123)))</f>
        <v>0</v>
      </c>
      <c r="AL123" s="1">
        <f t="shared" si="92"/>
        <v>0</v>
      </c>
      <c r="AM123" s="1">
        <f ca="1">IF($B123="","",SUMIFS($AL$2:AL123,$I$2:I123,$I123))</f>
        <v>20</v>
      </c>
      <c r="AN123" s="1">
        <f t="shared" si="93"/>
        <v>12.000121999999999</v>
      </c>
      <c r="AO123" s="1">
        <f>IFERROR(IF($B123="","",AVERAGEIFS($L$2:L123,$I$2:I123,I123,$L$2:L123,"&lt;&gt;0")),0)</f>
        <v>249.8</v>
      </c>
      <c r="AP123" s="1">
        <f t="shared" si="94"/>
        <v>124.9</v>
      </c>
      <c r="AQ123" s="1">
        <f>IF($B123="","",COUNTIFS($R$2:R123,1,$I$2:I123,$I123))</f>
        <v>1</v>
      </c>
      <c r="AR123" s="1">
        <f t="array" aca="1" ref="AR123" ca="1">IF($B123="","",SUMPRODUCT(--($B$2:$B$313=B123),--(AM123&lt;$AM$2:$AM$313))+1)</f>
        <v>9</v>
      </c>
      <c r="AS123" s="1">
        <f t="array" ref="AS123">IF($B123="","",SUMPRODUCT(--($B$2:$B$313=B123),--(AP123&lt;$AP$2:$AP$313))+1)</f>
        <v>14</v>
      </c>
      <c r="AT123" s="1">
        <f t="array" ref="AT123">IF($B123="","",SUMPRODUCT(--($B$2:$B$313=B123),--(AQ123&lt;$AQ$2:$AQ$313))+1)</f>
        <v>3</v>
      </c>
      <c r="AU123" s="1">
        <f t="shared" si="95"/>
        <v>1.2200000000000001E-7</v>
      </c>
      <c r="AV123" s="1">
        <f t="shared" ca="1" si="96"/>
        <v>9.1403122000000003E-2</v>
      </c>
      <c r="AW123" s="1" t="str">
        <f t="shared" si="68"/>
        <v/>
      </c>
      <c r="AX123" s="1" t="str">
        <f t="shared" si="97"/>
        <v/>
      </c>
      <c r="AY123" s="8">
        <f t="shared" ca="1" si="98"/>
        <v>9.1403122000000003E-2</v>
      </c>
      <c r="AZ123" s="1" cm="1">
        <f t="array" aca="1" ref="AZ123" ca="1">IF($B123="","",SUMPRODUCT(--($B$2:$B$313=B123),--(AY123&gt;$AY$2:$AY$313))+1)</f>
        <v>10</v>
      </c>
      <c r="BA123" s="1" t="str">
        <f t="shared" si="99"/>
        <v>K2024GP07_14_1</v>
      </c>
      <c r="BB123" s="1" t="str">
        <f t="shared" si="100"/>
        <v>K2024GP07_14_2</v>
      </c>
      <c r="BC123" s="1">
        <f t="shared" si="101"/>
        <v>0</v>
      </c>
      <c r="BD123" s="1">
        <f t="shared" si="102"/>
        <v>0</v>
      </c>
      <c r="BE123" s="1">
        <f t="shared" si="103"/>
        <v>1</v>
      </c>
      <c r="BF123" s="1">
        <f t="shared" si="104"/>
        <v>0</v>
      </c>
      <c r="BG123" s="1">
        <f t="shared" si="105"/>
        <v>0</v>
      </c>
      <c r="BH123" s="1">
        <f t="shared" si="106"/>
        <v>12</v>
      </c>
      <c r="BI123" s="1">
        <f t="shared" si="107"/>
        <v>12</v>
      </c>
      <c r="BJ123" s="1">
        <f t="shared" si="108"/>
        <v>0.1212</v>
      </c>
      <c r="BK123" s="1" t="str">
        <f t="shared" si="109"/>
        <v/>
      </c>
      <c r="BL123" s="1">
        <f t="shared" si="110"/>
        <v>9.8999999999999994E-5</v>
      </c>
      <c r="BM123" s="1">
        <f t="shared" si="111"/>
        <v>0.12131130000000001</v>
      </c>
      <c r="BN123" s="1" t="str">
        <f t="shared" si="112"/>
        <v/>
      </c>
      <c r="BO123" s="1">
        <f t="shared" si="69"/>
        <v>14</v>
      </c>
      <c r="BP123" s="1">
        <f t="shared" si="70"/>
        <v>0</v>
      </c>
      <c r="BQ123" s="1" t="str" cm="1">
        <f t="array" ref="BQ123">IF(I123="","",IF(BP123=1,"",IF(L123=0,"",IF(B123=1,"",_xlfn.XLOOKUP(1,($I$2:$I$313=$I123)*($B$2:$B$313=($B123-1)),$BO$2:$BO$313)))))</f>
        <v/>
      </c>
      <c r="BR123" s="1">
        <f>IF(I123="","",IF($B123=1,_xlfn.MINIFS($BO$2:$BO$313,$B$2:$B$313,$B123),_xlfn.MINIFS(BQ$2:$BQ$313,$B$2:$B$313,$B123)))</f>
        <v>2</v>
      </c>
      <c r="BS123" s="1">
        <f t="shared" si="113"/>
        <v>3</v>
      </c>
      <c r="BT123" s="1" t="str" cm="1">
        <f t="array" ref="BT123">IF($I123="","",IF($B123=1,_xlfn.XLOOKUP(1,($B$2:$B$313=$B123)*($BO$2:$BO$313=BR123),Data!$I$2:$I$313,,0),_xlfn.XLOOKUP(1,($B$2:$B$313=$B123)*($BQ$2:$BQ$313=$BR123),$I$2:$I$313,,0)))</f>
        <v>Juho Korpi</v>
      </c>
      <c r="BU123" s="1" t="str" cm="1">
        <f t="array" ref="BU123">IF(I123="","",IF($B123=1,_xlfn.XLOOKUP(1,($B$2:$B$313=$B123)*($BO$2:$BO$313=$BS123),$I$2:$I$313,,0),_xlfn.XLOOKUP(1,($B$2:$B$313=$B123)*($BQ$2:$BQ$313=$BS123),$I$2:$I$313,,0)))</f>
        <v>Olli Kajava</v>
      </c>
      <c r="BV123" s="1" t="str" cm="1">
        <f t="array" ref="BV123">IF($I123="","",IF($B123=1,"",IF($B123=2,_xlfn.XLOOKUP(1,($B$2:$B$313=1)*($BO$2:$BO$313=1),$I$2:$I$313,,0),_xlfn.XLOOKUP($B123-1,$B$2:$B$313,$CH$2:$CH$313,,0))))</f>
        <v>Jami Kallio</v>
      </c>
      <c r="BW123" s="1" t="str" cm="1">
        <f t="array" ref="BW123">IF($I123="","",IF($B123=1,"",IF(_xlfn.XLOOKUP(1,($B$2:$B$313=$B123)*($I$2:$I$313=$BV123),$BQ$2:$BQ$313,,0)="","NOK","OK")))</f>
        <v>OK</v>
      </c>
      <c r="BX123" s="1" t="str">
        <f t="shared" si="114"/>
        <v>Jami Kallio</v>
      </c>
      <c r="BY123" s="1" t="str">
        <f t="shared" si="115"/>
        <v>Juho Korpi</v>
      </c>
      <c r="BZ123" s="1">
        <f t="shared" si="116"/>
        <v>157</v>
      </c>
      <c r="CA123" s="1">
        <f t="shared" si="117"/>
        <v>155</v>
      </c>
      <c r="CB123" s="1">
        <f t="shared" si="118"/>
        <v>9.8999999999999994E-5</v>
      </c>
      <c r="CC123" s="1">
        <f t="shared" si="119"/>
        <v>142</v>
      </c>
      <c r="CD123" s="1">
        <f t="shared" si="120"/>
        <v>128</v>
      </c>
      <c r="CE123" s="1">
        <f t="shared" si="121"/>
        <v>9.8999999999999994E-5</v>
      </c>
      <c r="CF123" s="1" t="str">
        <f t="shared" si="122"/>
        <v>Jami Kallio (P)</v>
      </c>
      <c r="CG123" s="1" t="str">
        <f t="shared" si="123"/>
        <v>Juho Korpi (2)</v>
      </c>
      <c r="CH123" s="1" t="str">
        <f t="shared" si="124"/>
        <v>Jami Kallio</v>
      </c>
      <c r="CI123" s="1">
        <f t="shared" si="125"/>
        <v>0</v>
      </c>
      <c r="CJ123" s="1" t="str">
        <f ca="1">IF(B123="","",IF(SUM(AI123:AK123)&gt;0,"+SP","")&amp;IF(CI123&gt;0,"+KK","")&amp;IF(AB123&gt;0,"+KGP1","")&amp;IF(AC123&gt;0,"+KGP2","")&amp;IF(AG123&lt;0,"-KGP1","")&amp;IF(AH123&lt;0,"-KGP2",""))</f>
        <v/>
      </c>
    </row>
    <row r="124" spans="1:88" x14ac:dyDescent="0.25">
      <c r="A124" s="1">
        <f>IFERROR(IF(ROW(A123)=1,1,IF(1+A123&lt;=$CP$1*$CP$2,1+A123,"")),"")</f>
        <v>123</v>
      </c>
      <c r="B124" s="1">
        <f>IF($I124="","",IF(ROW(B123)=1,1,ROUNDUP(A124/$CP$2,0)))</f>
        <v>7</v>
      </c>
      <c r="C124" s="4">
        <f t="shared" si="71"/>
        <v>45669</v>
      </c>
      <c r="D124" s="4" t="str">
        <f t="shared" si="65"/>
        <v>Kupittaan keilahalli</v>
      </c>
      <c r="E124" s="1">
        <f>IF($B124="","",COUNTIF($B$2:B124,B124))</f>
        <v>15</v>
      </c>
      <c r="F124" s="1" t="str">
        <f t="shared" si="66"/>
        <v>K2024GP07</v>
      </c>
      <c r="G124" s="1" t="str">
        <f t="shared" si="72"/>
        <v>K2024GP07_15</v>
      </c>
      <c r="H124" s="1">
        <f t="shared" si="73"/>
        <v>1</v>
      </c>
      <c r="I124" s="3" t="s">
        <v>127</v>
      </c>
      <c r="J124" s="3"/>
      <c r="K124" s="3"/>
      <c r="L124" s="1">
        <f t="shared" si="74"/>
        <v>0</v>
      </c>
      <c r="M124" s="1">
        <f t="shared" si="75"/>
        <v>0</v>
      </c>
      <c r="N124" s="1" t="str">
        <f t="shared" si="76"/>
        <v/>
      </c>
      <c r="O124" s="1" t="str">
        <f t="shared" si="77"/>
        <v/>
      </c>
      <c r="P124" s="1" t="str">
        <f t="shared" si="78"/>
        <v/>
      </c>
      <c r="Q124" s="1">
        <f t="array" ref="Q124">IF($B124="","",IF(MAX(IF(B124=$B$2:$B$313,$L$2:$L$313))-L124=0,"",MAX(IF(B124=$B$2:$B$313,$L$2:$L$313))-L124))</f>
        <v>332</v>
      </c>
      <c r="R124" s="1">
        <f t="array" ref="R124">IF($B124="","",SUMPRODUCT(--($B$2:$B$313=B124),--(L124&lt;$L$2:$L$313))+1)</f>
        <v>12</v>
      </c>
      <c r="S124" s="1">
        <f t="shared" si="79"/>
        <v>0</v>
      </c>
      <c r="T124" s="1" t="str" cm="1">
        <f t="array" ref="T124">IF($B124="","",IF(M124=0,"",SUMPRODUCT(--($B$2:$B$313=B124),--(J124&lt;$J$2:$J$313))+1))</f>
        <v/>
      </c>
      <c r="U124" s="1" t="str">
        <f t="shared" si="80"/>
        <v/>
      </c>
      <c r="V124" s="1" t="str">
        <f t="shared" si="81"/>
        <v>0712</v>
      </c>
      <c r="W124" s="1">
        <f t="shared" si="82"/>
        <v>7</v>
      </c>
      <c r="X124" s="1">
        <f t="shared" si="67"/>
        <v>0</v>
      </c>
      <c r="Y124" s="1">
        <f>IF($B124="","",MAX(_xlfn.MAXIFS($J$2:J124,$I$2:I124,$I124),_xlfn.MAXIFS($K$2:K124,$I$2:I124,$I124)))</f>
        <v>119</v>
      </c>
      <c r="Z124" s="1">
        <f t="shared" si="83"/>
        <v>177</v>
      </c>
      <c r="AA124" s="1">
        <f t="shared" si="84"/>
        <v>0</v>
      </c>
      <c r="AB124" s="1">
        <f t="shared" si="85"/>
        <v>0</v>
      </c>
      <c r="AC124" s="1">
        <f t="shared" si="86"/>
        <v>0</v>
      </c>
      <c r="AD124" s="1">
        <f>IF($B124="","",MIN(_xlfn.MINIFS($J$2:J124,$I$2:I124,$I124),_xlfn.MINIFS($K$2:K124,$I$2:I124,$I124)))</f>
        <v>59</v>
      </c>
      <c r="AE124" s="1">
        <f t="shared" si="87"/>
        <v>87</v>
      </c>
      <c r="AF124" s="1">
        <f t="shared" si="88"/>
        <v>0</v>
      </c>
      <c r="AG124" s="1">
        <f t="shared" si="89"/>
        <v>0</v>
      </c>
      <c r="AH124" s="1">
        <f t="shared" si="90"/>
        <v>0</v>
      </c>
      <c r="AI124" s="1">
        <f ca="1">IF($B124="","",IF($K124="",0,OFFSET($CO$17,R124,W124)))</f>
        <v>0</v>
      </c>
      <c r="AJ124" s="1">
        <f t="shared" ca="1" si="91"/>
        <v>0</v>
      </c>
      <c r="AK124" s="1">
        <f ca="1">IF(AJ124="","",IF(AJ124=0,0,IF(W124=1,0,SUM(OFFSET($CO$17,N124,1):OFFSET($CO$17,N124+W124-2,1))/W124)))</f>
        <v>0</v>
      </c>
      <c r="AL124" s="1">
        <f t="shared" si="92"/>
        <v>0</v>
      </c>
      <c r="AM124" s="1">
        <f ca="1">IF($B124="","",SUMIFS($AL$2:AL124,$I$2:I124,$I124))</f>
        <v>-1</v>
      </c>
      <c r="AN124" s="1">
        <f t="shared" si="93"/>
        <v>12.000123</v>
      </c>
      <c r="AO124" s="1">
        <f>IFERROR(IF($B124="","",AVERAGEIFS($L$2:L124,$I$2:I124,I124,$L$2:L124,"&lt;&gt;0")),0)</f>
        <v>178.33333333333334</v>
      </c>
      <c r="AP124" s="1">
        <f t="shared" si="94"/>
        <v>89.166666666666671</v>
      </c>
      <c r="AQ124" s="1">
        <f>IF($B124="","",COUNTIFS($R$2:R124,1,$I$2:I124,$I124))</f>
        <v>0</v>
      </c>
      <c r="AR124" s="1">
        <f t="array" aca="1" ref="AR124" ca="1">IF($B124="","",SUMPRODUCT(--($B$2:$B$313=B124),--(AM124&lt;$AM$2:$AM$313))+1)</f>
        <v>18</v>
      </c>
      <c r="AS124" s="1">
        <f t="array" ref="AS124">IF($B124="","",SUMPRODUCT(--($B$2:$B$313=B124),--(AP124&lt;$AP$2:$AP$313))+1)</f>
        <v>18</v>
      </c>
      <c r="AT124" s="1">
        <f t="array" ref="AT124">IF($B124="","",SUMPRODUCT(--($B$2:$B$313=B124),--(AQ124&lt;$AQ$2:$AQ$313))+1)</f>
        <v>7</v>
      </c>
      <c r="AU124" s="1">
        <f t="shared" si="95"/>
        <v>1.23E-7</v>
      </c>
      <c r="AV124" s="1">
        <f t="shared" ca="1" si="96"/>
        <v>0.18180712299999999</v>
      </c>
      <c r="AW124" s="1" t="str">
        <f t="shared" si="68"/>
        <v/>
      </c>
      <c r="AX124" s="1" t="str">
        <f t="shared" si="97"/>
        <v/>
      </c>
      <c r="AY124" s="8">
        <f t="shared" ca="1" si="98"/>
        <v>0.18180712299999999</v>
      </c>
      <c r="AZ124" s="1" cm="1">
        <f t="array" aca="1" ref="AZ124" ca="1">IF($B124="","",SUMPRODUCT(--($B$2:$B$313=B124),--(AY124&gt;$AY$2:$AY$313))+1)</f>
        <v>18</v>
      </c>
      <c r="BA124" s="1" t="str">
        <f t="shared" si="99"/>
        <v>K2024GP07_15_1</v>
      </c>
      <c r="BB124" s="1" t="str">
        <f t="shared" si="100"/>
        <v>K2024GP07_15_2</v>
      </c>
      <c r="BC124" s="1">
        <f t="shared" si="101"/>
        <v>0</v>
      </c>
      <c r="BD124" s="1">
        <f t="shared" si="102"/>
        <v>0</v>
      </c>
      <c r="BE124" s="1">
        <f t="shared" si="103"/>
        <v>1</v>
      </c>
      <c r="BF124" s="1">
        <f t="shared" si="104"/>
        <v>0</v>
      </c>
      <c r="BG124" s="1">
        <f t="shared" si="105"/>
        <v>0</v>
      </c>
      <c r="BH124" s="1">
        <f t="shared" si="106"/>
        <v>12</v>
      </c>
      <c r="BI124" s="1">
        <f t="shared" si="107"/>
        <v>12</v>
      </c>
      <c r="BJ124" s="1">
        <f t="shared" si="108"/>
        <v>0.1212</v>
      </c>
      <c r="BK124" s="1" t="str">
        <f t="shared" si="109"/>
        <v/>
      </c>
      <c r="BL124" s="1">
        <f t="shared" si="110"/>
        <v>9.8999999999999994E-5</v>
      </c>
      <c r="BM124" s="1">
        <f t="shared" si="111"/>
        <v>0.1213114</v>
      </c>
      <c r="BN124" s="1" t="str">
        <f t="shared" si="112"/>
        <v/>
      </c>
      <c r="BO124" s="1">
        <f t="shared" si="69"/>
        <v>15</v>
      </c>
      <c r="BP124" s="1">
        <f t="shared" si="70"/>
        <v>0</v>
      </c>
      <c r="BQ124" s="1" t="str" cm="1">
        <f t="array" ref="BQ124">IF(I124="","",IF(BP124=1,"",IF(L124=0,"",IF(B124=1,"",_xlfn.XLOOKUP(1,($I$2:$I$313=$I124)*($B$2:$B$313=($B124-1)),$BO$2:$BO$313)))))</f>
        <v/>
      </c>
      <c r="BR124" s="1">
        <f>IF(I124="","",IF($B124=1,_xlfn.MINIFS($BO$2:$BO$313,$B$2:$B$313,$B124),_xlfn.MINIFS(BQ$2:$BQ$313,$B$2:$B$313,$B124)))</f>
        <v>2</v>
      </c>
      <c r="BS124" s="1">
        <f t="shared" si="113"/>
        <v>3</v>
      </c>
      <c r="BT124" s="1" t="str" cm="1">
        <f t="array" ref="BT124">IF($I124="","",IF($B124=1,_xlfn.XLOOKUP(1,($B$2:$B$313=$B124)*($BO$2:$BO$313=BR124),Data!$I$2:$I$313,,0),_xlfn.XLOOKUP(1,($B$2:$B$313=$B124)*($BQ$2:$BQ$313=$BR124),$I$2:$I$313,,0)))</f>
        <v>Juho Korpi</v>
      </c>
      <c r="BU124" s="1" t="str" cm="1">
        <f t="array" ref="BU124">IF(I124="","",IF($B124=1,_xlfn.XLOOKUP(1,($B$2:$B$313=$B124)*($BO$2:$BO$313=$BS124),$I$2:$I$313,,0),_xlfn.XLOOKUP(1,($B$2:$B$313=$B124)*($BQ$2:$BQ$313=$BS124),$I$2:$I$313,,0)))</f>
        <v>Olli Kajava</v>
      </c>
      <c r="BV124" s="1" t="str" cm="1">
        <f t="array" ref="BV124">IF($I124="","",IF($B124=1,"",IF($B124=2,_xlfn.XLOOKUP(1,($B$2:$B$313=1)*($BO$2:$BO$313=1),$I$2:$I$313,,0),_xlfn.XLOOKUP($B124-1,$B$2:$B$313,$CH$2:$CH$313,,0))))</f>
        <v>Jami Kallio</v>
      </c>
      <c r="BW124" s="1" t="str" cm="1">
        <f t="array" ref="BW124">IF($I124="","",IF($B124=1,"",IF(_xlfn.XLOOKUP(1,($B$2:$B$313=$B124)*($I$2:$I$313=$BV124),$BQ$2:$BQ$313,,0)="","NOK","OK")))</f>
        <v>OK</v>
      </c>
      <c r="BX124" s="1" t="str">
        <f t="shared" si="114"/>
        <v>Jami Kallio</v>
      </c>
      <c r="BY124" s="1" t="str">
        <f t="shared" si="115"/>
        <v>Juho Korpi</v>
      </c>
      <c r="BZ124" s="1">
        <f t="shared" si="116"/>
        <v>157</v>
      </c>
      <c r="CA124" s="1">
        <f t="shared" si="117"/>
        <v>155</v>
      </c>
      <c r="CB124" s="1">
        <f t="shared" si="118"/>
        <v>9.8999999999999994E-5</v>
      </c>
      <c r="CC124" s="1">
        <f t="shared" si="119"/>
        <v>142</v>
      </c>
      <c r="CD124" s="1">
        <f t="shared" si="120"/>
        <v>128</v>
      </c>
      <c r="CE124" s="1">
        <f t="shared" si="121"/>
        <v>9.8999999999999994E-5</v>
      </c>
      <c r="CF124" s="1" t="str">
        <f t="shared" si="122"/>
        <v>Jami Kallio (P)</v>
      </c>
      <c r="CG124" s="1" t="str">
        <f t="shared" si="123"/>
        <v>Juho Korpi (2)</v>
      </c>
      <c r="CH124" s="1" t="str">
        <f t="shared" si="124"/>
        <v>Jami Kallio</v>
      </c>
      <c r="CI124" s="1">
        <f t="shared" si="125"/>
        <v>0</v>
      </c>
      <c r="CJ124" s="1" t="str">
        <f ca="1">IF(B124="","",IF(SUM(AI124:AK124)&gt;0,"+SP","")&amp;IF(CI124&gt;0,"+KK","")&amp;IF(AB124&gt;0,"+KGP1","")&amp;IF(AC124&gt;0,"+KGP2","")&amp;IF(AG124&lt;0,"-KGP1","")&amp;IF(AH124&lt;0,"-KGP2",""))</f>
        <v/>
      </c>
    </row>
    <row r="125" spans="1:88" x14ac:dyDescent="0.25">
      <c r="A125" s="1">
        <f>IFERROR(IF(ROW(A124)=1,1,IF(1+A124&lt;=$CP$1*$CP$2,1+A124,"")),"")</f>
        <v>124</v>
      </c>
      <c r="B125" s="1">
        <f>IF($I125="","",IF(ROW(B124)=1,1,ROUNDUP(A125/$CP$2,0)))</f>
        <v>7</v>
      </c>
      <c r="C125" s="4">
        <f t="shared" si="71"/>
        <v>45669</v>
      </c>
      <c r="D125" s="4" t="str">
        <f t="shared" si="65"/>
        <v>Kupittaan keilahalli</v>
      </c>
      <c r="E125" s="1">
        <f>IF($B125="","",COUNTIF($B$2:B125,B125))</f>
        <v>16</v>
      </c>
      <c r="F125" s="1" t="str">
        <f t="shared" si="66"/>
        <v>K2024GP07</v>
      </c>
      <c r="G125" s="1" t="str">
        <f t="shared" si="72"/>
        <v>K2024GP07_16</v>
      </c>
      <c r="H125" s="1">
        <f t="shared" si="73"/>
        <v>1</v>
      </c>
      <c r="I125" s="3" t="s">
        <v>144</v>
      </c>
      <c r="J125" s="3"/>
      <c r="K125" s="3"/>
      <c r="L125" s="1">
        <f t="shared" si="74"/>
        <v>0</v>
      </c>
      <c r="M125" s="1">
        <f t="shared" si="75"/>
        <v>0</v>
      </c>
      <c r="N125" s="1" t="str">
        <f t="shared" si="76"/>
        <v/>
      </c>
      <c r="O125" s="1" t="str">
        <f t="shared" si="77"/>
        <v/>
      </c>
      <c r="P125" s="1" t="str">
        <f t="shared" si="78"/>
        <v/>
      </c>
      <c r="Q125" s="1">
        <f t="array" ref="Q125">IF($B125="","",IF(MAX(IF(B125=$B$2:$B$313,$L$2:$L$313))-L125=0,"",MAX(IF(B125=$B$2:$B$313,$L$2:$L$313))-L125))</f>
        <v>332</v>
      </c>
      <c r="R125" s="1">
        <f t="array" ref="R125">IF($B125="","",SUMPRODUCT(--($B$2:$B$313=B125),--(L125&lt;$L$2:$L$313))+1)</f>
        <v>12</v>
      </c>
      <c r="S125" s="1">
        <f t="shared" si="79"/>
        <v>0</v>
      </c>
      <c r="T125" s="1" t="str" cm="1">
        <f t="array" ref="T125">IF($B125="","",IF(M125=0,"",SUMPRODUCT(--($B$2:$B$313=B125),--(J125&lt;$J$2:$J$313))+1))</f>
        <v/>
      </c>
      <c r="U125" s="1" t="str">
        <f t="shared" si="80"/>
        <v/>
      </c>
      <c r="V125" s="1" t="str">
        <f t="shared" si="81"/>
        <v>0712</v>
      </c>
      <c r="W125" s="1">
        <f t="shared" si="82"/>
        <v>7</v>
      </c>
      <c r="X125" s="1">
        <f t="shared" si="67"/>
        <v>0</v>
      </c>
      <c r="Y125" s="1">
        <f>IF($B125="","",MAX(_xlfn.MAXIFS($J$2:J125,$I$2:I125,$I125),_xlfn.MAXIFS($K$2:K125,$I$2:I125,$I125)))</f>
        <v>193</v>
      </c>
      <c r="Z125" s="1">
        <f t="shared" si="83"/>
        <v>177</v>
      </c>
      <c r="AA125" s="1">
        <f t="shared" si="84"/>
        <v>0</v>
      </c>
      <c r="AB125" s="1">
        <f t="shared" si="85"/>
        <v>0</v>
      </c>
      <c r="AC125" s="1">
        <f t="shared" si="86"/>
        <v>0</v>
      </c>
      <c r="AD125" s="1">
        <f>IF($B125="","",MIN(_xlfn.MINIFS($J$2:J125,$I$2:I125,$I125),_xlfn.MINIFS($K$2:K125,$I$2:I125,$I125)))</f>
        <v>82</v>
      </c>
      <c r="AE125" s="1">
        <f t="shared" si="87"/>
        <v>87</v>
      </c>
      <c r="AF125" s="1">
        <f t="shared" si="88"/>
        <v>0</v>
      </c>
      <c r="AG125" s="1">
        <f t="shared" si="89"/>
        <v>0</v>
      </c>
      <c r="AH125" s="1">
        <f t="shared" si="90"/>
        <v>0</v>
      </c>
      <c r="AI125" s="1">
        <f ca="1">IF($B125="","",IF($K125="",0,OFFSET($CO$17,R125,W125)))</f>
        <v>0</v>
      </c>
      <c r="AJ125" s="1">
        <f t="shared" ca="1" si="91"/>
        <v>0</v>
      </c>
      <c r="AK125" s="1">
        <f ca="1">IF(AJ125="","",IF(AJ125=0,0,IF(W125=1,0,SUM(OFFSET($CO$17,N125,1):OFFSET($CO$17,N125+W125-2,1))/W125)))</f>
        <v>0</v>
      </c>
      <c r="AL125" s="1">
        <f t="shared" si="92"/>
        <v>0</v>
      </c>
      <c r="AM125" s="1">
        <f ca="1">IF($B125="","",SUMIFS($AL$2:AL125,$I$2:I125,$I125))</f>
        <v>15</v>
      </c>
      <c r="AN125" s="1">
        <f t="shared" si="93"/>
        <v>12.000124</v>
      </c>
      <c r="AO125" s="1">
        <f>IFERROR(IF($B125="","",AVERAGEIFS($L$2:L125,$I$2:I125,I125,$L$2:L125,"&lt;&gt;0")),0)</f>
        <v>255.8</v>
      </c>
      <c r="AP125" s="1">
        <f t="shared" si="94"/>
        <v>127.9</v>
      </c>
      <c r="AQ125" s="1">
        <f>IF($B125="","",COUNTIFS($R$2:R125,1,$I$2:I125,$I125))</f>
        <v>0</v>
      </c>
      <c r="AR125" s="1">
        <f t="array" aca="1" ref="AR125" ca="1">IF($B125="","",SUMPRODUCT(--($B$2:$B$313=B125),--(AM125&lt;$AM$2:$AM$313))+1)</f>
        <v>13</v>
      </c>
      <c r="AS125" s="1">
        <f t="array" ref="AS125">IF($B125="","",SUMPRODUCT(--($B$2:$B$313=B125),--(AP125&lt;$AP$2:$AP$313))+1)</f>
        <v>12</v>
      </c>
      <c r="AT125" s="1">
        <f t="array" ref="AT125">IF($B125="","",SUMPRODUCT(--($B$2:$B$313=B125),--(AQ125&lt;$AQ$2:$AQ$313))+1)</f>
        <v>7</v>
      </c>
      <c r="AU125" s="1">
        <f t="shared" si="95"/>
        <v>1.24E-7</v>
      </c>
      <c r="AV125" s="1">
        <f t="shared" ca="1" si="96"/>
        <v>0.13120712400000001</v>
      </c>
      <c r="AW125" s="1" t="str">
        <f t="shared" si="68"/>
        <v/>
      </c>
      <c r="AX125" s="1" t="str">
        <f t="shared" si="97"/>
        <v/>
      </c>
      <c r="AY125" s="8">
        <f t="shared" ca="1" si="98"/>
        <v>0.13120712400000001</v>
      </c>
      <c r="AZ125" s="1" cm="1">
        <f t="array" aca="1" ref="AZ125" ca="1">IF($B125="","",SUMPRODUCT(--($B$2:$B$313=B125),--(AY125&gt;$AY$2:$AY$313))+1)</f>
        <v>13</v>
      </c>
      <c r="BA125" s="1" t="str">
        <f t="shared" si="99"/>
        <v>K2024GP07_16_1</v>
      </c>
      <c r="BB125" s="1" t="str">
        <f t="shared" si="100"/>
        <v>K2024GP07_16_2</v>
      </c>
      <c r="BC125" s="1">
        <f t="shared" si="101"/>
        <v>0</v>
      </c>
      <c r="BD125" s="1">
        <f t="shared" si="102"/>
        <v>0</v>
      </c>
      <c r="BE125" s="1">
        <f t="shared" si="103"/>
        <v>1</v>
      </c>
      <c r="BF125" s="1">
        <f t="shared" si="104"/>
        <v>0</v>
      </c>
      <c r="BG125" s="1">
        <f t="shared" si="105"/>
        <v>0</v>
      </c>
      <c r="BH125" s="1">
        <f t="shared" si="106"/>
        <v>12</v>
      </c>
      <c r="BI125" s="1">
        <f t="shared" si="107"/>
        <v>12</v>
      </c>
      <c r="BJ125" s="1">
        <f t="shared" si="108"/>
        <v>0.1212</v>
      </c>
      <c r="BK125" s="1" t="str">
        <f t="shared" si="109"/>
        <v/>
      </c>
      <c r="BL125" s="1">
        <f t="shared" si="110"/>
        <v>9.8999999999999994E-5</v>
      </c>
      <c r="BM125" s="1">
        <f t="shared" si="111"/>
        <v>0.1213115</v>
      </c>
      <c r="BN125" s="1" t="str">
        <f t="shared" si="112"/>
        <v/>
      </c>
      <c r="BO125" s="1">
        <f t="shared" si="69"/>
        <v>16</v>
      </c>
      <c r="BP125" s="1">
        <f t="shared" si="70"/>
        <v>0</v>
      </c>
      <c r="BQ125" s="1" t="str" cm="1">
        <f t="array" ref="BQ125">IF(I125="","",IF(BP125=1,"",IF(L125=0,"",IF(B125=1,"",_xlfn.XLOOKUP(1,($I$2:$I$313=$I125)*($B$2:$B$313=($B125-1)),$BO$2:$BO$313)))))</f>
        <v/>
      </c>
      <c r="BR125" s="1">
        <f>IF(I125="","",IF($B125=1,_xlfn.MINIFS($BO$2:$BO$313,$B$2:$B$313,$B125),_xlfn.MINIFS(BQ$2:$BQ$313,$B$2:$B$313,$B125)))</f>
        <v>2</v>
      </c>
      <c r="BS125" s="1">
        <f t="shared" si="113"/>
        <v>3</v>
      </c>
      <c r="BT125" s="1" t="str" cm="1">
        <f t="array" ref="BT125">IF($I125="","",IF($B125=1,_xlfn.XLOOKUP(1,($B$2:$B$313=$B125)*($BO$2:$BO$313=BR125),Data!$I$2:$I$313,,0),_xlfn.XLOOKUP(1,($B$2:$B$313=$B125)*($BQ$2:$BQ$313=$BR125),$I$2:$I$313,,0)))</f>
        <v>Juho Korpi</v>
      </c>
      <c r="BU125" s="1" t="str" cm="1">
        <f t="array" ref="BU125">IF(I125="","",IF($B125=1,_xlfn.XLOOKUP(1,($B$2:$B$313=$B125)*($BO$2:$BO$313=$BS125),$I$2:$I$313,,0),_xlfn.XLOOKUP(1,($B$2:$B$313=$B125)*($BQ$2:$BQ$313=$BS125),$I$2:$I$313,,0)))</f>
        <v>Olli Kajava</v>
      </c>
      <c r="BV125" s="1" t="str" cm="1">
        <f t="array" ref="BV125">IF($I125="","",IF($B125=1,"",IF($B125=2,_xlfn.XLOOKUP(1,($B$2:$B$313=1)*($BO$2:$BO$313=1),$I$2:$I$313,,0),_xlfn.XLOOKUP($B125-1,$B$2:$B$313,$CH$2:$CH$313,,0))))</f>
        <v>Jami Kallio</v>
      </c>
      <c r="BW125" s="1" t="str" cm="1">
        <f t="array" ref="BW125">IF($I125="","",IF($B125=1,"",IF(_xlfn.XLOOKUP(1,($B$2:$B$313=$B125)*($I$2:$I$313=$BV125),$BQ$2:$BQ$313,,0)="","NOK","OK")))</f>
        <v>OK</v>
      </c>
      <c r="BX125" s="1" t="str">
        <f t="shared" si="114"/>
        <v>Jami Kallio</v>
      </c>
      <c r="BY125" s="1" t="str">
        <f t="shared" si="115"/>
        <v>Juho Korpi</v>
      </c>
      <c r="BZ125" s="1">
        <f t="shared" si="116"/>
        <v>157</v>
      </c>
      <c r="CA125" s="1">
        <f t="shared" si="117"/>
        <v>155</v>
      </c>
      <c r="CB125" s="1">
        <f t="shared" si="118"/>
        <v>9.8999999999999994E-5</v>
      </c>
      <c r="CC125" s="1">
        <f t="shared" si="119"/>
        <v>142</v>
      </c>
      <c r="CD125" s="1">
        <f t="shared" si="120"/>
        <v>128</v>
      </c>
      <c r="CE125" s="1">
        <f t="shared" si="121"/>
        <v>9.8999999999999994E-5</v>
      </c>
      <c r="CF125" s="1" t="str">
        <f t="shared" si="122"/>
        <v>Jami Kallio (P)</v>
      </c>
      <c r="CG125" s="1" t="str">
        <f t="shared" si="123"/>
        <v>Juho Korpi (2)</v>
      </c>
      <c r="CH125" s="1" t="str">
        <f t="shared" si="124"/>
        <v>Jami Kallio</v>
      </c>
      <c r="CI125" s="1">
        <f t="shared" si="125"/>
        <v>0</v>
      </c>
      <c r="CJ125" s="1" t="str">
        <f ca="1">IF(B125="","",IF(SUM(AI125:AK125)&gt;0,"+SP","")&amp;IF(CI125&gt;0,"+KK","")&amp;IF(AB125&gt;0,"+KGP1","")&amp;IF(AC125&gt;0,"+KGP2","")&amp;IF(AG125&lt;0,"-KGP1","")&amp;IF(AH125&lt;0,"-KGP2",""))</f>
        <v/>
      </c>
    </row>
    <row r="126" spans="1:88" x14ac:dyDescent="0.25">
      <c r="A126" s="1">
        <f>IFERROR(IF(ROW(A125)=1,1,IF(1+A125&lt;=$CP$1*$CP$2,1+A125,"")),"")</f>
        <v>125</v>
      </c>
      <c r="B126" s="1">
        <f>IF($I126="","",IF(ROW(B125)=1,1,ROUNDUP(A126/$CP$2,0)))</f>
        <v>7</v>
      </c>
      <c r="C126" s="4">
        <f t="shared" si="71"/>
        <v>45669</v>
      </c>
      <c r="D126" s="4" t="str">
        <f t="shared" si="65"/>
        <v>Kupittaan keilahalli</v>
      </c>
      <c r="E126" s="1">
        <f>IF($B126="","",COUNTIF($B$2:B126,B126))</f>
        <v>17</v>
      </c>
      <c r="F126" s="1" t="str">
        <f t="shared" si="66"/>
        <v>K2024GP07</v>
      </c>
      <c r="G126" s="1" t="str">
        <f t="shared" si="72"/>
        <v>K2024GP07_17</v>
      </c>
      <c r="H126" s="1">
        <f t="shared" si="73"/>
        <v>1</v>
      </c>
      <c r="I126" s="3" t="s">
        <v>132</v>
      </c>
      <c r="J126" s="3"/>
      <c r="K126" s="3"/>
      <c r="L126" s="1">
        <f t="shared" si="74"/>
        <v>0</v>
      </c>
      <c r="M126" s="1">
        <f t="shared" si="75"/>
        <v>0</v>
      </c>
      <c r="N126" s="1" t="str">
        <f t="shared" si="76"/>
        <v/>
      </c>
      <c r="O126" s="1" t="str">
        <f t="shared" si="77"/>
        <v/>
      </c>
      <c r="P126" s="1" t="str">
        <f t="shared" si="78"/>
        <v/>
      </c>
      <c r="Q126" s="1">
        <f t="array" ref="Q126">IF($B126="","",IF(MAX(IF(B126=$B$2:$B$313,$L$2:$L$313))-L126=0,"",MAX(IF(B126=$B$2:$B$313,$L$2:$L$313))-L126))</f>
        <v>332</v>
      </c>
      <c r="R126" s="1">
        <f t="array" ref="R126">IF($B126="","",SUMPRODUCT(--($B$2:$B$313=B126),--(L126&lt;$L$2:$L$313))+1)</f>
        <v>12</v>
      </c>
      <c r="S126" s="1">
        <f t="shared" si="79"/>
        <v>0</v>
      </c>
      <c r="T126" s="1" t="str" cm="1">
        <f t="array" ref="T126">IF($B126="","",IF(M126=0,"",SUMPRODUCT(--($B$2:$B$313=B126),--(J126&lt;$J$2:$J$313))+1))</f>
        <v/>
      </c>
      <c r="U126" s="1" t="str">
        <f t="shared" si="80"/>
        <v/>
      </c>
      <c r="V126" s="1" t="str">
        <f t="shared" si="81"/>
        <v>0712</v>
      </c>
      <c r="W126" s="1">
        <f t="shared" si="82"/>
        <v>7</v>
      </c>
      <c r="X126" s="1">
        <f t="shared" si="67"/>
        <v>0</v>
      </c>
      <c r="Y126" s="1">
        <f>IF($B126="","",MAX(_xlfn.MAXIFS($J$2:J126,$I$2:I126,$I126),_xlfn.MAXIFS($K$2:K126,$I$2:I126,$I126)))</f>
        <v>131</v>
      </c>
      <c r="Z126" s="1">
        <f t="shared" si="83"/>
        <v>177</v>
      </c>
      <c r="AA126" s="1">
        <f t="shared" si="84"/>
        <v>0</v>
      </c>
      <c r="AB126" s="1">
        <f t="shared" si="85"/>
        <v>0</v>
      </c>
      <c r="AC126" s="1">
        <f t="shared" si="86"/>
        <v>0</v>
      </c>
      <c r="AD126" s="1">
        <f>IF($B126="","",MIN(_xlfn.MINIFS($J$2:J126,$I$2:I126,$I126),_xlfn.MINIFS($K$2:K126,$I$2:I126,$I126)))</f>
        <v>73</v>
      </c>
      <c r="AE126" s="1">
        <f t="shared" si="87"/>
        <v>87</v>
      </c>
      <c r="AF126" s="1">
        <f t="shared" si="88"/>
        <v>0</v>
      </c>
      <c r="AG126" s="1">
        <f t="shared" si="89"/>
        <v>0</v>
      </c>
      <c r="AH126" s="1">
        <f t="shared" si="90"/>
        <v>0</v>
      </c>
      <c r="AI126" s="1">
        <f ca="1">IF($B126="","",IF($K126="",0,OFFSET($CO$17,R126,W126)))</f>
        <v>0</v>
      </c>
      <c r="AJ126" s="1">
        <f t="shared" ca="1" si="91"/>
        <v>0</v>
      </c>
      <c r="AK126" s="1">
        <f ca="1">IF(AJ126="","",IF(AJ126=0,0,IF(W126=1,0,SUM(OFFSET($CO$17,N126,1):OFFSET($CO$17,N126+W126-2,1))/W126)))</f>
        <v>0</v>
      </c>
      <c r="AL126" s="1">
        <f t="shared" si="92"/>
        <v>0</v>
      </c>
      <c r="AM126" s="1">
        <f ca="1">IF($B126="","",SUMIFS($AL$2:AL126,$I$2:I126,$I126))</f>
        <v>4</v>
      </c>
      <c r="AN126" s="1">
        <f t="shared" si="93"/>
        <v>12.000125000000001</v>
      </c>
      <c r="AO126" s="1">
        <f>IFERROR(IF($B126="","",AVERAGEIFS($L$2:L126,$I$2:I126,I126,$L$2:L126,"&lt;&gt;0")),0)</f>
        <v>214</v>
      </c>
      <c r="AP126" s="1">
        <f t="shared" si="94"/>
        <v>107</v>
      </c>
      <c r="AQ126" s="1">
        <f>IF($B126="","",COUNTIFS($R$2:R126,1,$I$2:I126,$I126))</f>
        <v>0</v>
      </c>
      <c r="AR126" s="1">
        <f t="array" aca="1" ref="AR126" ca="1">IF($B126="","",SUMPRODUCT(--($B$2:$B$313=B126),--(AM126&lt;$AM$2:$AM$313))+1)</f>
        <v>16</v>
      </c>
      <c r="AS126" s="1">
        <f t="array" ref="AS126">IF($B126="","",SUMPRODUCT(--($B$2:$B$313=B126),--(AP126&lt;$AP$2:$AP$313))+1)</f>
        <v>16</v>
      </c>
      <c r="AT126" s="1">
        <f t="array" ref="AT126">IF($B126="","",SUMPRODUCT(--($B$2:$B$313=B126),--(AQ126&lt;$AQ$2:$AQ$313))+1)</f>
        <v>7</v>
      </c>
      <c r="AU126" s="1">
        <f t="shared" si="95"/>
        <v>1.2499999999999999E-7</v>
      </c>
      <c r="AV126" s="1">
        <f t="shared" ca="1" si="96"/>
        <v>0.16160712499999999</v>
      </c>
      <c r="AW126" s="1" t="str">
        <f t="shared" si="68"/>
        <v/>
      </c>
      <c r="AX126" s="1" t="str">
        <f t="shared" si="97"/>
        <v/>
      </c>
      <c r="AY126" s="8">
        <f t="shared" ca="1" si="98"/>
        <v>0.16160712499999999</v>
      </c>
      <c r="AZ126" s="1" cm="1">
        <f t="array" aca="1" ref="AZ126" ca="1">IF($B126="","",SUMPRODUCT(--($B$2:$B$313=B126),--(AY126&gt;$AY$2:$AY$313))+1)</f>
        <v>16</v>
      </c>
      <c r="BA126" s="1" t="str">
        <f t="shared" si="99"/>
        <v>K2024GP07_17_1</v>
      </c>
      <c r="BB126" s="1" t="str">
        <f t="shared" si="100"/>
        <v>K2024GP07_17_2</v>
      </c>
      <c r="BC126" s="1">
        <f t="shared" si="101"/>
        <v>0</v>
      </c>
      <c r="BD126" s="1">
        <f t="shared" si="102"/>
        <v>0</v>
      </c>
      <c r="BE126" s="1">
        <f t="shared" si="103"/>
        <v>1</v>
      </c>
      <c r="BF126" s="1">
        <f t="shared" si="104"/>
        <v>0</v>
      </c>
      <c r="BG126" s="1">
        <f t="shared" si="105"/>
        <v>0</v>
      </c>
      <c r="BH126" s="1">
        <f t="shared" si="106"/>
        <v>12</v>
      </c>
      <c r="BI126" s="1">
        <f t="shared" si="107"/>
        <v>12</v>
      </c>
      <c r="BJ126" s="1">
        <f t="shared" si="108"/>
        <v>0.1212</v>
      </c>
      <c r="BK126" s="1" t="str">
        <f t="shared" si="109"/>
        <v/>
      </c>
      <c r="BL126" s="1">
        <f t="shared" si="110"/>
        <v>9.8999999999999994E-5</v>
      </c>
      <c r="BM126" s="1">
        <f t="shared" si="111"/>
        <v>0.12131160000000001</v>
      </c>
      <c r="BN126" s="1" t="str">
        <f t="shared" si="112"/>
        <v/>
      </c>
      <c r="BO126" s="1">
        <f t="shared" si="69"/>
        <v>17</v>
      </c>
      <c r="BP126" s="1">
        <f t="shared" si="70"/>
        <v>0</v>
      </c>
      <c r="BQ126" s="1" t="str" cm="1">
        <f t="array" ref="BQ126">IF(I126="","",IF(BP126=1,"",IF(L126=0,"",IF(B126=1,"",_xlfn.XLOOKUP(1,($I$2:$I$313=$I126)*($B$2:$B$313=($B126-1)),$BO$2:$BO$313)))))</f>
        <v/>
      </c>
      <c r="BR126" s="1">
        <f>IF(I126="","",IF($B126=1,_xlfn.MINIFS($BO$2:$BO$313,$B$2:$B$313,$B126),_xlfn.MINIFS(BQ$2:$BQ$313,$B$2:$B$313,$B126)))</f>
        <v>2</v>
      </c>
      <c r="BS126" s="1">
        <f t="shared" si="113"/>
        <v>3</v>
      </c>
      <c r="BT126" s="1" t="str" cm="1">
        <f t="array" ref="BT126">IF($I126="","",IF($B126=1,_xlfn.XLOOKUP(1,($B$2:$B$313=$B126)*($BO$2:$BO$313=BR126),Data!$I$2:$I$313,,0),_xlfn.XLOOKUP(1,($B$2:$B$313=$B126)*($BQ$2:$BQ$313=$BR126),$I$2:$I$313,,0)))</f>
        <v>Juho Korpi</v>
      </c>
      <c r="BU126" s="1" t="str" cm="1">
        <f t="array" ref="BU126">IF(I126="","",IF($B126=1,_xlfn.XLOOKUP(1,($B$2:$B$313=$B126)*($BO$2:$BO$313=$BS126),$I$2:$I$313,,0),_xlfn.XLOOKUP(1,($B$2:$B$313=$B126)*($BQ$2:$BQ$313=$BS126),$I$2:$I$313,,0)))</f>
        <v>Olli Kajava</v>
      </c>
      <c r="BV126" s="1" t="str" cm="1">
        <f t="array" ref="BV126">IF($I126="","",IF($B126=1,"",IF($B126=2,_xlfn.XLOOKUP(1,($B$2:$B$313=1)*($BO$2:$BO$313=1),$I$2:$I$313,,0),_xlfn.XLOOKUP($B126-1,$B$2:$B$313,$CH$2:$CH$313,,0))))</f>
        <v>Jami Kallio</v>
      </c>
      <c r="BW126" s="1" t="str" cm="1">
        <f t="array" ref="BW126">IF($I126="","",IF($B126=1,"",IF(_xlfn.XLOOKUP(1,($B$2:$B$313=$B126)*($I$2:$I$313=$BV126),$BQ$2:$BQ$313,,0)="","NOK","OK")))</f>
        <v>OK</v>
      </c>
      <c r="BX126" s="1" t="str">
        <f t="shared" si="114"/>
        <v>Jami Kallio</v>
      </c>
      <c r="BY126" s="1" t="str">
        <f t="shared" si="115"/>
        <v>Juho Korpi</v>
      </c>
      <c r="BZ126" s="1">
        <f t="shared" si="116"/>
        <v>157</v>
      </c>
      <c r="CA126" s="1">
        <f t="shared" si="117"/>
        <v>155</v>
      </c>
      <c r="CB126" s="1">
        <f t="shared" si="118"/>
        <v>9.8999999999999994E-5</v>
      </c>
      <c r="CC126" s="1">
        <f t="shared" si="119"/>
        <v>142</v>
      </c>
      <c r="CD126" s="1">
        <f t="shared" si="120"/>
        <v>128</v>
      </c>
      <c r="CE126" s="1">
        <f t="shared" si="121"/>
        <v>9.8999999999999994E-5</v>
      </c>
      <c r="CF126" s="1" t="str">
        <f t="shared" si="122"/>
        <v>Jami Kallio (P)</v>
      </c>
      <c r="CG126" s="1" t="str">
        <f t="shared" si="123"/>
        <v>Juho Korpi (2)</v>
      </c>
      <c r="CH126" s="1" t="str">
        <f t="shared" si="124"/>
        <v>Jami Kallio</v>
      </c>
      <c r="CI126" s="1">
        <f t="shared" si="125"/>
        <v>0</v>
      </c>
      <c r="CJ126" s="1" t="str">
        <f ca="1">IF(B126="","",IF(SUM(AI126:AK126)&gt;0,"+SP","")&amp;IF(CI126&gt;0,"+KK","")&amp;IF(AB126&gt;0,"+KGP1","")&amp;IF(AC126&gt;0,"+KGP2","")&amp;IF(AG126&lt;0,"-KGP1","")&amp;IF(AH126&lt;0,"-KGP2",""))</f>
        <v/>
      </c>
    </row>
    <row r="127" spans="1:88" x14ac:dyDescent="0.25">
      <c r="A127" s="1">
        <f>IFERROR(IF(ROW(A126)=1,1,IF(1+A126&lt;=$CP$1*$CP$2,1+A126,"")),"")</f>
        <v>126</v>
      </c>
      <c r="B127" s="1">
        <f>IF($I127="","",IF(ROW(B126)=1,1,ROUNDUP(A127/$CP$2,0)))</f>
        <v>7</v>
      </c>
      <c r="C127" s="4">
        <f t="shared" si="71"/>
        <v>45669</v>
      </c>
      <c r="D127" s="4" t="str">
        <f t="shared" si="65"/>
        <v>Kupittaan keilahalli</v>
      </c>
      <c r="E127" s="1">
        <f>IF($B127="","",COUNTIF($B$2:B127,B127))</f>
        <v>18</v>
      </c>
      <c r="F127" s="1" t="str">
        <f t="shared" si="66"/>
        <v>K2024GP07</v>
      </c>
      <c r="G127" s="1" t="str">
        <f t="shared" si="72"/>
        <v>K2024GP07_18</v>
      </c>
      <c r="H127" s="1">
        <f t="shared" si="73"/>
        <v>1</v>
      </c>
      <c r="I127" s="3" t="s">
        <v>135</v>
      </c>
      <c r="J127" s="3"/>
      <c r="K127" s="3"/>
      <c r="L127" s="1">
        <f t="shared" si="74"/>
        <v>0</v>
      </c>
      <c r="M127" s="1">
        <f t="shared" si="75"/>
        <v>0</v>
      </c>
      <c r="N127" s="1" t="str">
        <f t="shared" si="76"/>
        <v/>
      </c>
      <c r="O127" s="1" t="str">
        <f t="shared" si="77"/>
        <v/>
      </c>
      <c r="P127" s="1" t="str">
        <f t="shared" si="78"/>
        <v/>
      </c>
      <c r="Q127" s="1">
        <f t="array" ref="Q127">IF($B127="","",IF(MAX(IF(B127=$B$2:$B$313,$L$2:$L$313))-L127=0,"",MAX(IF(B127=$B$2:$B$313,$L$2:$L$313))-L127))</f>
        <v>332</v>
      </c>
      <c r="R127" s="1">
        <f t="array" ref="R127">IF($B127="","",SUMPRODUCT(--($B$2:$B$313=B127),--(L127&lt;$L$2:$L$313))+1)</f>
        <v>12</v>
      </c>
      <c r="S127" s="1">
        <f t="shared" si="79"/>
        <v>0</v>
      </c>
      <c r="T127" s="1" t="str" cm="1">
        <f t="array" ref="T127">IF($B127="","",IF(M127=0,"",SUMPRODUCT(--($B$2:$B$313=B127),--(J127&lt;$J$2:$J$313))+1))</f>
        <v/>
      </c>
      <c r="U127" s="1" t="str">
        <f t="shared" si="80"/>
        <v/>
      </c>
      <c r="V127" s="1" t="str">
        <f t="shared" si="81"/>
        <v>0712</v>
      </c>
      <c r="W127" s="1">
        <f t="shared" si="82"/>
        <v>7</v>
      </c>
      <c r="X127" s="1">
        <f t="shared" si="67"/>
        <v>0</v>
      </c>
      <c r="Y127" s="1">
        <f>IF($B127="","",MAX(_xlfn.MAXIFS($J$2:J127,$I$2:I127,$I127),_xlfn.MAXIFS($K$2:K127,$I$2:I127,$I127)))</f>
        <v>129</v>
      </c>
      <c r="Z127" s="1">
        <f t="shared" si="83"/>
        <v>177</v>
      </c>
      <c r="AA127" s="1">
        <f t="shared" si="84"/>
        <v>0</v>
      </c>
      <c r="AB127" s="1">
        <f t="shared" si="85"/>
        <v>0</v>
      </c>
      <c r="AC127" s="1">
        <f t="shared" si="86"/>
        <v>0</v>
      </c>
      <c r="AD127" s="1">
        <f>IF($B127="","",MIN(_xlfn.MINIFS($J$2:J127,$I$2:I127,$I127),_xlfn.MINIFS($K$2:K127,$I$2:I127,$I127)))</f>
        <v>84</v>
      </c>
      <c r="AE127" s="1">
        <f t="shared" si="87"/>
        <v>87</v>
      </c>
      <c r="AF127" s="1">
        <f t="shared" si="88"/>
        <v>0</v>
      </c>
      <c r="AG127" s="1">
        <f t="shared" si="89"/>
        <v>0</v>
      </c>
      <c r="AH127" s="1">
        <f t="shared" si="90"/>
        <v>0</v>
      </c>
      <c r="AI127" s="1">
        <f ca="1">IF($B127="","",IF($K127="",0,OFFSET($CO$17,R127,W127)))</f>
        <v>0</v>
      </c>
      <c r="AJ127" s="1">
        <f t="shared" ca="1" si="91"/>
        <v>0</v>
      </c>
      <c r="AK127" s="1">
        <f ca="1">IF(AJ127="","",IF(AJ127=0,0,IF(W127=1,0,SUM(OFFSET($CO$17,N127,1):OFFSET($CO$17,N127+W127-2,1))/W127)))</f>
        <v>0</v>
      </c>
      <c r="AL127" s="1">
        <f t="shared" si="92"/>
        <v>0</v>
      </c>
      <c r="AM127" s="1">
        <f ca="1">IF($B127="","",SUMIFS($AL$2:AL127,$I$2:I127,$I127))</f>
        <v>5</v>
      </c>
      <c r="AN127" s="1">
        <f t="shared" si="93"/>
        <v>12.000126</v>
      </c>
      <c r="AO127" s="1">
        <f>IFERROR(IF($B127="","",AVERAGEIFS($L$2:L127,$I$2:I127,I127,$L$2:L127,"&lt;&gt;0")),0)</f>
        <v>208.66666666666666</v>
      </c>
      <c r="AP127" s="1">
        <f t="shared" si="94"/>
        <v>104.33333333333333</v>
      </c>
      <c r="AQ127" s="1">
        <f>IF($B127="","",COUNTIFS($R$2:R127,1,$I$2:I127,$I127))</f>
        <v>0</v>
      </c>
      <c r="AR127" s="1">
        <f t="array" aca="1" ref="AR127" ca="1">IF($B127="","",SUMPRODUCT(--($B$2:$B$313=B127),--(AM127&lt;$AM$2:$AM$313))+1)</f>
        <v>15</v>
      </c>
      <c r="AS127" s="1">
        <f t="array" ref="AS127">IF($B127="","",SUMPRODUCT(--($B$2:$B$313=B127),--(AP127&lt;$AP$2:$AP$313))+1)</f>
        <v>17</v>
      </c>
      <c r="AT127" s="1">
        <f t="array" ref="AT127">IF($B127="","",SUMPRODUCT(--($B$2:$B$313=B127),--(AQ127&lt;$AQ$2:$AQ$313))+1)</f>
        <v>7</v>
      </c>
      <c r="AU127" s="1">
        <f t="shared" si="95"/>
        <v>1.2599999999999999E-7</v>
      </c>
      <c r="AV127" s="1">
        <f t="shared" ca="1" si="96"/>
        <v>0.151707126</v>
      </c>
      <c r="AW127" s="1" t="str">
        <f t="shared" si="68"/>
        <v/>
      </c>
      <c r="AX127" s="1" t="str">
        <f t="shared" si="97"/>
        <v/>
      </c>
      <c r="AY127" s="8">
        <f t="shared" ca="1" si="98"/>
        <v>0.151707126</v>
      </c>
      <c r="AZ127" s="1" cm="1">
        <f t="array" aca="1" ref="AZ127" ca="1">IF($B127="","",SUMPRODUCT(--($B$2:$B$313=B127),--(AY127&gt;$AY$2:$AY$313))+1)</f>
        <v>15</v>
      </c>
      <c r="BA127" s="1" t="str">
        <f t="shared" si="99"/>
        <v>K2024GP07_18_1</v>
      </c>
      <c r="BB127" s="1" t="str">
        <f t="shared" si="100"/>
        <v>K2024GP07_18_2</v>
      </c>
      <c r="BC127" s="1">
        <f t="shared" si="101"/>
        <v>0</v>
      </c>
      <c r="BD127" s="1">
        <f t="shared" si="102"/>
        <v>0</v>
      </c>
      <c r="BE127" s="1">
        <f t="shared" si="103"/>
        <v>1</v>
      </c>
      <c r="BF127" s="1">
        <f t="shared" si="104"/>
        <v>0</v>
      </c>
      <c r="BG127" s="1">
        <f t="shared" si="105"/>
        <v>0</v>
      </c>
      <c r="BH127" s="1">
        <f t="shared" si="106"/>
        <v>12</v>
      </c>
      <c r="BI127" s="1">
        <f t="shared" si="107"/>
        <v>12</v>
      </c>
      <c r="BJ127" s="1">
        <f t="shared" si="108"/>
        <v>0.1212</v>
      </c>
      <c r="BK127" s="1" t="str">
        <f t="shared" si="109"/>
        <v/>
      </c>
      <c r="BL127" s="1">
        <f t="shared" si="110"/>
        <v>9.8999999999999994E-5</v>
      </c>
      <c r="BM127" s="1">
        <f t="shared" si="111"/>
        <v>0.12131170000000001</v>
      </c>
      <c r="BN127" s="1" t="str">
        <f t="shared" si="112"/>
        <v/>
      </c>
      <c r="BO127" s="1">
        <f t="shared" si="69"/>
        <v>18</v>
      </c>
      <c r="BP127" s="1">
        <f t="shared" si="70"/>
        <v>0</v>
      </c>
      <c r="BQ127" s="1" t="str" cm="1">
        <f t="array" ref="BQ127">IF(I127="","",IF(BP127=1,"",IF(L127=0,"",IF(B127=1,"",_xlfn.XLOOKUP(1,($I$2:$I$313=$I127)*($B$2:$B$313=($B127-1)),$BO$2:$BO$313)))))</f>
        <v/>
      </c>
      <c r="BR127" s="1">
        <f>IF(I127="","",IF($B127=1,_xlfn.MINIFS($BO$2:$BO$313,$B$2:$B$313,$B127),_xlfn.MINIFS(BQ$2:$BQ$313,$B$2:$B$313,$B127)))</f>
        <v>2</v>
      </c>
      <c r="BS127" s="1">
        <f t="shared" si="113"/>
        <v>3</v>
      </c>
      <c r="BT127" s="1" t="str" cm="1">
        <f t="array" ref="BT127">IF($I127="","",IF($B127=1,_xlfn.XLOOKUP(1,($B$2:$B$313=$B127)*($BO$2:$BO$313=BR127),Data!$I$2:$I$313,,0),_xlfn.XLOOKUP(1,($B$2:$B$313=$B127)*($BQ$2:$BQ$313=$BR127),$I$2:$I$313,,0)))</f>
        <v>Juho Korpi</v>
      </c>
      <c r="BU127" s="1" t="str" cm="1">
        <f t="array" ref="BU127">IF(I127="","",IF($B127=1,_xlfn.XLOOKUP(1,($B$2:$B$313=$B127)*($BO$2:$BO$313=$BS127),$I$2:$I$313,,0),_xlfn.XLOOKUP(1,($B$2:$B$313=$B127)*($BQ$2:$BQ$313=$BS127),$I$2:$I$313,,0)))</f>
        <v>Olli Kajava</v>
      </c>
      <c r="BV127" s="1" t="str" cm="1">
        <f t="array" ref="BV127">IF($I127="","",IF($B127=1,"",IF($B127=2,_xlfn.XLOOKUP(1,($B$2:$B$313=1)*($BO$2:$BO$313=1),$I$2:$I$313,,0),_xlfn.XLOOKUP($B127-1,$B$2:$B$313,$CH$2:$CH$313,,0))))</f>
        <v>Jami Kallio</v>
      </c>
      <c r="BW127" s="1" t="str" cm="1">
        <f t="array" ref="BW127">IF($I127="","",IF($B127=1,"",IF(_xlfn.XLOOKUP(1,($B$2:$B$313=$B127)*($I$2:$I$313=$BV127),$BQ$2:$BQ$313,,0)="","NOK","OK")))</f>
        <v>OK</v>
      </c>
      <c r="BX127" s="1" t="str">
        <f t="shared" si="114"/>
        <v>Jami Kallio</v>
      </c>
      <c r="BY127" s="1" t="str">
        <f t="shared" si="115"/>
        <v>Juho Korpi</v>
      </c>
      <c r="BZ127" s="1">
        <f t="shared" si="116"/>
        <v>157</v>
      </c>
      <c r="CA127" s="1">
        <f t="shared" si="117"/>
        <v>155</v>
      </c>
      <c r="CB127" s="1">
        <f t="shared" si="118"/>
        <v>9.8999999999999994E-5</v>
      </c>
      <c r="CC127" s="1">
        <f t="shared" si="119"/>
        <v>142</v>
      </c>
      <c r="CD127" s="1">
        <f t="shared" si="120"/>
        <v>128</v>
      </c>
      <c r="CE127" s="1">
        <f t="shared" si="121"/>
        <v>9.8999999999999994E-5</v>
      </c>
      <c r="CF127" s="1" t="str">
        <f t="shared" si="122"/>
        <v>Jami Kallio (P)</v>
      </c>
      <c r="CG127" s="1" t="str">
        <f t="shared" si="123"/>
        <v>Juho Korpi (2)</v>
      </c>
      <c r="CH127" s="1" t="str">
        <f t="shared" si="124"/>
        <v>Jami Kallio</v>
      </c>
      <c r="CI127" s="1">
        <f t="shared" si="125"/>
        <v>0</v>
      </c>
      <c r="CJ127" s="1" t="str">
        <f ca="1">IF(B127="","",IF(SUM(AI127:AK127)&gt;0,"+SP","")&amp;IF(CI127&gt;0,"+KK","")&amp;IF(AB127&gt;0,"+KGP1","")&amp;IF(AC127&gt;0,"+KGP2","")&amp;IF(AG127&lt;0,"-KGP1","")&amp;IF(AH127&lt;0,"-KGP2",""))</f>
        <v/>
      </c>
    </row>
    <row r="128" spans="1:88" x14ac:dyDescent="0.25">
      <c r="A128" s="1">
        <f>IFERROR(IF(ROW(A127)=1,1,IF(1+A127&lt;=$CP$1*$CP$2,1+A127,"")),"")</f>
        <v>127</v>
      </c>
      <c r="B128" s="1">
        <f>IF($I128="","",IF(ROW(B127)=1,1,ROUNDUP(A128/$CP$2,0)))</f>
        <v>8</v>
      </c>
      <c r="C128" s="4">
        <f t="shared" si="71"/>
        <v>45690</v>
      </c>
      <c r="D128" s="4" t="str">
        <f t="shared" si="65"/>
        <v>Aninkaisten keilahalli</v>
      </c>
      <c r="E128" s="1">
        <f>IF($B128="","",COUNTIF($B$2:B128,B128))</f>
        <v>1</v>
      </c>
      <c r="F128" s="1" t="str">
        <f t="shared" si="66"/>
        <v>K2024GP08</v>
      </c>
      <c r="G128" s="1" t="str">
        <f t="shared" si="72"/>
        <v>K2024GP08_1</v>
      </c>
      <c r="H128" s="1">
        <f t="shared" si="73"/>
        <v>1</v>
      </c>
      <c r="I128" s="3" t="s">
        <v>141</v>
      </c>
      <c r="J128" s="3">
        <v>168</v>
      </c>
      <c r="K128" s="3">
        <v>107</v>
      </c>
      <c r="L128" s="1">
        <f t="shared" si="74"/>
        <v>275</v>
      </c>
      <c r="M128" s="1">
        <f t="shared" si="75"/>
        <v>1</v>
      </c>
      <c r="N128" s="1">
        <f t="shared" si="76"/>
        <v>7</v>
      </c>
      <c r="O128" s="1">
        <f t="shared" si="77"/>
        <v>275</v>
      </c>
      <c r="P128" s="1">
        <f t="shared" si="78"/>
        <v>68</v>
      </c>
      <c r="Q128" s="1">
        <f t="array" ref="Q128">IF($B128="","",IF(MAX(IF(B128=$B$2:$B$313,$L$2:$L$313))-L128=0,"",MAX(IF(B128=$B$2:$B$313,$L$2:$L$313))-L128))</f>
        <v>68</v>
      </c>
      <c r="R128" s="1">
        <f t="array" ref="R128">IF($B128="","",SUMPRODUCT(--($B$2:$B$313=B128),--(L128&lt;$L$2:$L$313))+1)</f>
        <v>7</v>
      </c>
      <c r="S128" s="1">
        <f t="shared" si="79"/>
        <v>2</v>
      </c>
      <c r="T128" s="1" cm="1">
        <f t="array" ref="T128">IF($B128="","",IF(M128=0,"",SUMPRODUCT(--($B$2:$B$313=B128),--(J128&lt;$J$2:$J$313))+1))</f>
        <v>2</v>
      </c>
      <c r="U128" s="1">
        <f t="shared" si="80"/>
        <v>5</v>
      </c>
      <c r="V128" s="1" t="str">
        <f t="shared" si="81"/>
        <v>0807</v>
      </c>
      <c r="W128" s="1">
        <f t="shared" si="82"/>
        <v>1</v>
      </c>
      <c r="X128" s="1">
        <f t="shared" si="67"/>
        <v>0</v>
      </c>
      <c r="Y128" s="1">
        <f>IF($B128="","",MAX(_xlfn.MAXIFS($J$2:J128,$I$2:I128,$I128),_xlfn.MAXIFS($K$2:K128,$I$2:I128,$I128)))</f>
        <v>184</v>
      </c>
      <c r="Z128" s="1">
        <f t="shared" si="83"/>
        <v>203</v>
      </c>
      <c r="AA128" s="1">
        <f t="shared" si="84"/>
        <v>0</v>
      </c>
      <c r="AB128" s="1">
        <f t="shared" si="85"/>
        <v>0</v>
      </c>
      <c r="AC128" s="1">
        <f t="shared" si="86"/>
        <v>0</v>
      </c>
      <c r="AD128" s="1">
        <f>IF($B128="","",MIN(_xlfn.MINIFS($J$2:J128,$I$2:I128,$I128),_xlfn.MINIFS($K$2:K128,$I$2:I128,$I128)))</f>
        <v>102</v>
      </c>
      <c r="AE128" s="1">
        <f t="shared" si="87"/>
        <v>80</v>
      </c>
      <c r="AF128" s="1">
        <f t="shared" si="88"/>
        <v>0</v>
      </c>
      <c r="AG128" s="1">
        <f t="shared" si="89"/>
        <v>0</v>
      </c>
      <c r="AH128" s="1">
        <f t="shared" si="90"/>
        <v>0</v>
      </c>
      <c r="AI128" s="1">
        <f ca="1">IF($B128="","",IF($K128="",0,OFFSET($CO$17,R128,W128)))</f>
        <v>4</v>
      </c>
      <c r="AJ128" s="1">
        <f t="shared" ca="1" si="91"/>
        <v>0</v>
      </c>
      <c r="AK128" s="1">
        <f ca="1">IF(AJ128="","",IF(AJ128=0,0,IF(W128=1,0,SUM(OFFSET($CO$17,N128,1):OFFSET($CO$17,N128+W128-2,1))/W128)))</f>
        <v>0</v>
      </c>
      <c r="AL128" s="1">
        <f t="shared" ca="1" si="92"/>
        <v>4</v>
      </c>
      <c r="AM128" s="1">
        <f ca="1">IF($B128="","",SUMIFS($AL$2:AL128,$I$2:I128,$I128))</f>
        <v>23</v>
      </c>
      <c r="AN128" s="1">
        <f t="shared" si="93"/>
        <v>7.000127</v>
      </c>
      <c r="AO128" s="1">
        <f>IFERROR(IF($B128="","",AVERAGEIFS($L$2:L128,$I$2:I128,I128,$L$2:L128,"&lt;&gt;0")),0)</f>
        <v>263.42857142857144</v>
      </c>
      <c r="AP128" s="1">
        <f t="shared" si="94"/>
        <v>131.71428571428572</v>
      </c>
      <c r="AQ128" s="1">
        <f>IF($B128="","",COUNTIFS($R$2:R128,1,$I$2:I128,$I128))</f>
        <v>0</v>
      </c>
      <c r="AR128" s="1">
        <f t="array" aca="1" ref="AR128" ca="1">IF($B128="","",SUMPRODUCT(--($B$2:$B$313=B128),--(AM128&lt;$AM$2:$AM$313))+1)</f>
        <v>9</v>
      </c>
      <c r="AS128" s="1">
        <f t="array" ref="AS128">IF($B128="","",SUMPRODUCT(--($B$2:$B$313=B128),--(AP128&lt;$AP$2:$AP$313))+1)</f>
        <v>10</v>
      </c>
      <c r="AT128" s="1">
        <f t="array" ref="AT128">IF($B128="","",SUMPRODUCT(--($B$2:$B$313=B128),--(AQ128&lt;$AQ$2:$AQ$313))+1)</f>
        <v>7</v>
      </c>
      <c r="AU128" s="1">
        <f t="shared" si="95"/>
        <v>1.2700000000000001E-7</v>
      </c>
      <c r="AV128" s="1">
        <f t="shared" ca="1" si="96"/>
        <v>9.1007126999999993E-2</v>
      </c>
      <c r="AW128" s="1" t="str">
        <f t="shared" si="68"/>
        <v/>
      </c>
      <c r="AX128" s="1" t="str">
        <f t="shared" si="97"/>
        <v/>
      </c>
      <c r="AY128" s="8">
        <f t="shared" ca="1" si="98"/>
        <v>9.1007126999999993E-2</v>
      </c>
      <c r="AZ128" s="1" cm="1">
        <f t="array" aca="1" ref="AZ128" ca="1">IF($B128="","",SUMPRODUCT(--($B$2:$B$313=B128),--(AY128&gt;$AY$2:$AY$313))+1)</f>
        <v>9</v>
      </c>
      <c r="BA128" s="1" t="str">
        <f t="shared" si="99"/>
        <v>K2024GP08_1_1</v>
      </c>
      <c r="BB128" s="1" t="str">
        <f t="shared" si="100"/>
        <v>K2024GP08_1_2</v>
      </c>
      <c r="BC128" s="1">
        <f t="shared" si="101"/>
        <v>0</v>
      </c>
      <c r="BD128" s="1">
        <f t="shared" si="102"/>
        <v>0</v>
      </c>
      <c r="BE128" s="1">
        <f t="shared" si="103"/>
        <v>1</v>
      </c>
      <c r="BF128" s="1">
        <f t="shared" si="104"/>
        <v>168</v>
      </c>
      <c r="BG128" s="1">
        <f t="shared" si="105"/>
        <v>107</v>
      </c>
      <c r="BH128" s="1">
        <f t="shared" si="106"/>
        <v>5</v>
      </c>
      <c r="BI128" s="1">
        <f t="shared" si="107"/>
        <v>10</v>
      </c>
      <c r="BJ128" s="1">
        <f t="shared" si="108"/>
        <v>5.1000000000000004E-2</v>
      </c>
      <c r="BK128" s="1">
        <f t="shared" si="109"/>
        <v>0</v>
      </c>
      <c r="BL128" s="1">
        <f t="shared" si="110"/>
        <v>9.8999999999999994E-5</v>
      </c>
      <c r="BM128" s="1">
        <f t="shared" si="111"/>
        <v>5.1099000000000006E-2</v>
      </c>
      <c r="BN128" s="1">
        <f t="shared" si="112"/>
        <v>0</v>
      </c>
      <c r="BO128" s="1">
        <f t="shared" si="69"/>
        <v>5</v>
      </c>
      <c r="BP128" s="1">
        <f t="shared" si="70"/>
        <v>0</v>
      </c>
      <c r="BQ128" s="1" cm="1">
        <f t="array" ref="BQ128">IF(I128="","",IF(BP128=1,"",IF(L128=0,"",IF(B128=1,"",_xlfn.XLOOKUP(1,($I$2:$I$313=$I128)*($B$2:$B$313=($B128-1)),$BO$2:$BO$313)))))</f>
        <v>10</v>
      </c>
      <c r="BR128" s="1">
        <f>IF(I128="","",IF($B128=1,_xlfn.MINIFS($BO$2:$BO$313,$B$2:$B$313,$B128),_xlfn.MINIFS(BQ$2:$BQ$313,$B$2:$B$313,$B128)))</f>
        <v>1</v>
      </c>
      <c r="BS128" s="1">
        <f t="shared" si="113"/>
        <v>3</v>
      </c>
      <c r="BT128" s="1" t="str" cm="1">
        <f t="array" ref="BT128">IF($I128="","",IF($B128=1,_xlfn.XLOOKUP(1,($B$2:$B$313=$B128)*($BO$2:$BO$313=BR128),Data!$I$2:$I$313,,0),_xlfn.XLOOKUP(1,($B$2:$B$313=$B128)*($BQ$2:$BQ$313=$BR128),$I$2:$I$313,,0)))</f>
        <v>Asko Haaksi</v>
      </c>
      <c r="BU128" s="1" t="str" cm="1">
        <f t="array" ref="BU128">IF(I128="","",IF($B128=1,_xlfn.XLOOKUP(1,($B$2:$B$313=$B128)*($BO$2:$BO$313=$BS128),$I$2:$I$313,,0),_xlfn.XLOOKUP(1,($B$2:$B$313=$B128)*($BQ$2:$BQ$313=$BS128),$I$2:$I$313,,0)))</f>
        <v>Mika Sola</v>
      </c>
      <c r="BV128" s="1" t="str" cm="1">
        <f t="array" ref="BV128">IF($I128="","",IF($B128=1,"",IF($B128=2,_xlfn.XLOOKUP(1,($B$2:$B$313=1)*($BO$2:$BO$313=1),$I$2:$I$313,,0),_xlfn.XLOOKUP($B128-1,$B$2:$B$313,$CH$2:$CH$313,,0))))</f>
        <v>Jami Kallio</v>
      </c>
      <c r="BW128" s="1" t="str" cm="1">
        <f t="array" ref="BW128">IF($I128="","",IF($B128=1,"",IF(_xlfn.XLOOKUP(1,($B$2:$B$313=$B128)*($I$2:$I$313=$BV128),$BQ$2:$BQ$313,,0)="","NOK","OK")))</f>
        <v>OK</v>
      </c>
      <c r="BX128" s="1" t="str">
        <f t="shared" si="114"/>
        <v>Jami Kallio</v>
      </c>
      <c r="BY128" s="1" t="str">
        <f t="shared" si="115"/>
        <v>Asko Haaksi</v>
      </c>
      <c r="BZ128" s="1">
        <f t="shared" si="116"/>
        <v>171</v>
      </c>
      <c r="CA128" s="1">
        <f t="shared" si="117"/>
        <v>123</v>
      </c>
      <c r="CB128" s="1">
        <f t="shared" si="118"/>
        <v>9.8999999999999994E-5</v>
      </c>
      <c r="CC128" s="1">
        <f t="shared" si="119"/>
        <v>131</v>
      </c>
      <c r="CD128" s="1">
        <f t="shared" si="120"/>
        <v>129</v>
      </c>
      <c r="CE128" s="1">
        <f t="shared" si="121"/>
        <v>9.8999999999999994E-5</v>
      </c>
      <c r="CF128" s="1" t="str">
        <f t="shared" si="122"/>
        <v>Jami Kallio (P)</v>
      </c>
      <c r="CG128" s="1" t="str">
        <f t="shared" si="123"/>
        <v>Asko Haaksi (1)</v>
      </c>
      <c r="CH128" s="1" t="str">
        <f t="shared" si="124"/>
        <v>Jami Kallio</v>
      </c>
      <c r="CI128" s="1">
        <f t="shared" si="125"/>
        <v>0</v>
      </c>
      <c r="CJ128" s="1" t="str">
        <f ca="1">IF(B128="","",IF(SUM(AI128:AK128)&gt;0,"+SP","")&amp;IF(CI128&gt;0,"+KK","")&amp;IF(AB128&gt;0,"+KGP1","")&amp;IF(AC128&gt;0,"+KGP2","")&amp;IF(AG128&lt;0,"-KGP1","")&amp;IF(AH128&lt;0,"-KGP2",""))</f>
        <v>+SP</v>
      </c>
    </row>
    <row r="129" spans="1:88" x14ac:dyDescent="0.25">
      <c r="A129" s="1">
        <f>IFERROR(IF(ROW(A128)=1,1,IF(1+A128&lt;=$CP$1*$CP$2,1+A128,"")),"")</f>
        <v>128</v>
      </c>
      <c r="B129" s="1">
        <f>IF($I129="","",IF(ROW(B128)=1,1,ROUNDUP(A129/$CP$2,0)))</f>
        <v>8</v>
      </c>
      <c r="C129" s="4">
        <f t="shared" si="71"/>
        <v>45690</v>
      </c>
      <c r="D129" s="4" t="str">
        <f t="shared" si="65"/>
        <v>Aninkaisten keilahalli</v>
      </c>
      <c r="E129" s="1">
        <f>IF($B129="","",COUNTIF($B$2:B129,B129))</f>
        <v>2</v>
      </c>
      <c r="F129" s="1" t="str">
        <f t="shared" si="66"/>
        <v>K2024GP08</v>
      </c>
      <c r="G129" s="1" t="str">
        <f t="shared" si="72"/>
        <v>K2024GP08_2</v>
      </c>
      <c r="H129" s="1">
        <f t="shared" si="73"/>
        <v>1</v>
      </c>
      <c r="I129" s="3" t="s">
        <v>236</v>
      </c>
      <c r="J129" s="3">
        <v>129</v>
      </c>
      <c r="K129" s="3">
        <v>104</v>
      </c>
      <c r="L129" s="1">
        <f t="shared" si="74"/>
        <v>233</v>
      </c>
      <c r="M129" s="1">
        <f t="shared" si="75"/>
        <v>1</v>
      </c>
      <c r="N129" s="1">
        <f t="shared" si="76"/>
        <v>12</v>
      </c>
      <c r="O129" s="1">
        <f t="shared" si="77"/>
        <v>233</v>
      </c>
      <c r="P129" s="1">
        <f t="shared" si="78"/>
        <v>110</v>
      </c>
      <c r="Q129" s="1">
        <f t="array" ref="Q129">IF($B129="","",IF(MAX(IF(B129=$B$2:$B$313,$L$2:$L$313))-L129=0,"",MAX(IF(B129=$B$2:$B$313,$L$2:$L$313))-L129))</f>
        <v>110</v>
      </c>
      <c r="R129" s="1">
        <f t="array" ref="R129">IF($B129="","",SUMPRODUCT(--($B$2:$B$313=B129),--(L129&lt;$L$2:$L$313))+1)</f>
        <v>12</v>
      </c>
      <c r="S129" s="1">
        <f t="shared" si="79"/>
        <v>2</v>
      </c>
      <c r="T129" s="1" cm="1">
        <f t="array" ref="T129">IF($B129="","",IF(M129=0,"",SUMPRODUCT(--($B$2:$B$313=B129),--(J129&lt;$J$2:$J$313))+1))</f>
        <v>8</v>
      </c>
      <c r="U129" s="1">
        <f t="shared" si="80"/>
        <v>4</v>
      </c>
      <c r="V129" s="1" t="str">
        <f t="shared" si="81"/>
        <v>0812</v>
      </c>
      <c r="W129" s="1">
        <f t="shared" si="82"/>
        <v>1</v>
      </c>
      <c r="X129" s="1">
        <f t="shared" si="67"/>
        <v>0</v>
      </c>
      <c r="Y129" s="1">
        <f>IF($B129="","",MAX(_xlfn.MAXIFS($J$2:J129,$I$2:I129,$I129),_xlfn.MAXIFS($K$2:K129,$I$2:I129,$I129)))</f>
        <v>183</v>
      </c>
      <c r="Z129" s="1">
        <f t="shared" si="83"/>
        <v>203</v>
      </c>
      <c r="AA129" s="1">
        <f t="shared" si="84"/>
        <v>0</v>
      </c>
      <c r="AB129" s="1">
        <f t="shared" si="85"/>
        <v>0</v>
      </c>
      <c r="AC129" s="1">
        <f t="shared" si="86"/>
        <v>0</v>
      </c>
      <c r="AD129" s="1">
        <f>IF($B129="","",MIN(_xlfn.MINIFS($J$2:J129,$I$2:I129,$I129),_xlfn.MINIFS($K$2:K129,$I$2:I129,$I129)))</f>
        <v>73</v>
      </c>
      <c r="AE129" s="1">
        <f t="shared" si="87"/>
        <v>80</v>
      </c>
      <c r="AF129" s="1">
        <f t="shared" si="88"/>
        <v>0</v>
      </c>
      <c r="AG129" s="1">
        <f t="shared" si="89"/>
        <v>0</v>
      </c>
      <c r="AH129" s="1">
        <f t="shared" si="90"/>
        <v>0</v>
      </c>
      <c r="AI129" s="1">
        <f ca="1">IF($B129="","",IF($K129="",0,OFFSET($CO$17,R129,W129)))</f>
        <v>0</v>
      </c>
      <c r="AJ129" s="1">
        <f t="shared" ca="1" si="91"/>
        <v>0</v>
      </c>
      <c r="AK129" s="1">
        <f ca="1">IF(AJ129="","",IF(AJ129=0,0,IF(W129=1,0,SUM(OFFSET($CO$17,N129,1):OFFSET($CO$17,N129+W129-2,1))/W129)))</f>
        <v>0</v>
      </c>
      <c r="AL129" s="1">
        <f t="shared" ca="1" si="92"/>
        <v>0</v>
      </c>
      <c r="AM129" s="1">
        <f ca="1">IF($B129="","",SUMIFS($AL$2:AL129,$I$2:I129,$I129))</f>
        <v>20</v>
      </c>
      <c r="AN129" s="1">
        <f t="shared" si="93"/>
        <v>12.000128</v>
      </c>
      <c r="AO129" s="1">
        <f>IFERROR(IF($B129="","",AVERAGEIFS($L$2:L129,$I$2:I129,I129,$L$2:L129,"&lt;&gt;0")),0)</f>
        <v>249.42857142857142</v>
      </c>
      <c r="AP129" s="1">
        <f t="shared" si="94"/>
        <v>124.71428571428571</v>
      </c>
      <c r="AQ129" s="1">
        <f>IF($B129="","",COUNTIFS($R$2:R129,1,$I$2:I129,$I129))</f>
        <v>0</v>
      </c>
      <c r="AR129" s="1">
        <f t="array" aca="1" ref="AR129" ca="1">IF($B129="","",SUMPRODUCT(--($B$2:$B$313=B129),--(AM129&lt;$AM$2:$AM$313))+1)</f>
        <v>10</v>
      </c>
      <c r="AS129" s="1">
        <f t="array" ref="AS129">IF($B129="","",SUMPRODUCT(--($B$2:$B$313=B129),--(AP129&lt;$AP$2:$AP$313))+1)</f>
        <v>13</v>
      </c>
      <c r="AT129" s="1">
        <f t="array" ref="AT129">IF($B129="","",SUMPRODUCT(--($B$2:$B$313=B129),--(AQ129&lt;$AQ$2:$AQ$313))+1)</f>
        <v>7</v>
      </c>
      <c r="AU129" s="1">
        <f t="shared" si="95"/>
        <v>1.2800000000000001E-7</v>
      </c>
      <c r="AV129" s="1">
        <f t="shared" ca="1" si="96"/>
        <v>0.101307128</v>
      </c>
      <c r="AW129" s="1" t="str">
        <f t="shared" si="68"/>
        <v/>
      </c>
      <c r="AX129" s="1" t="str">
        <f t="shared" si="97"/>
        <v/>
      </c>
      <c r="AY129" s="8">
        <f t="shared" ca="1" si="98"/>
        <v>0.101307128</v>
      </c>
      <c r="AZ129" s="1" cm="1">
        <f t="array" aca="1" ref="AZ129" ca="1">IF($B129="","",SUMPRODUCT(--($B$2:$B$313=B129),--(AY129&gt;$AY$2:$AY$313))+1)</f>
        <v>10</v>
      </c>
      <c r="BA129" s="1" t="str">
        <f t="shared" si="99"/>
        <v>K2024GP08_2_1</v>
      </c>
      <c r="BB129" s="1" t="str">
        <f t="shared" si="100"/>
        <v>K2024GP08_2_2</v>
      </c>
      <c r="BC129" s="1">
        <f t="shared" si="101"/>
        <v>0</v>
      </c>
      <c r="BD129" s="1">
        <f t="shared" si="102"/>
        <v>0</v>
      </c>
      <c r="BE129" s="1">
        <f t="shared" si="103"/>
        <v>1</v>
      </c>
      <c r="BF129" s="1">
        <f t="shared" si="104"/>
        <v>129</v>
      </c>
      <c r="BG129" s="1">
        <f t="shared" si="105"/>
        <v>104</v>
      </c>
      <c r="BH129" s="1">
        <f t="shared" si="106"/>
        <v>11</v>
      </c>
      <c r="BI129" s="1">
        <f t="shared" si="107"/>
        <v>12</v>
      </c>
      <c r="BJ129" s="1">
        <f t="shared" si="108"/>
        <v>0.11120000000000001</v>
      </c>
      <c r="BK129" s="1">
        <f t="shared" si="109"/>
        <v>0</v>
      </c>
      <c r="BL129" s="1">
        <f t="shared" si="110"/>
        <v>9.8999999999999994E-5</v>
      </c>
      <c r="BM129" s="1">
        <f t="shared" si="111"/>
        <v>0.11129900000000001</v>
      </c>
      <c r="BN129" s="1">
        <f t="shared" si="112"/>
        <v>0</v>
      </c>
      <c r="BO129" s="1">
        <f t="shared" si="69"/>
        <v>11</v>
      </c>
      <c r="BP129" s="1">
        <f t="shared" si="70"/>
        <v>0</v>
      </c>
      <c r="BQ129" s="1" cm="1">
        <f t="array" ref="BQ129">IF(I129="","",IF(BP129=1,"",IF(L129=0,"",IF(B129=1,"",_xlfn.XLOOKUP(1,($I$2:$I$313=$I129)*($B$2:$B$313=($B129-1)),$BO$2:$BO$313)))))</f>
        <v>9</v>
      </c>
      <c r="BR129" s="1">
        <f>IF(I129="","",IF($B129=1,_xlfn.MINIFS($BO$2:$BO$313,$B$2:$B$313,$B129),_xlfn.MINIFS(BQ$2:$BQ$313,$B$2:$B$313,$B129)))</f>
        <v>1</v>
      </c>
      <c r="BS129" s="1">
        <f t="shared" si="113"/>
        <v>3</v>
      </c>
      <c r="BT129" s="1" t="str" cm="1">
        <f t="array" ref="BT129">IF($I129="","",IF($B129=1,_xlfn.XLOOKUP(1,($B$2:$B$313=$B129)*($BO$2:$BO$313=BR129),Data!$I$2:$I$313,,0),_xlfn.XLOOKUP(1,($B$2:$B$313=$B129)*($BQ$2:$BQ$313=$BR129),$I$2:$I$313,,0)))</f>
        <v>Asko Haaksi</v>
      </c>
      <c r="BU129" s="1" t="str" cm="1">
        <f t="array" ref="BU129">IF(I129="","",IF($B129=1,_xlfn.XLOOKUP(1,($B$2:$B$313=$B129)*($BO$2:$BO$313=$BS129),$I$2:$I$313,,0),_xlfn.XLOOKUP(1,($B$2:$B$313=$B129)*($BQ$2:$BQ$313=$BS129),$I$2:$I$313,,0)))</f>
        <v>Mika Sola</v>
      </c>
      <c r="BV129" s="1" t="str" cm="1">
        <f t="array" ref="BV129">IF($I129="","",IF($B129=1,"",IF($B129=2,_xlfn.XLOOKUP(1,($B$2:$B$313=1)*($BO$2:$BO$313=1),$I$2:$I$313,,0),_xlfn.XLOOKUP($B129-1,$B$2:$B$313,$CH$2:$CH$313,,0))))</f>
        <v>Jami Kallio</v>
      </c>
      <c r="BW129" s="1" t="str" cm="1">
        <f t="array" ref="BW129">IF($I129="","",IF($B129=1,"",IF(_xlfn.XLOOKUP(1,($B$2:$B$313=$B129)*($I$2:$I$313=$BV129),$BQ$2:$BQ$313,,0)="","NOK","OK")))</f>
        <v>OK</v>
      </c>
      <c r="BX129" s="1" t="str">
        <f t="shared" si="114"/>
        <v>Jami Kallio</v>
      </c>
      <c r="BY129" s="1" t="str">
        <f t="shared" si="115"/>
        <v>Asko Haaksi</v>
      </c>
      <c r="BZ129" s="1">
        <f t="shared" si="116"/>
        <v>171</v>
      </c>
      <c r="CA129" s="1">
        <f t="shared" si="117"/>
        <v>123</v>
      </c>
      <c r="CB129" s="1">
        <f t="shared" si="118"/>
        <v>9.8999999999999994E-5</v>
      </c>
      <c r="CC129" s="1">
        <f t="shared" si="119"/>
        <v>131</v>
      </c>
      <c r="CD129" s="1">
        <f t="shared" si="120"/>
        <v>129</v>
      </c>
      <c r="CE129" s="1">
        <f t="shared" si="121"/>
        <v>9.8999999999999994E-5</v>
      </c>
      <c r="CF129" s="1" t="str">
        <f t="shared" si="122"/>
        <v>Jami Kallio (P)</v>
      </c>
      <c r="CG129" s="1" t="str">
        <f t="shared" si="123"/>
        <v>Asko Haaksi (1)</v>
      </c>
      <c r="CH129" s="1" t="str">
        <f t="shared" si="124"/>
        <v>Jami Kallio</v>
      </c>
      <c r="CI129" s="1">
        <f t="shared" si="125"/>
        <v>0</v>
      </c>
      <c r="CJ129" s="1" t="str">
        <f ca="1">IF(B129="","",IF(SUM(AI129:AK129)&gt;0,"+SP","")&amp;IF(CI129&gt;0,"+KK","")&amp;IF(AB129&gt;0,"+KGP1","")&amp;IF(AC129&gt;0,"+KGP2","")&amp;IF(AG129&lt;0,"-KGP1","")&amp;IF(AH129&lt;0,"-KGP2",""))</f>
        <v/>
      </c>
    </row>
    <row r="130" spans="1:88" x14ac:dyDescent="0.25">
      <c r="A130" s="1">
        <f>IFERROR(IF(ROW(A129)=1,1,IF(1+A129&lt;=$CP$1*$CP$2,1+A129,"")),"")</f>
        <v>129</v>
      </c>
      <c r="B130" s="1">
        <f>IF($I130="","",IF(ROW(B129)=1,1,ROUNDUP(A130/$CP$2,0)))</f>
        <v>8</v>
      </c>
      <c r="C130" s="4">
        <f t="shared" si="71"/>
        <v>45690</v>
      </c>
      <c r="D130" s="4" t="str">
        <f t="shared" ref="D130:D193" si="126">IF($B130="","",VLOOKUP($B130,kilpailukalenteri,4))</f>
        <v>Aninkaisten keilahalli</v>
      </c>
      <c r="E130" s="1">
        <f>IF($B130="","",COUNTIF($B$2:B130,B130))</f>
        <v>3</v>
      </c>
      <c r="F130" s="1" t="str">
        <f t="shared" ref="F130:F193" si="127">IF($B130="","","K"&amp;kausi_id_nro&amp;"GP"&amp;IF(B130&lt;10,0,"")&amp;B130)</f>
        <v>K2024GP08</v>
      </c>
      <c r="G130" s="1" t="str">
        <f t="shared" si="72"/>
        <v>K2024GP08_3</v>
      </c>
      <c r="H130" s="1">
        <f t="shared" si="73"/>
        <v>1</v>
      </c>
      <c r="I130" s="3" t="s">
        <v>132</v>
      </c>
      <c r="J130" s="3">
        <v>156</v>
      </c>
      <c r="K130" s="3">
        <v>151</v>
      </c>
      <c r="L130" s="1">
        <f t="shared" si="74"/>
        <v>307</v>
      </c>
      <c r="M130" s="1">
        <f t="shared" si="75"/>
        <v>1</v>
      </c>
      <c r="N130" s="1">
        <f t="shared" si="76"/>
        <v>4</v>
      </c>
      <c r="O130" s="1">
        <f t="shared" si="77"/>
        <v>307</v>
      </c>
      <c r="P130" s="1">
        <f t="shared" si="78"/>
        <v>36</v>
      </c>
      <c r="Q130" s="1">
        <f t="array" ref="Q130">IF($B130="","",IF(MAX(IF(B130=$B$2:$B$313,$L$2:$L$313))-L130=0,"",MAX(IF(B130=$B$2:$B$313,$L$2:$L$313))-L130))</f>
        <v>36</v>
      </c>
      <c r="R130" s="1">
        <f t="array" ref="R130">IF($B130="","",SUMPRODUCT(--($B$2:$B$313=B130),--(L130&lt;$L$2:$L$313))+1)</f>
        <v>4</v>
      </c>
      <c r="S130" s="1">
        <f t="shared" si="79"/>
        <v>2</v>
      </c>
      <c r="T130" s="1" cm="1">
        <f t="array" ref="T130">IF($B130="","",IF(M130=0,"",SUMPRODUCT(--($B$2:$B$313=B130),--(J130&lt;$J$2:$J$313))+1))</f>
        <v>4</v>
      </c>
      <c r="U130" s="1">
        <f t="shared" si="80"/>
        <v>0</v>
      </c>
      <c r="V130" s="1" t="str">
        <f t="shared" si="81"/>
        <v>0804</v>
      </c>
      <c r="W130" s="1">
        <f t="shared" si="82"/>
        <v>1</v>
      </c>
      <c r="X130" s="1">
        <f t="shared" ref="X130:X193" si="128">IF($B130="","",IF(RIGHT(VLOOKUP(B130,kilpailukalenteri,4),1)="*",1,0))</f>
        <v>0</v>
      </c>
      <c r="Y130" s="1">
        <f>IF($B130="","",MAX(_xlfn.MAXIFS($J$2:J130,$I$2:I130,$I130),_xlfn.MAXIFS($K$2:K130,$I$2:I130,$I130)))</f>
        <v>156</v>
      </c>
      <c r="Z130" s="1">
        <f t="shared" si="83"/>
        <v>203</v>
      </c>
      <c r="AA130" s="1">
        <f t="shared" si="84"/>
        <v>0</v>
      </c>
      <c r="AB130" s="1">
        <f t="shared" si="85"/>
        <v>0</v>
      </c>
      <c r="AC130" s="1">
        <f t="shared" si="86"/>
        <v>0</v>
      </c>
      <c r="AD130" s="1">
        <f>IF($B130="","",MIN(_xlfn.MINIFS($J$2:J130,$I$2:I130,$I130),_xlfn.MINIFS($K$2:K130,$I$2:I130,$I130)))</f>
        <v>73</v>
      </c>
      <c r="AE130" s="1">
        <f t="shared" si="87"/>
        <v>80</v>
      </c>
      <c r="AF130" s="1">
        <f t="shared" si="88"/>
        <v>0</v>
      </c>
      <c r="AG130" s="1">
        <f t="shared" si="89"/>
        <v>0</v>
      </c>
      <c r="AH130" s="1">
        <f t="shared" si="90"/>
        <v>0</v>
      </c>
      <c r="AI130" s="1">
        <f ca="1">IF($B130="","",IF($K130="",0,OFFSET($CO$17,R130,W130)))</f>
        <v>7</v>
      </c>
      <c r="AJ130" s="1">
        <f t="shared" ca="1" si="91"/>
        <v>0</v>
      </c>
      <c r="AK130" s="1">
        <f ca="1">IF(AJ130="","",IF(AJ130=0,0,IF(W130=1,0,SUM(OFFSET($CO$17,N130,1):OFFSET($CO$17,N130+W130-2,1))/W130)))</f>
        <v>0</v>
      </c>
      <c r="AL130" s="1">
        <f t="shared" ca="1" si="92"/>
        <v>7</v>
      </c>
      <c r="AM130" s="1">
        <f ca="1">IF($B130="","",SUMIFS($AL$2:AL130,$I$2:I130,$I130))</f>
        <v>11</v>
      </c>
      <c r="AN130" s="1">
        <f t="shared" si="93"/>
        <v>4.0001290000000003</v>
      </c>
      <c r="AO130" s="1">
        <f>IFERROR(IF($B130="","",AVERAGEIFS($L$2:L130,$I$2:I130,I130,$L$2:L130,"&lt;&gt;0")),0)</f>
        <v>245</v>
      </c>
      <c r="AP130" s="1">
        <f t="shared" si="94"/>
        <v>122.5</v>
      </c>
      <c r="AQ130" s="1">
        <f>IF($B130="","",COUNTIFS($R$2:R130,1,$I$2:I130,$I130))</f>
        <v>0</v>
      </c>
      <c r="AR130" s="1">
        <f t="array" aca="1" ref="AR130" ca="1">IF($B130="","",SUMPRODUCT(--($B$2:$B$313=B130),--(AM130&lt;$AM$2:$AM$313))+1)</f>
        <v>15</v>
      </c>
      <c r="AS130" s="1">
        <f t="array" ref="AS130">IF($B130="","",SUMPRODUCT(--($B$2:$B$313=B130),--(AP130&lt;$AP$2:$AP$313))+1)</f>
        <v>14</v>
      </c>
      <c r="AT130" s="1">
        <f t="array" ref="AT130">IF($B130="","",SUMPRODUCT(--($B$2:$B$313=B130),--(AQ130&lt;$AQ$2:$AQ$313))+1)</f>
        <v>7</v>
      </c>
      <c r="AU130" s="1">
        <f t="shared" si="95"/>
        <v>1.29E-7</v>
      </c>
      <c r="AV130" s="1">
        <f t="shared" ca="1" si="96"/>
        <v>0.151407129</v>
      </c>
      <c r="AW130" s="1" t="str">
        <f t="shared" ref="AW130:AW193" si="129">IF($B130="","",IF($B130=keilatut,$AV130,""))</f>
        <v/>
      </c>
      <c r="AX130" s="1" t="str">
        <f t="shared" si="97"/>
        <v/>
      </c>
      <c r="AY130" s="8">
        <f t="shared" ca="1" si="98"/>
        <v>0.151407129</v>
      </c>
      <c r="AZ130" s="1" cm="1">
        <f t="array" aca="1" ref="AZ130" ca="1">IF($B130="","",SUMPRODUCT(--($B$2:$B$313=B130),--(AY130&gt;$AY$2:$AY$313))+1)</f>
        <v>15</v>
      </c>
      <c r="BA130" s="1" t="str">
        <f t="shared" si="99"/>
        <v>K2024GP08_3_1</v>
      </c>
      <c r="BB130" s="1" t="str">
        <f t="shared" si="100"/>
        <v>K2024GP08_3_2</v>
      </c>
      <c r="BC130" s="1">
        <f t="shared" si="101"/>
        <v>0</v>
      </c>
      <c r="BD130" s="1">
        <f t="shared" si="102"/>
        <v>0</v>
      </c>
      <c r="BE130" s="1">
        <f t="shared" si="103"/>
        <v>1</v>
      </c>
      <c r="BF130" s="1">
        <f t="shared" si="104"/>
        <v>156</v>
      </c>
      <c r="BG130" s="1">
        <f t="shared" si="105"/>
        <v>151</v>
      </c>
      <c r="BH130" s="1">
        <f t="shared" si="106"/>
        <v>6</v>
      </c>
      <c r="BI130" s="1">
        <f t="shared" si="107"/>
        <v>2</v>
      </c>
      <c r="BJ130" s="1">
        <f t="shared" si="108"/>
        <v>6.0199999999999997E-2</v>
      </c>
      <c r="BK130" s="1">
        <f t="shared" si="109"/>
        <v>0</v>
      </c>
      <c r="BL130" s="1">
        <f t="shared" si="110"/>
        <v>9.8999999999999994E-5</v>
      </c>
      <c r="BM130" s="1">
        <f t="shared" si="111"/>
        <v>6.0298999999999998E-2</v>
      </c>
      <c r="BN130" s="1">
        <f t="shared" si="112"/>
        <v>0</v>
      </c>
      <c r="BO130" s="1">
        <f t="shared" ref="BO130:BO193" si="130">IF(I130="","",COUNTIFS($B$2:$B$313,$B130,$BM$2:$BM$313,"&lt;"&amp;BM130)+1)</f>
        <v>6</v>
      </c>
      <c r="BP130" s="1">
        <f t="shared" ref="BP130:BP193" si="131">IF(I130="","",0)</f>
        <v>0</v>
      </c>
      <c r="BQ130" s="1" cm="1">
        <f t="array" ref="BQ130">IF(I130="","",IF(BP130=1,"",IF(L130=0,"",IF(B130=1,"",_xlfn.XLOOKUP(1,($I$2:$I$313=$I130)*($B$2:$B$313=($B130-1)),$BO$2:$BO$313)))))</f>
        <v>17</v>
      </c>
      <c r="BR130" s="1">
        <f>IF(I130="","",IF($B130=1,_xlfn.MINIFS($BO$2:$BO$313,$B$2:$B$313,$B130),_xlfn.MINIFS(BQ$2:$BQ$313,$B$2:$B$313,$B130)))</f>
        <v>1</v>
      </c>
      <c r="BS130" s="1">
        <f t="shared" si="113"/>
        <v>3</v>
      </c>
      <c r="BT130" s="1" t="str" cm="1">
        <f t="array" ref="BT130">IF($I130="","",IF($B130=1,_xlfn.XLOOKUP(1,($B$2:$B$313=$B130)*($BO$2:$BO$313=BR130),Data!$I$2:$I$313,,0),_xlfn.XLOOKUP(1,($B$2:$B$313=$B130)*($BQ$2:$BQ$313=$BR130),$I$2:$I$313,,0)))</f>
        <v>Asko Haaksi</v>
      </c>
      <c r="BU130" s="1" t="str" cm="1">
        <f t="array" ref="BU130">IF(I130="","",IF($B130=1,_xlfn.XLOOKUP(1,($B$2:$B$313=$B130)*($BO$2:$BO$313=$BS130),$I$2:$I$313,,0),_xlfn.XLOOKUP(1,($B$2:$B$313=$B130)*($BQ$2:$BQ$313=$BS130),$I$2:$I$313,,0)))</f>
        <v>Mika Sola</v>
      </c>
      <c r="BV130" s="1" t="str" cm="1">
        <f t="array" ref="BV130">IF($I130="","",IF($B130=1,"",IF($B130=2,_xlfn.XLOOKUP(1,($B$2:$B$313=1)*($BO$2:$BO$313=1),$I$2:$I$313,,0),_xlfn.XLOOKUP($B130-1,$B$2:$B$313,$CH$2:$CH$313,,0))))</f>
        <v>Jami Kallio</v>
      </c>
      <c r="BW130" s="1" t="str" cm="1">
        <f t="array" ref="BW130">IF($I130="","",IF($B130=1,"",IF(_xlfn.XLOOKUP(1,($B$2:$B$313=$B130)*($I$2:$I$313=$BV130),$BQ$2:$BQ$313,,0)="","NOK","OK")))</f>
        <v>OK</v>
      </c>
      <c r="BX130" s="1" t="str">
        <f t="shared" si="114"/>
        <v>Jami Kallio</v>
      </c>
      <c r="BY130" s="1" t="str">
        <f t="shared" si="115"/>
        <v>Asko Haaksi</v>
      </c>
      <c r="BZ130" s="1">
        <f t="shared" si="116"/>
        <v>171</v>
      </c>
      <c r="CA130" s="1">
        <f t="shared" si="117"/>
        <v>123</v>
      </c>
      <c r="CB130" s="1">
        <f t="shared" si="118"/>
        <v>9.8999999999999994E-5</v>
      </c>
      <c r="CC130" s="1">
        <f t="shared" si="119"/>
        <v>131</v>
      </c>
      <c r="CD130" s="1">
        <f t="shared" si="120"/>
        <v>129</v>
      </c>
      <c r="CE130" s="1">
        <f t="shared" si="121"/>
        <v>9.8999999999999994E-5</v>
      </c>
      <c r="CF130" s="1" t="str">
        <f t="shared" si="122"/>
        <v>Jami Kallio (P)</v>
      </c>
      <c r="CG130" s="1" t="str">
        <f t="shared" si="123"/>
        <v>Asko Haaksi (1)</v>
      </c>
      <c r="CH130" s="1" t="str">
        <f t="shared" si="124"/>
        <v>Jami Kallio</v>
      </c>
      <c r="CI130" s="1">
        <f t="shared" si="125"/>
        <v>0</v>
      </c>
      <c r="CJ130" s="1" t="str">
        <f ca="1">IF(B130="","",IF(SUM(AI130:AK130)&gt;0,"+SP","")&amp;IF(CI130&gt;0,"+KK","")&amp;IF(AB130&gt;0,"+KGP1","")&amp;IF(AC130&gt;0,"+KGP2","")&amp;IF(AG130&lt;0,"-KGP1","")&amp;IF(AH130&lt;0,"-KGP2",""))</f>
        <v>+SP</v>
      </c>
    </row>
    <row r="131" spans="1:88" x14ac:dyDescent="0.25">
      <c r="A131" s="1">
        <f>IFERROR(IF(ROW(A130)=1,1,IF(1+A130&lt;=$CP$1*$CP$2,1+A130,"")),"")</f>
        <v>130</v>
      </c>
      <c r="B131" s="1">
        <f>IF($I131="","",IF(ROW(B130)=1,1,ROUNDUP(A131/$CP$2,0)))</f>
        <v>8</v>
      </c>
      <c r="C131" s="4">
        <f t="shared" ref="C131:C194" si="132">IF(B131="","",VLOOKUP($B131,kilpailukalenteri,2))</f>
        <v>45690</v>
      </c>
      <c r="D131" s="4" t="str">
        <f t="shared" si="126"/>
        <v>Aninkaisten keilahalli</v>
      </c>
      <c r="E131" s="1">
        <f>IF($B131="","",COUNTIF($B$2:B131,B131))</f>
        <v>4</v>
      </c>
      <c r="F131" s="1" t="str">
        <f t="shared" si="127"/>
        <v>K2024GP08</v>
      </c>
      <c r="G131" s="1" t="str">
        <f t="shared" ref="G131:G194" si="133">IF(F131="","",F131&amp;"_"&amp;E131)</f>
        <v>K2024GP08_4</v>
      </c>
      <c r="H131" s="1">
        <f t="shared" ref="H131:H194" si="134">COUNTIFS($I$2:$I$313,I131,$B$2:$B$313,B131)</f>
        <v>1</v>
      </c>
      <c r="I131" s="3" t="s">
        <v>128</v>
      </c>
      <c r="J131" s="3">
        <v>105</v>
      </c>
      <c r="K131" s="3">
        <v>111</v>
      </c>
      <c r="L131" s="1">
        <f t="shared" ref="L131:L194" si="135">IF($B131="","",J131+K131)</f>
        <v>216</v>
      </c>
      <c r="M131" s="1">
        <f t="shared" ref="M131:M194" si="136">IF($B131="","",IF($K131="",0,1))</f>
        <v>1</v>
      </c>
      <c r="N131" s="1">
        <f t="shared" ref="N131:N194" si="137">IF(B131="","",IF(M131=0,"",R131))</f>
        <v>14</v>
      </c>
      <c r="O131" s="1">
        <f t="shared" ref="O131:O194" si="138">IF(B131="","",IF(M131=0,"",L131))</f>
        <v>216</v>
      </c>
      <c r="P131" s="1">
        <f t="shared" ref="P131:P194" si="139">IF(B131="","",IF(M131=0,"",Q131))</f>
        <v>127</v>
      </c>
      <c r="Q131" s="1">
        <f t="array" ref="Q131">IF($B131="","",IF(MAX(IF(B131=$B$2:$B$313,$L$2:$L$313))-L131=0,"",MAX(IF(B131=$B$2:$B$313,$L$2:$L$313))-L131))</f>
        <v>127</v>
      </c>
      <c r="R131" s="1">
        <f t="array" ref="R131">IF($B131="","",SUMPRODUCT(--($B$2:$B$313=B131),--(L131&lt;$L$2:$L$313))+1)</f>
        <v>14</v>
      </c>
      <c r="S131" s="1">
        <f t="shared" ref="S131:S194" si="140">IF(B131="","",2*M131)</f>
        <v>2</v>
      </c>
      <c r="T131" s="1" cm="1">
        <f t="array" ref="T131">IF($B131="","",IF(M131=0,"",SUMPRODUCT(--($B$2:$B$313=B131),--(J131&lt;$J$2:$J$313))+1))</f>
        <v>12</v>
      </c>
      <c r="U131" s="1">
        <f t="shared" ref="U131:U194" si="141">IF(T131="","",N131-T131)</f>
        <v>2</v>
      </c>
      <c r="V131" s="1" t="str">
        <f t="shared" ref="V131:V194" si="142">IF($B131="","",IF(B131&lt;10,0,"")&amp;B131&amp;IF(R131&lt;10,0,"")&amp;R131)</f>
        <v>0814</v>
      </c>
      <c r="W131" s="1">
        <f t="shared" ref="W131:W194" si="143">IF($B131="","",COUNTIFS($L$2:$L$313,L131,$B$2:$B$313,B131))</f>
        <v>1</v>
      </c>
      <c r="X131" s="1">
        <f t="shared" si="128"/>
        <v>0</v>
      </c>
      <c r="Y131" s="1">
        <f>IF($B131="","",MAX(_xlfn.MAXIFS($J$2:J131,$I$2:I131,$I131),_xlfn.MAXIFS($K$2:K131,$I$2:I131,$I131)))</f>
        <v>164</v>
      </c>
      <c r="Z131" s="1">
        <f t="shared" ref="Z131:Z194" si="144">IF($B131="","",MAX(_xlfn.MAXIFS($J$2:$J$313,$B$2:$B$313,$B131),_xlfn.MAXIFS($K$2:$K$313,$B$2:$B$313,$B131)))</f>
        <v>203</v>
      </c>
      <c r="AA131" s="1">
        <f t="shared" ref="AA131:AA194" si="145">IF($B131="","",IF($X131=0,0,IF(MAX($J131:$K131)&gt;=$Z131,1,0)))</f>
        <v>0</v>
      </c>
      <c r="AB131" s="1">
        <f t="shared" ref="AB131:AB194" si="146">IF($B131="","",IF($AA131=0,0,1/SUMIFS($AA$2:$AA$313,$B$2:$B$313,$B131)))</f>
        <v>0</v>
      </c>
      <c r="AC131" s="1">
        <f t="shared" ref="AC131:AC194" si="147">IF($B131="","",IF(MAX($J131:$K131)&gt;=$Y131,1,0)*$X131*$BE131)</f>
        <v>0</v>
      </c>
      <c r="AD131" s="1">
        <f>IF($B131="","",MIN(_xlfn.MINIFS($J$2:J131,$I$2:I131,$I131),_xlfn.MINIFS($K$2:K131,$I$2:I131,$I131)))</f>
        <v>92</v>
      </c>
      <c r="AE131" s="1">
        <f t="shared" ref="AE131:AE194" si="148">IF($B131="","",MIN(_xlfn.MINIFS($J$2:$J$313,$B$2:$B$313,$B131),_xlfn.MINIFS($K$2:$K$313,$B$2:$B$313,$B131)))</f>
        <v>80</v>
      </c>
      <c r="AF131" s="1">
        <f t="shared" ref="AF131:AF194" si="149">IF($B131="","",IF(M131=0,0,IF($X131=0,0,IF(MIN($J131:$K131)&lt;=$AE131,1,0))))</f>
        <v>0</v>
      </c>
      <c r="AG131" s="1">
        <f t="shared" ref="AG131:AG194" si="150">IF($B131="","",IF($AF131=0,0,-1/SUMIFS($AF$2:$AF$313,$B$2:$B$313,$B131)))</f>
        <v>0</v>
      </c>
      <c r="AH131" s="1">
        <f t="shared" ref="AH131:AH194" si="151">IF($B131="","",IF(M131=0,0,IF(MIN($J131:$K131)&lt;=$AD131,-1,0)*$X131*$BE131))</f>
        <v>0</v>
      </c>
      <c r="AI131" s="1">
        <f ca="1">IF($B131="","",IF($K131="",0,OFFSET($CO$17,R131,W131)))</f>
        <v>0</v>
      </c>
      <c r="AJ131" s="1">
        <f t="shared" ref="AJ131:AJ194" ca="1" si="152">IF(AI131="","",IF(N131=_xlfn.MAXIFS($N$2:$N$313,$B$2:$B$313,$B131),-AI131,0))</f>
        <v>0</v>
      </c>
      <c r="AK131" s="1">
        <f ca="1">IF(AJ131="","",IF(AJ131=0,0,IF(W131=1,0,SUM(OFFSET($CO$17,N131,1):OFFSET($CO$17,N131+W131-2,1))/W131)))</f>
        <v>0</v>
      </c>
      <c r="AL131" s="1">
        <f t="shared" ref="AL131:AL194" ca="1" si="153">IF($B131="","",IF($K131="",0,SUM(AI131:AK131)+SUM(AB131:AC131)+SUM(AG131:AH131)+CI131))</f>
        <v>0</v>
      </c>
      <c r="AM131" s="1">
        <f ca="1">IF($B131="","",SUMIFS($AL$2:AL131,$I$2:I131,$I131))</f>
        <v>20</v>
      </c>
      <c r="AN131" s="1">
        <f t="shared" ref="AN131:AN194" si="154">IF($B131="","",$R131+$A131/1000000)</f>
        <v>14.00013</v>
      </c>
      <c r="AO131" s="1">
        <f>IFERROR(IF($B131="","",AVERAGEIFS($L$2:L131,$I$2:I131,I131,$L$2:L131,"&lt;&gt;0")),0)</f>
        <v>244.16666666666666</v>
      </c>
      <c r="AP131" s="1">
        <f t="shared" ref="AP131:AP194" si="155">IF($B131="","",AO131/2)</f>
        <v>122.08333333333333</v>
      </c>
      <c r="AQ131" s="1">
        <f>IF($B131="","",COUNTIFS($R$2:R131,1,$I$2:I131,$I131))</f>
        <v>1</v>
      </c>
      <c r="AR131" s="1">
        <f t="array" aca="1" ref="AR131" ca="1">IF($B131="","",SUMPRODUCT(--($B$2:$B$313=B131),--(AM131&lt;$AM$2:$AM$313))+1)</f>
        <v>10</v>
      </c>
      <c r="AS131" s="1">
        <f t="array" ref="AS131">IF($B131="","",SUMPRODUCT(--($B$2:$B$313=B131),--(AP131&lt;$AP$2:$AP$313))+1)</f>
        <v>15</v>
      </c>
      <c r="AT131" s="1">
        <f t="array" ref="AT131">IF($B131="","",SUMPRODUCT(--($B$2:$B$313=B131),--(AQ131&lt;$AQ$2:$AQ$313))+1)</f>
        <v>3</v>
      </c>
      <c r="AU131" s="1">
        <f t="shared" ref="AU131:AU194" si="156">IF($B131="","",$A131/1000000000)</f>
        <v>1.3E-7</v>
      </c>
      <c r="AV131" s="1">
        <f t="shared" ref="AV131:AV194" ca="1" si="157">IF($B131="","",AR131/100+AS131/10000+AT131/1000000+AU131)</f>
        <v>0.10150313000000001</v>
      </c>
      <c r="AW131" s="1" t="str">
        <f t="shared" si="129"/>
        <v/>
      </c>
      <c r="AX131" s="1" t="str">
        <f t="shared" ref="AX131:AX194" si="158">IF($AW131="","",_xlfn.RANK.EQ($AW131,$AW$2:$AW$313,1))</f>
        <v/>
      </c>
      <c r="AY131" s="8">
        <f t="shared" ref="AY131:AY194" ca="1" si="159">IF($B131="","",AR131/100+AS131/10000+AT131/1000000+AU131)</f>
        <v>0.10150313000000001</v>
      </c>
      <c r="AZ131" s="1" cm="1">
        <f t="array" aca="1" ref="AZ131" ca="1">IF($B131="","",SUMPRODUCT(--($B$2:$B$313=B131),--(AY131&gt;$AY$2:$AY$313))+1)</f>
        <v>11</v>
      </c>
      <c r="BA131" s="1" t="str">
        <f t="shared" ref="BA131:BA194" si="160">IF(G131="","",G131&amp;"_"&amp;1)</f>
        <v>K2024GP08_4_1</v>
      </c>
      <c r="BB131" s="1" t="str">
        <f t="shared" ref="BB131:BB194" si="161">IF(G131="","",G131&amp;"_"&amp;2)</f>
        <v>K2024GP08_4_2</v>
      </c>
      <c r="BC131" s="1">
        <f t="shared" ref="BC131:BC194" si="162">IF(B131="","",IF(N131=1,1,0))</f>
        <v>0</v>
      </c>
      <c r="BD131" s="1">
        <f t="shared" ref="BD131:BD194" si="163">IF(B131="","",IF(N131&lt;=3,1,0))</f>
        <v>0</v>
      </c>
      <c r="BE131" s="1">
        <f t="shared" ref="BE131:BE194" si="164">IF(I131="","",IF(AND(COUNTIFS($A$2:$A$313,"&lt;"&amp;A131,$I$2:$I$313,$I131,$M$2:$M$313,1)=0,X131=1),0,1))</f>
        <v>1</v>
      </c>
      <c r="BF131" s="1">
        <f t="shared" ref="BF131:BF194" si="165">IF(I131="","",MAX(J131:K131))</f>
        <v>111</v>
      </c>
      <c r="BG131" s="1">
        <f t="shared" ref="BG131:BG194" si="166">IF(I131="","",MIN(J131:K131))</f>
        <v>105</v>
      </c>
      <c r="BH131" s="1">
        <f t="shared" ref="BH131:BH194" si="167">IF(I131="","",COUNTIFS($B$2:$B$313,$B131,BF$2:BF$313,"&gt;"&amp;BF131)+1)</f>
        <v>14</v>
      </c>
      <c r="BI131" s="1">
        <f t="shared" ref="BI131:BI194" si="168">IF(I131="","",COUNTIFS($B$2:$B$313,$B131,BG$2:BG$313,"&gt;"&amp;BG131)+1)</f>
        <v>11</v>
      </c>
      <c r="BJ131" s="1">
        <f t="shared" ref="BJ131:BJ194" si="169">IF(I131="","",BH131/100+BI131/10000)</f>
        <v>0.1411</v>
      </c>
      <c r="BK131" s="1">
        <f t="shared" ref="BK131:BK194" si="170">IF(I131="","",IF(L131=0,"",COUNTIFS($B$2:$B$313,B131,$BJ$2:$BJ$313,BJ131)-1))</f>
        <v>0</v>
      </c>
      <c r="BL131" s="1">
        <f t="shared" ref="BL131:BL194" si="171">IF(I131="","",0.000099)</f>
        <v>9.8999999999999994E-5</v>
      </c>
      <c r="BM131" s="1">
        <f t="shared" ref="BM131:BM194" si="172">IF(I131="","",BH131/100+BI131/10000+BL131+IF(L131=0,ROW()/10000000,0))</f>
        <v>0.14119899999999999</v>
      </c>
      <c r="BN131" s="1">
        <f t="shared" ref="BN131:BN194" si="173">IF(I131="","",IF(L131=0,"",COUNTIFS($B$2:$B$313,B131,$BM$2:$BM$313,BM131)-1))</f>
        <v>0</v>
      </c>
      <c r="BO131" s="1">
        <f t="shared" si="130"/>
        <v>14</v>
      </c>
      <c r="BP131" s="1">
        <f t="shared" si="131"/>
        <v>0</v>
      </c>
      <c r="BQ131" s="1" cm="1">
        <f t="array" ref="BQ131">IF(I131="","",IF(BP131=1,"",IF(L131=0,"",IF(B131=1,"",_xlfn.XLOOKUP(1,($I$2:$I$313=$I131)*($B$2:$B$313=($B131-1)),$BO$2:$BO$313)))))</f>
        <v>14</v>
      </c>
      <c r="BR131" s="1">
        <f>IF(I131="","",IF($B131=1,_xlfn.MINIFS($BO$2:$BO$313,$B$2:$B$313,$B131),_xlfn.MINIFS(BQ$2:$BQ$313,$B$2:$B$313,$B131)))</f>
        <v>1</v>
      </c>
      <c r="BS131" s="1">
        <f t="shared" ref="BS131:BS194" si="174">IF($I131="","",IF($B131=1,_xlfn.MINIFS($BO$2:$BO$313,$B$2:$B$313,$B131,$BO$2:$BO$313,"&lt;&gt;"&amp;$BR131),_xlfn.MINIFS($BQ$2:$BQ$313,$B$2:$B$313,$B131,$BQ$2:$BQ$313,"&lt;&gt;"&amp;$BR131)))</f>
        <v>3</v>
      </c>
      <c r="BT131" s="1" t="str" cm="1">
        <f t="array" ref="BT131">IF($I131="","",IF($B131=1,_xlfn.XLOOKUP(1,($B$2:$B$313=$B131)*($BO$2:$BO$313=BR131),Data!$I$2:$I$313,,0),_xlfn.XLOOKUP(1,($B$2:$B$313=$B131)*($BQ$2:$BQ$313=$BR131),$I$2:$I$313,,0)))</f>
        <v>Asko Haaksi</v>
      </c>
      <c r="BU131" s="1" t="str" cm="1">
        <f t="array" ref="BU131">IF(I131="","",IF($B131=1,_xlfn.XLOOKUP(1,($B$2:$B$313=$B131)*($BO$2:$BO$313=$BS131),$I$2:$I$313,,0),_xlfn.XLOOKUP(1,($B$2:$B$313=$B131)*($BQ$2:$BQ$313=$BS131),$I$2:$I$313,,0)))</f>
        <v>Mika Sola</v>
      </c>
      <c r="BV131" s="1" t="str" cm="1">
        <f t="array" ref="BV131">IF($I131="","",IF($B131=1,"",IF($B131=2,_xlfn.XLOOKUP(1,($B$2:$B$313=1)*($BO$2:$BO$313=1),$I$2:$I$313,,0),_xlfn.XLOOKUP($B131-1,$B$2:$B$313,$CH$2:$CH$313,,0))))</f>
        <v>Jami Kallio</v>
      </c>
      <c r="BW131" s="1" t="str" cm="1">
        <f t="array" ref="BW131">IF($I131="","",IF($B131=1,"",IF(_xlfn.XLOOKUP(1,($B$2:$B$313=$B131)*($I$2:$I$313=$BV131),$BQ$2:$BQ$313,,0)="","NOK","OK")))</f>
        <v>OK</v>
      </c>
      <c r="BX131" s="1" t="str">
        <f t="shared" ref="BX131:BX194" si="175">IF(I131="","",IF($B131=1,"",IF(BW131="OK",BV131,IF(OR(BV131=BT131,BV131=BU131),BV131,BT131))))</f>
        <v>Jami Kallio</v>
      </c>
      <c r="BY131" s="1" t="str">
        <f t="shared" ref="BY131:BY194" si="176">IF($I131="","",IF($B131=1,"",IF(BX131=BT131,BU131,BT131)))</f>
        <v>Asko Haaksi</v>
      </c>
      <c r="BZ131" s="1">
        <f t="shared" ref="BZ131:BZ194" si="177">IF($I131="","",IF($B131=1,"",SUMIFS($BF$2:$BF$313,$B$2:$B$313,$B131,$I$2:$I$313,$BX131)))</f>
        <v>171</v>
      </c>
      <c r="CA131" s="1">
        <f t="shared" ref="CA131:CA194" si="178">IF($I131="","",IF($B131=1,"",SUMIFS($BG$2:$BG$313,$B$2:$B$313,$B131,$I$2:$I$313,$BX131)))</f>
        <v>123</v>
      </c>
      <c r="CB131" s="1">
        <f t="shared" ref="CB131:CB194" si="179">IF($I131="","",IF($B131=1,"",SUMIFS($BL$2:$BL$313,$B$2:$B$313,$B131,$I$2:$I$313,$BX131)))</f>
        <v>9.8999999999999994E-5</v>
      </c>
      <c r="CC131" s="1">
        <f t="shared" ref="CC131:CC194" si="180">IF($I131="","",IF($B131=1,"",SUMIFS($BF$2:$BF$313,$B$2:$B$313,$B131,$I$2:$I$313,$BY131)))</f>
        <v>131</v>
      </c>
      <c r="CD131" s="1">
        <f t="shared" ref="CD131:CD194" si="181">IF($I131="","",IF($B131=1,"",SUMIFS($BG$2:$BG$313,$B$2:$B$313,$B131,$I$2:$I$313,$BY131)))</f>
        <v>129</v>
      </c>
      <c r="CE131" s="1">
        <f t="shared" ref="CE131:CE194" si="182">IF($I131="","",IF($B131=1,"",SUMIFS($BL$2:$BL$313,$B$2:$B$313,$B131,$I$2:$I$313,$BY131)))</f>
        <v>9.8999999999999994E-5</v>
      </c>
      <c r="CF131" s="1" t="str">
        <f t="shared" ref="CF131:CF194" si="183">IF(I131="","",BX131&amp;IF(B131=1,"",IF(BX131=BV131," (P)"," ("&amp;BR131&amp;")")))</f>
        <v>Jami Kallio (P)</v>
      </c>
      <c r="CG131" s="1" t="str">
        <f t="shared" ref="CG131:CG194" si="184">IF(I131="","",IF(B131=1,"",BY131&amp;" ("&amp;IF(BY131=BT131,BR131,BS131)&amp;")"))</f>
        <v>Asko Haaksi (1)</v>
      </c>
      <c r="CH131" s="1" t="str">
        <f t="shared" ref="CH131:CH194" si="185">IF($I131="","",IF($B131=1,BT131,IF(BZ131=CC131,IF(CA131=CD131,IF(CB131&lt;CE131,BX131,BY131),IF(CA131&gt;CD131,BX131,BY131)),IF(BZ131&gt;CC131,BX131,BY131))))</f>
        <v>Jami Kallio</v>
      </c>
      <c r="CI131" s="1">
        <f t="shared" ref="CI131:CI194" si="186">IF($I131="","",IF(I131=CH131,1,0))</f>
        <v>0</v>
      </c>
      <c r="CJ131" s="1" t="str">
        <f ca="1">IF(B131="","",IF(SUM(AI131:AK131)&gt;0,"+SP","")&amp;IF(CI131&gt;0,"+KK","")&amp;IF(AB131&gt;0,"+KGP1","")&amp;IF(AC131&gt;0,"+KGP2","")&amp;IF(AG131&lt;0,"-KGP1","")&amp;IF(AH131&lt;0,"-KGP2",""))</f>
        <v/>
      </c>
    </row>
    <row r="132" spans="1:88" x14ac:dyDescent="0.25">
      <c r="A132" s="1">
        <f>IFERROR(IF(ROW(A131)=1,1,IF(1+A131&lt;=$CP$1*$CP$2,1+A131,"")),"")</f>
        <v>131</v>
      </c>
      <c r="B132" s="1">
        <f>IF($I132="","",IF(ROW(B131)=1,1,ROUNDUP(A132/$CP$2,0)))</f>
        <v>8</v>
      </c>
      <c r="C132" s="4">
        <f t="shared" si="132"/>
        <v>45690</v>
      </c>
      <c r="D132" s="4" t="str">
        <f t="shared" si="126"/>
        <v>Aninkaisten keilahalli</v>
      </c>
      <c r="E132" s="1">
        <f>IF($B132="","",COUNTIF($B$2:B132,B132))</f>
        <v>5</v>
      </c>
      <c r="F132" s="1" t="str">
        <f t="shared" si="127"/>
        <v>K2024GP08</v>
      </c>
      <c r="G132" s="1" t="str">
        <f t="shared" si="133"/>
        <v>K2024GP08_5</v>
      </c>
      <c r="H132" s="1">
        <f t="shared" si="134"/>
        <v>1</v>
      </c>
      <c r="I132" s="3" t="s">
        <v>134</v>
      </c>
      <c r="J132" s="3">
        <v>123</v>
      </c>
      <c r="K132" s="3">
        <v>171</v>
      </c>
      <c r="L132" s="1">
        <f t="shared" si="135"/>
        <v>294</v>
      </c>
      <c r="M132" s="1">
        <f t="shared" si="136"/>
        <v>1</v>
      </c>
      <c r="N132" s="1">
        <f t="shared" si="137"/>
        <v>5</v>
      </c>
      <c r="O132" s="1">
        <f t="shared" si="138"/>
        <v>294</v>
      </c>
      <c r="P132" s="1">
        <f t="shared" si="139"/>
        <v>49</v>
      </c>
      <c r="Q132" s="1">
        <f t="array" ref="Q132">IF($B132="","",IF(MAX(IF(B132=$B$2:$B$313,$L$2:$L$313))-L132=0,"",MAX(IF(B132=$B$2:$B$313,$L$2:$L$313))-L132))</f>
        <v>49</v>
      </c>
      <c r="R132" s="1">
        <f t="array" ref="R132">IF($B132="","",SUMPRODUCT(--($B$2:$B$313=B132),--(L132&lt;$L$2:$L$313))+1)</f>
        <v>5</v>
      </c>
      <c r="S132" s="1">
        <f t="shared" si="140"/>
        <v>2</v>
      </c>
      <c r="T132" s="1" cm="1">
        <f t="array" ref="T132">IF($B132="","",IF(M132=0,"",SUMPRODUCT(--($B$2:$B$313=B132),--(J132&lt;$J$2:$J$313))+1))</f>
        <v>9</v>
      </c>
      <c r="U132" s="1">
        <f t="shared" si="141"/>
        <v>-4</v>
      </c>
      <c r="V132" s="1" t="str">
        <f t="shared" si="142"/>
        <v>0805</v>
      </c>
      <c r="W132" s="1">
        <f t="shared" si="143"/>
        <v>1</v>
      </c>
      <c r="X132" s="1">
        <f t="shared" si="128"/>
        <v>0</v>
      </c>
      <c r="Y132" s="1">
        <f>IF($B132="","",MAX(_xlfn.MAXIFS($J$2:J132,$I$2:I132,$I132),_xlfn.MAXIFS($K$2:K132,$I$2:I132,$I132)))</f>
        <v>196</v>
      </c>
      <c r="Z132" s="1">
        <f t="shared" si="144"/>
        <v>203</v>
      </c>
      <c r="AA132" s="1">
        <f t="shared" si="145"/>
        <v>0</v>
      </c>
      <c r="AB132" s="1">
        <f t="shared" si="146"/>
        <v>0</v>
      </c>
      <c r="AC132" s="1">
        <f t="shared" si="147"/>
        <v>0</v>
      </c>
      <c r="AD132" s="1">
        <f>IF($B132="","",MIN(_xlfn.MINIFS($J$2:J132,$I$2:I132,$I132),_xlfn.MINIFS($K$2:K132,$I$2:I132,$I132)))</f>
        <v>97</v>
      </c>
      <c r="AE132" s="1">
        <f t="shared" si="148"/>
        <v>80</v>
      </c>
      <c r="AF132" s="1">
        <f t="shared" si="149"/>
        <v>0</v>
      </c>
      <c r="AG132" s="1">
        <f t="shared" si="150"/>
        <v>0</v>
      </c>
      <c r="AH132" s="1">
        <f t="shared" si="151"/>
        <v>0</v>
      </c>
      <c r="AI132" s="1">
        <f ca="1">IF($B132="","",IF($K132="",0,OFFSET($CO$17,R132,W132)))</f>
        <v>6</v>
      </c>
      <c r="AJ132" s="1">
        <f t="shared" ca="1" si="152"/>
        <v>0</v>
      </c>
      <c r="AK132" s="1">
        <f ca="1">IF(AJ132="","",IF(AJ132=0,0,IF(W132=1,0,SUM(OFFSET($CO$17,N132,1):OFFSET($CO$17,N132+W132-2,1))/W132)))</f>
        <v>0</v>
      </c>
      <c r="AL132" s="1">
        <f t="shared" ca="1" si="153"/>
        <v>7</v>
      </c>
      <c r="AM132" s="1">
        <f ca="1">IF($B132="","",SUMIFS($AL$2:AL132,$I$2:I132,$I132))</f>
        <v>64</v>
      </c>
      <c r="AN132" s="1">
        <f t="shared" si="154"/>
        <v>5.0001309999999997</v>
      </c>
      <c r="AO132" s="1">
        <f>IFERROR(IF($B132="","",AVERAGEIFS($L$2:L132,$I$2:I132,I132,$L$2:L132,"&lt;&gt;0")),0)</f>
        <v>302.125</v>
      </c>
      <c r="AP132" s="1">
        <f t="shared" si="155"/>
        <v>151.0625</v>
      </c>
      <c r="AQ132" s="1">
        <f>IF($B132="","",COUNTIFS($R$2:R132,1,$I$2:I132,$I132))</f>
        <v>1</v>
      </c>
      <c r="AR132" s="1">
        <f t="array" aca="1" ref="AR132" ca="1">IF($B132="","",SUMPRODUCT(--($B$2:$B$313=B132),--(AM132&lt;$AM$2:$AM$313))+1)</f>
        <v>1</v>
      </c>
      <c r="AS132" s="1">
        <f t="array" ref="AS132">IF($B132="","",SUMPRODUCT(--($B$2:$B$313=B132),--(AP132&lt;$AP$2:$AP$313))+1)</f>
        <v>4</v>
      </c>
      <c r="AT132" s="1">
        <f t="array" ref="AT132">IF($B132="","",SUMPRODUCT(--($B$2:$B$313=B132),--(AQ132&lt;$AQ$2:$AQ$313))+1)</f>
        <v>3</v>
      </c>
      <c r="AU132" s="1">
        <f t="shared" si="156"/>
        <v>1.31E-7</v>
      </c>
      <c r="AV132" s="1">
        <f t="shared" ca="1" si="157"/>
        <v>1.0403130999999999E-2</v>
      </c>
      <c r="AW132" s="1" t="str">
        <f t="shared" si="129"/>
        <v/>
      </c>
      <c r="AX132" s="1" t="str">
        <f t="shared" si="158"/>
        <v/>
      </c>
      <c r="AY132" s="8">
        <f t="shared" ca="1" si="159"/>
        <v>1.0403130999999999E-2</v>
      </c>
      <c r="AZ132" s="1" cm="1">
        <f t="array" aca="1" ref="AZ132" ca="1">IF($B132="","",SUMPRODUCT(--($B$2:$B$313=B132),--(AY132&gt;$AY$2:$AY$313))+1)</f>
        <v>1</v>
      </c>
      <c r="BA132" s="1" t="str">
        <f t="shared" si="160"/>
        <v>K2024GP08_5_1</v>
      </c>
      <c r="BB132" s="1" t="str">
        <f t="shared" si="161"/>
        <v>K2024GP08_5_2</v>
      </c>
      <c r="BC132" s="1">
        <f t="shared" si="162"/>
        <v>0</v>
      </c>
      <c r="BD132" s="1">
        <f t="shared" si="163"/>
        <v>0</v>
      </c>
      <c r="BE132" s="1">
        <f t="shared" si="164"/>
        <v>1</v>
      </c>
      <c r="BF132" s="1">
        <f t="shared" si="165"/>
        <v>171</v>
      </c>
      <c r="BG132" s="1">
        <f t="shared" si="166"/>
        <v>123</v>
      </c>
      <c r="BH132" s="1">
        <f t="shared" si="167"/>
        <v>3</v>
      </c>
      <c r="BI132" s="1">
        <f t="shared" si="168"/>
        <v>7</v>
      </c>
      <c r="BJ132" s="1">
        <f t="shared" si="169"/>
        <v>3.0699999999999998E-2</v>
      </c>
      <c r="BK132" s="1">
        <f t="shared" si="170"/>
        <v>0</v>
      </c>
      <c r="BL132" s="1">
        <f t="shared" si="171"/>
        <v>9.8999999999999994E-5</v>
      </c>
      <c r="BM132" s="1">
        <f t="shared" si="172"/>
        <v>3.0798999999999997E-2</v>
      </c>
      <c r="BN132" s="1">
        <f t="shared" si="173"/>
        <v>0</v>
      </c>
      <c r="BO132" s="1">
        <f t="shared" si="130"/>
        <v>4</v>
      </c>
      <c r="BP132" s="1">
        <f t="shared" si="131"/>
        <v>0</v>
      </c>
      <c r="BQ132" s="1" cm="1">
        <f t="array" ref="BQ132">IF(I132="","",IF(BP132=1,"",IF(L132=0,"",IF(B132=1,"",_xlfn.XLOOKUP(1,($I$2:$I$313=$I132)*($B$2:$B$313=($B132-1)),$BO$2:$BO$313)))))</f>
        <v>6</v>
      </c>
      <c r="BR132" s="1">
        <f>IF(I132="","",IF($B132=1,_xlfn.MINIFS($BO$2:$BO$313,$B$2:$B$313,$B132),_xlfn.MINIFS(BQ$2:$BQ$313,$B$2:$B$313,$B132)))</f>
        <v>1</v>
      </c>
      <c r="BS132" s="1">
        <f t="shared" si="174"/>
        <v>3</v>
      </c>
      <c r="BT132" s="1" t="str" cm="1">
        <f t="array" ref="BT132">IF($I132="","",IF($B132=1,_xlfn.XLOOKUP(1,($B$2:$B$313=$B132)*($BO$2:$BO$313=BR132),Data!$I$2:$I$313,,0),_xlfn.XLOOKUP(1,($B$2:$B$313=$B132)*($BQ$2:$BQ$313=$BR132),$I$2:$I$313,,0)))</f>
        <v>Asko Haaksi</v>
      </c>
      <c r="BU132" s="1" t="str" cm="1">
        <f t="array" ref="BU132">IF(I132="","",IF($B132=1,_xlfn.XLOOKUP(1,($B$2:$B$313=$B132)*($BO$2:$BO$313=$BS132),$I$2:$I$313,,0),_xlfn.XLOOKUP(1,($B$2:$B$313=$B132)*($BQ$2:$BQ$313=$BS132),$I$2:$I$313,,0)))</f>
        <v>Mika Sola</v>
      </c>
      <c r="BV132" s="1" t="str" cm="1">
        <f t="array" ref="BV132">IF($I132="","",IF($B132=1,"",IF($B132=2,_xlfn.XLOOKUP(1,($B$2:$B$313=1)*($BO$2:$BO$313=1),$I$2:$I$313,,0),_xlfn.XLOOKUP($B132-1,$B$2:$B$313,$CH$2:$CH$313,,0))))</f>
        <v>Jami Kallio</v>
      </c>
      <c r="BW132" s="1" t="str" cm="1">
        <f t="array" ref="BW132">IF($I132="","",IF($B132=1,"",IF(_xlfn.XLOOKUP(1,($B$2:$B$313=$B132)*($I$2:$I$313=$BV132),$BQ$2:$BQ$313,,0)="","NOK","OK")))</f>
        <v>OK</v>
      </c>
      <c r="BX132" s="1" t="str">
        <f t="shared" si="175"/>
        <v>Jami Kallio</v>
      </c>
      <c r="BY132" s="1" t="str">
        <f t="shared" si="176"/>
        <v>Asko Haaksi</v>
      </c>
      <c r="BZ132" s="1">
        <f t="shared" si="177"/>
        <v>171</v>
      </c>
      <c r="CA132" s="1">
        <f t="shared" si="178"/>
        <v>123</v>
      </c>
      <c r="CB132" s="1">
        <f t="shared" si="179"/>
        <v>9.8999999999999994E-5</v>
      </c>
      <c r="CC132" s="1">
        <f t="shared" si="180"/>
        <v>131</v>
      </c>
      <c r="CD132" s="1">
        <f t="shared" si="181"/>
        <v>129</v>
      </c>
      <c r="CE132" s="1">
        <f t="shared" si="182"/>
        <v>9.8999999999999994E-5</v>
      </c>
      <c r="CF132" s="1" t="str">
        <f t="shared" si="183"/>
        <v>Jami Kallio (P)</v>
      </c>
      <c r="CG132" s="1" t="str">
        <f t="shared" si="184"/>
        <v>Asko Haaksi (1)</v>
      </c>
      <c r="CH132" s="1" t="str">
        <f t="shared" si="185"/>
        <v>Jami Kallio</v>
      </c>
      <c r="CI132" s="1">
        <f t="shared" si="186"/>
        <v>1</v>
      </c>
      <c r="CJ132" s="1" t="str">
        <f ca="1">IF(B132="","",IF(SUM(AI132:AK132)&gt;0,"+SP","")&amp;IF(CI132&gt;0,"+KK","")&amp;IF(AB132&gt;0,"+KGP1","")&amp;IF(AC132&gt;0,"+KGP2","")&amp;IF(AG132&lt;0,"-KGP1","")&amp;IF(AH132&lt;0,"-KGP2",""))</f>
        <v>+SP+KK</v>
      </c>
    </row>
    <row r="133" spans="1:88" x14ac:dyDescent="0.25">
      <c r="A133" s="1">
        <f>IFERROR(IF(ROW(A132)=1,1,IF(1+A132&lt;=$CP$1*$CP$2,1+A132,"")),"")</f>
        <v>132</v>
      </c>
      <c r="B133" s="1">
        <f>IF($I133="","",IF(ROW(B132)=1,1,ROUNDUP(A133/$CP$2,0)))</f>
        <v>8</v>
      </c>
      <c r="C133" s="4">
        <f t="shared" si="132"/>
        <v>45690</v>
      </c>
      <c r="D133" s="4" t="str">
        <f t="shared" si="126"/>
        <v>Aninkaisten keilahalli</v>
      </c>
      <c r="E133" s="1">
        <f>IF($B133="","",COUNTIF($B$2:B133,B133))</f>
        <v>6</v>
      </c>
      <c r="F133" s="1" t="str">
        <f t="shared" si="127"/>
        <v>K2024GP08</v>
      </c>
      <c r="G133" s="1" t="str">
        <f t="shared" si="133"/>
        <v>K2024GP08_6</v>
      </c>
      <c r="H133" s="1">
        <f t="shared" si="134"/>
        <v>1</v>
      </c>
      <c r="I133" s="3" t="s">
        <v>117</v>
      </c>
      <c r="J133" s="3">
        <v>131</v>
      </c>
      <c r="K133" s="3">
        <v>129</v>
      </c>
      <c r="L133" s="1">
        <f t="shared" si="135"/>
        <v>260</v>
      </c>
      <c r="M133" s="1">
        <f t="shared" si="136"/>
        <v>1</v>
      </c>
      <c r="N133" s="1">
        <f t="shared" si="137"/>
        <v>9</v>
      </c>
      <c r="O133" s="1">
        <f t="shared" si="138"/>
        <v>260</v>
      </c>
      <c r="P133" s="1">
        <f t="shared" si="139"/>
        <v>83</v>
      </c>
      <c r="Q133" s="1">
        <f t="array" ref="Q133">IF($B133="","",IF(MAX(IF(B133=$B$2:$B$313,$L$2:$L$313))-L133=0,"",MAX(IF(B133=$B$2:$B$313,$L$2:$L$313))-L133))</f>
        <v>83</v>
      </c>
      <c r="R133" s="1">
        <f t="array" ref="R133">IF($B133="","",SUMPRODUCT(--($B$2:$B$313=B133),--(L133&lt;$L$2:$L$313))+1)</f>
        <v>9</v>
      </c>
      <c r="S133" s="1">
        <f t="shared" si="140"/>
        <v>2</v>
      </c>
      <c r="T133" s="1" cm="1">
        <f t="array" ref="T133">IF($B133="","",IF(M133=0,"",SUMPRODUCT(--($B$2:$B$313=B133),--(J133&lt;$J$2:$J$313))+1))</f>
        <v>7</v>
      </c>
      <c r="U133" s="1">
        <f t="shared" si="141"/>
        <v>2</v>
      </c>
      <c r="V133" s="1" t="str">
        <f t="shared" si="142"/>
        <v>0809</v>
      </c>
      <c r="W133" s="1">
        <f t="shared" si="143"/>
        <v>1</v>
      </c>
      <c r="X133" s="1">
        <f t="shared" si="128"/>
        <v>0</v>
      </c>
      <c r="Y133" s="1">
        <f>IF($B133="","",MAX(_xlfn.MAXIFS($J$2:J133,$I$2:I133,$I133),_xlfn.MAXIFS($K$2:K133,$I$2:I133,$I133)))</f>
        <v>177</v>
      </c>
      <c r="Z133" s="1">
        <f t="shared" si="144"/>
        <v>203</v>
      </c>
      <c r="AA133" s="1">
        <f t="shared" si="145"/>
        <v>0</v>
      </c>
      <c r="AB133" s="1">
        <f t="shared" si="146"/>
        <v>0</v>
      </c>
      <c r="AC133" s="1">
        <f t="shared" si="147"/>
        <v>0</v>
      </c>
      <c r="AD133" s="1">
        <f>IF($B133="","",MIN(_xlfn.MINIFS($J$2:J133,$I$2:I133,$I133),_xlfn.MINIFS($K$2:K133,$I$2:I133,$I133)))</f>
        <v>97</v>
      </c>
      <c r="AE133" s="1">
        <f t="shared" si="148"/>
        <v>80</v>
      </c>
      <c r="AF133" s="1">
        <f t="shared" si="149"/>
        <v>0</v>
      </c>
      <c r="AG133" s="1">
        <f t="shared" si="150"/>
        <v>0</v>
      </c>
      <c r="AH133" s="1">
        <f t="shared" si="151"/>
        <v>0</v>
      </c>
      <c r="AI133" s="1">
        <f ca="1">IF($B133="","",IF($K133="",0,OFFSET($CO$17,R133,W133)))</f>
        <v>2</v>
      </c>
      <c r="AJ133" s="1">
        <f t="shared" ca="1" si="152"/>
        <v>0</v>
      </c>
      <c r="AK133" s="1">
        <f ca="1">IF(AJ133="","",IF(AJ133=0,0,IF(W133=1,0,SUM(OFFSET($CO$17,N133,1):OFFSET($CO$17,N133+W133-2,1))/W133)))</f>
        <v>0</v>
      </c>
      <c r="AL133" s="1">
        <f t="shared" ca="1" si="153"/>
        <v>2</v>
      </c>
      <c r="AM133" s="1">
        <f ca="1">IF($B133="","",SUMIFS($AL$2:AL133,$I$2:I133,$I133))</f>
        <v>27</v>
      </c>
      <c r="AN133" s="1">
        <f t="shared" si="154"/>
        <v>9.0001320000000007</v>
      </c>
      <c r="AO133" s="1">
        <f>IFERROR(IF($B133="","",AVERAGEIFS($L$2:L133,$I$2:I133,I133,$L$2:L133,"&lt;&gt;0")),0)</f>
        <v>283.33333333333331</v>
      </c>
      <c r="AP133" s="1">
        <f t="shared" si="155"/>
        <v>141.66666666666666</v>
      </c>
      <c r="AQ133" s="1">
        <f>IF($B133="","",COUNTIFS($R$2:R133,1,$I$2:I133,$I133))</f>
        <v>1</v>
      </c>
      <c r="AR133" s="1">
        <f t="array" aca="1" ref="AR133" ca="1">IF($B133="","",SUMPRODUCT(--($B$2:$B$313=B133),--(AM133&lt;$AM$2:$AM$313))+1)</f>
        <v>7</v>
      </c>
      <c r="AS133" s="1">
        <f t="array" ref="AS133">IF($B133="","",SUMPRODUCT(--($B$2:$B$313=B133),--(AP133&lt;$AP$2:$AP$313))+1)</f>
        <v>6</v>
      </c>
      <c r="AT133" s="1">
        <f t="array" ref="AT133">IF($B133="","",SUMPRODUCT(--($B$2:$B$313=B133),--(AQ133&lt;$AQ$2:$AQ$313))+1)</f>
        <v>3</v>
      </c>
      <c r="AU133" s="1">
        <f t="shared" si="156"/>
        <v>1.3199999999999999E-7</v>
      </c>
      <c r="AV133" s="1">
        <f t="shared" ca="1" si="157"/>
        <v>7.0603132000000013E-2</v>
      </c>
      <c r="AW133" s="1" t="str">
        <f t="shared" si="129"/>
        <v/>
      </c>
      <c r="AX133" s="1" t="str">
        <f t="shared" si="158"/>
        <v/>
      </c>
      <c r="AY133" s="8">
        <f t="shared" ca="1" si="159"/>
        <v>7.0603132000000013E-2</v>
      </c>
      <c r="AZ133" s="1" cm="1">
        <f t="array" aca="1" ref="AZ133" ca="1">IF($B133="","",SUMPRODUCT(--($B$2:$B$313=B133),--(AY133&gt;$AY$2:$AY$313))+1)</f>
        <v>7</v>
      </c>
      <c r="BA133" s="1" t="str">
        <f t="shared" si="160"/>
        <v>K2024GP08_6_1</v>
      </c>
      <c r="BB133" s="1" t="str">
        <f t="shared" si="161"/>
        <v>K2024GP08_6_2</v>
      </c>
      <c r="BC133" s="1">
        <f t="shared" si="162"/>
        <v>0</v>
      </c>
      <c r="BD133" s="1">
        <f t="shared" si="163"/>
        <v>0</v>
      </c>
      <c r="BE133" s="1">
        <f t="shared" si="164"/>
        <v>1</v>
      </c>
      <c r="BF133" s="1">
        <f t="shared" si="165"/>
        <v>131</v>
      </c>
      <c r="BG133" s="1">
        <f t="shared" si="166"/>
        <v>129</v>
      </c>
      <c r="BH133" s="1">
        <f t="shared" si="167"/>
        <v>10</v>
      </c>
      <c r="BI133" s="1">
        <f t="shared" si="168"/>
        <v>5</v>
      </c>
      <c r="BJ133" s="1">
        <f t="shared" si="169"/>
        <v>0.10050000000000001</v>
      </c>
      <c r="BK133" s="1">
        <f t="shared" si="170"/>
        <v>0</v>
      </c>
      <c r="BL133" s="1">
        <f t="shared" si="171"/>
        <v>9.8999999999999994E-5</v>
      </c>
      <c r="BM133" s="1">
        <f t="shared" si="172"/>
        <v>0.10059900000000001</v>
      </c>
      <c r="BN133" s="1">
        <f t="shared" si="173"/>
        <v>0</v>
      </c>
      <c r="BO133" s="1">
        <f t="shared" si="130"/>
        <v>10</v>
      </c>
      <c r="BP133" s="1">
        <f t="shared" si="131"/>
        <v>0</v>
      </c>
      <c r="BQ133" s="1" cm="1">
        <f t="array" ref="BQ133">IF(I133="","",IF(BP133=1,"",IF(L133=0,"",IF(B133=1,"",_xlfn.XLOOKUP(1,($I$2:$I$313=$I133)*($B$2:$B$313=($B133-1)),$BO$2:$BO$313)))))</f>
        <v>1</v>
      </c>
      <c r="BR133" s="1">
        <f>IF(I133="","",IF($B133=1,_xlfn.MINIFS($BO$2:$BO$313,$B$2:$B$313,$B133),_xlfn.MINIFS(BQ$2:$BQ$313,$B$2:$B$313,$B133)))</f>
        <v>1</v>
      </c>
      <c r="BS133" s="1">
        <f t="shared" si="174"/>
        <v>3</v>
      </c>
      <c r="BT133" s="1" t="str" cm="1">
        <f t="array" ref="BT133">IF($I133="","",IF($B133=1,_xlfn.XLOOKUP(1,($B$2:$B$313=$B133)*($BO$2:$BO$313=BR133),Data!$I$2:$I$313,,0),_xlfn.XLOOKUP(1,($B$2:$B$313=$B133)*($BQ$2:$BQ$313=$BR133),$I$2:$I$313,,0)))</f>
        <v>Asko Haaksi</v>
      </c>
      <c r="BU133" s="1" t="str" cm="1">
        <f t="array" ref="BU133">IF(I133="","",IF($B133=1,_xlfn.XLOOKUP(1,($B$2:$B$313=$B133)*($BO$2:$BO$313=$BS133),$I$2:$I$313,,0),_xlfn.XLOOKUP(1,($B$2:$B$313=$B133)*($BQ$2:$BQ$313=$BS133),$I$2:$I$313,,0)))</f>
        <v>Mika Sola</v>
      </c>
      <c r="BV133" s="1" t="str" cm="1">
        <f t="array" ref="BV133">IF($I133="","",IF($B133=1,"",IF($B133=2,_xlfn.XLOOKUP(1,($B$2:$B$313=1)*($BO$2:$BO$313=1),$I$2:$I$313,,0),_xlfn.XLOOKUP($B133-1,$B$2:$B$313,$CH$2:$CH$313,,0))))</f>
        <v>Jami Kallio</v>
      </c>
      <c r="BW133" s="1" t="str" cm="1">
        <f t="array" ref="BW133">IF($I133="","",IF($B133=1,"",IF(_xlfn.XLOOKUP(1,($B$2:$B$313=$B133)*($I$2:$I$313=$BV133),$BQ$2:$BQ$313,,0)="","NOK","OK")))</f>
        <v>OK</v>
      </c>
      <c r="BX133" s="1" t="str">
        <f t="shared" si="175"/>
        <v>Jami Kallio</v>
      </c>
      <c r="BY133" s="1" t="str">
        <f t="shared" si="176"/>
        <v>Asko Haaksi</v>
      </c>
      <c r="BZ133" s="1">
        <f t="shared" si="177"/>
        <v>171</v>
      </c>
      <c r="CA133" s="1">
        <f t="shared" si="178"/>
        <v>123</v>
      </c>
      <c r="CB133" s="1">
        <f t="shared" si="179"/>
        <v>9.8999999999999994E-5</v>
      </c>
      <c r="CC133" s="1">
        <f t="shared" si="180"/>
        <v>131</v>
      </c>
      <c r="CD133" s="1">
        <f t="shared" si="181"/>
        <v>129</v>
      </c>
      <c r="CE133" s="1">
        <f t="shared" si="182"/>
        <v>9.8999999999999994E-5</v>
      </c>
      <c r="CF133" s="1" t="str">
        <f t="shared" si="183"/>
        <v>Jami Kallio (P)</v>
      </c>
      <c r="CG133" s="1" t="str">
        <f t="shared" si="184"/>
        <v>Asko Haaksi (1)</v>
      </c>
      <c r="CH133" s="1" t="str">
        <f t="shared" si="185"/>
        <v>Jami Kallio</v>
      </c>
      <c r="CI133" s="1">
        <f t="shared" si="186"/>
        <v>0</v>
      </c>
      <c r="CJ133" s="1" t="str">
        <f ca="1">IF(B133="","",IF(SUM(AI133:AK133)&gt;0,"+SP","")&amp;IF(CI133&gt;0,"+KK","")&amp;IF(AB133&gt;0,"+KGP1","")&amp;IF(AC133&gt;0,"+KGP2","")&amp;IF(AG133&lt;0,"-KGP1","")&amp;IF(AH133&lt;0,"-KGP2",""))</f>
        <v>+SP</v>
      </c>
    </row>
    <row r="134" spans="1:88" x14ac:dyDescent="0.25">
      <c r="A134" s="1">
        <f>IFERROR(IF(ROW(A133)=1,1,IF(1+A133&lt;=$CP$1*$CP$2,1+A133,"")),"")</f>
        <v>133</v>
      </c>
      <c r="B134" s="1">
        <f>IF($I134="","",IF(ROW(B133)=1,1,ROUNDUP(A134/$CP$2,0)))</f>
        <v>8</v>
      </c>
      <c r="C134" s="4">
        <f t="shared" si="132"/>
        <v>45690</v>
      </c>
      <c r="D134" s="4" t="str">
        <f t="shared" si="126"/>
        <v>Aninkaisten keilahalli</v>
      </c>
      <c r="E134" s="1">
        <f>IF($B134="","",COUNTIF($B$2:B134,B134))</f>
        <v>7</v>
      </c>
      <c r="F134" s="1" t="str">
        <f t="shared" si="127"/>
        <v>K2024GP08</v>
      </c>
      <c r="G134" s="1" t="str">
        <f t="shared" si="133"/>
        <v>K2024GP08_7</v>
      </c>
      <c r="H134" s="1">
        <f t="shared" si="134"/>
        <v>1</v>
      </c>
      <c r="I134" s="3" t="s">
        <v>126</v>
      </c>
      <c r="J134" s="3">
        <v>80</v>
      </c>
      <c r="K134" s="3">
        <v>156</v>
      </c>
      <c r="L134" s="1">
        <f t="shared" si="135"/>
        <v>236</v>
      </c>
      <c r="M134" s="1">
        <f t="shared" si="136"/>
        <v>1</v>
      </c>
      <c r="N134" s="1">
        <f t="shared" si="137"/>
        <v>11</v>
      </c>
      <c r="O134" s="1">
        <f t="shared" si="138"/>
        <v>236</v>
      </c>
      <c r="P134" s="1">
        <f t="shared" si="139"/>
        <v>107</v>
      </c>
      <c r="Q134" s="1">
        <f t="array" ref="Q134">IF($B134="","",IF(MAX(IF(B134=$B$2:$B$313,$L$2:$L$313))-L134=0,"",MAX(IF(B134=$B$2:$B$313,$L$2:$L$313))-L134))</f>
        <v>107</v>
      </c>
      <c r="R134" s="1">
        <f t="array" ref="R134">IF($B134="","",SUMPRODUCT(--($B$2:$B$313=B134),--(L134&lt;$L$2:$L$313))+1)</f>
        <v>11</v>
      </c>
      <c r="S134" s="1">
        <f t="shared" si="140"/>
        <v>2</v>
      </c>
      <c r="T134" s="1" cm="1">
        <f t="array" ref="T134">IF($B134="","",IF(M134=0,"",SUMPRODUCT(--($B$2:$B$313=B134),--(J134&lt;$J$2:$J$313))+1))</f>
        <v>14</v>
      </c>
      <c r="U134" s="1">
        <f t="shared" si="141"/>
        <v>-3</v>
      </c>
      <c r="V134" s="1" t="str">
        <f t="shared" si="142"/>
        <v>0811</v>
      </c>
      <c r="W134" s="1">
        <f t="shared" si="143"/>
        <v>1</v>
      </c>
      <c r="X134" s="1">
        <f t="shared" si="128"/>
        <v>0</v>
      </c>
      <c r="Y134" s="1">
        <f>IF($B134="","",MAX(_xlfn.MAXIFS($J$2:J134,$I$2:I134,$I134),_xlfn.MAXIFS($K$2:K134,$I$2:I134,$I134)))</f>
        <v>156</v>
      </c>
      <c r="Z134" s="1">
        <f t="shared" si="144"/>
        <v>203</v>
      </c>
      <c r="AA134" s="1">
        <f t="shared" si="145"/>
        <v>0</v>
      </c>
      <c r="AB134" s="1">
        <f t="shared" si="146"/>
        <v>0</v>
      </c>
      <c r="AC134" s="1">
        <f t="shared" si="147"/>
        <v>0</v>
      </c>
      <c r="AD134" s="1">
        <f>IF($B134="","",MIN(_xlfn.MINIFS($J$2:J134,$I$2:I134,$I134),_xlfn.MINIFS($K$2:K134,$I$2:I134,$I134)))</f>
        <v>80</v>
      </c>
      <c r="AE134" s="1">
        <f t="shared" si="148"/>
        <v>80</v>
      </c>
      <c r="AF134" s="1">
        <f t="shared" si="149"/>
        <v>0</v>
      </c>
      <c r="AG134" s="1">
        <f t="shared" si="150"/>
        <v>0</v>
      </c>
      <c r="AH134" s="1">
        <f t="shared" si="151"/>
        <v>0</v>
      </c>
      <c r="AI134" s="1">
        <f ca="1">IF($B134="","",IF($K134="",0,OFFSET($CO$17,R134,W134)))</f>
        <v>0</v>
      </c>
      <c r="AJ134" s="1">
        <f t="shared" ca="1" si="152"/>
        <v>0</v>
      </c>
      <c r="AK134" s="1">
        <f ca="1">IF(AJ134="","",IF(AJ134=0,0,IF(W134=1,0,SUM(OFFSET($CO$17,N134,1):OFFSET($CO$17,N134+W134-2,1))/W134)))</f>
        <v>0</v>
      </c>
      <c r="AL134" s="1">
        <f t="shared" ca="1" si="153"/>
        <v>0</v>
      </c>
      <c r="AM134" s="1">
        <f ca="1">IF($B134="","",SUMIFS($AL$2:AL134,$I$2:I134,$I134))</f>
        <v>1</v>
      </c>
      <c r="AN134" s="1">
        <f t="shared" si="154"/>
        <v>11.000133</v>
      </c>
      <c r="AO134" s="1">
        <f>IFERROR(IF($B134="","",AVERAGEIFS($L$2:L134,$I$2:I134,I134,$L$2:L134,"&lt;&gt;0")),0)</f>
        <v>237.83333333333334</v>
      </c>
      <c r="AP134" s="1">
        <f t="shared" si="155"/>
        <v>118.91666666666667</v>
      </c>
      <c r="AQ134" s="1">
        <f>IF($B134="","",COUNTIFS($R$2:R134,1,$I$2:I134,$I134))</f>
        <v>0</v>
      </c>
      <c r="AR134" s="1">
        <f t="array" aca="1" ref="AR134" ca="1">IF($B134="","",SUMPRODUCT(--($B$2:$B$313=B134),--(AM134&lt;$AM$2:$AM$313))+1)</f>
        <v>17</v>
      </c>
      <c r="AS134" s="1">
        <f t="array" ref="AS134">IF($B134="","",SUMPRODUCT(--($B$2:$B$313=B134),--(AP134&lt;$AP$2:$AP$313))+1)</f>
        <v>16</v>
      </c>
      <c r="AT134" s="1">
        <f t="array" ref="AT134">IF($B134="","",SUMPRODUCT(--($B$2:$B$313=B134),--(AQ134&lt;$AQ$2:$AQ$313))+1)</f>
        <v>7</v>
      </c>
      <c r="AU134" s="1">
        <f t="shared" si="156"/>
        <v>1.3300000000000001E-7</v>
      </c>
      <c r="AV134" s="1">
        <f t="shared" ca="1" si="157"/>
        <v>0.17160713300000002</v>
      </c>
      <c r="AW134" s="1" t="str">
        <f t="shared" si="129"/>
        <v/>
      </c>
      <c r="AX134" s="1" t="str">
        <f t="shared" si="158"/>
        <v/>
      </c>
      <c r="AY134" s="8">
        <f t="shared" ca="1" si="159"/>
        <v>0.17160713300000002</v>
      </c>
      <c r="AZ134" s="1" cm="1">
        <f t="array" aca="1" ref="AZ134" ca="1">IF($B134="","",SUMPRODUCT(--($B$2:$B$313=B134),--(AY134&gt;$AY$2:$AY$313))+1)</f>
        <v>17</v>
      </c>
      <c r="BA134" s="1" t="str">
        <f t="shared" si="160"/>
        <v>K2024GP08_7_1</v>
      </c>
      <c r="BB134" s="1" t="str">
        <f t="shared" si="161"/>
        <v>K2024GP08_7_2</v>
      </c>
      <c r="BC134" s="1">
        <f t="shared" si="162"/>
        <v>0</v>
      </c>
      <c r="BD134" s="1">
        <f t="shared" si="163"/>
        <v>0</v>
      </c>
      <c r="BE134" s="1">
        <f t="shared" si="164"/>
        <v>1</v>
      </c>
      <c r="BF134" s="1">
        <f t="shared" si="165"/>
        <v>156</v>
      </c>
      <c r="BG134" s="1">
        <f t="shared" si="166"/>
        <v>80</v>
      </c>
      <c r="BH134" s="1">
        <f t="shared" si="167"/>
        <v>6</v>
      </c>
      <c r="BI134" s="1">
        <f t="shared" si="168"/>
        <v>14</v>
      </c>
      <c r="BJ134" s="1">
        <f t="shared" si="169"/>
        <v>6.1399999999999996E-2</v>
      </c>
      <c r="BK134" s="1">
        <f t="shared" si="170"/>
        <v>0</v>
      </c>
      <c r="BL134" s="1">
        <f t="shared" si="171"/>
        <v>9.8999999999999994E-5</v>
      </c>
      <c r="BM134" s="1">
        <f t="shared" si="172"/>
        <v>6.1498999999999998E-2</v>
      </c>
      <c r="BN134" s="1">
        <f t="shared" si="173"/>
        <v>0</v>
      </c>
      <c r="BO134" s="1">
        <f t="shared" si="130"/>
        <v>7</v>
      </c>
      <c r="BP134" s="1">
        <f t="shared" si="131"/>
        <v>0</v>
      </c>
      <c r="BQ134" s="1" cm="1">
        <f t="array" ref="BQ134">IF(I134="","",IF(BP134=1,"",IF(L134=0,"",IF(B134=1,"",_xlfn.XLOOKUP(1,($I$2:$I$313=$I134)*($B$2:$B$313=($B134-1)),$BO$2:$BO$313)))))</f>
        <v>11</v>
      </c>
      <c r="BR134" s="1">
        <f>IF(I134="","",IF($B134=1,_xlfn.MINIFS($BO$2:$BO$313,$B$2:$B$313,$B134),_xlfn.MINIFS(BQ$2:$BQ$313,$B$2:$B$313,$B134)))</f>
        <v>1</v>
      </c>
      <c r="BS134" s="1">
        <f t="shared" si="174"/>
        <v>3</v>
      </c>
      <c r="BT134" s="1" t="str" cm="1">
        <f t="array" ref="BT134">IF($I134="","",IF($B134=1,_xlfn.XLOOKUP(1,($B$2:$B$313=$B134)*($BO$2:$BO$313=BR134),Data!$I$2:$I$313,,0),_xlfn.XLOOKUP(1,($B$2:$B$313=$B134)*($BQ$2:$BQ$313=$BR134),$I$2:$I$313,,0)))</f>
        <v>Asko Haaksi</v>
      </c>
      <c r="BU134" s="1" t="str" cm="1">
        <f t="array" ref="BU134">IF(I134="","",IF($B134=1,_xlfn.XLOOKUP(1,($B$2:$B$313=$B134)*($BO$2:$BO$313=$BS134),$I$2:$I$313,,0),_xlfn.XLOOKUP(1,($B$2:$B$313=$B134)*($BQ$2:$BQ$313=$BS134),$I$2:$I$313,,0)))</f>
        <v>Mika Sola</v>
      </c>
      <c r="BV134" s="1" t="str" cm="1">
        <f t="array" ref="BV134">IF($I134="","",IF($B134=1,"",IF($B134=2,_xlfn.XLOOKUP(1,($B$2:$B$313=1)*($BO$2:$BO$313=1),$I$2:$I$313,,0),_xlfn.XLOOKUP($B134-1,$B$2:$B$313,$CH$2:$CH$313,,0))))</f>
        <v>Jami Kallio</v>
      </c>
      <c r="BW134" s="1" t="str" cm="1">
        <f t="array" ref="BW134">IF($I134="","",IF($B134=1,"",IF(_xlfn.XLOOKUP(1,($B$2:$B$313=$B134)*($I$2:$I$313=$BV134),$BQ$2:$BQ$313,,0)="","NOK","OK")))</f>
        <v>OK</v>
      </c>
      <c r="BX134" s="1" t="str">
        <f t="shared" si="175"/>
        <v>Jami Kallio</v>
      </c>
      <c r="BY134" s="1" t="str">
        <f t="shared" si="176"/>
        <v>Asko Haaksi</v>
      </c>
      <c r="BZ134" s="1">
        <f t="shared" si="177"/>
        <v>171</v>
      </c>
      <c r="CA134" s="1">
        <f t="shared" si="178"/>
        <v>123</v>
      </c>
      <c r="CB134" s="1">
        <f t="shared" si="179"/>
        <v>9.8999999999999994E-5</v>
      </c>
      <c r="CC134" s="1">
        <f t="shared" si="180"/>
        <v>131</v>
      </c>
      <c r="CD134" s="1">
        <f t="shared" si="181"/>
        <v>129</v>
      </c>
      <c r="CE134" s="1">
        <f t="shared" si="182"/>
        <v>9.8999999999999994E-5</v>
      </c>
      <c r="CF134" s="1" t="str">
        <f t="shared" si="183"/>
        <v>Jami Kallio (P)</v>
      </c>
      <c r="CG134" s="1" t="str">
        <f t="shared" si="184"/>
        <v>Asko Haaksi (1)</v>
      </c>
      <c r="CH134" s="1" t="str">
        <f t="shared" si="185"/>
        <v>Jami Kallio</v>
      </c>
      <c r="CI134" s="1">
        <f t="shared" si="186"/>
        <v>0</v>
      </c>
      <c r="CJ134" s="1" t="str">
        <f ca="1">IF(B134="","",IF(SUM(AI134:AK134)&gt;0,"+SP","")&amp;IF(CI134&gt;0,"+KK","")&amp;IF(AB134&gt;0,"+KGP1","")&amp;IF(AC134&gt;0,"+KGP2","")&amp;IF(AG134&lt;0,"-KGP1","")&amp;IF(AH134&lt;0,"-KGP2",""))</f>
        <v/>
      </c>
    </row>
    <row r="135" spans="1:88" x14ac:dyDescent="0.25">
      <c r="A135" s="1">
        <f>IFERROR(IF(ROW(A134)=1,1,IF(1+A134&lt;=$CP$1*$CP$2,1+A134,"")),"")</f>
        <v>134</v>
      </c>
      <c r="B135" s="1">
        <f>IF($I135="","",IF(ROW(B134)=1,1,ROUNDUP(A135/$CP$2,0)))</f>
        <v>8</v>
      </c>
      <c r="C135" s="4">
        <f t="shared" si="132"/>
        <v>45690</v>
      </c>
      <c r="D135" s="4" t="str">
        <f t="shared" si="126"/>
        <v>Aninkaisten keilahalli</v>
      </c>
      <c r="E135" s="1">
        <f>IF($B135="","",COUNTIF($B$2:B135,B135))</f>
        <v>8</v>
      </c>
      <c r="F135" s="1" t="str">
        <f t="shared" si="127"/>
        <v>K2024GP08</v>
      </c>
      <c r="G135" s="1" t="str">
        <f t="shared" si="133"/>
        <v>K2024GP08_8</v>
      </c>
      <c r="H135" s="1">
        <f t="shared" si="134"/>
        <v>1</v>
      </c>
      <c r="I135" s="3" t="s">
        <v>138</v>
      </c>
      <c r="J135" s="3">
        <v>118</v>
      </c>
      <c r="K135" s="3">
        <v>124</v>
      </c>
      <c r="L135" s="1">
        <f t="shared" si="135"/>
        <v>242</v>
      </c>
      <c r="M135" s="1">
        <f t="shared" si="136"/>
        <v>1</v>
      </c>
      <c r="N135" s="1">
        <f t="shared" si="137"/>
        <v>10</v>
      </c>
      <c r="O135" s="1">
        <f t="shared" si="138"/>
        <v>242</v>
      </c>
      <c r="P135" s="1">
        <f t="shared" si="139"/>
        <v>101</v>
      </c>
      <c r="Q135" s="1">
        <f t="array" ref="Q135">IF($B135="","",IF(MAX(IF(B135=$B$2:$B$313,$L$2:$L$313))-L135=0,"",MAX(IF(B135=$B$2:$B$313,$L$2:$L$313))-L135))</f>
        <v>101</v>
      </c>
      <c r="R135" s="1">
        <f t="array" ref="R135">IF($B135="","",SUMPRODUCT(--($B$2:$B$313=B135),--(L135&lt;$L$2:$L$313))+1)</f>
        <v>10</v>
      </c>
      <c r="S135" s="1">
        <f t="shared" si="140"/>
        <v>2</v>
      </c>
      <c r="T135" s="1" cm="1">
        <f t="array" ref="T135">IF($B135="","",IF(M135=0,"",SUMPRODUCT(--($B$2:$B$313=B135),--(J135&lt;$J$2:$J$313))+1))</f>
        <v>10</v>
      </c>
      <c r="U135" s="1">
        <f t="shared" si="141"/>
        <v>0</v>
      </c>
      <c r="V135" s="1" t="str">
        <f t="shared" si="142"/>
        <v>0810</v>
      </c>
      <c r="W135" s="1">
        <f t="shared" si="143"/>
        <v>1</v>
      </c>
      <c r="X135" s="1">
        <f t="shared" si="128"/>
        <v>0</v>
      </c>
      <c r="Y135" s="1">
        <f>IF($B135="","",MAX(_xlfn.MAXIFS($J$2:J135,$I$2:I135,$I135),_xlfn.MAXIFS($K$2:K135,$I$2:I135,$I135)))</f>
        <v>178</v>
      </c>
      <c r="Z135" s="1">
        <f t="shared" si="144"/>
        <v>203</v>
      </c>
      <c r="AA135" s="1">
        <f t="shared" si="145"/>
        <v>0</v>
      </c>
      <c r="AB135" s="1">
        <f t="shared" si="146"/>
        <v>0</v>
      </c>
      <c r="AC135" s="1">
        <f t="shared" si="147"/>
        <v>0</v>
      </c>
      <c r="AD135" s="1">
        <f>IF($B135="","",MIN(_xlfn.MINIFS($J$2:J135,$I$2:I135,$I135),_xlfn.MINIFS($K$2:K135,$I$2:I135,$I135)))</f>
        <v>87</v>
      </c>
      <c r="AE135" s="1">
        <f t="shared" si="148"/>
        <v>80</v>
      </c>
      <c r="AF135" s="1">
        <f t="shared" si="149"/>
        <v>0</v>
      </c>
      <c r="AG135" s="1">
        <f t="shared" si="150"/>
        <v>0</v>
      </c>
      <c r="AH135" s="1">
        <f t="shared" si="151"/>
        <v>0</v>
      </c>
      <c r="AI135" s="1">
        <f ca="1">IF($B135="","",IF($K135="",0,OFFSET($CO$17,R135,W135)))</f>
        <v>1</v>
      </c>
      <c r="AJ135" s="1">
        <f t="shared" ca="1" si="152"/>
        <v>0</v>
      </c>
      <c r="AK135" s="1">
        <f ca="1">IF(AJ135="","",IF(AJ135=0,0,IF(W135=1,0,SUM(OFFSET($CO$17,N135,1):OFFSET($CO$17,N135+W135-2,1))/W135)))</f>
        <v>0</v>
      </c>
      <c r="AL135" s="1">
        <f t="shared" ca="1" si="153"/>
        <v>1</v>
      </c>
      <c r="AM135" s="1">
        <f ca="1">IF($B135="","",SUMIFS($AL$2:AL135,$I$2:I135,$I135))</f>
        <v>27</v>
      </c>
      <c r="AN135" s="1">
        <f t="shared" si="154"/>
        <v>10.000133999999999</v>
      </c>
      <c r="AO135" s="1">
        <f>IFERROR(IF($B135="","",AVERAGEIFS($L$2:L135,$I$2:I135,I135,$L$2:L135,"&lt;&gt;0")),0)</f>
        <v>263.42857142857144</v>
      </c>
      <c r="AP135" s="1">
        <f t="shared" si="155"/>
        <v>131.71428571428572</v>
      </c>
      <c r="AQ135" s="1">
        <f>IF($B135="","",COUNTIFS($R$2:R135,1,$I$2:I135,$I135))</f>
        <v>0</v>
      </c>
      <c r="AR135" s="1">
        <f t="array" aca="1" ref="AR135" ca="1">IF($B135="","",SUMPRODUCT(--($B$2:$B$313=B135),--(AM135&lt;$AM$2:$AM$313))+1)</f>
        <v>7</v>
      </c>
      <c r="AS135" s="1">
        <f t="array" ref="AS135">IF($B135="","",SUMPRODUCT(--($B$2:$B$313=B135),--(AP135&lt;$AP$2:$AP$313))+1)</f>
        <v>10</v>
      </c>
      <c r="AT135" s="1">
        <f t="array" ref="AT135">IF($B135="","",SUMPRODUCT(--($B$2:$B$313=B135),--(AQ135&lt;$AQ$2:$AQ$313))+1)</f>
        <v>7</v>
      </c>
      <c r="AU135" s="1">
        <f t="shared" si="156"/>
        <v>1.3400000000000001E-7</v>
      </c>
      <c r="AV135" s="1">
        <f t="shared" ca="1" si="157"/>
        <v>7.1007134E-2</v>
      </c>
      <c r="AW135" s="1" t="str">
        <f t="shared" si="129"/>
        <v/>
      </c>
      <c r="AX135" s="1" t="str">
        <f t="shared" si="158"/>
        <v/>
      </c>
      <c r="AY135" s="8">
        <f t="shared" ca="1" si="159"/>
        <v>7.1007134E-2</v>
      </c>
      <c r="AZ135" s="1" cm="1">
        <f t="array" aca="1" ref="AZ135" ca="1">IF($B135="","",SUMPRODUCT(--($B$2:$B$313=B135),--(AY135&gt;$AY$2:$AY$313))+1)</f>
        <v>8</v>
      </c>
      <c r="BA135" s="1" t="str">
        <f t="shared" si="160"/>
        <v>K2024GP08_8_1</v>
      </c>
      <c r="BB135" s="1" t="str">
        <f t="shared" si="161"/>
        <v>K2024GP08_8_2</v>
      </c>
      <c r="BC135" s="1">
        <f t="shared" si="162"/>
        <v>0</v>
      </c>
      <c r="BD135" s="1">
        <f t="shared" si="163"/>
        <v>0</v>
      </c>
      <c r="BE135" s="1">
        <f t="shared" si="164"/>
        <v>1</v>
      </c>
      <c r="BF135" s="1">
        <f t="shared" si="165"/>
        <v>124</v>
      </c>
      <c r="BG135" s="1">
        <f t="shared" si="166"/>
        <v>118</v>
      </c>
      <c r="BH135" s="1">
        <f t="shared" si="167"/>
        <v>12</v>
      </c>
      <c r="BI135" s="1">
        <f t="shared" si="168"/>
        <v>8</v>
      </c>
      <c r="BJ135" s="1">
        <f t="shared" si="169"/>
        <v>0.12079999999999999</v>
      </c>
      <c r="BK135" s="1">
        <f t="shared" si="170"/>
        <v>0</v>
      </c>
      <c r="BL135" s="1">
        <f t="shared" si="171"/>
        <v>9.8999999999999994E-5</v>
      </c>
      <c r="BM135" s="1">
        <f t="shared" si="172"/>
        <v>0.12089899999999999</v>
      </c>
      <c r="BN135" s="1">
        <f t="shared" si="173"/>
        <v>0</v>
      </c>
      <c r="BO135" s="1">
        <f t="shared" si="130"/>
        <v>12</v>
      </c>
      <c r="BP135" s="1">
        <f t="shared" si="131"/>
        <v>0</v>
      </c>
      <c r="BQ135" s="1" cm="1">
        <f t="array" ref="BQ135">IF(I135="","",IF(BP135=1,"",IF(L135=0,"",IF(B135=1,"",_xlfn.XLOOKUP(1,($I$2:$I$313=$I135)*($B$2:$B$313=($B135-1)),$BO$2:$BO$313)))))</f>
        <v>8</v>
      </c>
      <c r="BR135" s="1">
        <f>IF(I135="","",IF($B135=1,_xlfn.MINIFS($BO$2:$BO$313,$B$2:$B$313,$B135),_xlfn.MINIFS(BQ$2:$BQ$313,$B$2:$B$313,$B135)))</f>
        <v>1</v>
      </c>
      <c r="BS135" s="1">
        <f t="shared" si="174"/>
        <v>3</v>
      </c>
      <c r="BT135" s="1" t="str" cm="1">
        <f t="array" ref="BT135">IF($I135="","",IF($B135=1,_xlfn.XLOOKUP(1,($B$2:$B$313=$B135)*($BO$2:$BO$313=BR135),Data!$I$2:$I$313,,0),_xlfn.XLOOKUP(1,($B$2:$B$313=$B135)*($BQ$2:$BQ$313=$BR135),$I$2:$I$313,,0)))</f>
        <v>Asko Haaksi</v>
      </c>
      <c r="BU135" s="1" t="str" cm="1">
        <f t="array" ref="BU135">IF(I135="","",IF($B135=1,_xlfn.XLOOKUP(1,($B$2:$B$313=$B135)*($BO$2:$BO$313=$BS135),$I$2:$I$313,,0),_xlfn.XLOOKUP(1,($B$2:$B$313=$B135)*($BQ$2:$BQ$313=$BS135),$I$2:$I$313,,0)))</f>
        <v>Mika Sola</v>
      </c>
      <c r="BV135" s="1" t="str" cm="1">
        <f t="array" ref="BV135">IF($I135="","",IF($B135=1,"",IF($B135=2,_xlfn.XLOOKUP(1,($B$2:$B$313=1)*($BO$2:$BO$313=1),$I$2:$I$313,,0),_xlfn.XLOOKUP($B135-1,$B$2:$B$313,$CH$2:$CH$313,,0))))</f>
        <v>Jami Kallio</v>
      </c>
      <c r="BW135" s="1" t="str" cm="1">
        <f t="array" ref="BW135">IF($I135="","",IF($B135=1,"",IF(_xlfn.XLOOKUP(1,($B$2:$B$313=$B135)*($I$2:$I$313=$BV135),$BQ$2:$BQ$313,,0)="","NOK","OK")))</f>
        <v>OK</v>
      </c>
      <c r="BX135" s="1" t="str">
        <f t="shared" si="175"/>
        <v>Jami Kallio</v>
      </c>
      <c r="BY135" s="1" t="str">
        <f t="shared" si="176"/>
        <v>Asko Haaksi</v>
      </c>
      <c r="BZ135" s="1">
        <f t="shared" si="177"/>
        <v>171</v>
      </c>
      <c r="CA135" s="1">
        <f t="shared" si="178"/>
        <v>123</v>
      </c>
      <c r="CB135" s="1">
        <f t="shared" si="179"/>
        <v>9.8999999999999994E-5</v>
      </c>
      <c r="CC135" s="1">
        <f t="shared" si="180"/>
        <v>131</v>
      </c>
      <c r="CD135" s="1">
        <f t="shared" si="181"/>
        <v>129</v>
      </c>
      <c r="CE135" s="1">
        <f t="shared" si="182"/>
        <v>9.8999999999999994E-5</v>
      </c>
      <c r="CF135" s="1" t="str">
        <f t="shared" si="183"/>
        <v>Jami Kallio (P)</v>
      </c>
      <c r="CG135" s="1" t="str">
        <f t="shared" si="184"/>
        <v>Asko Haaksi (1)</v>
      </c>
      <c r="CH135" s="1" t="str">
        <f t="shared" si="185"/>
        <v>Jami Kallio</v>
      </c>
      <c r="CI135" s="1">
        <f t="shared" si="186"/>
        <v>0</v>
      </c>
      <c r="CJ135" s="1" t="str">
        <f ca="1">IF(B135="","",IF(SUM(AI135:AK135)&gt;0,"+SP","")&amp;IF(CI135&gt;0,"+KK","")&amp;IF(AB135&gt;0,"+KGP1","")&amp;IF(AC135&gt;0,"+KGP2","")&amp;IF(AG135&lt;0,"-KGP1","")&amp;IF(AH135&lt;0,"-KGP2",""))</f>
        <v>+SP</v>
      </c>
    </row>
    <row r="136" spans="1:88" x14ac:dyDescent="0.25">
      <c r="A136" s="1">
        <f>IFERROR(IF(ROW(A135)=1,1,IF(1+A135&lt;=$CP$1*$CP$2,1+A135,"")),"")</f>
        <v>135</v>
      </c>
      <c r="B136" s="1">
        <f>IF($I136="","",IF(ROW(B135)=1,1,ROUNDUP(A136/$CP$2,0)))</f>
        <v>8</v>
      </c>
      <c r="C136" s="4">
        <f t="shared" si="132"/>
        <v>45690</v>
      </c>
      <c r="D136" s="4" t="str">
        <f t="shared" si="126"/>
        <v>Aninkaisten keilahalli</v>
      </c>
      <c r="E136" s="1">
        <f>IF($B136="","",COUNTIF($B$2:B136,B136))</f>
        <v>9</v>
      </c>
      <c r="F136" s="1" t="str">
        <f t="shared" si="127"/>
        <v>K2024GP08</v>
      </c>
      <c r="G136" s="1" t="str">
        <f t="shared" si="133"/>
        <v>K2024GP08_9</v>
      </c>
      <c r="H136" s="1">
        <f t="shared" si="134"/>
        <v>1</v>
      </c>
      <c r="I136" s="3" t="s">
        <v>139</v>
      </c>
      <c r="J136" s="3">
        <v>171</v>
      </c>
      <c r="K136" s="3">
        <v>148</v>
      </c>
      <c r="L136" s="1">
        <f t="shared" si="135"/>
        <v>319</v>
      </c>
      <c r="M136" s="1">
        <f t="shared" si="136"/>
        <v>1</v>
      </c>
      <c r="N136" s="1">
        <f t="shared" si="137"/>
        <v>2</v>
      </c>
      <c r="O136" s="1">
        <f t="shared" si="138"/>
        <v>319</v>
      </c>
      <c r="P136" s="1">
        <f t="shared" si="139"/>
        <v>24</v>
      </c>
      <c r="Q136" s="1">
        <f t="array" ref="Q136">IF($B136="","",IF(MAX(IF(B136=$B$2:$B$313,$L$2:$L$313))-L136=0,"",MAX(IF(B136=$B$2:$B$313,$L$2:$L$313))-L136))</f>
        <v>24</v>
      </c>
      <c r="R136" s="1">
        <f t="array" ref="R136">IF($B136="","",SUMPRODUCT(--($B$2:$B$313=B136),--(L136&lt;$L$2:$L$313))+1)</f>
        <v>2</v>
      </c>
      <c r="S136" s="1">
        <f t="shared" si="140"/>
        <v>2</v>
      </c>
      <c r="T136" s="1" cm="1">
        <f t="array" ref="T136">IF($B136="","",IF(M136=0,"",SUMPRODUCT(--($B$2:$B$313=B136),--(J136&lt;$J$2:$J$313))+1))</f>
        <v>1</v>
      </c>
      <c r="U136" s="1">
        <f t="shared" si="141"/>
        <v>1</v>
      </c>
      <c r="V136" s="1" t="str">
        <f t="shared" si="142"/>
        <v>0802</v>
      </c>
      <c r="W136" s="1">
        <f t="shared" si="143"/>
        <v>1</v>
      </c>
      <c r="X136" s="1">
        <f t="shared" si="128"/>
        <v>0</v>
      </c>
      <c r="Y136" s="1">
        <f>IF($B136="","",MAX(_xlfn.MAXIFS($J$2:J136,$I$2:I136,$I136),_xlfn.MAXIFS($K$2:K136,$I$2:I136,$I136)))</f>
        <v>209</v>
      </c>
      <c r="Z136" s="1">
        <f t="shared" si="144"/>
        <v>203</v>
      </c>
      <c r="AA136" s="1">
        <f t="shared" si="145"/>
        <v>0</v>
      </c>
      <c r="AB136" s="1">
        <f t="shared" si="146"/>
        <v>0</v>
      </c>
      <c r="AC136" s="1">
        <f t="shared" si="147"/>
        <v>0</v>
      </c>
      <c r="AD136" s="1">
        <f>IF($B136="","",MIN(_xlfn.MINIFS($J$2:J136,$I$2:I136,$I136),_xlfn.MINIFS($K$2:K136,$I$2:I136,$I136)))</f>
        <v>87</v>
      </c>
      <c r="AE136" s="1">
        <f t="shared" si="148"/>
        <v>80</v>
      </c>
      <c r="AF136" s="1">
        <f t="shared" si="149"/>
        <v>0</v>
      </c>
      <c r="AG136" s="1">
        <f t="shared" si="150"/>
        <v>0</v>
      </c>
      <c r="AH136" s="1">
        <f t="shared" si="151"/>
        <v>0</v>
      </c>
      <c r="AI136" s="1">
        <f ca="1">IF($B136="","",IF($K136="",0,OFFSET($CO$17,R136,W136)))</f>
        <v>10</v>
      </c>
      <c r="AJ136" s="1">
        <f t="shared" ca="1" si="152"/>
        <v>0</v>
      </c>
      <c r="AK136" s="1">
        <f ca="1">IF(AJ136="","",IF(AJ136=0,0,IF(W136=1,0,SUM(OFFSET($CO$17,N136,1):OFFSET($CO$17,N136+W136-2,1))/W136)))</f>
        <v>0</v>
      </c>
      <c r="AL136" s="1">
        <f t="shared" ca="1" si="153"/>
        <v>10</v>
      </c>
      <c r="AM136" s="1">
        <f ca="1">IF($B136="","",SUMIFS($AL$2:AL136,$I$2:I136,$I136))</f>
        <v>45.5</v>
      </c>
      <c r="AN136" s="1">
        <f t="shared" si="154"/>
        <v>2.0001350000000002</v>
      </c>
      <c r="AO136" s="1">
        <f>IFERROR(IF($B136="","",AVERAGEIFS($L$2:L136,$I$2:I136,I136,$L$2:L136,"&lt;&gt;0")),0)</f>
        <v>306</v>
      </c>
      <c r="AP136" s="1">
        <f t="shared" si="155"/>
        <v>153</v>
      </c>
      <c r="AQ136" s="1">
        <f>IF($B136="","",COUNTIFS($R$2:R136,1,$I$2:I136,$I136))</f>
        <v>1</v>
      </c>
      <c r="AR136" s="1">
        <f t="array" aca="1" ref="AR136" ca="1">IF($B136="","",SUMPRODUCT(--($B$2:$B$313=B136),--(AM136&lt;$AM$2:$AM$313))+1)</f>
        <v>3</v>
      </c>
      <c r="AS136" s="1">
        <f t="array" ref="AS136">IF($B136="","",SUMPRODUCT(--($B$2:$B$313=B136),--(AP136&lt;$AP$2:$AP$313))+1)</f>
        <v>3</v>
      </c>
      <c r="AT136" s="1">
        <f t="array" ref="AT136">IF($B136="","",SUMPRODUCT(--($B$2:$B$313=B136),--(AQ136&lt;$AQ$2:$AQ$313))+1)</f>
        <v>3</v>
      </c>
      <c r="AU136" s="1">
        <f t="shared" si="156"/>
        <v>1.35E-7</v>
      </c>
      <c r="AV136" s="1">
        <f t="shared" ca="1" si="157"/>
        <v>3.0303134999999998E-2</v>
      </c>
      <c r="AW136" s="1" t="str">
        <f t="shared" si="129"/>
        <v/>
      </c>
      <c r="AX136" s="1" t="str">
        <f t="shared" si="158"/>
        <v/>
      </c>
      <c r="AY136" s="8">
        <f t="shared" ca="1" si="159"/>
        <v>3.0303134999999998E-2</v>
      </c>
      <c r="AZ136" s="1" cm="1">
        <f t="array" aca="1" ref="AZ136" ca="1">IF($B136="","",SUMPRODUCT(--($B$2:$B$313=B136),--(AY136&gt;$AY$2:$AY$313))+1)</f>
        <v>3</v>
      </c>
      <c r="BA136" s="1" t="str">
        <f t="shared" si="160"/>
        <v>K2024GP08_9_1</v>
      </c>
      <c r="BB136" s="1" t="str">
        <f t="shared" si="161"/>
        <v>K2024GP08_9_2</v>
      </c>
      <c r="BC136" s="1">
        <f t="shared" si="162"/>
        <v>0</v>
      </c>
      <c r="BD136" s="1">
        <f t="shared" si="163"/>
        <v>1</v>
      </c>
      <c r="BE136" s="1">
        <f t="shared" si="164"/>
        <v>1</v>
      </c>
      <c r="BF136" s="1">
        <f t="shared" si="165"/>
        <v>171</v>
      </c>
      <c r="BG136" s="1">
        <f t="shared" si="166"/>
        <v>148</v>
      </c>
      <c r="BH136" s="1">
        <f t="shared" si="167"/>
        <v>3</v>
      </c>
      <c r="BI136" s="1">
        <f t="shared" si="168"/>
        <v>3</v>
      </c>
      <c r="BJ136" s="1">
        <f t="shared" si="169"/>
        <v>3.0300000000000001E-2</v>
      </c>
      <c r="BK136" s="1">
        <f t="shared" si="170"/>
        <v>0</v>
      </c>
      <c r="BL136" s="1">
        <f t="shared" si="171"/>
        <v>9.8999999999999994E-5</v>
      </c>
      <c r="BM136" s="1">
        <f t="shared" si="172"/>
        <v>3.0398999999999999E-2</v>
      </c>
      <c r="BN136" s="1">
        <f t="shared" si="173"/>
        <v>0</v>
      </c>
      <c r="BO136" s="1">
        <f t="shared" si="130"/>
        <v>3</v>
      </c>
      <c r="BP136" s="1">
        <f t="shared" si="131"/>
        <v>0</v>
      </c>
      <c r="BQ136" s="1" cm="1">
        <f t="array" ref="BQ136">IF(I136="","",IF(BP136=1,"",IF(L136=0,"",IF(B136=1,"",_xlfn.XLOOKUP(1,($I$2:$I$313=$I136)*($B$2:$B$313=($B136-1)),$BO$2:$BO$313)))))</f>
        <v>5</v>
      </c>
      <c r="BR136" s="1">
        <f>IF(I136="","",IF($B136=1,_xlfn.MINIFS($BO$2:$BO$313,$B$2:$B$313,$B136),_xlfn.MINIFS(BQ$2:$BQ$313,$B$2:$B$313,$B136)))</f>
        <v>1</v>
      </c>
      <c r="BS136" s="1">
        <f t="shared" si="174"/>
        <v>3</v>
      </c>
      <c r="BT136" s="1" t="str" cm="1">
        <f t="array" ref="BT136">IF($I136="","",IF($B136=1,_xlfn.XLOOKUP(1,($B$2:$B$313=$B136)*($BO$2:$BO$313=BR136),Data!$I$2:$I$313,,0),_xlfn.XLOOKUP(1,($B$2:$B$313=$B136)*($BQ$2:$BQ$313=$BR136),$I$2:$I$313,,0)))</f>
        <v>Asko Haaksi</v>
      </c>
      <c r="BU136" s="1" t="str" cm="1">
        <f t="array" ref="BU136">IF(I136="","",IF($B136=1,_xlfn.XLOOKUP(1,($B$2:$B$313=$B136)*($BO$2:$BO$313=$BS136),$I$2:$I$313,,0),_xlfn.XLOOKUP(1,($B$2:$B$313=$B136)*($BQ$2:$BQ$313=$BS136),$I$2:$I$313,,0)))</f>
        <v>Mika Sola</v>
      </c>
      <c r="BV136" s="1" t="str" cm="1">
        <f t="array" ref="BV136">IF($I136="","",IF($B136=1,"",IF($B136=2,_xlfn.XLOOKUP(1,($B$2:$B$313=1)*($BO$2:$BO$313=1),$I$2:$I$313,,0),_xlfn.XLOOKUP($B136-1,$B$2:$B$313,$CH$2:$CH$313,,0))))</f>
        <v>Jami Kallio</v>
      </c>
      <c r="BW136" s="1" t="str" cm="1">
        <f t="array" ref="BW136">IF($I136="","",IF($B136=1,"",IF(_xlfn.XLOOKUP(1,($B$2:$B$313=$B136)*($I$2:$I$313=$BV136),$BQ$2:$BQ$313,,0)="","NOK","OK")))</f>
        <v>OK</v>
      </c>
      <c r="BX136" s="1" t="str">
        <f t="shared" si="175"/>
        <v>Jami Kallio</v>
      </c>
      <c r="BY136" s="1" t="str">
        <f t="shared" si="176"/>
        <v>Asko Haaksi</v>
      </c>
      <c r="BZ136" s="1">
        <f t="shared" si="177"/>
        <v>171</v>
      </c>
      <c r="CA136" s="1">
        <f t="shared" si="178"/>
        <v>123</v>
      </c>
      <c r="CB136" s="1">
        <f t="shared" si="179"/>
        <v>9.8999999999999994E-5</v>
      </c>
      <c r="CC136" s="1">
        <f t="shared" si="180"/>
        <v>131</v>
      </c>
      <c r="CD136" s="1">
        <f t="shared" si="181"/>
        <v>129</v>
      </c>
      <c r="CE136" s="1">
        <f t="shared" si="182"/>
        <v>9.8999999999999994E-5</v>
      </c>
      <c r="CF136" s="1" t="str">
        <f t="shared" si="183"/>
        <v>Jami Kallio (P)</v>
      </c>
      <c r="CG136" s="1" t="str">
        <f t="shared" si="184"/>
        <v>Asko Haaksi (1)</v>
      </c>
      <c r="CH136" s="1" t="str">
        <f t="shared" si="185"/>
        <v>Jami Kallio</v>
      </c>
      <c r="CI136" s="1">
        <f t="shared" si="186"/>
        <v>0</v>
      </c>
      <c r="CJ136" s="1" t="str">
        <f ca="1">IF(B136="","",IF(SUM(AI136:AK136)&gt;0,"+SP","")&amp;IF(CI136&gt;0,"+KK","")&amp;IF(AB136&gt;0,"+KGP1","")&amp;IF(AC136&gt;0,"+KGP2","")&amp;IF(AG136&lt;0,"-KGP1","")&amp;IF(AH136&lt;0,"-KGP2",""))</f>
        <v>+SP</v>
      </c>
    </row>
    <row r="137" spans="1:88" x14ac:dyDescent="0.25">
      <c r="A137" s="1">
        <f>IFERROR(IF(ROW(A136)=1,1,IF(1+A136&lt;=$CP$1*$CP$2,1+A136,"")),"")</f>
        <v>136</v>
      </c>
      <c r="B137" s="1">
        <f>IF($I137="","",IF(ROW(B136)=1,1,ROUNDUP(A137/$CP$2,0)))</f>
        <v>8</v>
      </c>
      <c r="C137" s="4">
        <f t="shared" si="132"/>
        <v>45690</v>
      </c>
      <c r="D137" s="4" t="str">
        <f t="shared" si="126"/>
        <v>Aninkaisten keilahalli</v>
      </c>
      <c r="E137" s="1">
        <f>IF($B137="","",COUNTIF($B$2:B137,B137))</f>
        <v>10</v>
      </c>
      <c r="F137" s="1" t="str">
        <f t="shared" si="127"/>
        <v>K2024GP08</v>
      </c>
      <c r="G137" s="1" t="str">
        <f t="shared" si="133"/>
        <v>K2024GP08_10</v>
      </c>
      <c r="H137" s="1">
        <f t="shared" si="134"/>
        <v>1</v>
      </c>
      <c r="I137" s="3" t="s">
        <v>136</v>
      </c>
      <c r="J137" s="3">
        <v>136</v>
      </c>
      <c r="K137" s="3">
        <v>128</v>
      </c>
      <c r="L137" s="1">
        <f t="shared" si="135"/>
        <v>264</v>
      </c>
      <c r="M137" s="1">
        <f t="shared" si="136"/>
        <v>1</v>
      </c>
      <c r="N137" s="1">
        <f t="shared" si="137"/>
        <v>8</v>
      </c>
      <c r="O137" s="1">
        <f t="shared" si="138"/>
        <v>264</v>
      </c>
      <c r="P137" s="1">
        <f t="shared" si="139"/>
        <v>79</v>
      </c>
      <c r="Q137" s="1">
        <f t="array" ref="Q137">IF($B137="","",IF(MAX(IF(B137=$B$2:$B$313,$L$2:$L$313))-L137=0,"",MAX(IF(B137=$B$2:$B$313,$L$2:$L$313))-L137))</f>
        <v>79</v>
      </c>
      <c r="R137" s="1">
        <f t="array" ref="R137">IF($B137="","",SUMPRODUCT(--($B$2:$B$313=B137),--(L137&lt;$L$2:$L$313))+1)</f>
        <v>8</v>
      </c>
      <c r="S137" s="1">
        <f t="shared" si="140"/>
        <v>2</v>
      </c>
      <c r="T137" s="1" cm="1">
        <f t="array" ref="T137">IF($B137="","",IF(M137=0,"",SUMPRODUCT(--($B$2:$B$313=B137),--(J137&lt;$J$2:$J$313))+1))</f>
        <v>6</v>
      </c>
      <c r="U137" s="1">
        <f t="shared" si="141"/>
        <v>2</v>
      </c>
      <c r="V137" s="1" t="str">
        <f t="shared" si="142"/>
        <v>0808</v>
      </c>
      <c r="W137" s="1">
        <f t="shared" si="143"/>
        <v>1</v>
      </c>
      <c r="X137" s="1">
        <f t="shared" si="128"/>
        <v>0</v>
      </c>
      <c r="Y137" s="1">
        <f>IF($B137="","",MAX(_xlfn.MAXIFS($J$2:J137,$I$2:I137,$I137),_xlfn.MAXIFS($K$2:K137,$I$2:I137,$I137)))</f>
        <v>165</v>
      </c>
      <c r="Z137" s="1">
        <f t="shared" si="144"/>
        <v>203</v>
      </c>
      <c r="AA137" s="1">
        <f t="shared" si="145"/>
        <v>0</v>
      </c>
      <c r="AB137" s="1">
        <f t="shared" si="146"/>
        <v>0</v>
      </c>
      <c r="AC137" s="1">
        <f t="shared" si="147"/>
        <v>0</v>
      </c>
      <c r="AD137" s="1">
        <f>IF($B137="","",MIN(_xlfn.MINIFS($J$2:J137,$I$2:I137,$I137),_xlfn.MINIFS($K$2:K137,$I$2:I137,$I137)))</f>
        <v>127</v>
      </c>
      <c r="AE137" s="1">
        <f t="shared" si="148"/>
        <v>80</v>
      </c>
      <c r="AF137" s="1">
        <f t="shared" si="149"/>
        <v>0</v>
      </c>
      <c r="AG137" s="1">
        <f t="shared" si="150"/>
        <v>0</v>
      </c>
      <c r="AH137" s="1">
        <f t="shared" si="151"/>
        <v>0</v>
      </c>
      <c r="AI137" s="1">
        <f ca="1">IF($B137="","",IF($K137="",0,OFFSET($CO$17,R137,W137)))</f>
        <v>3</v>
      </c>
      <c r="AJ137" s="1">
        <f t="shared" ca="1" si="152"/>
        <v>0</v>
      </c>
      <c r="AK137" s="1">
        <f ca="1">IF(AJ137="","",IF(AJ137=0,0,IF(W137=1,0,SUM(OFFSET($CO$17,N137,1):OFFSET($CO$17,N137+W137-2,1))/W137)))</f>
        <v>0</v>
      </c>
      <c r="AL137" s="1">
        <f t="shared" ca="1" si="153"/>
        <v>3</v>
      </c>
      <c r="AM137" s="1">
        <f ca="1">IF($B137="","",SUMIFS($AL$2:AL137,$I$2:I137,$I137))</f>
        <v>17</v>
      </c>
      <c r="AN137" s="1">
        <f t="shared" si="154"/>
        <v>8.0001359999999995</v>
      </c>
      <c r="AO137" s="1">
        <f>IFERROR(IF($B137="","",AVERAGEIFS($L$2:L137,$I$2:I137,I137,$L$2:L137,"&lt;&gt;0")),0)</f>
        <v>285</v>
      </c>
      <c r="AP137" s="1">
        <f t="shared" si="155"/>
        <v>142.5</v>
      </c>
      <c r="AQ137" s="1">
        <f>IF($B137="","",COUNTIFS($R$2:R137,1,$I$2:I137,$I137))</f>
        <v>0</v>
      </c>
      <c r="AR137" s="1">
        <f t="array" aca="1" ref="AR137" ca="1">IF($B137="","",SUMPRODUCT(--($B$2:$B$313=B137),--(AM137&lt;$AM$2:$AM$313))+1)</f>
        <v>13</v>
      </c>
      <c r="AS137" s="1">
        <f t="array" ref="AS137">IF($B137="","",SUMPRODUCT(--($B$2:$B$313=B137),--(AP137&lt;$AP$2:$AP$313))+1)</f>
        <v>5</v>
      </c>
      <c r="AT137" s="1">
        <f t="array" ref="AT137">IF($B137="","",SUMPRODUCT(--($B$2:$B$313=B137),--(AQ137&lt;$AQ$2:$AQ$313))+1)</f>
        <v>7</v>
      </c>
      <c r="AU137" s="1">
        <f t="shared" si="156"/>
        <v>1.36E-7</v>
      </c>
      <c r="AV137" s="1">
        <f t="shared" ca="1" si="157"/>
        <v>0.13050713600000002</v>
      </c>
      <c r="AW137" s="1" t="str">
        <f t="shared" si="129"/>
        <v/>
      </c>
      <c r="AX137" s="1" t="str">
        <f t="shared" si="158"/>
        <v/>
      </c>
      <c r="AY137" s="8">
        <f t="shared" ca="1" si="159"/>
        <v>0.13050713600000002</v>
      </c>
      <c r="AZ137" s="1" cm="1">
        <f t="array" aca="1" ref="AZ137" ca="1">IF($B137="","",SUMPRODUCT(--($B$2:$B$313=B137),--(AY137&gt;$AY$2:$AY$313))+1)</f>
        <v>13</v>
      </c>
      <c r="BA137" s="1" t="str">
        <f t="shared" si="160"/>
        <v>K2024GP08_10_1</v>
      </c>
      <c r="BB137" s="1" t="str">
        <f t="shared" si="161"/>
        <v>K2024GP08_10_2</v>
      </c>
      <c r="BC137" s="1">
        <f t="shared" si="162"/>
        <v>0</v>
      </c>
      <c r="BD137" s="1">
        <f t="shared" si="163"/>
        <v>0</v>
      </c>
      <c r="BE137" s="1">
        <f t="shared" si="164"/>
        <v>1</v>
      </c>
      <c r="BF137" s="1">
        <f t="shared" si="165"/>
        <v>136</v>
      </c>
      <c r="BG137" s="1">
        <f t="shared" si="166"/>
        <v>128</v>
      </c>
      <c r="BH137" s="1">
        <f t="shared" si="167"/>
        <v>9</v>
      </c>
      <c r="BI137" s="1">
        <f t="shared" si="168"/>
        <v>6</v>
      </c>
      <c r="BJ137" s="1">
        <f t="shared" si="169"/>
        <v>9.06E-2</v>
      </c>
      <c r="BK137" s="1">
        <f t="shared" si="170"/>
        <v>0</v>
      </c>
      <c r="BL137" s="1">
        <f t="shared" si="171"/>
        <v>9.8999999999999994E-5</v>
      </c>
      <c r="BM137" s="1">
        <f t="shared" si="172"/>
        <v>9.0699000000000002E-2</v>
      </c>
      <c r="BN137" s="1">
        <f t="shared" si="173"/>
        <v>0</v>
      </c>
      <c r="BO137" s="1">
        <f t="shared" si="130"/>
        <v>9</v>
      </c>
      <c r="BP137" s="1">
        <f t="shared" si="131"/>
        <v>0</v>
      </c>
      <c r="BQ137" s="1" cm="1">
        <f t="array" ref="BQ137">IF(I137="","",IF(BP137=1,"",IF(L137=0,"",IF(B137=1,"",_xlfn.XLOOKUP(1,($I$2:$I$313=$I137)*($B$2:$B$313=($B137-1)),$BO$2:$BO$313)))))</f>
        <v>12</v>
      </c>
      <c r="BR137" s="1">
        <f>IF(I137="","",IF($B137=1,_xlfn.MINIFS($BO$2:$BO$313,$B$2:$B$313,$B137),_xlfn.MINIFS(BQ$2:$BQ$313,$B$2:$B$313,$B137)))</f>
        <v>1</v>
      </c>
      <c r="BS137" s="1">
        <f t="shared" si="174"/>
        <v>3</v>
      </c>
      <c r="BT137" s="1" t="str" cm="1">
        <f t="array" ref="BT137">IF($I137="","",IF($B137=1,_xlfn.XLOOKUP(1,($B$2:$B$313=$B137)*($BO$2:$BO$313=BR137),Data!$I$2:$I$313,,0),_xlfn.XLOOKUP(1,($B$2:$B$313=$B137)*($BQ$2:$BQ$313=$BR137),$I$2:$I$313,,0)))</f>
        <v>Asko Haaksi</v>
      </c>
      <c r="BU137" s="1" t="str" cm="1">
        <f t="array" ref="BU137">IF(I137="","",IF($B137=1,_xlfn.XLOOKUP(1,($B$2:$B$313=$B137)*($BO$2:$BO$313=$BS137),$I$2:$I$313,,0),_xlfn.XLOOKUP(1,($B$2:$B$313=$B137)*($BQ$2:$BQ$313=$BS137),$I$2:$I$313,,0)))</f>
        <v>Mika Sola</v>
      </c>
      <c r="BV137" s="1" t="str" cm="1">
        <f t="array" ref="BV137">IF($I137="","",IF($B137=1,"",IF($B137=2,_xlfn.XLOOKUP(1,($B$2:$B$313=1)*($BO$2:$BO$313=1),$I$2:$I$313,,0),_xlfn.XLOOKUP($B137-1,$B$2:$B$313,$CH$2:$CH$313,,0))))</f>
        <v>Jami Kallio</v>
      </c>
      <c r="BW137" s="1" t="str" cm="1">
        <f t="array" ref="BW137">IF($I137="","",IF($B137=1,"",IF(_xlfn.XLOOKUP(1,($B$2:$B$313=$B137)*($I$2:$I$313=$BV137),$BQ$2:$BQ$313,,0)="","NOK","OK")))</f>
        <v>OK</v>
      </c>
      <c r="BX137" s="1" t="str">
        <f t="shared" si="175"/>
        <v>Jami Kallio</v>
      </c>
      <c r="BY137" s="1" t="str">
        <f t="shared" si="176"/>
        <v>Asko Haaksi</v>
      </c>
      <c r="BZ137" s="1">
        <f t="shared" si="177"/>
        <v>171</v>
      </c>
      <c r="CA137" s="1">
        <f t="shared" si="178"/>
        <v>123</v>
      </c>
      <c r="CB137" s="1">
        <f t="shared" si="179"/>
        <v>9.8999999999999994E-5</v>
      </c>
      <c r="CC137" s="1">
        <f t="shared" si="180"/>
        <v>131</v>
      </c>
      <c r="CD137" s="1">
        <f t="shared" si="181"/>
        <v>129</v>
      </c>
      <c r="CE137" s="1">
        <f t="shared" si="182"/>
        <v>9.8999999999999994E-5</v>
      </c>
      <c r="CF137" s="1" t="str">
        <f t="shared" si="183"/>
        <v>Jami Kallio (P)</v>
      </c>
      <c r="CG137" s="1" t="str">
        <f t="shared" si="184"/>
        <v>Asko Haaksi (1)</v>
      </c>
      <c r="CH137" s="1" t="str">
        <f t="shared" si="185"/>
        <v>Jami Kallio</v>
      </c>
      <c r="CI137" s="1">
        <f t="shared" si="186"/>
        <v>0</v>
      </c>
      <c r="CJ137" s="1" t="str">
        <f ca="1">IF(B137="","",IF(SUM(AI137:AK137)&gt;0,"+SP","")&amp;IF(CI137&gt;0,"+KK","")&amp;IF(AB137&gt;0,"+KGP1","")&amp;IF(AC137&gt;0,"+KGP2","")&amp;IF(AG137&lt;0,"-KGP1","")&amp;IF(AH137&lt;0,"-KGP2",""))</f>
        <v>+SP</v>
      </c>
    </row>
    <row r="138" spans="1:88" x14ac:dyDescent="0.25">
      <c r="A138" s="1">
        <f>IFERROR(IF(ROW(A137)=1,1,IF(1+A137&lt;=$CP$1*$CP$2,1+A137,"")),"")</f>
        <v>137</v>
      </c>
      <c r="B138" s="1">
        <f>IF($I138="","",IF(ROW(B137)=1,1,ROUNDUP(A138/$CP$2,0)))</f>
        <v>8</v>
      </c>
      <c r="C138" s="4">
        <f t="shared" si="132"/>
        <v>45690</v>
      </c>
      <c r="D138" s="4" t="str">
        <f t="shared" si="126"/>
        <v>Aninkaisten keilahalli</v>
      </c>
      <c r="E138" s="1">
        <f>IF($B138="","",COUNTIF($B$2:B138,B138))</f>
        <v>11</v>
      </c>
      <c r="F138" s="1" t="str">
        <f t="shared" si="127"/>
        <v>K2024GP08</v>
      </c>
      <c r="G138" s="1" t="str">
        <f t="shared" si="133"/>
        <v>K2024GP08_11</v>
      </c>
      <c r="H138" s="1">
        <f t="shared" si="134"/>
        <v>1</v>
      </c>
      <c r="I138" s="3" t="s">
        <v>127</v>
      </c>
      <c r="J138" s="3">
        <v>104</v>
      </c>
      <c r="K138" s="3">
        <v>124</v>
      </c>
      <c r="L138" s="1">
        <f t="shared" si="135"/>
        <v>228</v>
      </c>
      <c r="M138" s="1">
        <f t="shared" si="136"/>
        <v>1</v>
      </c>
      <c r="N138" s="1">
        <f t="shared" si="137"/>
        <v>13</v>
      </c>
      <c r="O138" s="1">
        <f t="shared" si="138"/>
        <v>228</v>
      </c>
      <c r="P138" s="1">
        <f t="shared" si="139"/>
        <v>115</v>
      </c>
      <c r="Q138" s="1">
        <f t="array" ref="Q138">IF($B138="","",IF(MAX(IF(B138=$B$2:$B$313,$L$2:$L$313))-L138=0,"",MAX(IF(B138=$B$2:$B$313,$L$2:$L$313))-L138))</f>
        <v>115</v>
      </c>
      <c r="R138" s="1">
        <f t="array" ref="R138">IF($B138="","",SUMPRODUCT(--($B$2:$B$313=B138),--(L138&lt;$L$2:$L$313))+1)</f>
        <v>13</v>
      </c>
      <c r="S138" s="1">
        <f t="shared" si="140"/>
        <v>2</v>
      </c>
      <c r="T138" s="1" cm="1">
        <f t="array" ref="T138">IF($B138="","",IF(M138=0,"",SUMPRODUCT(--($B$2:$B$313=B138),--(J138&lt;$J$2:$J$313))+1))</f>
        <v>13</v>
      </c>
      <c r="U138" s="1">
        <f t="shared" si="141"/>
        <v>0</v>
      </c>
      <c r="V138" s="1" t="str">
        <f t="shared" si="142"/>
        <v>0813</v>
      </c>
      <c r="W138" s="1">
        <f t="shared" si="143"/>
        <v>1</v>
      </c>
      <c r="X138" s="1">
        <f t="shared" si="128"/>
        <v>0</v>
      </c>
      <c r="Y138" s="1">
        <f>IF($B138="","",MAX(_xlfn.MAXIFS($J$2:J138,$I$2:I138,$I138),_xlfn.MAXIFS($K$2:K138,$I$2:I138,$I138)))</f>
        <v>124</v>
      </c>
      <c r="Z138" s="1">
        <f t="shared" si="144"/>
        <v>203</v>
      </c>
      <c r="AA138" s="1">
        <f t="shared" si="145"/>
        <v>0</v>
      </c>
      <c r="AB138" s="1">
        <f t="shared" si="146"/>
        <v>0</v>
      </c>
      <c r="AC138" s="1">
        <f t="shared" si="147"/>
        <v>0</v>
      </c>
      <c r="AD138" s="1">
        <f>IF($B138="","",MIN(_xlfn.MINIFS($J$2:J138,$I$2:I138,$I138),_xlfn.MINIFS($K$2:K138,$I$2:I138,$I138)))</f>
        <v>59</v>
      </c>
      <c r="AE138" s="1">
        <f t="shared" si="148"/>
        <v>80</v>
      </c>
      <c r="AF138" s="1">
        <f t="shared" si="149"/>
        <v>0</v>
      </c>
      <c r="AG138" s="1">
        <f t="shared" si="150"/>
        <v>0</v>
      </c>
      <c r="AH138" s="1">
        <f t="shared" si="151"/>
        <v>0</v>
      </c>
      <c r="AI138" s="1">
        <f ca="1">IF($B138="","",IF($K138="",0,OFFSET($CO$17,R138,W138)))</f>
        <v>0</v>
      </c>
      <c r="AJ138" s="1">
        <f t="shared" ca="1" si="152"/>
        <v>0</v>
      </c>
      <c r="AK138" s="1">
        <f ca="1">IF(AJ138="","",IF(AJ138=0,0,IF(W138=1,0,SUM(OFFSET($CO$17,N138,1):OFFSET($CO$17,N138+W138-2,1))/W138)))</f>
        <v>0</v>
      </c>
      <c r="AL138" s="1">
        <f t="shared" ca="1" si="153"/>
        <v>0</v>
      </c>
      <c r="AM138" s="1">
        <f ca="1">IF($B138="","",SUMIFS($AL$2:AL138,$I$2:I138,$I138))</f>
        <v>-1</v>
      </c>
      <c r="AN138" s="1">
        <f t="shared" si="154"/>
        <v>13.000137</v>
      </c>
      <c r="AO138" s="1">
        <f>IFERROR(IF($B138="","",AVERAGEIFS($L$2:L138,$I$2:I138,I138,$L$2:L138,"&lt;&gt;0")),0)</f>
        <v>190.75</v>
      </c>
      <c r="AP138" s="1">
        <f t="shared" si="155"/>
        <v>95.375</v>
      </c>
      <c r="AQ138" s="1">
        <f>IF($B138="","",COUNTIFS($R$2:R138,1,$I$2:I138,$I138))</f>
        <v>0</v>
      </c>
      <c r="AR138" s="1">
        <f t="array" aca="1" ref="AR138" ca="1">IF($B138="","",SUMPRODUCT(--($B$2:$B$313=B138),--(AM138&lt;$AM$2:$AM$313))+1)</f>
        <v>18</v>
      </c>
      <c r="AS138" s="1">
        <f t="array" ref="AS138">IF($B138="","",SUMPRODUCT(--($B$2:$B$313=B138),--(AP138&lt;$AP$2:$AP$313))+1)</f>
        <v>18</v>
      </c>
      <c r="AT138" s="1">
        <f t="array" ref="AT138">IF($B138="","",SUMPRODUCT(--($B$2:$B$313=B138),--(AQ138&lt;$AQ$2:$AQ$313))+1)</f>
        <v>7</v>
      </c>
      <c r="AU138" s="1">
        <f t="shared" si="156"/>
        <v>1.37E-7</v>
      </c>
      <c r="AV138" s="1">
        <f t="shared" ca="1" si="157"/>
        <v>0.18180713700000001</v>
      </c>
      <c r="AW138" s="1" t="str">
        <f t="shared" si="129"/>
        <v/>
      </c>
      <c r="AX138" s="1" t="str">
        <f t="shared" si="158"/>
        <v/>
      </c>
      <c r="AY138" s="8">
        <f t="shared" ca="1" si="159"/>
        <v>0.18180713700000001</v>
      </c>
      <c r="AZ138" s="1" cm="1">
        <f t="array" aca="1" ref="AZ138" ca="1">IF($B138="","",SUMPRODUCT(--($B$2:$B$313=B138),--(AY138&gt;$AY$2:$AY$313))+1)</f>
        <v>18</v>
      </c>
      <c r="BA138" s="1" t="str">
        <f t="shared" si="160"/>
        <v>K2024GP08_11_1</v>
      </c>
      <c r="BB138" s="1" t="str">
        <f t="shared" si="161"/>
        <v>K2024GP08_11_2</v>
      </c>
      <c r="BC138" s="1">
        <f t="shared" si="162"/>
        <v>0</v>
      </c>
      <c r="BD138" s="1">
        <f t="shared" si="163"/>
        <v>0</v>
      </c>
      <c r="BE138" s="1">
        <f t="shared" si="164"/>
        <v>1</v>
      </c>
      <c r="BF138" s="1">
        <f t="shared" si="165"/>
        <v>124</v>
      </c>
      <c r="BG138" s="1">
        <f t="shared" si="166"/>
        <v>104</v>
      </c>
      <c r="BH138" s="1">
        <f t="shared" si="167"/>
        <v>12</v>
      </c>
      <c r="BI138" s="1">
        <f t="shared" si="168"/>
        <v>12</v>
      </c>
      <c r="BJ138" s="1">
        <f t="shared" si="169"/>
        <v>0.1212</v>
      </c>
      <c r="BK138" s="1">
        <f t="shared" si="170"/>
        <v>0</v>
      </c>
      <c r="BL138" s="1">
        <f t="shared" si="171"/>
        <v>9.8999999999999994E-5</v>
      </c>
      <c r="BM138" s="1">
        <f t="shared" si="172"/>
        <v>0.121299</v>
      </c>
      <c r="BN138" s="1">
        <f t="shared" si="173"/>
        <v>0</v>
      </c>
      <c r="BO138" s="1">
        <f t="shared" si="130"/>
        <v>13</v>
      </c>
      <c r="BP138" s="1">
        <f t="shared" si="131"/>
        <v>0</v>
      </c>
      <c r="BQ138" s="1" cm="1">
        <f t="array" ref="BQ138">IF(I138="","",IF(BP138=1,"",IF(L138=0,"",IF(B138=1,"",_xlfn.XLOOKUP(1,($I$2:$I$313=$I138)*($B$2:$B$313=($B138-1)),$BO$2:$BO$313)))))</f>
        <v>15</v>
      </c>
      <c r="BR138" s="1">
        <f>IF(I138="","",IF($B138=1,_xlfn.MINIFS($BO$2:$BO$313,$B$2:$B$313,$B138),_xlfn.MINIFS(BQ$2:$BQ$313,$B$2:$B$313,$B138)))</f>
        <v>1</v>
      </c>
      <c r="BS138" s="1">
        <f t="shared" si="174"/>
        <v>3</v>
      </c>
      <c r="BT138" s="1" t="str" cm="1">
        <f t="array" ref="BT138">IF($I138="","",IF($B138=1,_xlfn.XLOOKUP(1,($B$2:$B$313=$B138)*($BO$2:$BO$313=BR138),Data!$I$2:$I$313,,0),_xlfn.XLOOKUP(1,($B$2:$B$313=$B138)*($BQ$2:$BQ$313=$BR138),$I$2:$I$313,,0)))</f>
        <v>Asko Haaksi</v>
      </c>
      <c r="BU138" s="1" t="str" cm="1">
        <f t="array" ref="BU138">IF(I138="","",IF($B138=1,_xlfn.XLOOKUP(1,($B$2:$B$313=$B138)*($BO$2:$BO$313=$BS138),$I$2:$I$313,,0),_xlfn.XLOOKUP(1,($B$2:$B$313=$B138)*($BQ$2:$BQ$313=$BS138),$I$2:$I$313,,0)))</f>
        <v>Mika Sola</v>
      </c>
      <c r="BV138" s="1" t="str" cm="1">
        <f t="array" ref="BV138">IF($I138="","",IF($B138=1,"",IF($B138=2,_xlfn.XLOOKUP(1,($B$2:$B$313=1)*($BO$2:$BO$313=1),$I$2:$I$313,,0),_xlfn.XLOOKUP($B138-1,$B$2:$B$313,$CH$2:$CH$313,,0))))</f>
        <v>Jami Kallio</v>
      </c>
      <c r="BW138" s="1" t="str" cm="1">
        <f t="array" ref="BW138">IF($I138="","",IF($B138=1,"",IF(_xlfn.XLOOKUP(1,($B$2:$B$313=$B138)*($I$2:$I$313=$BV138),$BQ$2:$BQ$313,,0)="","NOK","OK")))</f>
        <v>OK</v>
      </c>
      <c r="BX138" s="1" t="str">
        <f t="shared" si="175"/>
        <v>Jami Kallio</v>
      </c>
      <c r="BY138" s="1" t="str">
        <f t="shared" si="176"/>
        <v>Asko Haaksi</v>
      </c>
      <c r="BZ138" s="1">
        <f t="shared" si="177"/>
        <v>171</v>
      </c>
      <c r="CA138" s="1">
        <f t="shared" si="178"/>
        <v>123</v>
      </c>
      <c r="CB138" s="1">
        <f t="shared" si="179"/>
        <v>9.8999999999999994E-5</v>
      </c>
      <c r="CC138" s="1">
        <f t="shared" si="180"/>
        <v>131</v>
      </c>
      <c r="CD138" s="1">
        <f t="shared" si="181"/>
        <v>129</v>
      </c>
      <c r="CE138" s="1">
        <f t="shared" si="182"/>
        <v>9.8999999999999994E-5</v>
      </c>
      <c r="CF138" s="1" t="str">
        <f t="shared" si="183"/>
        <v>Jami Kallio (P)</v>
      </c>
      <c r="CG138" s="1" t="str">
        <f t="shared" si="184"/>
        <v>Asko Haaksi (1)</v>
      </c>
      <c r="CH138" s="1" t="str">
        <f t="shared" si="185"/>
        <v>Jami Kallio</v>
      </c>
      <c r="CI138" s="1">
        <f t="shared" si="186"/>
        <v>0</v>
      </c>
      <c r="CJ138" s="1" t="str">
        <f ca="1">IF(B138="","",IF(SUM(AI138:AK138)&gt;0,"+SP","")&amp;IF(CI138&gt;0,"+KK","")&amp;IF(AB138&gt;0,"+KGP1","")&amp;IF(AC138&gt;0,"+KGP2","")&amp;IF(AG138&lt;0,"-KGP1","")&amp;IF(AH138&lt;0,"-KGP2",""))</f>
        <v/>
      </c>
    </row>
    <row r="139" spans="1:88" x14ac:dyDescent="0.25">
      <c r="A139" s="1">
        <f>IFERROR(IF(ROW(A138)=1,1,IF(1+A138&lt;=$CP$1*$CP$2,1+A138,"")),"")</f>
        <v>138</v>
      </c>
      <c r="B139" s="1">
        <f>IF($I139="","",IF(ROW(B138)=1,1,ROUNDUP(A139/$CP$2,0)))</f>
        <v>8</v>
      </c>
      <c r="C139" s="4">
        <f t="shared" si="132"/>
        <v>45690</v>
      </c>
      <c r="D139" s="4" t="str">
        <f t="shared" si="126"/>
        <v>Aninkaisten keilahalli</v>
      </c>
      <c r="E139" s="1">
        <f>IF($B139="","",COUNTIF($B$2:B139,B139))</f>
        <v>12</v>
      </c>
      <c r="F139" s="1" t="str">
        <f t="shared" si="127"/>
        <v>K2024GP08</v>
      </c>
      <c r="G139" s="1" t="str">
        <f t="shared" si="133"/>
        <v>K2024GP08_12</v>
      </c>
      <c r="H139" s="1">
        <f t="shared" si="134"/>
        <v>1</v>
      </c>
      <c r="I139" s="3" t="s">
        <v>143</v>
      </c>
      <c r="J139" s="3">
        <v>161</v>
      </c>
      <c r="K139" s="3">
        <v>182</v>
      </c>
      <c r="L139" s="1">
        <f t="shared" si="135"/>
        <v>343</v>
      </c>
      <c r="M139" s="1">
        <f t="shared" si="136"/>
        <v>1</v>
      </c>
      <c r="N139" s="1">
        <f t="shared" si="137"/>
        <v>1</v>
      </c>
      <c r="O139" s="1">
        <f t="shared" si="138"/>
        <v>343</v>
      </c>
      <c r="P139" s="1" t="str">
        <f t="shared" si="139"/>
        <v/>
      </c>
      <c r="Q139" s="1" t="str">
        <f t="array" ref="Q139">IF($B139="","",IF(MAX(IF(B139=$B$2:$B$313,$L$2:$L$313))-L139=0,"",MAX(IF(B139=$B$2:$B$313,$L$2:$L$313))-L139))</f>
        <v/>
      </c>
      <c r="R139" s="1">
        <f t="array" ref="R139">IF($B139="","",SUMPRODUCT(--($B$2:$B$313=B139),--(L139&lt;$L$2:$L$313))+1)</f>
        <v>1</v>
      </c>
      <c r="S139" s="1">
        <f t="shared" si="140"/>
        <v>2</v>
      </c>
      <c r="T139" s="1" cm="1">
        <f t="array" ref="T139">IF($B139="","",IF(M139=0,"",SUMPRODUCT(--($B$2:$B$313=B139),--(J139&lt;$J$2:$J$313))+1))</f>
        <v>3</v>
      </c>
      <c r="U139" s="1">
        <f t="shared" si="141"/>
        <v>-2</v>
      </c>
      <c r="V139" s="1" t="str">
        <f t="shared" si="142"/>
        <v>0801</v>
      </c>
      <c r="W139" s="1">
        <f t="shared" si="143"/>
        <v>1</v>
      </c>
      <c r="X139" s="1">
        <f t="shared" si="128"/>
        <v>0</v>
      </c>
      <c r="Y139" s="1">
        <f>IF($B139="","",MAX(_xlfn.MAXIFS($J$2:J139,$I$2:I139,$I139),_xlfn.MAXIFS($K$2:K139,$I$2:I139,$I139)))</f>
        <v>184</v>
      </c>
      <c r="Z139" s="1">
        <f t="shared" si="144"/>
        <v>203</v>
      </c>
      <c r="AA139" s="1">
        <f t="shared" si="145"/>
        <v>0</v>
      </c>
      <c r="AB139" s="1">
        <f t="shared" si="146"/>
        <v>0</v>
      </c>
      <c r="AC139" s="1">
        <f t="shared" si="147"/>
        <v>0</v>
      </c>
      <c r="AD139" s="1">
        <f>IF($B139="","",MIN(_xlfn.MINIFS($J$2:J139,$I$2:I139,$I139),_xlfn.MINIFS($K$2:K139,$I$2:I139,$I139)))</f>
        <v>123</v>
      </c>
      <c r="AE139" s="1">
        <f t="shared" si="148"/>
        <v>80</v>
      </c>
      <c r="AF139" s="1">
        <f t="shared" si="149"/>
        <v>0</v>
      </c>
      <c r="AG139" s="1">
        <f t="shared" si="150"/>
        <v>0</v>
      </c>
      <c r="AH139" s="1">
        <f t="shared" si="151"/>
        <v>0</v>
      </c>
      <c r="AI139" s="1">
        <f ca="1">IF($B139="","",IF($K139="",0,OFFSET($CO$17,R139,W139)))</f>
        <v>12</v>
      </c>
      <c r="AJ139" s="1">
        <f t="shared" ca="1" si="152"/>
        <v>0</v>
      </c>
      <c r="AK139" s="1">
        <f ca="1">IF(AJ139="","",IF(AJ139=0,0,IF(W139=1,0,SUM(OFFSET($CO$17,N139,1):OFFSET($CO$17,N139+W139-2,1))/W139)))</f>
        <v>0</v>
      </c>
      <c r="AL139" s="1">
        <f t="shared" ca="1" si="153"/>
        <v>12</v>
      </c>
      <c r="AM139" s="1">
        <f ca="1">IF($B139="","",SUMIFS($AL$2:AL139,$I$2:I139,$I139))</f>
        <v>62</v>
      </c>
      <c r="AN139" s="1">
        <f t="shared" si="154"/>
        <v>1.000138</v>
      </c>
      <c r="AO139" s="1">
        <f>IFERROR(IF($B139="","",AVERAGEIFS($L$2:L139,$I$2:I139,I139,$L$2:L139,"&lt;&gt;0")),0)</f>
        <v>311.71428571428572</v>
      </c>
      <c r="AP139" s="1">
        <f t="shared" si="155"/>
        <v>155.85714285714286</v>
      </c>
      <c r="AQ139" s="1">
        <f>IF($B139="","",COUNTIFS($R$2:R139,1,$I$2:I139,$I139))</f>
        <v>3</v>
      </c>
      <c r="AR139" s="1">
        <f t="array" aca="1" ref="AR139" ca="1">IF($B139="","",SUMPRODUCT(--($B$2:$B$313=B139),--(AM139&lt;$AM$2:$AM$313))+1)</f>
        <v>2</v>
      </c>
      <c r="AS139" s="1">
        <f t="array" ref="AS139">IF($B139="","",SUMPRODUCT(--($B$2:$B$313=B139),--(AP139&lt;$AP$2:$AP$313))+1)</f>
        <v>1</v>
      </c>
      <c r="AT139" s="1">
        <f t="array" ref="AT139">IF($B139="","",SUMPRODUCT(--($B$2:$B$313=B139),--(AQ139&lt;$AQ$2:$AQ$313))+1)</f>
        <v>1</v>
      </c>
      <c r="AU139" s="1">
        <f t="shared" si="156"/>
        <v>1.3799999999999999E-7</v>
      </c>
      <c r="AV139" s="1">
        <f t="shared" ca="1" si="157"/>
        <v>2.0101138000000001E-2</v>
      </c>
      <c r="AW139" s="1" t="str">
        <f t="shared" si="129"/>
        <v/>
      </c>
      <c r="AX139" s="1" t="str">
        <f t="shared" si="158"/>
        <v/>
      </c>
      <c r="AY139" s="8">
        <f t="shared" ca="1" si="159"/>
        <v>2.0101138000000001E-2</v>
      </c>
      <c r="AZ139" s="1" cm="1">
        <f t="array" aca="1" ref="AZ139" ca="1">IF($B139="","",SUMPRODUCT(--($B$2:$B$313=B139),--(AY139&gt;$AY$2:$AY$313))+1)</f>
        <v>2</v>
      </c>
      <c r="BA139" s="1" t="str">
        <f t="shared" si="160"/>
        <v>K2024GP08_12_1</v>
      </c>
      <c r="BB139" s="1" t="str">
        <f t="shared" si="161"/>
        <v>K2024GP08_12_2</v>
      </c>
      <c r="BC139" s="1">
        <f t="shared" si="162"/>
        <v>1</v>
      </c>
      <c r="BD139" s="1">
        <f t="shared" si="163"/>
        <v>1</v>
      </c>
      <c r="BE139" s="1">
        <f t="shared" si="164"/>
        <v>1</v>
      </c>
      <c r="BF139" s="1">
        <f t="shared" si="165"/>
        <v>182</v>
      </c>
      <c r="BG139" s="1">
        <f t="shared" si="166"/>
        <v>161</v>
      </c>
      <c r="BH139" s="1">
        <f t="shared" si="167"/>
        <v>2</v>
      </c>
      <c r="BI139" s="1">
        <f t="shared" si="168"/>
        <v>1</v>
      </c>
      <c r="BJ139" s="1">
        <f t="shared" si="169"/>
        <v>2.01E-2</v>
      </c>
      <c r="BK139" s="1">
        <f t="shared" si="170"/>
        <v>0</v>
      </c>
      <c r="BL139" s="1">
        <f t="shared" si="171"/>
        <v>9.8999999999999994E-5</v>
      </c>
      <c r="BM139" s="1">
        <f t="shared" si="172"/>
        <v>2.0198999999999998E-2</v>
      </c>
      <c r="BN139" s="1">
        <f t="shared" si="173"/>
        <v>0</v>
      </c>
      <c r="BO139" s="1">
        <f t="shared" si="130"/>
        <v>2</v>
      </c>
      <c r="BP139" s="1">
        <f t="shared" si="131"/>
        <v>0</v>
      </c>
      <c r="BQ139" s="1" cm="1">
        <f t="array" ref="BQ139">IF(I139="","",IF(BP139=1,"",IF(L139=0,"",IF(B139=1,"",_xlfn.XLOOKUP(1,($I$2:$I$313=$I139)*($B$2:$B$313=($B139-1)),$BO$2:$BO$313)))))</f>
        <v>4</v>
      </c>
      <c r="BR139" s="1">
        <f>IF(I139="","",IF($B139=1,_xlfn.MINIFS($BO$2:$BO$313,$B$2:$B$313,$B139),_xlfn.MINIFS(BQ$2:$BQ$313,$B$2:$B$313,$B139)))</f>
        <v>1</v>
      </c>
      <c r="BS139" s="1">
        <f t="shared" si="174"/>
        <v>3</v>
      </c>
      <c r="BT139" s="1" t="str" cm="1">
        <f t="array" ref="BT139">IF($I139="","",IF($B139=1,_xlfn.XLOOKUP(1,($B$2:$B$313=$B139)*($BO$2:$BO$313=BR139),Data!$I$2:$I$313,,0),_xlfn.XLOOKUP(1,($B$2:$B$313=$B139)*($BQ$2:$BQ$313=$BR139),$I$2:$I$313,,0)))</f>
        <v>Asko Haaksi</v>
      </c>
      <c r="BU139" s="1" t="str" cm="1">
        <f t="array" ref="BU139">IF(I139="","",IF($B139=1,_xlfn.XLOOKUP(1,($B$2:$B$313=$B139)*($BO$2:$BO$313=$BS139),$I$2:$I$313,,0),_xlfn.XLOOKUP(1,($B$2:$B$313=$B139)*($BQ$2:$BQ$313=$BS139),$I$2:$I$313,,0)))</f>
        <v>Mika Sola</v>
      </c>
      <c r="BV139" s="1" t="str" cm="1">
        <f t="array" ref="BV139">IF($I139="","",IF($B139=1,"",IF($B139=2,_xlfn.XLOOKUP(1,($B$2:$B$313=1)*($BO$2:$BO$313=1),$I$2:$I$313,,0),_xlfn.XLOOKUP($B139-1,$B$2:$B$313,$CH$2:$CH$313,,0))))</f>
        <v>Jami Kallio</v>
      </c>
      <c r="BW139" s="1" t="str" cm="1">
        <f t="array" ref="BW139">IF($I139="","",IF($B139=1,"",IF(_xlfn.XLOOKUP(1,($B$2:$B$313=$B139)*($I$2:$I$313=$BV139),$BQ$2:$BQ$313,,0)="","NOK","OK")))</f>
        <v>OK</v>
      </c>
      <c r="BX139" s="1" t="str">
        <f t="shared" si="175"/>
        <v>Jami Kallio</v>
      </c>
      <c r="BY139" s="1" t="str">
        <f t="shared" si="176"/>
        <v>Asko Haaksi</v>
      </c>
      <c r="BZ139" s="1">
        <f t="shared" si="177"/>
        <v>171</v>
      </c>
      <c r="CA139" s="1">
        <f t="shared" si="178"/>
        <v>123</v>
      </c>
      <c r="CB139" s="1">
        <f t="shared" si="179"/>
        <v>9.8999999999999994E-5</v>
      </c>
      <c r="CC139" s="1">
        <f t="shared" si="180"/>
        <v>131</v>
      </c>
      <c r="CD139" s="1">
        <f t="shared" si="181"/>
        <v>129</v>
      </c>
      <c r="CE139" s="1">
        <f t="shared" si="182"/>
        <v>9.8999999999999994E-5</v>
      </c>
      <c r="CF139" s="1" t="str">
        <f t="shared" si="183"/>
        <v>Jami Kallio (P)</v>
      </c>
      <c r="CG139" s="1" t="str">
        <f t="shared" si="184"/>
        <v>Asko Haaksi (1)</v>
      </c>
      <c r="CH139" s="1" t="str">
        <f t="shared" si="185"/>
        <v>Jami Kallio</v>
      </c>
      <c r="CI139" s="1">
        <f t="shared" si="186"/>
        <v>0</v>
      </c>
      <c r="CJ139" s="1" t="str">
        <f ca="1">IF(B139="","",IF(SUM(AI139:AK139)&gt;0,"+SP","")&amp;IF(CI139&gt;0,"+KK","")&amp;IF(AB139&gt;0,"+KGP1","")&amp;IF(AC139&gt;0,"+KGP2","")&amp;IF(AG139&lt;0,"-KGP1","")&amp;IF(AH139&lt;0,"-KGP2",""))</f>
        <v>+SP</v>
      </c>
    </row>
    <row r="140" spans="1:88" x14ac:dyDescent="0.25">
      <c r="A140" s="1">
        <f>IFERROR(IF(ROW(A139)=1,1,IF(1+A139&lt;=$CP$1*$CP$2,1+A139,"")),"")</f>
        <v>139</v>
      </c>
      <c r="B140" s="1">
        <f>IF($I140="","",IF(ROW(B139)=1,1,ROUNDUP(A140/$CP$2,0)))</f>
        <v>8</v>
      </c>
      <c r="C140" s="4">
        <f t="shared" si="132"/>
        <v>45690</v>
      </c>
      <c r="D140" s="4" t="str">
        <f t="shared" si="126"/>
        <v>Aninkaisten keilahalli</v>
      </c>
      <c r="E140" s="1">
        <f>IF($B140="","",COUNTIF($B$2:B140,B140))</f>
        <v>13</v>
      </c>
      <c r="F140" s="1" t="str">
        <f t="shared" si="127"/>
        <v>K2024GP08</v>
      </c>
      <c r="G140" s="1" t="str">
        <f t="shared" si="133"/>
        <v>K2024GP08_13</v>
      </c>
      <c r="H140" s="1">
        <f t="shared" si="134"/>
        <v>1</v>
      </c>
      <c r="I140" s="3" t="s">
        <v>133</v>
      </c>
      <c r="J140" s="3">
        <v>115</v>
      </c>
      <c r="K140" s="3">
        <v>203</v>
      </c>
      <c r="L140" s="1">
        <f t="shared" si="135"/>
        <v>318</v>
      </c>
      <c r="M140" s="1">
        <f t="shared" si="136"/>
        <v>1</v>
      </c>
      <c r="N140" s="1">
        <f t="shared" si="137"/>
        <v>3</v>
      </c>
      <c r="O140" s="1">
        <f t="shared" si="138"/>
        <v>318</v>
      </c>
      <c r="P140" s="1">
        <f t="shared" si="139"/>
        <v>25</v>
      </c>
      <c r="Q140" s="1">
        <f t="array" ref="Q140">IF($B140="","",IF(MAX(IF(B140=$B$2:$B$313,$L$2:$L$313))-L140=0,"",MAX(IF(B140=$B$2:$B$313,$L$2:$L$313))-L140))</f>
        <v>25</v>
      </c>
      <c r="R140" s="1">
        <f t="array" ref="R140">IF($B140="","",SUMPRODUCT(--($B$2:$B$313=B140),--(L140&lt;$L$2:$L$313))+1)</f>
        <v>3</v>
      </c>
      <c r="S140" s="1">
        <f t="shared" si="140"/>
        <v>2</v>
      </c>
      <c r="T140" s="1" cm="1">
        <f t="array" ref="T140">IF($B140="","",IF(M140=0,"",SUMPRODUCT(--($B$2:$B$313=B140),--(J140&lt;$J$2:$J$313))+1))</f>
        <v>11</v>
      </c>
      <c r="U140" s="1">
        <f t="shared" si="141"/>
        <v>-8</v>
      </c>
      <c r="V140" s="1" t="str">
        <f t="shared" si="142"/>
        <v>0803</v>
      </c>
      <c r="W140" s="1">
        <f t="shared" si="143"/>
        <v>1</v>
      </c>
      <c r="X140" s="1">
        <f t="shared" si="128"/>
        <v>0</v>
      </c>
      <c r="Y140" s="1">
        <f>IF($B140="","",MAX(_xlfn.MAXIFS($J$2:J140,$I$2:I140,$I140),_xlfn.MAXIFS($K$2:K140,$I$2:I140,$I140)))</f>
        <v>203</v>
      </c>
      <c r="Z140" s="1">
        <f t="shared" si="144"/>
        <v>203</v>
      </c>
      <c r="AA140" s="1">
        <f t="shared" si="145"/>
        <v>0</v>
      </c>
      <c r="AB140" s="1">
        <f t="shared" si="146"/>
        <v>0</v>
      </c>
      <c r="AC140" s="1">
        <f t="shared" si="147"/>
        <v>0</v>
      </c>
      <c r="AD140" s="1">
        <f>IF($B140="","",MIN(_xlfn.MINIFS($J$2:J140,$I$2:I140,$I140),_xlfn.MINIFS($K$2:K140,$I$2:I140,$I140)))</f>
        <v>91</v>
      </c>
      <c r="AE140" s="1">
        <f t="shared" si="148"/>
        <v>80</v>
      </c>
      <c r="AF140" s="1">
        <f t="shared" si="149"/>
        <v>0</v>
      </c>
      <c r="AG140" s="1">
        <f t="shared" si="150"/>
        <v>0</v>
      </c>
      <c r="AH140" s="1">
        <f t="shared" si="151"/>
        <v>0</v>
      </c>
      <c r="AI140" s="1">
        <f ca="1">IF($B140="","",IF($K140="",0,OFFSET($CO$17,R140,W140)))</f>
        <v>8</v>
      </c>
      <c r="AJ140" s="1">
        <f t="shared" ca="1" si="152"/>
        <v>0</v>
      </c>
      <c r="AK140" s="1">
        <f ca="1">IF(AJ140="","",IF(AJ140=0,0,IF(W140=1,0,SUM(OFFSET($CO$17,N140,1):OFFSET($CO$17,N140+W140-2,1))/W140)))</f>
        <v>0</v>
      </c>
      <c r="AL140" s="1">
        <f t="shared" ca="1" si="153"/>
        <v>8</v>
      </c>
      <c r="AM140" s="1">
        <f ca="1">IF($B140="","",SUMIFS($AL$2:AL140,$I$2:I140,$I140))</f>
        <v>37</v>
      </c>
      <c r="AN140" s="1">
        <f t="shared" si="154"/>
        <v>3.0001389999999999</v>
      </c>
      <c r="AO140" s="1">
        <f>IFERROR(IF($B140="","",AVERAGEIFS($L$2:L140,$I$2:I140,I140,$L$2:L140,"&lt;&gt;0")),0)</f>
        <v>269.875</v>
      </c>
      <c r="AP140" s="1">
        <f t="shared" si="155"/>
        <v>134.9375</v>
      </c>
      <c r="AQ140" s="1">
        <f>IF($B140="","",COUNTIFS($R$2:R140,1,$I$2:I140,$I140))</f>
        <v>0</v>
      </c>
      <c r="AR140" s="1">
        <f t="array" aca="1" ref="AR140" ca="1">IF($B140="","",SUMPRODUCT(--($B$2:$B$313=B140),--(AM140&lt;$AM$2:$AM$313))+1)</f>
        <v>5</v>
      </c>
      <c r="AS140" s="1">
        <f t="array" ref="AS140">IF($B140="","",SUMPRODUCT(--($B$2:$B$313=B140),--(AP140&lt;$AP$2:$AP$313))+1)</f>
        <v>9</v>
      </c>
      <c r="AT140" s="1">
        <f t="array" ref="AT140">IF($B140="","",SUMPRODUCT(--($B$2:$B$313=B140),--(AQ140&lt;$AQ$2:$AQ$313))+1)</f>
        <v>7</v>
      </c>
      <c r="AU140" s="1">
        <f t="shared" si="156"/>
        <v>1.3899999999999999E-7</v>
      </c>
      <c r="AV140" s="1">
        <f t="shared" ca="1" si="157"/>
        <v>5.0907139000000004E-2</v>
      </c>
      <c r="AW140" s="1" t="str">
        <f t="shared" si="129"/>
        <v/>
      </c>
      <c r="AX140" s="1" t="str">
        <f t="shared" si="158"/>
        <v/>
      </c>
      <c r="AY140" s="8">
        <f t="shared" ca="1" si="159"/>
        <v>5.0907139000000004E-2</v>
      </c>
      <c r="AZ140" s="1" cm="1">
        <f t="array" aca="1" ref="AZ140" ca="1">IF($B140="","",SUMPRODUCT(--($B$2:$B$313=B140),--(AY140&gt;$AY$2:$AY$313))+1)</f>
        <v>5</v>
      </c>
      <c r="BA140" s="1" t="str">
        <f t="shared" si="160"/>
        <v>K2024GP08_13_1</v>
      </c>
      <c r="BB140" s="1" t="str">
        <f t="shared" si="161"/>
        <v>K2024GP08_13_2</v>
      </c>
      <c r="BC140" s="1">
        <f t="shared" si="162"/>
        <v>0</v>
      </c>
      <c r="BD140" s="1">
        <f t="shared" si="163"/>
        <v>1</v>
      </c>
      <c r="BE140" s="1">
        <f t="shared" si="164"/>
        <v>1</v>
      </c>
      <c r="BF140" s="1">
        <f t="shared" si="165"/>
        <v>203</v>
      </c>
      <c r="BG140" s="1">
        <f t="shared" si="166"/>
        <v>115</v>
      </c>
      <c r="BH140" s="1">
        <f t="shared" si="167"/>
        <v>1</v>
      </c>
      <c r="BI140" s="1">
        <f t="shared" si="168"/>
        <v>9</v>
      </c>
      <c r="BJ140" s="1">
        <f t="shared" si="169"/>
        <v>1.09E-2</v>
      </c>
      <c r="BK140" s="1">
        <f t="shared" si="170"/>
        <v>0</v>
      </c>
      <c r="BL140" s="1">
        <f t="shared" si="171"/>
        <v>9.8999999999999994E-5</v>
      </c>
      <c r="BM140" s="1">
        <f t="shared" si="172"/>
        <v>1.0999E-2</v>
      </c>
      <c r="BN140" s="1">
        <f t="shared" si="173"/>
        <v>0</v>
      </c>
      <c r="BO140" s="1">
        <f t="shared" si="130"/>
        <v>1</v>
      </c>
      <c r="BP140" s="1">
        <f t="shared" si="131"/>
        <v>0</v>
      </c>
      <c r="BQ140" s="1" cm="1">
        <f t="array" ref="BQ140">IF(I140="","",IF(BP140=1,"",IF(L140=0,"",IF(B140=1,"",_xlfn.XLOOKUP(1,($I$2:$I$313=$I140)*($B$2:$B$313=($B140-1)),$BO$2:$BO$313)))))</f>
        <v>3</v>
      </c>
      <c r="BR140" s="1">
        <f>IF(I140="","",IF($B140=1,_xlfn.MINIFS($BO$2:$BO$313,$B$2:$B$313,$B140),_xlfn.MINIFS(BQ$2:$BQ$313,$B$2:$B$313,$B140)))</f>
        <v>1</v>
      </c>
      <c r="BS140" s="1">
        <f t="shared" si="174"/>
        <v>3</v>
      </c>
      <c r="BT140" s="1" t="str" cm="1">
        <f t="array" ref="BT140">IF($I140="","",IF($B140=1,_xlfn.XLOOKUP(1,($B$2:$B$313=$B140)*($BO$2:$BO$313=BR140),Data!$I$2:$I$313,,0),_xlfn.XLOOKUP(1,($B$2:$B$313=$B140)*($BQ$2:$BQ$313=$BR140),$I$2:$I$313,,0)))</f>
        <v>Asko Haaksi</v>
      </c>
      <c r="BU140" s="1" t="str" cm="1">
        <f t="array" ref="BU140">IF(I140="","",IF($B140=1,_xlfn.XLOOKUP(1,($B$2:$B$313=$B140)*($BO$2:$BO$313=$BS140),$I$2:$I$313,,0),_xlfn.XLOOKUP(1,($B$2:$B$313=$B140)*($BQ$2:$BQ$313=$BS140),$I$2:$I$313,,0)))</f>
        <v>Mika Sola</v>
      </c>
      <c r="BV140" s="1" t="str" cm="1">
        <f t="array" ref="BV140">IF($I140="","",IF($B140=1,"",IF($B140=2,_xlfn.XLOOKUP(1,($B$2:$B$313=1)*($BO$2:$BO$313=1),$I$2:$I$313,,0),_xlfn.XLOOKUP($B140-1,$B$2:$B$313,$CH$2:$CH$313,,0))))</f>
        <v>Jami Kallio</v>
      </c>
      <c r="BW140" s="1" t="str" cm="1">
        <f t="array" ref="BW140">IF($I140="","",IF($B140=1,"",IF(_xlfn.XLOOKUP(1,($B$2:$B$313=$B140)*($I$2:$I$313=$BV140),$BQ$2:$BQ$313,,0)="","NOK","OK")))</f>
        <v>OK</v>
      </c>
      <c r="BX140" s="1" t="str">
        <f t="shared" si="175"/>
        <v>Jami Kallio</v>
      </c>
      <c r="BY140" s="1" t="str">
        <f t="shared" si="176"/>
        <v>Asko Haaksi</v>
      </c>
      <c r="BZ140" s="1">
        <f t="shared" si="177"/>
        <v>171</v>
      </c>
      <c r="CA140" s="1">
        <f t="shared" si="178"/>
        <v>123</v>
      </c>
      <c r="CB140" s="1">
        <f t="shared" si="179"/>
        <v>9.8999999999999994E-5</v>
      </c>
      <c r="CC140" s="1">
        <f t="shared" si="180"/>
        <v>131</v>
      </c>
      <c r="CD140" s="1">
        <f t="shared" si="181"/>
        <v>129</v>
      </c>
      <c r="CE140" s="1">
        <f t="shared" si="182"/>
        <v>9.8999999999999994E-5</v>
      </c>
      <c r="CF140" s="1" t="str">
        <f t="shared" si="183"/>
        <v>Jami Kallio (P)</v>
      </c>
      <c r="CG140" s="1" t="str">
        <f t="shared" si="184"/>
        <v>Asko Haaksi (1)</v>
      </c>
      <c r="CH140" s="1" t="str">
        <f t="shared" si="185"/>
        <v>Jami Kallio</v>
      </c>
      <c r="CI140" s="1">
        <f t="shared" si="186"/>
        <v>0</v>
      </c>
      <c r="CJ140" s="1" t="str">
        <f ca="1">IF(B140="","",IF(SUM(AI140:AK140)&gt;0,"+SP","")&amp;IF(CI140&gt;0,"+KK","")&amp;IF(AB140&gt;0,"+KGP1","")&amp;IF(AC140&gt;0,"+KGP2","")&amp;IF(AG140&lt;0,"-KGP1","")&amp;IF(AH140&lt;0,"-KGP2",""))</f>
        <v>+SP</v>
      </c>
    </row>
    <row r="141" spans="1:88" x14ac:dyDescent="0.25">
      <c r="A141" s="1">
        <f>IFERROR(IF(ROW(A140)=1,1,IF(1+A140&lt;=$CP$1*$CP$2,1+A140,"")),"")</f>
        <v>140</v>
      </c>
      <c r="B141" s="1">
        <f>IF($I141="","",IF(ROW(B140)=1,1,ROUNDUP(A141/$CP$2,0)))</f>
        <v>8</v>
      </c>
      <c r="C141" s="4">
        <f t="shared" si="132"/>
        <v>45690</v>
      </c>
      <c r="D141" s="4" t="str">
        <f t="shared" si="126"/>
        <v>Aninkaisten keilahalli</v>
      </c>
      <c r="E141" s="1">
        <f>IF($B141="","",COUNTIF($B$2:B141,B141))</f>
        <v>14</v>
      </c>
      <c r="F141" s="1" t="str">
        <f t="shared" si="127"/>
        <v>K2024GP08</v>
      </c>
      <c r="G141" s="1" t="str">
        <f t="shared" si="133"/>
        <v>K2024GP08_14</v>
      </c>
      <c r="H141" s="1">
        <f t="shared" si="134"/>
        <v>1</v>
      </c>
      <c r="I141" s="3" t="s">
        <v>131</v>
      </c>
      <c r="J141" s="3">
        <v>138</v>
      </c>
      <c r="K141" s="3">
        <v>142</v>
      </c>
      <c r="L141" s="1">
        <f t="shared" si="135"/>
        <v>280</v>
      </c>
      <c r="M141" s="1">
        <f t="shared" si="136"/>
        <v>1</v>
      </c>
      <c r="N141" s="1">
        <f t="shared" si="137"/>
        <v>6</v>
      </c>
      <c r="O141" s="1">
        <f t="shared" si="138"/>
        <v>280</v>
      </c>
      <c r="P141" s="1">
        <f t="shared" si="139"/>
        <v>63</v>
      </c>
      <c r="Q141" s="1">
        <f t="array" ref="Q141">IF($B141="","",IF(MAX(IF(B141=$B$2:$B$313,$L$2:$L$313))-L141=0,"",MAX(IF(B141=$B$2:$B$313,$L$2:$L$313))-L141))</f>
        <v>63</v>
      </c>
      <c r="R141" s="1">
        <f t="array" ref="R141">IF($B141="","",SUMPRODUCT(--($B$2:$B$313=B141),--(L141&lt;$L$2:$L$313))+1)</f>
        <v>6</v>
      </c>
      <c r="S141" s="1">
        <f t="shared" si="140"/>
        <v>2</v>
      </c>
      <c r="T141" s="1" cm="1">
        <f t="array" ref="T141">IF($B141="","",IF(M141=0,"",SUMPRODUCT(--($B$2:$B$313=B141),--(J141&lt;$J$2:$J$313))+1))</f>
        <v>5</v>
      </c>
      <c r="U141" s="1">
        <f t="shared" si="141"/>
        <v>1</v>
      </c>
      <c r="V141" s="1" t="str">
        <f t="shared" si="142"/>
        <v>0806</v>
      </c>
      <c r="W141" s="1">
        <f t="shared" si="143"/>
        <v>1</v>
      </c>
      <c r="X141" s="1">
        <f t="shared" si="128"/>
        <v>0</v>
      </c>
      <c r="Y141" s="1">
        <f>IF($B141="","",MAX(_xlfn.MAXIFS($J$2:J141,$I$2:I141,$I141),_xlfn.MAXIFS($K$2:K141,$I$2:I141,$I141)))</f>
        <v>170</v>
      </c>
      <c r="Z141" s="1">
        <f t="shared" si="144"/>
        <v>203</v>
      </c>
      <c r="AA141" s="1">
        <f t="shared" si="145"/>
        <v>0</v>
      </c>
      <c r="AB141" s="1">
        <f t="shared" si="146"/>
        <v>0</v>
      </c>
      <c r="AC141" s="1">
        <f t="shared" si="147"/>
        <v>0</v>
      </c>
      <c r="AD141" s="1">
        <f>IF($B141="","",MIN(_xlfn.MINIFS($J$2:J141,$I$2:I141,$I141),_xlfn.MINIFS($K$2:K141,$I$2:I141,$I141)))</f>
        <v>102</v>
      </c>
      <c r="AE141" s="1">
        <f t="shared" si="148"/>
        <v>80</v>
      </c>
      <c r="AF141" s="1">
        <f t="shared" si="149"/>
        <v>0</v>
      </c>
      <c r="AG141" s="1">
        <f t="shared" si="150"/>
        <v>0</v>
      </c>
      <c r="AH141" s="1">
        <f t="shared" si="151"/>
        <v>0</v>
      </c>
      <c r="AI141" s="1">
        <f ca="1">IF($B141="","",IF($K141="",0,OFFSET($CO$17,R141,W141)))</f>
        <v>5</v>
      </c>
      <c r="AJ141" s="1">
        <f t="shared" ca="1" si="152"/>
        <v>0</v>
      </c>
      <c r="AK141" s="1">
        <f ca="1">IF(AJ141="","",IF(AJ141=0,0,IF(W141=1,0,SUM(OFFSET($CO$17,N141,1):OFFSET($CO$17,N141+W141-2,1))/W141)))</f>
        <v>0</v>
      </c>
      <c r="AL141" s="1">
        <f t="shared" ca="1" si="153"/>
        <v>5</v>
      </c>
      <c r="AM141" s="1">
        <f ca="1">IF($B141="","",SUMIFS($AL$2:AL141,$I$2:I141,$I141))</f>
        <v>45</v>
      </c>
      <c r="AN141" s="1">
        <f t="shared" si="154"/>
        <v>6.00014</v>
      </c>
      <c r="AO141" s="1">
        <f>IFERROR(IF($B141="","",AVERAGEIFS($L$2:L141,$I$2:I141,I141,$L$2:L141,"&lt;&gt;0")),0)</f>
        <v>281.625</v>
      </c>
      <c r="AP141" s="1">
        <f t="shared" si="155"/>
        <v>140.8125</v>
      </c>
      <c r="AQ141" s="1">
        <f>IF($B141="","",COUNTIFS($R$2:R141,1,$I$2:I141,$I141))</f>
        <v>0</v>
      </c>
      <c r="AR141" s="1">
        <f t="array" aca="1" ref="AR141" ca="1">IF($B141="","",SUMPRODUCT(--($B$2:$B$313=B141),--(AM141&lt;$AM$2:$AM$313))+1)</f>
        <v>4</v>
      </c>
      <c r="AS141" s="1">
        <f t="array" ref="AS141">IF($B141="","",SUMPRODUCT(--($B$2:$B$313=B141),--(AP141&lt;$AP$2:$AP$313))+1)</f>
        <v>7</v>
      </c>
      <c r="AT141" s="1">
        <f t="array" ref="AT141">IF($B141="","",SUMPRODUCT(--($B$2:$B$313=B141),--(AQ141&lt;$AQ$2:$AQ$313))+1)</f>
        <v>7</v>
      </c>
      <c r="AU141" s="1">
        <f t="shared" si="156"/>
        <v>1.4000000000000001E-7</v>
      </c>
      <c r="AV141" s="1">
        <f t="shared" ca="1" si="157"/>
        <v>4.0707140000000003E-2</v>
      </c>
      <c r="AW141" s="1" t="str">
        <f t="shared" si="129"/>
        <v/>
      </c>
      <c r="AX141" s="1" t="str">
        <f t="shared" si="158"/>
        <v/>
      </c>
      <c r="AY141" s="8">
        <f t="shared" ca="1" si="159"/>
        <v>4.0707140000000003E-2</v>
      </c>
      <c r="AZ141" s="1" cm="1">
        <f t="array" aca="1" ref="AZ141" ca="1">IF($B141="","",SUMPRODUCT(--($B$2:$B$313=B141),--(AY141&gt;$AY$2:$AY$313))+1)</f>
        <v>4</v>
      </c>
      <c r="BA141" s="1" t="str">
        <f t="shared" si="160"/>
        <v>K2024GP08_14_1</v>
      </c>
      <c r="BB141" s="1" t="str">
        <f t="shared" si="161"/>
        <v>K2024GP08_14_2</v>
      </c>
      <c r="BC141" s="1">
        <f t="shared" si="162"/>
        <v>0</v>
      </c>
      <c r="BD141" s="1">
        <f t="shared" si="163"/>
        <v>0</v>
      </c>
      <c r="BE141" s="1">
        <f t="shared" si="164"/>
        <v>1</v>
      </c>
      <c r="BF141" s="1">
        <f t="shared" si="165"/>
        <v>142</v>
      </c>
      <c r="BG141" s="1">
        <f t="shared" si="166"/>
        <v>138</v>
      </c>
      <c r="BH141" s="1">
        <f t="shared" si="167"/>
        <v>8</v>
      </c>
      <c r="BI141" s="1">
        <f t="shared" si="168"/>
        <v>4</v>
      </c>
      <c r="BJ141" s="1">
        <f t="shared" si="169"/>
        <v>8.0399999999999999E-2</v>
      </c>
      <c r="BK141" s="1">
        <f t="shared" si="170"/>
        <v>0</v>
      </c>
      <c r="BL141" s="1">
        <f t="shared" si="171"/>
        <v>9.8999999999999994E-5</v>
      </c>
      <c r="BM141" s="1">
        <f t="shared" si="172"/>
        <v>8.0499000000000001E-2</v>
      </c>
      <c r="BN141" s="1">
        <f t="shared" si="173"/>
        <v>0</v>
      </c>
      <c r="BO141" s="1">
        <f t="shared" si="130"/>
        <v>8</v>
      </c>
      <c r="BP141" s="1">
        <f t="shared" si="131"/>
        <v>0</v>
      </c>
      <c r="BQ141" s="1" cm="1">
        <f t="array" ref="BQ141">IF(I141="","",IF(BP141=1,"",IF(L141=0,"",IF(B141=1,"",_xlfn.XLOOKUP(1,($I$2:$I$313=$I141)*($B$2:$B$313=($B141-1)),$BO$2:$BO$313)))))</f>
        <v>7</v>
      </c>
      <c r="BR141" s="1">
        <f>IF(I141="","",IF($B141=1,_xlfn.MINIFS($BO$2:$BO$313,$B$2:$B$313,$B141),_xlfn.MINIFS(BQ$2:$BQ$313,$B$2:$B$313,$B141)))</f>
        <v>1</v>
      </c>
      <c r="BS141" s="1">
        <f t="shared" si="174"/>
        <v>3</v>
      </c>
      <c r="BT141" s="1" t="str" cm="1">
        <f t="array" ref="BT141">IF($I141="","",IF($B141=1,_xlfn.XLOOKUP(1,($B$2:$B$313=$B141)*($BO$2:$BO$313=BR141),Data!$I$2:$I$313,,0),_xlfn.XLOOKUP(1,($B$2:$B$313=$B141)*($BQ$2:$BQ$313=$BR141),$I$2:$I$313,,0)))</f>
        <v>Asko Haaksi</v>
      </c>
      <c r="BU141" s="1" t="str" cm="1">
        <f t="array" ref="BU141">IF(I141="","",IF($B141=1,_xlfn.XLOOKUP(1,($B$2:$B$313=$B141)*($BO$2:$BO$313=$BS141),$I$2:$I$313,,0),_xlfn.XLOOKUP(1,($B$2:$B$313=$B141)*($BQ$2:$BQ$313=$BS141),$I$2:$I$313,,0)))</f>
        <v>Mika Sola</v>
      </c>
      <c r="BV141" s="1" t="str" cm="1">
        <f t="array" ref="BV141">IF($I141="","",IF($B141=1,"",IF($B141=2,_xlfn.XLOOKUP(1,($B$2:$B$313=1)*($BO$2:$BO$313=1),$I$2:$I$313,,0),_xlfn.XLOOKUP($B141-1,$B$2:$B$313,$CH$2:$CH$313,,0))))</f>
        <v>Jami Kallio</v>
      </c>
      <c r="BW141" s="1" t="str" cm="1">
        <f t="array" ref="BW141">IF($I141="","",IF($B141=1,"",IF(_xlfn.XLOOKUP(1,($B$2:$B$313=$B141)*($I$2:$I$313=$BV141),$BQ$2:$BQ$313,,0)="","NOK","OK")))</f>
        <v>OK</v>
      </c>
      <c r="BX141" s="1" t="str">
        <f t="shared" si="175"/>
        <v>Jami Kallio</v>
      </c>
      <c r="BY141" s="1" t="str">
        <f t="shared" si="176"/>
        <v>Asko Haaksi</v>
      </c>
      <c r="BZ141" s="1">
        <f t="shared" si="177"/>
        <v>171</v>
      </c>
      <c r="CA141" s="1">
        <f t="shared" si="178"/>
        <v>123</v>
      </c>
      <c r="CB141" s="1">
        <f t="shared" si="179"/>
        <v>9.8999999999999994E-5</v>
      </c>
      <c r="CC141" s="1">
        <f t="shared" si="180"/>
        <v>131</v>
      </c>
      <c r="CD141" s="1">
        <f t="shared" si="181"/>
        <v>129</v>
      </c>
      <c r="CE141" s="1">
        <f t="shared" si="182"/>
        <v>9.8999999999999994E-5</v>
      </c>
      <c r="CF141" s="1" t="str">
        <f t="shared" si="183"/>
        <v>Jami Kallio (P)</v>
      </c>
      <c r="CG141" s="1" t="str">
        <f t="shared" si="184"/>
        <v>Asko Haaksi (1)</v>
      </c>
      <c r="CH141" s="1" t="str">
        <f t="shared" si="185"/>
        <v>Jami Kallio</v>
      </c>
      <c r="CI141" s="1">
        <f t="shared" si="186"/>
        <v>0</v>
      </c>
      <c r="CJ141" s="1" t="str">
        <f ca="1">IF(B141="","",IF(SUM(AI141:AK141)&gt;0,"+SP","")&amp;IF(CI141&gt;0,"+KK","")&amp;IF(AB141&gt;0,"+KGP1","")&amp;IF(AC141&gt;0,"+KGP2","")&amp;IF(AG141&lt;0,"-KGP1","")&amp;IF(AH141&lt;0,"-KGP2",""))</f>
        <v>+SP</v>
      </c>
    </row>
    <row r="142" spans="1:88" x14ac:dyDescent="0.25">
      <c r="A142" s="1">
        <f>IFERROR(IF(ROW(A141)=1,1,IF(1+A141&lt;=$CP$1*$CP$2,1+A141,"")),"")</f>
        <v>141</v>
      </c>
      <c r="B142" s="1">
        <f>IF($I142="","",IF(ROW(B141)=1,1,ROUNDUP(A142/$CP$2,0)))</f>
        <v>8</v>
      </c>
      <c r="C142" s="4">
        <f t="shared" si="132"/>
        <v>45690</v>
      </c>
      <c r="D142" s="4" t="str">
        <f t="shared" si="126"/>
        <v>Aninkaisten keilahalli</v>
      </c>
      <c r="E142" s="1">
        <f>IF($B142="","",COUNTIF($B$2:B142,B142))</f>
        <v>15</v>
      </c>
      <c r="F142" s="1" t="str">
        <f t="shared" si="127"/>
        <v>K2024GP08</v>
      </c>
      <c r="G142" s="1" t="str">
        <f t="shared" si="133"/>
        <v>K2024GP08_15</v>
      </c>
      <c r="H142" s="1">
        <f t="shared" si="134"/>
        <v>1</v>
      </c>
      <c r="I142" s="3" t="s">
        <v>137</v>
      </c>
      <c r="J142" s="3"/>
      <c r="K142" s="3"/>
      <c r="L142" s="1">
        <f t="shared" si="135"/>
        <v>0</v>
      </c>
      <c r="M142" s="1">
        <f t="shared" si="136"/>
        <v>0</v>
      </c>
      <c r="N142" s="1" t="str">
        <f t="shared" si="137"/>
        <v/>
      </c>
      <c r="O142" s="1" t="str">
        <f t="shared" si="138"/>
        <v/>
      </c>
      <c r="P142" s="1" t="str">
        <f t="shared" si="139"/>
        <v/>
      </c>
      <c r="Q142" s="1">
        <f t="array" ref="Q142">IF($B142="","",IF(MAX(IF(B142=$B$2:$B$313,$L$2:$L$313))-L142=0,"",MAX(IF(B142=$B$2:$B$313,$L$2:$L$313))-L142))</f>
        <v>343</v>
      </c>
      <c r="R142" s="1">
        <f t="array" ref="R142">IF($B142="","",SUMPRODUCT(--($B$2:$B$313=B142),--(L142&lt;$L$2:$L$313))+1)</f>
        <v>15</v>
      </c>
      <c r="S142" s="1">
        <f t="shared" si="140"/>
        <v>0</v>
      </c>
      <c r="T142" s="1" t="str" cm="1">
        <f t="array" ref="T142">IF($B142="","",IF(M142=0,"",SUMPRODUCT(--($B$2:$B$313=B142),--(J142&lt;$J$2:$J$313))+1))</f>
        <v/>
      </c>
      <c r="U142" s="1" t="str">
        <f t="shared" si="141"/>
        <v/>
      </c>
      <c r="V142" s="1" t="str">
        <f t="shared" si="142"/>
        <v>0815</v>
      </c>
      <c r="W142" s="1">
        <f t="shared" si="143"/>
        <v>4</v>
      </c>
      <c r="X142" s="1">
        <f t="shared" si="128"/>
        <v>0</v>
      </c>
      <c r="Y142" s="1">
        <f>IF($B142="","",MAX(_xlfn.MAXIFS($J$2:J142,$I$2:I142,$I142),_xlfn.MAXIFS($K$2:K142,$I$2:I142,$I142)))</f>
        <v>175</v>
      </c>
      <c r="Z142" s="1">
        <f t="shared" si="144"/>
        <v>203</v>
      </c>
      <c r="AA142" s="1">
        <f t="shared" si="145"/>
        <v>0</v>
      </c>
      <c r="AB142" s="1">
        <f t="shared" si="146"/>
        <v>0</v>
      </c>
      <c r="AC142" s="1">
        <f t="shared" si="147"/>
        <v>0</v>
      </c>
      <c r="AD142" s="1">
        <f>IF($B142="","",MIN(_xlfn.MINIFS($J$2:J142,$I$2:I142,$I142),_xlfn.MINIFS($K$2:K142,$I$2:I142,$I142)))</f>
        <v>111</v>
      </c>
      <c r="AE142" s="1">
        <f t="shared" si="148"/>
        <v>80</v>
      </c>
      <c r="AF142" s="1">
        <f t="shared" si="149"/>
        <v>0</v>
      </c>
      <c r="AG142" s="1">
        <f t="shared" si="150"/>
        <v>0</v>
      </c>
      <c r="AH142" s="1">
        <f t="shared" si="151"/>
        <v>0</v>
      </c>
      <c r="AI142" s="1">
        <f ca="1">IF($B142="","",IF($K142="",0,OFFSET($CO$17,R142,W142)))</f>
        <v>0</v>
      </c>
      <c r="AJ142" s="1">
        <f t="shared" ca="1" si="152"/>
        <v>0</v>
      </c>
      <c r="AK142" s="1">
        <f ca="1">IF(AJ142="","",IF(AJ142=0,0,IF(W142=1,0,SUM(OFFSET($CO$17,N142,1):OFFSET($CO$17,N142+W142-2,1))/W142)))</f>
        <v>0</v>
      </c>
      <c r="AL142" s="1">
        <f t="shared" si="153"/>
        <v>0</v>
      </c>
      <c r="AM142" s="1">
        <f ca="1">IF($B142="","",SUMIFS($AL$2:AL142,$I$2:I142,$I142))</f>
        <v>19</v>
      </c>
      <c r="AN142" s="1">
        <f t="shared" si="154"/>
        <v>15.000140999999999</v>
      </c>
      <c r="AO142" s="1">
        <f>IFERROR(IF($B142="","",AVERAGEIFS($L$2:L142,$I$2:I142,I142,$L$2:L142,"&lt;&gt;0")),0)</f>
        <v>279.8</v>
      </c>
      <c r="AP142" s="1">
        <f t="shared" si="155"/>
        <v>139.9</v>
      </c>
      <c r="AQ142" s="1">
        <f>IF($B142="","",COUNTIFS($R$2:R142,1,$I$2:I142,$I142))</f>
        <v>0</v>
      </c>
      <c r="AR142" s="1">
        <f t="array" aca="1" ref="AR142" ca="1">IF($B142="","",SUMPRODUCT(--($B$2:$B$313=B142),--(AM142&lt;$AM$2:$AM$313))+1)</f>
        <v>12</v>
      </c>
      <c r="AS142" s="1">
        <f t="array" ref="AS142">IF($B142="","",SUMPRODUCT(--($B$2:$B$313=B142),--(AP142&lt;$AP$2:$AP$313))+1)</f>
        <v>8</v>
      </c>
      <c r="AT142" s="1">
        <f t="array" ref="AT142">IF($B142="","",SUMPRODUCT(--($B$2:$B$313=B142),--(AQ142&lt;$AQ$2:$AQ$313))+1)</f>
        <v>7</v>
      </c>
      <c r="AU142" s="1">
        <f t="shared" si="156"/>
        <v>1.4100000000000001E-7</v>
      </c>
      <c r="AV142" s="1">
        <f t="shared" ca="1" si="157"/>
        <v>0.12080714099999998</v>
      </c>
      <c r="AW142" s="1" t="str">
        <f t="shared" si="129"/>
        <v/>
      </c>
      <c r="AX142" s="1" t="str">
        <f t="shared" si="158"/>
        <v/>
      </c>
      <c r="AY142" s="8">
        <f t="shared" ca="1" si="159"/>
        <v>0.12080714099999998</v>
      </c>
      <c r="AZ142" s="1" cm="1">
        <f t="array" aca="1" ref="AZ142" ca="1">IF($B142="","",SUMPRODUCT(--($B$2:$B$313=B142),--(AY142&gt;$AY$2:$AY$313))+1)</f>
        <v>12</v>
      </c>
      <c r="BA142" s="1" t="str">
        <f t="shared" si="160"/>
        <v>K2024GP08_15_1</v>
      </c>
      <c r="BB142" s="1" t="str">
        <f t="shared" si="161"/>
        <v>K2024GP08_15_2</v>
      </c>
      <c r="BC142" s="1">
        <f t="shared" si="162"/>
        <v>0</v>
      </c>
      <c r="BD142" s="1">
        <f t="shared" si="163"/>
        <v>0</v>
      </c>
      <c r="BE142" s="1">
        <f t="shared" si="164"/>
        <v>1</v>
      </c>
      <c r="BF142" s="1">
        <f t="shared" si="165"/>
        <v>0</v>
      </c>
      <c r="BG142" s="1">
        <f t="shared" si="166"/>
        <v>0</v>
      </c>
      <c r="BH142" s="1">
        <f t="shared" si="167"/>
        <v>15</v>
      </c>
      <c r="BI142" s="1">
        <f t="shared" si="168"/>
        <v>15</v>
      </c>
      <c r="BJ142" s="1">
        <f t="shared" si="169"/>
        <v>0.1515</v>
      </c>
      <c r="BK142" s="1" t="str">
        <f t="shared" si="170"/>
        <v/>
      </c>
      <c r="BL142" s="1">
        <f t="shared" si="171"/>
        <v>9.8999999999999994E-5</v>
      </c>
      <c r="BM142" s="1">
        <f t="shared" si="172"/>
        <v>0.15161319999999998</v>
      </c>
      <c r="BN142" s="1" t="str">
        <f t="shared" si="173"/>
        <v/>
      </c>
      <c r="BO142" s="1">
        <f t="shared" si="130"/>
        <v>15</v>
      </c>
      <c r="BP142" s="1">
        <f t="shared" si="131"/>
        <v>0</v>
      </c>
      <c r="BQ142" s="1" t="str" cm="1">
        <f t="array" ref="BQ142">IF(I142="","",IF(BP142=1,"",IF(L142=0,"",IF(B142=1,"",_xlfn.XLOOKUP(1,($I$2:$I$313=$I142)*($B$2:$B$313=($B142-1)),$BO$2:$BO$313)))))</f>
        <v/>
      </c>
      <c r="BR142" s="1">
        <f>IF(I142="","",IF($B142=1,_xlfn.MINIFS($BO$2:$BO$313,$B$2:$B$313,$B142),_xlfn.MINIFS(BQ$2:$BQ$313,$B$2:$B$313,$B142)))</f>
        <v>1</v>
      </c>
      <c r="BS142" s="1">
        <f t="shared" si="174"/>
        <v>3</v>
      </c>
      <c r="BT142" s="1" t="str" cm="1">
        <f t="array" ref="BT142">IF($I142="","",IF($B142=1,_xlfn.XLOOKUP(1,($B$2:$B$313=$B142)*($BO$2:$BO$313=BR142),Data!$I$2:$I$313,,0),_xlfn.XLOOKUP(1,($B$2:$B$313=$B142)*($BQ$2:$BQ$313=$BR142),$I$2:$I$313,,0)))</f>
        <v>Asko Haaksi</v>
      </c>
      <c r="BU142" s="1" t="str" cm="1">
        <f t="array" ref="BU142">IF(I142="","",IF($B142=1,_xlfn.XLOOKUP(1,($B$2:$B$313=$B142)*($BO$2:$BO$313=$BS142),$I$2:$I$313,,0),_xlfn.XLOOKUP(1,($B$2:$B$313=$B142)*($BQ$2:$BQ$313=$BS142),$I$2:$I$313,,0)))</f>
        <v>Mika Sola</v>
      </c>
      <c r="BV142" s="1" t="str" cm="1">
        <f t="array" ref="BV142">IF($I142="","",IF($B142=1,"",IF($B142=2,_xlfn.XLOOKUP(1,($B$2:$B$313=1)*($BO$2:$BO$313=1),$I$2:$I$313,,0),_xlfn.XLOOKUP($B142-1,$B$2:$B$313,$CH$2:$CH$313,,0))))</f>
        <v>Jami Kallio</v>
      </c>
      <c r="BW142" s="1" t="str" cm="1">
        <f t="array" ref="BW142">IF($I142="","",IF($B142=1,"",IF(_xlfn.XLOOKUP(1,($B$2:$B$313=$B142)*($I$2:$I$313=$BV142),$BQ$2:$BQ$313,,0)="","NOK","OK")))</f>
        <v>OK</v>
      </c>
      <c r="BX142" s="1" t="str">
        <f t="shared" si="175"/>
        <v>Jami Kallio</v>
      </c>
      <c r="BY142" s="1" t="str">
        <f t="shared" si="176"/>
        <v>Asko Haaksi</v>
      </c>
      <c r="BZ142" s="1">
        <f t="shared" si="177"/>
        <v>171</v>
      </c>
      <c r="CA142" s="1">
        <f t="shared" si="178"/>
        <v>123</v>
      </c>
      <c r="CB142" s="1">
        <f t="shared" si="179"/>
        <v>9.8999999999999994E-5</v>
      </c>
      <c r="CC142" s="1">
        <f t="shared" si="180"/>
        <v>131</v>
      </c>
      <c r="CD142" s="1">
        <f t="shared" si="181"/>
        <v>129</v>
      </c>
      <c r="CE142" s="1">
        <f t="shared" si="182"/>
        <v>9.8999999999999994E-5</v>
      </c>
      <c r="CF142" s="1" t="str">
        <f t="shared" si="183"/>
        <v>Jami Kallio (P)</v>
      </c>
      <c r="CG142" s="1" t="str">
        <f t="shared" si="184"/>
        <v>Asko Haaksi (1)</v>
      </c>
      <c r="CH142" s="1" t="str">
        <f t="shared" si="185"/>
        <v>Jami Kallio</v>
      </c>
      <c r="CI142" s="1">
        <f t="shared" si="186"/>
        <v>0</v>
      </c>
      <c r="CJ142" s="1" t="str">
        <f ca="1">IF(B142="","",IF(SUM(AI142:AK142)&gt;0,"+SP","")&amp;IF(CI142&gt;0,"+KK","")&amp;IF(AB142&gt;0,"+KGP1","")&amp;IF(AC142&gt;0,"+KGP2","")&amp;IF(AG142&lt;0,"-KGP1","")&amp;IF(AH142&lt;0,"-KGP2",""))</f>
        <v/>
      </c>
    </row>
    <row r="143" spans="1:88" x14ac:dyDescent="0.25">
      <c r="A143" s="1">
        <f>IFERROR(IF(ROW(A142)=1,1,IF(1+A142&lt;=$CP$1*$CP$2,1+A142,"")),"")</f>
        <v>142</v>
      </c>
      <c r="B143" s="1">
        <f>IF($I143="","",IF(ROW(B142)=1,1,ROUNDUP(A143/$CP$2,0)))</f>
        <v>8</v>
      </c>
      <c r="C143" s="4">
        <f t="shared" si="132"/>
        <v>45690</v>
      </c>
      <c r="D143" s="4" t="str">
        <f t="shared" si="126"/>
        <v>Aninkaisten keilahalli</v>
      </c>
      <c r="E143" s="1">
        <f>IF($B143="","",COUNTIF($B$2:B143,B143))</f>
        <v>16</v>
      </c>
      <c r="F143" s="1" t="str">
        <f t="shared" si="127"/>
        <v>K2024GP08</v>
      </c>
      <c r="G143" s="1" t="str">
        <f t="shared" si="133"/>
        <v>K2024GP08_16</v>
      </c>
      <c r="H143" s="1">
        <f t="shared" si="134"/>
        <v>1</v>
      </c>
      <c r="I143" s="3" t="s">
        <v>130</v>
      </c>
      <c r="J143" s="3"/>
      <c r="K143" s="3"/>
      <c r="L143" s="1">
        <f t="shared" si="135"/>
        <v>0</v>
      </c>
      <c r="M143" s="1">
        <f t="shared" si="136"/>
        <v>0</v>
      </c>
      <c r="N143" s="1" t="str">
        <f t="shared" si="137"/>
        <v/>
      </c>
      <c r="O143" s="1" t="str">
        <f t="shared" si="138"/>
        <v/>
      </c>
      <c r="P143" s="1" t="str">
        <f t="shared" si="139"/>
        <v/>
      </c>
      <c r="Q143" s="1">
        <f t="array" ref="Q143">IF($B143="","",IF(MAX(IF(B143=$B$2:$B$313,$L$2:$L$313))-L143=0,"",MAX(IF(B143=$B$2:$B$313,$L$2:$L$313))-L143))</f>
        <v>343</v>
      </c>
      <c r="R143" s="1">
        <f t="array" ref="R143">IF($B143="","",SUMPRODUCT(--($B$2:$B$313=B143),--(L143&lt;$L$2:$L$313))+1)</f>
        <v>15</v>
      </c>
      <c r="S143" s="1">
        <f t="shared" si="140"/>
        <v>0</v>
      </c>
      <c r="T143" s="1" t="str" cm="1">
        <f t="array" ref="T143">IF($B143="","",IF(M143=0,"",SUMPRODUCT(--($B$2:$B$313=B143),--(J143&lt;$J$2:$J$313))+1))</f>
        <v/>
      </c>
      <c r="U143" s="1" t="str">
        <f t="shared" si="141"/>
        <v/>
      </c>
      <c r="V143" s="1" t="str">
        <f t="shared" si="142"/>
        <v>0815</v>
      </c>
      <c r="W143" s="1">
        <f t="shared" si="143"/>
        <v>4</v>
      </c>
      <c r="X143" s="1">
        <f t="shared" si="128"/>
        <v>0</v>
      </c>
      <c r="Y143" s="1">
        <f>IF($B143="","",MAX(_xlfn.MAXIFS($J$2:J143,$I$2:I143,$I143),_xlfn.MAXIFS($K$2:K143,$I$2:I143,$I143)))</f>
        <v>204</v>
      </c>
      <c r="Z143" s="1">
        <f t="shared" si="144"/>
        <v>203</v>
      </c>
      <c r="AA143" s="1">
        <f t="shared" si="145"/>
        <v>0</v>
      </c>
      <c r="AB143" s="1">
        <f t="shared" si="146"/>
        <v>0</v>
      </c>
      <c r="AC143" s="1">
        <f t="shared" si="147"/>
        <v>0</v>
      </c>
      <c r="AD143" s="1">
        <f>IF($B143="","",MIN(_xlfn.MINIFS($J$2:J143,$I$2:I143,$I143),_xlfn.MINIFS($K$2:K143,$I$2:I143,$I143)))</f>
        <v>111</v>
      </c>
      <c r="AE143" s="1">
        <f t="shared" si="148"/>
        <v>80</v>
      </c>
      <c r="AF143" s="1">
        <f t="shared" si="149"/>
        <v>0</v>
      </c>
      <c r="AG143" s="1">
        <f t="shared" si="150"/>
        <v>0</v>
      </c>
      <c r="AH143" s="1">
        <f t="shared" si="151"/>
        <v>0</v>
      </c>
      <c r="AI143" s="1">
        <f ca="1">IF($B143="","",IF($K143="",0,OFFSET($CO$17,R143,W143)))</f>
        <v>0</v>
      </c>
      <c r="AJ143" s="1">
        <f t="shared" ca="1" si="152"/>
        <v>0</v>
      </c>
      <c r="AK143" s="1">
        <f ca="1">IF(AJ143="","",IF(AJ143=0,0,IF(W143=1,0,SUM(OFFSET($CO$17,N143,1):OFFSET($CO$17,N143+W143-2,1))/W143)))</f>
        <v>0</v>
      </c>
      <c r="AL143" s="1">
        <f t="shared" si="153"/>
        <v>0</v>
      </c>
      <c r="AM143" s="1">
        <f ca="1">IF($B143="","",SUMIFS($AL$2:AL143,$I$2:I143,$I143))</f>
        <v>32.5</v>
      </c>
      <c r="AN143" s="1">
        <f t="shared" si="154"/>
        <v>15.000142</v>
      </c>
      <c r="AO143" s="1">
        <f>IFERROR(IF($B143="","",AVERAGEIFS($L$2:L143,$I$2:I143,I143,$L$2:L143,"&lt;&gt;0")),0)</f>
        <v>308</v>
      </c>
      <c r="AP143" s="1">
        <f t="shared" si="155"/>
        <v>154</v>
      </c>
      <c r="AQ143" s="1">
        <f>IF($B143="","",COUNTIFS($R$2:R143,1,$I$2:I143,$I143))</f>
        <v>2</v>
      </c>
      <c r="AR143" s="1">
        <f t="array" aca="1" ref="AR143" ca="1">IF($B143="","",SUMPRODUCT(--($B$2:$B$313=B143),--(AM143&lt;$AM$2:$AM$313))+1)</f>
        <v>6</v>
      </c>
      <c r="AS143" s="1">
        <f t="array" ref="AS143">IF($B143="","",SUMPRODUCT(--($B$2:$B$313=B143),--(AP143&lt;$AP$2:$AP$313))+1)</f>
        <v>2</v>
      </c>
      <c r="AT143" s="1">
        <f t="array" ref="AT143">IF($B143="","",SUMPRODUCT(--($B$2:$B$313=B143),--(AQ143&lt;$AQ$2:$AQ$313))+1)</f>
        <v>2</v>
      </c>
      <c r="AU143" s="1">
        <f t="shared" si="156"/>
        <v>1.42E-7</v>
      </c>
      <c r="AV143" s="1">
        <f t="shared" ca="1" si="157"/>
        <v>6.0202142E-2</v>
      </c>
      <c r="AW143" s="1" t="str">
        <f t="shared" si="129"/>
        <v/>
      </c>
      <c r="AX143" s="1" t="str">
        <f t="shared" si="158"/>
        <v/>
      </c>
      <c r="AY143" s="8">
        <f t="shared" ca="1" si="159"/>
        <v>6.0202142E-2</v>
      </c>
      <c r="AZ143" s="1" cm="1">
        <f t="array" aca="1" ref="AZ143" ca="1">IF($B143="","",SUMPRODUCT(--($B$2:$B$313=B143),--(AY143&gt;$AY$2:$AY$313))+1)</f>
        <v>6</v>
      </c>
      <c r="BA143" s="1" t="str">
        <f t="shared" si="160"/>
        <v>K2024GP08_16_1</v>
      </c>
      <c r="BB143" s="1" t="str">
        <f t="shared" si="161"/>
        <v>K2024GP08_16_2</v>
      </c>
      <c r="BC143" s="1">
        <f t="shared" si="162"/>
        <v>0</v>
      </c>
      <c r="BD143" s="1">
        <f t="shared" si="163"/>
        <v>0</v>
      </c>
      <c r="BE143" s="1">
        <f t="shared" si="164"/>
        <v>1</v>
      </c>
      <c r="BF143" s="1">
        <f t="shared" si="165"/>
        <v>0</v>
      </c>
      <c r="BG143" s="1">
        <f t="shared" si="166"/>
        <v>0</v>
      </c>
      <c r="BH143" s="1">
        <f t="shared" si="167"/>
        <v>15</v>
      </c>
      <c r="BI143" s="1">
        <f t="shared" si="168"/>
        <v>15</v>
      </c>
      <c r="BJ143" s="1">
        <f t="shared" si="169"/>
        <v>0.1515</v>
      </c>
      <c r="BK143" s="1" t="str">
        <f t="shared" si="170"/>
        <v/>
      </c>
      <c r="BL143" s="1">
        <f t="shared" si="171"/>
        <v>9.8999999999999994E-5</v>
      </c>
      <c r="BM143" s="1">
        <f t="shared" si="172"/>
        <v>0.15161329999999998</v>
      </c>
      <c r="BN143" s="1" t="str">
        <f t="shared" si="173"/>
        <v/>
      </c>
      <c r="BO143" s="1">
        <f t="shared" si="130"/>
        <v>16</v>
      </c>
      <c r="BP143" s="1">
        <f t="shared" si="131"/>
        <v>0</v>
      </c>
      <c r="BQ143" s="1" t="str" cm="1">
        <f t="array" ref="BQ143">IF(I143="","",IF(BP143=1,"",IF(L143=0,"",IF(B143=1,"",_xlfn.XLOOKUP(1,($I$2:$I$313=$I143)*($B$2:$B$313=($B143-1)),$BO$2:$BO$313)))))</f>
        <v/>
      </c>
      <c r="BR143" s="1">
        <f>IF(I143="","",IF($B143=1,_xlfn.MINIFS($BO$2:$BO$313,$B$2:$B$313,$B143),_xlfn.MINIFS(BQ$2:$BQ$313,$B$2:$B$313,$B143)))</f>
        <v>1</v>
      </c>
      <c r="BS143" s="1">
        <f t="shared" si="174"/>
        <v>3</v>
      </c>
      <c r="BT143" s="1" t="str" cm="1">
        <f t="array" ref="BT143">IF($I143="","",IF($B143=1,_xlfn.XLOOKUP(1,($B$2:$B$313=$B143)*($BO$2:$BO$313=BR143),Data!$I$2:$I$313,,0),_xlfn.XLOOKUP(1,($B$2:$B$313=$B143)*($BQ$2:$BQ$313=$BR143),$I$2:$I$313,,0)))</f>
        <v>Asko Haaksi</v>
      </c>
      <c r="BU143" s="1" t="str" cm="1">
        <f t="array" ref="BU143">IF(I143="","",IF($B143=1,_xlfn.XLOOKUP(1,($B$2:$B$313=$B143)*($BO$2:$BO$313=$BS143),$I$2:$I$313,,0),_xlfn.XLOOKUP(1,($B$2:$B$313=$B143)*($BQ$2:$BQ$313=$BS143),$I$2:$I$313,,0)))</f>
        <v>Mika Sola</v>
      </c>
      <c r="BV143" s="1" t="str" cm="1">
        <f t="array" ref="BV143">IF($I143="","",IF($B143=1,"",IF($B143=2,_xlfn.XLOOKUP(1,($B$2:$B$313=1)*($BO$2:$BO$313=1),$I$2:$I$313,,0),_xlfn.XLOOKUP($B143-1,$B$2:$B$313,$CH$2:$CH$313,,0))))</f>
        <v>Jami Kallio</v>
      </c>
      <c r="BW143" s="1" t="str" cm="1">
        <f t="array" ref="BW143">IF($I143="","",IF($B143=1,"",IF(_xlfn.XLOOKUP(1,($B$2:$B$313=$B143)*($I$2:$I$313=$BV143),$BQ$2:$BQ$313,,0)="","NOK","OK")))</f>
        <v>OK</v>
      </c>
      <c r="BX143" s="1" t="str">
        <f t="shared" si="175"/>
        <v>Jami Kallio</v>
      </c>
      <c r="BY143" s="1" t="str">
        <f t="shared" si="176"/>
        <v>Asko Haaksi</v>
      </c>
      <c r="BZ143" s="1">
        <f t="shared" si="177"/>
        <v>171</v>
      </c>
      <c r="CA143" s="1">
        <f t="shared" si="178"/>
        <v>123</v>
      </c>
      <c r="CB143" s="1">
        <f t="shared" si="179"/>
        <v>9.8999999999999994E-5</v>
      </c>
      <c r="CC143" s="1">
        <f t="shared" si="180"/>
        <v>131</v>
      </c>
      <c r="CD143" s="1">
        <f t="shared" si="181"/>
        <v>129</v>
      </c>
      <c r="CE143" s="1">
        <f t="shared" si="182"/>
        <v>9.8999999999999994E-5</v>
      </c>
      <c r="CF143" s="1" t="str">
        <f t="shared" si="183"/>
        <v>Jami Kallio (P)</v>
      </c>
      <c r="CG143" s="1" t="str">
        <f t="shared" si="184"/>
        <v>Asko Haaksi (1)</v>
      </c>
      <c r="CH143" s="1" t="str">
        <f t="shared" si="185"/>
        <v>Jami Kallio</v>
      </c>
      <c r="CI143" s="1">
        <f t="shared" si="186"/>
        <v>0</v>
      </c>
      <c r="CJ143" s="1" t="str">
        <f ca="1">IF(B143="","",IF(SUM(AI143:AK143)&gt;0,"+SP","")&amp;IF(CI143&gt;0,"+KK","")&amp;IF(AB143&gt;0,"+KGP1","")&amp;IF(AC143&gt;0,"+KGP2","")&amp;IF(AG143&lt;0,"-KGP1","")&amp;IF(AH143&lt;0,"-KGP2",""))</f>
        <v/>
      </c>
    </row>
    <row r="144" spans="1:88" x14ac:dyDescent="0.25">
      <c r="A144" s="1">
        <f>IFERROR(IF(ROW(A143)=1,1,IF(1+A143&lt;=$CP$1*$CP$2,1+A143,"")),"")</f>
        <v>143</v>
      </c>
      <c r="B144" s="1">
        <f>IF($I144="","",IF(ROW(B143)=1,1,ROUNDUP(A144/$CP$2,0)))</f>
        <v>8</v>
      </c>
      <c r="C144" s="4">
        <f t="shared" si="132"/>
        <v>45690</v>
      </c>
      <c r="D144" s="4" t="str">
        <f t="shared" si="126"/>
        <v>Aninkaisten keilahalli</v>
      </c>
      <c r="E144" s="1">
        <f>IF($B144="","",COUNTIF($B$2:B144,B144))</f>
        <v>17</v>
      </c>
      <c r="F144" s="1" t="str">
        <f t="shared" si="127"/>
        <v>K2024GP08</v>
      </c>
      <c r="G144" s="1" t="str">
        <f t="shared" si="133"/>
        <v>K2024GP08_17</v>
      </c>
      <c r="H144" s="1">
        <f t="shared" si="134"/>
        <v>1</v>
      </c>
      <c r="I144" s="3" t="s">
        <v>144</v>
      </c>
      <c r="J144" s="3"/>
      <c r="K144" s="3"/>
      <c r="L144" s="1">
        <f t="shared" si="135"/>
        <v>0</v>
      </c>
      <c r="M144" s="1">
        <f t="shared" si="136"/>
        <v>0</v>
      </c>
      <c r="N144" s="1" t="str">
        <f t="shared" si="137"/>
        <v/>
      </c>
      <c r="O144" s="1" t="str">
        <f t="shared" si="138"/>
        <v/>
      </c>
      <c r="P144" s="1" t="str">
        <f t="shared" si="139"/>
        <v/>
      </c>
      <c r="Q144" s="1">
        <f t="array" ref="Q144">IF($B144="","",IF(MAX(IF(B144=$B$2:$B$313,$L$2:$L$313))-L144=0,"",MAX(IF(B144=$B$2:$B$313,$L$2:$L$313))-L144))</f>
        <v>343</v>
      </c>
      <c r="R144" s="1">
        <f t="array" ref="R144">IF($B144="","",SUMPRODUCT(--($B$2:$B$313=B144),--(L144&lt;$L$2:$L$313))+1)</f>
        <v>15</v>
      </c>
      <c r="S144" s="1">
        <f t="shared" si="140"/>
        <v>0</v>
      </c>
      <c r="T144" s="1" t="str" cm="1">
        <f t="array" ref="T144">IF($B144="","",IF(M144=0,"",SUMPRODUCT(--($B$2:$B$313=B144),--(J144&lt;$J$2:$J$313))+1))</f>
        <v/>
      </c>
      <c r="U144" s="1" t="str">
        <f t="shared" si="141"/>
        <v/>
      </c>
      <c r="V144" s="1" t="str">
        <f t="shared" si="142"/>
        <v>0815</v>
      </c>
      <c r="W144" s="1">
        <f t="shared" si="143"/>
        <v>4</v>
      </c>
      <c r="X144" s="1">
        <f t="shared" si="128"/>
        <v>0</v>
      </c>
      <c r="Y144" s="1">
        <f>IF($B144="","",MAX(_xlfn.MAXIFS($J$2:J144,$I$2:I144,$I144),_xlfn.MAXIFS($K$2:K144,$I$2:I144,$I144)))</f>
        <v>193</v>
      </c>
      <c r="Z144" s="1">
        <f t="shared" si="144"/>
        <v>203</v>
      </c>
      <c r="AA144" s="1">
        <f t="shared" si="145"/>
        <v>0</v>
      </c>
      <c r="AB144" s="1">
        <f t="shared" si="146"/>
        <v>0</v>
      </c>
      <c r="AC144" s="1">
        <f t="shared" si="147"/>
        <v>0</v>
      </c>
      <c r="AD144" s="1">
        <f>IF($B144="","",MIN(_xlfn.MINIFS($J$2:J144,$I$2:I144,$I144),_xlfn.MINIFS($K$2:K144,$I$2:I144,$I144)))</f>
        <v>82</v>
      </c>
      <c r="AE144" s="1">
        <f t="shared" si="148"/>
        <v>80</v>
      </c>
      <c r="AF144" s="1">
        <f t="shared" si="149"/>
        <v>0</v>
      </c>
      <c r="AG144" s="1">
        <f t="shared" si="150"/>
        <v>0</v>
      </c>
      <c r="AH144" s="1">
        <f t="shared" si="151"/>
        <v>0</v>
      </c>
      <c r="AI144" s="1">
        <f ca="1">IF($B144="","",IF($K144="",0,OFFSET($CO$17,R144,W144)))</f>
        <v>0</v>
      </c>
      <c r="AJ144" s="1">
        <f t="shared" ca="1" si="152"/>
        <v>0</v>
      </c>
      <c r="AK144" s="1">
        <f ca="1">IF(AJ144="","",IF(AJ144=0,0,IF(W144=1,0,SUM(OFFSET($CO$17,N144,1):OFFSET($CO$17,N144+W144-2,1))/W144)))</f>
        <v>0</v>
      </c>
      <c r="AL144" s="1">
        <f t="shared" si="153"/>
        <v>0</v>
      </c>
      <c r="AM144" s="1">
        <f ca="1">IF($B144="","",SUMIFS($AL$2:AL144,$I$2:I144,$I144))</f>
        <v>15</v>
      </c>
      <c r="AN144" s="1">
        <f t="shared" si="154"/>
        <v>15.000143</v>
      </c>
      <c r="AO144" s="1">
        <f>IFERROR(IF($B144="","",AVERAGEIFS($L$2:L144,$I$2:I144,I144,$L$2:L144,"&lt;&gt;0")),0)</f>
        <v>255.8</v>
      </c>
      <c r="AP144" s="1">
        <f t="shared" si="155"/>
        <v>127.9</v>
      </c>
      <c r="AQ144" s="1">
        <f>IF($B144="","",COUNTIFS($R$2:R144,1,$I$2:I144,$I144))</f>
        <v>0</v>
      </c>
      <c r="AR144" s="1">
        <f t="array" aca="1" ref="AR144" ca="1">IF($B144="","",SUMPRODUCT(--($B$2:$B$313=B144),--(AM144&lt;$AM$2:$AM$313))+1)</f>
        <v>14</v>
      </c>
      <c r="AS144" s="1">
        <f t="array" ref="AS144">IF($B144="","",SUMPRODUCT(--($B$2:$B$313=B144),--(AP144&lt;$AP$2:$AP$313))+1)</f>
        <v>12</v>
      </c>
      <c r="AT144" s="1">
        <f t="array" ref="AT144">IF($B144="","",SUMPRODUCT(--($B$2:$B$313=B144),--(AQ144&lt;$AQ$2:$AQ$313))+1)</f>
        <v>7</v>
      </c>
      <c r="AU144" s="1">
        <f t="shared" si="156"/>
        <v>1.43E-7</v>
      </c>
      <c r="AV144" s="1">
        <f t="shared" ca="1" si="157"/>
        <v>0.14120714300000003</v>
      </c>
      <c r="AW144" s="1" t="str">
        <f t="shared" si="129"/>
        <v/>
      </c>
      <c r="AX144" s="1" t="str">
        <f t="shared" si="158"/>
        <v/>
      </c>
      <c r="AY144" s="8">
        <f t="shared" ca="1" si="159"/>
        <v>0.14120714300000003</v>
      </c>
      <c r="AZ144" s="1" cm="1">
        <f t="array" aca="1" ref="AZ144" ca="1">IF($B144="","",SUMPRODUCT(--($B$2:$B$313=B144),--(AY144&gt;$AY$2:$AY$313))+1)</f>
        <v>14</v>
      </c>
      <c r="BA144" s="1" t="str">
        <f t="shared" si="160"/>
        <v>K2024GP08_17_1</v>
      </c>
      <c r="BB144" s="1" t="str">
        <f t="shared" si="161"/>
        <v>K2024GP08_17_2</v>
      </c>
      <c r="BC144" s="1">
        <f t="shared" si="162"/>
        <v>0</v>
      </c>
      <c r="BD144" s="1">
        <f t="shared" si="163"/>
        <v>0</v>
      </c>
      <c r="BE144" s="1">
        <f t="shared" si="164"/>
        <v>1</v>
      </c>
      <c r="BF144" s="1">
        <f t="shared" si="165"/>
        <v>0</v>
      </c>
      <c r="BG144" s="1">
        <f t="shared" si="166"/>
        <v>0</v>
      </c>
      <c r="BH144" s="1">
        <f t="shared" si="167"/>
        <v>15</v>
      </c>
      <c r="BI144" s="1">
        <f t="shared" si="168"/>
        <v>15</v>
      </c>
      <c r="BJ144" s="1">
        <f t="shared" si="169"/>
        <v>0.1515</v>
      </c>
      <c r="BK144" s="1" t="str">
        <f t="shared" si="170"/>
        <v/>
      </c>
      <c r="BL144" s="1">
        <f t="shared" si="171"/>
        <v>9.8999999999999994E-5</v>
      </c>
      <c r="BM144" s="1">
        <f t="shared" si="172"/>
        <v>0.15161339999999998</v>
      </c>
      <c r="BN144" s="1" t="str">
        <f t="shared" si="173"/>
        <v/>
      </c>
      <c r="BO144" s="1">
        <f t="shared" si="130"/>
        <v>17</v>
      </c>
      <c r="BP144" s="1">
        <f t="shared" si="131"/>
        <v>0</v>
      </c>
      <c r="BQ144" s="1" t="str" cm="1">
        <f t="array" ref="BQ144">IF(I144="","",IF(BP144=1,"",IF(L144=0,"",IF(B144=1,"",_xlfn.XLOOKUP(1,($I$2:$I$313=$I144)*($B$2:$B$313=($B144-1)),$BO$2:$BO$313)))))</f>
        <v/>
      </c>
      <c r="BR144" s="1">
        <f>IF(I144="","",IF($B144=1,_xlfn.MINIFS($BO$2:$BO$313,$B$2:$B$313,$B144),_xlfn.MINIFS(BQ$2:$BQ$313,$B$2:$B$313,$B144)))</f>
        <v>1</v>
      </c>
      <c r="BS144" s="1">
        <f t="shared" si="174"/>
        <v>3</v>
      </c>
      <c r="BT144" s="1" t="str" cm="1">
        <f t="array" ref="BT144">IF($I144="","",IF($B144=1,_xlfn.XLOOKUP(1,($B$2:$B$313=$B144)*($BO$2:$BO$313=BR144),Data!$I$2:$I$313,,0),_xlfn.XLOOKUP(1,($B$2:$B$313=$B144)*($BQ$2:$BQ$313=$BR144),$I$2:$I$313,,0)))</f>
        <v>Asko Haaksi</v>
      </c>
      <c r="BU144" s="1" t="str" cm="1">
        <f t="array" ref="BU144">IF(I144="","",IF($B144=1,_xlfn.XLOOKUP(1,($B$2:$B$313=$B144)*($BO$2:$BO$313=$BS144),$I$2:$I$313,,0),_xlfn.XLOOKUP(1,($B$2:$B$313=$B144)*($BQ$2:$BQ$313=$BS144),$I$2:$I$313,,0)))</f>
        <v>Mika Sola</v>
      </c>
      <c r="BV144" s="1" t="str" cm="1">
        <f t="array" ref="BV144">IF($I144="","",IF($B144=1,"",IF($B144=2,_xlfn.XLOOKUP(1,($B$2:$B$313=1)*($BO$2:$BO$313=1),$I$2:$I$313,,0),_xlfn.XLOOKUP($B144-1,$B$2:$B$313,$CH$2:$CH$313,,0))))</f>
        <v>Jami Kallio</v>
      </c>
      <c r="BW144" s="1" t="str" cm="1">
        <f t="array" ref="BW144">IF($I144="","",IF($B144=1,"",IF(_xlfn.XLOOKUP(1,($B$2:$B$313=$B144)*($I$2:$I$313=$BV144),$BQ$2:$BQ$313,,0)="","NOK","OK")))</f>
        <v>OK</v>
      </c>
      <c r="BX144" s="1" t="str">
        <f t="shared" si="175"/>
        <v>Jami Kallio</v>
      </c>
      <c r="BY144" s="1" t="str">
        <f t="shared" si="176"/>
        <v>Asko Haaksi</v>
      </c>
      <c r="BZ144" s="1">
        <f t="shared" si="177"/>
        <v>171</v>
      </c>
      <c r="CA144" s="1">
        <f t="shared" si="178"/>
        <v>123</v>
      </c>
      <c r="CB144" s="1">
        <f t="shared" si="179"/>
        <v>9.8999999999999994E-5</v>
      </c>
      <c r="CC144" s="1">
        <f t="shared" si="180"/>
        <v>131</v>
      </c>
      <c r="CD144" s="1">
        <f t="shared" si="181"/>
        <v>129</v>
      </c>
      <c r="CE144" s="1">
        <f t="shared" si="182"/>
        <v>9.8999999999999994E-5</v>
      </c>
      <c r="CF144" s="1" t="str">
        <f t="shared" si="183"/>
        <v>Jami Kallio (P)</v>
      </c>
      <c r="CG144" s="1" t="str">
        <f t="shared" si="184"/>
        <v>Asko Haaksi (1)</v>
      </c>
      <c r="CH144" s="1" t="str">
        <f t="shared" si="185"/>
        <v>Jami Kallio</v>
      </c>
      <c r="CI144" s="1">
        <f t="shared" si="186"/>
        <v>0</v>
      </c>
      <c r="CJ144" s="1" t="str">
        <f ca="1">IF(B144="","",IF(SUM(AI144:AK144)&gt;0,"+SP","")&amp;IF(CI144&gt;0,"+KK","")&amp;IF(AB144&gt;0,"+KGP1","")&amp;IF(AC144&gt;0,"+KGP2","")&amp;IF(AG144&lt;0,"-KGP1","")&amp;IF(AH144&lt;0,"-KGP2",""))</f>
        <v/>
      </c>
    </row>
    <row r="145" spans="1:88" x14ac:dyDescent="0.25">
      <c r="A145" s="1">
        <f>IFERROR(IF(ROW(A144)=1,1,IF(1+A144&lt;=$CP$1*$CP$2,1+A144,"")),"")</f>
        <v>144</v>
      </c>
      <c r="B145" s="1">
        <f>IF($I145="","",IF(ROW(B144)=1,1,ROUNDUP(A145/$CP$2,0)))</f>
        <v>8</v>
      </c>
      <c r="C145" s="4">
        <f t="shared" si="132"/>
        <v>45690</v>
      </c>
      <c r="D145" s="4" t="str">
        <f t="shared" si="126"/>
        <v>Aninkaisten keilahalli</v>
      </c>
      <c r="E145" s="1">
        <f>IF($B145="","",COUNTIF($B$2:B145,B145))</f>
        <v>18</v>
      </c>
      <c r="F145" s="1" t="str">
        <f t="shared" si="127"/>
        <v>K2024GP08</v>
      </c>
      <c r="G145" s="1" t="str">
        <f t="shared" si="133"/>
        <v>K2024GP08_18</v>
      </c>
      <c r="H145" s="1">
        <f t="shared" si="134"/>
        <v>1</v>
      </c>
      <c r="I145" s="3" t="s">
        <v>135</v>
      </c>
      <c r="J145" s="3"/>
      <c r="K145" s="3"/>
      <c r="L145" s="1">
        <f t="shared" si="135"/>
        <v>0</v>
      </c>
      <c r="M145" s="1">
        <f t="shared" si="136"/>
        <v>0</v>
      </c>
      <c r="N145" s="1" t="str">
        <f t="shared" si="137"/>
        <v/>
      </c>
      <c r="O145" s="1" t="str">
        <f t="shared" si="138"/>
        <v/>
      </c>
      <c r="P145" s="1" t="str">
        <f t="shared" si="139"/>
        <v/>
      </c>
      <c r="Q145" s="1">
        <f t="array" ref="Q145">IF($B145="","",IF(MAX(IF(B145=$B$2:$B$313,$L$2:$L$313))-L145=0,"",MAX(IF(B145=$B$2:$B$313,$L$2:$L$313))-L145))</f>
        <v>343</v>
      </c>
      <c r="R145" s="1">
        <f t="array" ref="R145">IF($B145="","",SUMPRODUCT(--($B$2:$B$313=B145),--(L145&lt;$L$2:$L$313))+1)</f>
        <v>15</v>
      </c>
      <c r="S145" s="1">
        <f t="shared" si="140"/>
        <v>0</v>
      </c>
      <c r="T145" s="1" t="str" cm="1">
        <f t="array" ref="T145">IF($B145="","",IF(M145=0,"",SUMPRODUCT(--($B$2:$B$313=B145),--(J145&lt;$J$2:$J$313))+1))</f>
        <v/>
      </c>
      <c r="U145" s="1" t="str">
        <f t="shared" si="141"/>
        <v/>
      </c>
      <c r="V145" s="1" t="str">
        <f t="shared" si="142"/>
        <v>0815</v>
      </c>
      <c r="W145" s="1">
        <f t="shared" si="143"/>
        <v>4</v>
      </c>
      <c r="X145" s="1">
        <f t="shared" si="128"/>
        <v>0</v>
      </c>
      <c r="Y145" s="1">
        <f>IF($B145="","",MAX(_xlfn.MAXIFS($J$2:J145,$I$2:I145,$I145),_xlfn.MAXIFS($K$2:K145,$I$2:I145,$I145)))</f>
        <v>129</v>
      </c>
      <c r="Z145" s="1">
        <f t="shared" si="144"/>
        <v>203</v>
      </c>
      <c r="AA145" s="1">
        <f t="shared" si="145"/>
        <v>0</v>
      </c>
      <c r="AB145" s="1">
        <f t="shared" si="146"/>
        <v>0</v>
      </c>
      <c r="AC145" s="1">
        <f t="shared" si="147"/>
        <v>0</v>
      </c>
      <c r="AD145" s="1">
        <f>IF($B145="","",MIN(_xlfn.MINIFS($J$2:J145,$I$2:I145,$I145),_xlfn.MINIFS($K$2:K145,$I$2:I145,$I145)))</f>
        <v>84</v>
      </c>
      <c r="AE145" s="1">
        <f t="shared" si="148"/>
        <v>80</v>
      </c>
      <c r="AF145" s="1">
        <f t="shared" si="149"/>
        <v>0</v>
      </c>
      <c r="AG145" s="1">
        <f t="shared" si="150"/>
        <v>0</v>
      </c>
      <c r="AH145" s="1">
        <f t="shared" si="151"/>
        <v>0</v>
      </c>
      <c r="AI145" s="1">
        <f ca="1">IF($B145="","",IF($K145="",0,OFFSET($CO$17,R145,W145)))</f>
        <v>0</v>
      </c>
      <c r="AJ145" s="1">
        <f t="shared" ca="1" si="152"/>
        <v>0</v>
      </c>
      <c r="AK145" s="1">
        <f ca="1">IF(AJ145="","",IF(AJ145=0,0,IF(W145=1,0,SUM(OFFSET($CO$17,N145,1):OFFSET($CO$17,N145+W145-2,1))/W145)))</f>
        <v>0</v>
      </c>
      <c r="AL145" s="1">
        <f t="shared" si="153"/>
        <v>0</v>
      </c>
      <c r="AM145" s="1">
        <f ca="1">IF($B145="","",SUMIFS($AL$2:AL145,$I$2:I145,$I145))</f>
        <v>5</v>
      </c>
      <c r="AN145" s="1">
        <f t="shared" si="154"/>
        <v>15.000144000000001</v>
      </c>
      <c r="AO145" s="1">
        <f>IFERROR(IF($B145="","",AVERAGEIFS($L$2:L145,$I$2:I145,I145,$L$2:L145,"&lt;&gt;0")),0)</f>
        <v>208.66666666666666</v>
      </c>
      <c r="AP145" s="1">
        <f t="shared" si="155"/>
        <v>104.33333333333333</v>
      </c>
      <c r="AQ145" s="1">
        <f>IF($B145="","",COUNTIFS($R$2:R145,1,$I$2:I145,$I145))</f>
        <v>0</v>
      </c>
      <c r="AR145" s="1">
        <f t="array" aca="1" ref="AR145" ca="1">IF($B145="","",SUMPRODUCT(--($B$2:$B$313=B145),--(AM145&lt;$AM$2:$AM$313))+1)</f>
        <v>16</v>
      </c>
      <c r="AS145" s="1">
        <f t="array" ref="AS145">IF($B145="","",SUMPRODUCT(--($B$2:$B$313=B145),--(AP145&lt;$AP$2:$AP$313))+1)</f>
        <v>17</v>
      </c>
      <c r="AT145" s="1">
        <f t="array" ref="AT145">IF($B145="","",SUMPRODUCT(--($B$2:$B$313=B145),--(AQ145&lt;$AQ$2:$AQ$313))+1)</f>
        <v>7</v>
      </c>
      <c r="AU145" s="1">
        <f t="shared" si="156"/>
        <v>1.4399999999999999E-7</v>
      </c>
      <c r="AV145" s="1">
        <f t="shared" ca="1" si="157"/>
        <v>0.16170714400000002</v>
      </c>
      <c r="AW145" s="1" t="str">
        <f t="shared" si="129"/>
        <v/>
      </c>
      <c r="AX145" s="1" t="str">
        <f t="shared" si="158"/>
        <v/>
      </c>
      <c r="AY145" s="8">
        <f t="shared" ca="1" si="159"/>
        <v>0.16170714400000002</v>
      </c>
      <c r="AZ145" s="1" cm="1">
        <f t="array" aca="1" ref="AZ145" ca="1">IF($B145="","",SUMPRODUCT(--($B$2:$B$313=B145),--(AY145&gt;$AY$2:$AY$313))+1)</f>
        <v>16</v>
      </c>
      <c r="BA145" s="1" t="str">
        <f t="shared" si="160"/>
        <v>K2024GP08_18_1</v>
      </c>
      <c r="BB145" s="1" t="str">
        <f t="shared" si="161"/>
        <v>K2024GP08_18_2</v>
      </c>
      <c r="BC145" s="1">
        <f t="shared" si="162"/>
        <v>0</v>
      </c>
      <c r="BD145" s="1">
        <f t="shared" si="163"/>
        <v>0</v>
      </c>
      <c r="BE145" s="1">
        <f t="shared" si="164"/>
        <v>1</v>
      </c>
      <c r="BF145" s="1">
        <f t="shared" si="165"/>
        <v>0</v>
      </c>
      <c r="BG145" s="1">
        <f t="shared" si="166"/>
        <v>0</v>
      </c>
      <c r="BH145" s="1">
        <f t="shared" si="167"/>
        <v>15</v>
      </c>
      <c r="BI145" s="1">
        <f t="shared" si="168"/>
        <v>15</v>
      </c>
      <c r="BJ145" s="1">
        <f t="shared" si="169"/>
        <v>0.1515</v>
      </c>
      <c r="BK145" s="1" t="str">
        <f t="shared" si="170"/>
        <v/>
      </c>
      <c r="BL145" s="1">
        <f t="shared" si="171"/>
        <v>9.8999999999999994E-5</v>
      </c>
      <c r="BM145" s="1">
        <f t="shared" si="172"/>
        <v>0.15161349999999998</v>
      </c>
      <c r="BN145" s="1" t="str">
        <f t="shared" si="173"/>
        <v/>
      </c>
      <c r="BO145" s="1">
        <f t="shared" si="130"/>
        <v>18</v>
      </c>
      <c r="BP145" s="1">
        <f t="shared" si="131"/>
        <v>0</v>
      </c>
      <c r="BQ145" s="1" t="str" cm="1">
        <f t="array" ref="BQ145">IF(I145="","",IF(BP145=1,"",IF(L145=0,"",IF(B145=1,"",_xlfn.XLOOKUP(1,($I$2:$I$313=$I145)*($B$2:$B$313=($B145-1)),$BO$2:$BO$313)))))</f>
        <v/>
      </c>
      <c r="BR145" s="1">
        <f>IF(I145="","",IF($B145=1,_xlfn.MINIFS($BO$2:$BO$313,$B$2:$B$313,$B145),_xlfn.MINIFS(BQ$2:$BQ$313,$B$2:$B$313,$B145)))</f>
        <v>1</v>
      </c>
      <c r="BS145" s="1">
        <f t="shared" si="174"/>
        <v>3</v>
      </c>
      <c r="BT145" s="1" t="str" cm="1">
        <f t="array" ref="BT145">IF($I145="","",IF($B145=1,_xlfn.XLOOKUP(1,($B$2:$B$313=$B145)*($BO$2:$BO$313=BR145),Data!$I$2:$I$313,,0),_xlfn.XLOOKUP(1,($B$2:$B$313=$B145)*($BQ$2:$BQ$313=$BR145),$I$2:$I$313,,0)))</f>
        <v>Asko Haaksi</v>
      </c>
      <c r="BU145" s="1" t="str" cm="1">
        <f t="array" ref="BU145">IF(I145="","",IF($B145=1,_xlfn.XLOOKUP(1,($B$2:$B$313=$B145)*($BO$2:$BO$313=$BS145),$I$2:$I$313,,0),_xlfn.XLOOKUP(1,($B$2:$B$313=$B145)*($BQ$2:$BQ$313=$BS145),$I$2:$I$313,,0)))</f>
        <v>Mika Sola</v>
      </c>
      <c r="BV145" s="1" t="str" cm="1">
        <f t="array" ref="BV145">IF($I145="","",IF($B145=1,"",IF($B145=2,_xlfn.XLOOKUP(1,($B$2:$B$313=1)*($BO$2:$BO$313=1),$I$2:$I$313,,0),_xlfn.XLOOKUP($B145-1,$B$2:$B$313,$CH$2:$CH$313,,0))))</f>
        <v>Jami Kallio</v>
      </c>
      <c r="BW145" s="1" t="str" cm="1">
        <f t="array" ref="BW145">IF($I145="","",IF($B145=1,"",IF(_xlfn.XLOOKUP(1,($B$2:$B$313=$B145)*($I$2:$I$313=$BV145),$BQ$2:$BQ$313,,0)="","NOK","OK")))</f>
        <v>OK</v>
      </c>
      <c r="BX145" s="1" t="str">
        <f t="shared" si="175"/>
        <v>Jami Kallio</v>
      </c>
      <c r="BY145" s="1" t="str">
        <f t="shared" si="176"/>
        <v>Asko Haaksi</v>
      </c>
      <c r="BZ145" s="1">
        <f t="shared" si="177"/>
        <v>171</v>
      </c>
      <c r="CA145" s="1">
        <f t="shared" si="178"/>
        <v>123</v>
      </c>
      <c r="CB145" s="1">
        <f t="shared" si="179"/>
        <v>9.8999999999999994E-5</v>
      </c>
      <c r="CC145" s="1">
        <f t="shared" si="180"/>
        <v>131</v>
      </c>
      <c r="CD145" s="1">
        <f t="shared" si="181"/>
        <v>129</v>
      </c>
      <c r="CE145" s="1">
        <f t="shared" si="182"/>
        <v>9.8999999999999994E-5</v>
      </c>
      <c r="CF145" s="1" t="str">
        <f t="shared" si="183"/>
        <v>Jami Kallio (P)</v>
      </c>
      <c r="CG145" s="1" t="str">
        <f t="shared" si="184"/>
        <v>Asko Haaksi (1)</v>
      </c>
      <c r="CH145" s="1" t="str">
        <f t="shared" si="185"/>
        <v>Jami Kallio</v>
      </c>
      <c r="CI145" s="1">
        <f t="shared" si="186"/>
        <v>0</v>
      </c>
      <c r="CJ145" s="1" t="str">
        <f ca="1">IF(B145="","",IF(SUM(AI145:AK145)&gt;0,"+SP","")&amp;IF(CI145&gt;0,"+KK","")&amp;IF(AB145&gt;0,"+KGP1","")&amp;IF(AC145&gt;0,"+KGP2","")&amp;IF(AG145&lt;0,"-KGP1","")&amp;IF(AH145&lt;0,"-KGP2",""))</f>
        <v/>
      </c>
    </row>
    <row r="146" spans="1:88" x14ac:dyDescent="0.25">
      <c r="A146" s="1">
        <f>IFERROR(IF(ROW(A145)=1,1,IF(1+A145&lt;=$CP$1*$CP$2,1+A145,"")),"")</f>
        <v>145</v>
      </c>
      <c r="B146" s="1">
        <f>IF($I146="","",IF(ROW(B145)=1,1,ROUNDUP(A146/$CP$2,0)))</f>
        <v>9</v>
      </c>
      <c r="C146" s="4">
        <f t="shared" si="132"/>
        <v>45711</v>
      </c>
      <c r="D146" s="4" t="str">
        <f t="shared" si="126"/>
        <v>Raision keilahalli</v>
      </c>
      <c r="E146" s="1">
        <f>IF($B146="","",COUNTIF($B$2:B146,B146))</f>
        <v>1</v>
      </c>
      <c r="F146" s="1" t="str">
        <f t="shared" si="127"/>
        <v>K2024GP09</v>
      </c>
      <c r="G146" s="1" t="str">
        <f t="shared" si="133"/>
        <v>K2024GP09_1</v>
      </c>
      <c r="H146" s="1">
        <f t="shared" si="134"/>
        <v>1</v>
      </c>
      <c r="I146" s="3" t="s">
        <v>134</v>
      </c>
      <c r="J146" s="3">
        <v>112</v>
      </c>
      <c r="K146" s="3">
        <v>195</v>
      </c>
      <c r="L146" s="1">
        <f t="shared" si="135"/>
        <v>307</v>
      </c>
      <c r="M146" s="1">
        <f t="shared" si="136"/>
        <v>1</v>
      </c>
      <c r="N146" s="1">
        <f t="shared" si="137"/>
        <v>1</v>
      </c>
      <c r="O146" s="1">
        <f t="shared" si="138"/>
        <v>307</v>
      </c>
      <c r="P146" s="1" t="str">
        <f t="shared" si="139"/>
        <v/>
      </c>
      <c r="Q146" s="1" t="str">
        <f t="array" ref="Q146">IF($B146="","",IF(MAX(IF(B146=$B$2:$B$313,$L$2:$L$313))-L146=0,"",MAX(IF(B146=$B$2:$B$313,$L$2:$L$313))-L146))</f>
        <v/>
      </c>
      <c r="R146" s="1">
        <f t="array" ref="R146">IF($B146="","",SUMPRODUCT(--($B$2:$B$313=B146),--(L146&lt;$L$2:$L$313))+1)</f>
        <v>1</v>
      </c>
      <c r="S146" s="1">
        <f t="shared" si="140"/>
        <v>2</v>
      </c>
      <c r="T146" s="1" cm="1">
        <f t="array" ref="T146">IF($B146="","",IF(M146=0,"",SUMPRODUCT(--($B$2:$B$313=B146),--(J146&lt;$J$2:$J$313))+1))</f>
        <v>12</v>
      </c>
      <c r="U146" s="1">
        <f t="shared" si="141"/>
        <v>-11</v>
      </c>
      <c r="V146" s="1" t="str">
        <f t="shared" si="142"/>
        <v>0901</v>
      </c>
      <c r="W146" s="1">
        <f t="shared" si="143"/>
        <v>2</v>
      </c>
      <c r="X146" s="1">
        <f t="shared" si="128"/>
        <v>0</v>
      </c>
      <c r="Y146" s="1">
        <f>IF($B146="","",MAX(_xlfn.MAXIFS($J$2:J146,$I$2:I146,$I146),_xlfn.MAXIFS($K$2:K146,$I$2:I146,$I146)))</f>
        <v>196</v>
      </c>
      <c r="Z146" s="1">
        <f t="shared" si="144"/>
        <v>195</v>
      </c>
      <c r="AA146" s="1">
        <f t="shared" si="145"/>
        <v>0</v>
      </c>
      <c r="AB146" s="1">
        <f t="shared" si="146"/>
        <v>0</v>
      </c>
      <c r="AC146" s="1">
        <f t="shared" si="147"/>
        <v>0</v>
      </c>
      <c r="AD146" s="1">
        <f>IF($B146="","",MIN(_xlfn.MINIFS($J$2:J146,$I$2:I146,$I146),_xlfn.MINIFS($K$2:K146,$I$2:I146,$I146)))</f>
        <v>97</v>
      </c>
      <c r="AE146" s="1">
        <f t="shared" si="148"/>
        <v>90</v>
      </c>
      <c r="AF146" s="1">
        <f t="shared" si="149"/>
        <v>0</v>
      </c>
      <c r="AG146" s="1">
        <f t="shared" si="150"/>
        <v>0</v>
      </c>
      <c r="AH146" s="1">
        <f t="shared" si="151"/>
        <v>0</v>
      </c>
      <c r="AI146" s="1">
        <f ca="1">IF($B146="","",IF($K146="",0,OFFSET($CO$17,R146,W146)))</f>
        <v>11</v>
      </c>
      <c r="AJ146" s="1">
        <f t="shared" ca="1" si="152"/>
        <v>0</v>
      </c>
      <c r="AK146" s="1">
        <f ca="1">IF(AJ146="","",IF(AJ146=0,0,IF(W146=1,0,SUM(OFFSET($CO$17,N146,1):OFFSET($CO$17,N146+W146-2,1))/W146)))</f>
        <v>0</v>
      </c>
      <c r="AL146" s="1">
        <f t="shared" ca="1" si="153"/>
        <v>12</v>
      </c>
      <c r="AM146" s="1">
        <f ca="1">IF($B146="","",SUMIFS($AL$2:AL146,$I$2:I146,$I146))</f>
        <v>76</v>
      </c>
      <c r="AN146" s="1">
        <f t="shared" si="154"/>
        <v>1.0001450000000001</v>
      </c>
      <c r="AO146" s="1">
        <f>IFERROR(IF($B146="","",AVERAGEIFS($L$2:L146,$I$2:I146,I146,$L$2:L146,"&lt;&gt;0")),0)</f>
        <v>302.66666666666669</v>
      </c>
      <c r="AP146" s="1">
        <f t="shared" si="155"/>
        <v>151.33333333333334</v>
      </c>
      <c r="AQ146" s="1">
        <f>IF($B146="","",COUNTIFS($R$2:R146,1,$I$2:I146,$I146))</f>
        <v>2</v>
      </c>
      <c r="AR146" s="1">
        <f t="array" aca="1" ref="AR146" ca="1">IF($B146="","",SUMPRODUCT(--($B$2:$B$313=B146),--(AM146&lt;$AM$2:$AM$313))+1)</f>
        <v>1</v>
      </c>
      <c r="AS146" s="1">
        <f t="array" ref="AS146">IF($B146="","",SUMPRODUCT(--($B$2:$B$313=B146),--(AP146&lt;$AP$2:$AP$313))+1)</f>
        <v>3</v>
      </c>
      <c r="AT146" s="1">
        <f t="array" ref="AT146">IF($B146="","",SUMPRODUCT(--($B$2:$B$313=B146),--(AQ146&lt;$AQ$2:$AQ$313))+1)</f>
        <v>2</v>
      </c>
      <c r="AU146" s="1">
        <f t="shared" si="156"/>
        <v>1.4499999999999999E-7</v>
      </c>
      <c r="AV146" s="1">
        <f t="shared" ca="1" si="157"/>
        <v>1.0302145E-2</v>
      </c>
      <c r="AW146" s="1" t="str">
        <f t="shared" si="129"/>
        <v/>
      </c>
      <c r="AX146" s="1" t="str">
        <f t="shared" si="158"/>
        <v/>
      </c>
      <c r="AY146" s="8">
        <f t="shared" ca="1" si="159"/>
        <v>1.0302145E-2</v>
      </c>
      <c r="AZ146" s="1" cm="1">
        <f t="array" aca="1" ref="AZ146" ca="1">IF($B146="","",SUMPRODUCT(--($B$2:$B$313=B146),--(AY146&gt;$AY$2:$AY$313))+1)</f>
        <v>1</v>
      </c>
      <c r="BA146" s="1" t="str">
        <f t="shared" si="160"/>
        <v>K2024GP09_1_1</v>
      </c>
      <c r="BB146" s="1" t="str">
        <f t="shared" si="161"/>
        <v>K2024GP09_1_2</v>
      </c>
      <c r="BC146" s="1">
        <f t="shared" si="162"/>
        <v>1</v>
      </c>
      <c r="BD146" s="1">
        <f t="shared" si="163"/>
        <v>1</v>
      </c>
      <c r="BE146" s="1">
        <f t="shared" si="164"/>
        <v>1</v>
      </c>
      <c r="BF146" s="1">
        <f t="shared" si="165"/>
        <v>195</v>
      </c>
      <c r="BG146" s="1">
        <f t="shared" si="166"/>
        <v>112</v>
      </c>
      <c r="BH146" s="1">
        <f t="shared" si="167"/>
        <v>1</v>
      </c>
      <c r="BI146" s="1">
        <f t="shared" si="168"/>
        <v>9</v>
      </c>
      <c r="BJ146" s="1">
        <f t="shared" si="169"/>
        <v>1.09E-2</v>
      </c>
      <c r="BK146" s="1">
        <f t="shared" si="170"/>
        <v>0</v>
      </c>
      <c r="BL146" s="1">
        <f t="shared" si="171"/>
        <v>9.8999999999999994E-5</v>
      </c>
      <c r="BM146" s="1">
        <f t="shared" si="172"/>
        <v>1.0999E-2</v>
      </c>
      <c r="BN146" s="1">
        <f t="shared" si="173"/>
        <v>0</v>
      </c>
      <c r="BO146" s="1">
        <f t="shared" si="130"/>
        <v>1</v>
      </c>
      <c r="BP146" s="1">
        <f t="shared" si="131"/>
        <v>0</v>
      </c>
      <c r="BQ146" s="1" cm="1">
        <f t="array" ref="BQ146">IF(I146="","",IF(BP146=1,"",IF(L146=0,"",IF(B146=1,"",_xlfn.XLOOKUP(1,($I$2:$I$313=$I146)*($B$2:$B$313=($B146-1)),$BO$2:$BO$313)))))</f>
        <v>4</v>
      </c>
      <c r="BR146" s="1">
        <f>IF(I146="","",IF($B146=1,_xlfn.MINIFS($BO$2:$BO$313,$B$2:$B$313,$B146),_xlfn.MINIFS(BQ$2:$BQ$313,$B$2:$B$313,$B146)))</f>
        <v>1</v>
      </c>
      <c r="BS146" s="1">
        <f t="shared" si="174"/>
        <v>2</v>
      </c>
      <c r="BT146" s="1" t="str" cm="1">
        <f t="array" ref="BT146">IF($I146="","",IF($B146=1,_xlfn.XLOOKUP(1,($B$2:$B$313=$B146)*($BO$2:$BO$313=BR146),Data!$I$2:$I$313,,0),_xlfn.XLOOKUP(1,($B$2:$B$313=$B146)*($BQ$2:$BQ$313=$BR146),$I$2:$I$313,,0)))</f>
        <v>Mika Sola</v>
      </c>
      <c r="BU146" s="1" t="str" cm="1">
        <f t="array" ref="BU146">IF(I146="","",IF($B146=1,_xlfn.XLOOKUP(1,($B$2:$B$313=$B146)*($BO$2:$BO$313=$BS146),$I$2:$I$313,,0),_xlfn.XLOOKUP(1,($B$2:$B$313=$B146)*($BQ$2:$BQ$313=$BS146),$I$2:$I$313,,0)))</f>
        <v>Miika Nordblad</v>
      </c>
      <c r="BV146" s="1" t="str" cm="1">
        <f t="array" ref="BV146">IF($I146="","",IF($B146=1,"",IF($B146=2,_xlfn.XLOOKUP(1,($B$2:$B$313=1)*($BO$2:$BO$313=1),$I$2:$I$313,,0),_xlfn.XLOOKUP($B146-1,$B$2:$B$313,$CH$2:$CH$313,,0))))</f>
        <v>Jami Kallio</v>
      </c>
      <c r="BW146" s="1" t="str" cm="1">
        <f t="array" ref="BW146">IF($I146="","",IF($B146=1,"",IF(_xlfn.XLOOKUP(1,($B$2:$B$313=$B146)*($I$2:$I$313=$BV146),$BQ$2:$BQ$313,,0)="","NOK","OK")))</f>
        <v>OK</v>
      </c>
      <c r="BX146" s="1" t="str">
        <f t="shared" si="175"/>
        <v>Jami Kallio</v>
      </c>
      <c r="BY146" s="1" t="str">
        <f t="shared" si="176"/>
        <v>Mika Sola</v>
      </c>
      <c r="BZ146" s="1">
        <f t="shared" si="177"/>
        <v>195</v>
      </c>
      <c r="CA146" s="1">
        <f t="shared" si="178"/>
        <v>112</v>
      </c>
      <c r="CB146" s="1">
        <f t="shared" si="179"/>
        <v>9.8999999999999994E-5</v>
      </c>
      <c r="CC146" s="1">
        <f t="shared" si="180"/>
        <v>123</v>
      </c>
      <c r="CD146" s="1">
        <f t="shared" si="181"/>
        <v>90</v>
      </c>
      <c r="CE146" s="1">
        <f t="shared" si="182"/>
        <v>9.8999999999999994E-5</v>
      </c>
      <c r="CF146" s="1" t="str">
        <f t="shared" si="183"/>
        <v>Jami Kallio (P)</v>
      </c>
      <c r="CG146" s="1" t="str">
        <f t="shared" si="184"/>
        <v>Mika Sola (1)</v>
      </c>
      <c r="CH146" s="1" t="str">
        <f t="shared" si="185"/>
        <v>Jami Kallio</v>
      </c>
      <c r="CI146" s="1">
        <f t="shared" si="186"/>
        <v>1</v>
      </c>
      <c r="CJ146" s="1" t="str">
        <f ca="1">IF(B146="","",IF(SUM(AI146:AK146)&gt;0,"+SP","")&amp;IF(CI146&gt;0,"+KK","")&amp;IF(AB146&gt;0,"+KGP1","")&amp;IF(AC146&gt;0,"+KGP2","")&amp;IF(AG146&lt;0,"-KGP1","")&amp;IF(AH146&lt;0,"-KGP2",""))</f>
        <v>+SP+KK</v>
      </c>
    </row>
    <row r="147" spans="1:88" x14ac:dyDescent="0.25">
      <c r="A147" s="1">
        <f>IFERROR(IF(ROW(A146)=1,1,IF(1+A146&lt;=$CP$1*$CP$2,1+A146,"")),"")</f>
        <v>146</v>
      </c>
      <c r="B147" s="1">
        <f>IF($I147="","",IF(ROW(B146)=1,1,ROUNDUP(A147/$CP$2,0)))</f>
        <v>9</v>
      </c>
      <c r="C147" s="4">
        <f t="shared" si="132"/>
        <v>45711</v>
      </c>
      <c r="D147" s="4" t="str">
        <f t="shared" si="126"/>
        <v>Raision keilahalli</v>
      </c>
      <c r="E147" s="1">
        <f>IF($B147="","",COUNTIF($B$2:B147,B147))</f>
        <v>2</v>
      </c>
      <c r="F147" s="1" t="str">
        <f t="shared" si="127"/>
        <v>K2024GP09</v>
      </c>
      <c r="G147" s="1" t="str">
        <f t="shared" si="133"/>
        <v>K2024GP09_2</v>
      </c>
      <c r="H147" s="1">
        <f t="shared" si="134"/>
        <v>1</v>
      </c>
      <c r="I147" s="3" t="s">
        <v>138</v>
      </c>
      <c r="J147" s="3">
        <v>135</v>
      </c>
      <c r="K147" s="3">
        <v>172</v>
      </c>
      <c r="L147" s="1">
        <f t="shared" si="135"/>
        <v>307</v>
      </c>
      <c r="M147" s="1">
        <f t="shared" si="136"/>
        <v>1</v>
      </c>
      <c r="N147" s="1">
        <f t="shared" si="137"/>
        <v>1</v>
      </c>
      <c r="O147" s="1">
        <f t="shared" si="138"/>
        <v>307</v>
      </c>
      <c r="P147" s="1" t="str">
        <f t="shared" si="139"/>
        <v/>
      </c>
      <c r="Q147" s="1" t="str">
        <f t="array" ref="Q147">IF($B147="","",IF(MAX(IF(B147=$B$2:$B$313,$L$2:$L$313))-L147=0,"",MAX(IF(B147=$B$2:$B$313,$L$2:$L$313))-L147))</f>
        <v/>
      </c>
      <c r="R147" s="1">
        <f t="array" ref="R147">IF($B147="","",SUMPRODUCT(--($B$2:$B$313=B147),--(L147&lt;$L$2:$L$313))+1)</f>
        <v>1</v>
      </c>
      <c r="S147" s="1">
        <f t="shared" si="140"/>
        <v>2</v>
      </c>
      <c r="T147" s="1" cm="1">
        <f t="array" ref="T147">IF($B147="","",IF(M147=0,"",SUMPRODUCT(--($B$2:$B$313=B147),--(J147&lt;$J$2:$J$313))+1))</f>
        <v>7</v>
      </c>
      <c r="U147" s="1">
        <f t="shared" si="141"/>
        <v>-6</v>
      </c>
      <c r="V147" s="1" t="str">
        <f t="shared" si="142"/>
        <v>0901</v>
      </c>
      <c r="W147" s="1">
        <f t="shared" si="143"/>
        <v>2</v>
      </c>
      <c r="X147" s="1">
        <f t="shared" si="128"/>
        <v>0</v>
      </c>
      <c r="Y147" s="1">
        <f>IF($B147="","",MAX(_xlfn.MAXIFS($J$2:J147,$I$2:I147,$I147),_xlfn.MAXIFS($K$2:K147,$I$2:I147,$I147)))</f>
        <v>178</v>
      </c>
      <c r="Z147" s="1">
        <f t="shared" si="144"/>
        <v>195</v>
      </c>
      <c r="AA147" s="1">
        <f t="shared" si="145"/>
        <v>0</v>
      </c>
      <c r="AB147" s="1">
        <f t="shared" si="146"/>
        <v>0</v>
      </c>
      <c r="AC147" s="1">
        <f t="shared" si="147"/>
        <v>0</v>
      </c>
      <c r="AD147" s="1">
        <f>IF($B147="","",MIN(_xlfn.MINIFS($J$2:J147,$I$2:I147,$I147),_xlfn.MINIFS($K$2:K147,$I$2:I147,$I147)))</f>
        <v>87</v>
      </c>
      <c r="AE147" s="1">
        <f t="shared" si="148"/>
        <v>90</v>
      </c>
      <c r="AF147" s="1">
        <f t="shared" si="149"/>
        <v>0</v>
      </c>
      <c r="AG147" s="1">
        <f t="shared" si="150"/>
        <v>0</v>
      </c>
      <c r="AH147" s="1">
        <f t="shared" si="151"/>
        <v>0</v>
      </c>
      <c r="AI147" s="1">
        <f ca="1">IF($B147="","",IF($K147="",0,OFFSET($CO$17,R147,W147)))</f>
        <v>11</v>
      </c>
      <c r="AJ147" s="1">
        <f t="shared" ca="1" si="152"/>
        <v>0</v>
      </c>
      <c r="AK147" s="1">
        <f ca="1">IF(AJ147="","",IF(AJ147=0,0,IF(W147=1,0,SUM(OFFSET($CO$17,N147,1):OFFSET($CO$17,N147+W147-2,1))/W147)))</f>
        <v>0</v>
      </c>
      <c r="AL147" s="1">
        <f t="shared" ca="1" si="153"/>
        <v>11</v>
      </c>
      <c r="AM147" s="1">
        <f ca="1">IF($B147="","",SUMIFS($AL$2:AL147,$I$2:I147,$I147))</f>
        <v>38</v>
      </c>
      <c r="AN147" s="1">
        <f t="shared" si="154"/>
        <v>1.000146</v>
      </c>
      <c r="AO147" s="1">
        <f>IFERROR(IF($B147="","",AVERAGEIFS($L$2:L147,$I$2:I147,I147,$L$2:L147,"&lt;&gt;0")),0)</f>
        <v>268.875</v>
      </c>
      <c r="AP147" s="1">
        <f t="shared" si="155"/>
        <v>134.4375</v>
      </c>
      <c r="AQ147" s="1">
        <f>IF($B147="","",COUNTIFS($R$2:R147,1,$I$2:I147,$I147))</f>
        <v>1</v>
      </c>
      <c r="AR147" s="1">
        <f t="array" aca="1" ref="AR147" ca="1">IF($B147="","",SUMPRODUCT(--($B$2:$B$313=B147),--(AM147&lt;$AM$2:$AM$313))+1)</f>
        <v>6</v>
      </c>
      <c r="AS147" s="1">
        <f t="array" ref="AS147">IF($B147="","",SUMPRODUCT(--($B$2:$B$313=B147),--(AP147&lt;$AP$2:$AP$313))+1)</f>
        <v>9</v>
      </c>
      <c r="AT147" s="1">
        <f t="array" ref="AT147">IF($B147="","",SUMPRODUCT(--($B$2:$B$313=B147),--(AQ147&lt;$AQ$2:$AQ$313))+1)</f>
        <v>4</v>
      </c>
      <c r="AU147" s="1">
        <f t="shared" si="156"/>
        <v>1.4600000000000001E-7</v>
      </c>
      <c r="AV147" s="1">
        <f t="shared" ca="1" si="157"/>
        <v>6.0904145999999992E-2</v>
      </c>
      <c r="AW147" s="1" t="str">
        <f t="shared" si="129"/>
        <v/>
      </c>
      <c r="AX147" s="1" t="str">
        <f t="shared" si="158"/>
        <v/>
      </c>
      <c r="AY147" s="8">
        <f t="shared" ca="1" si="159"/>
        <v>6.0904145999999992E-2</v>
      </c>
      <c r="AZ147" s="1" cm="1">
        <f t="array" aca="1" ref="AZ147" ca="1">IF($B147="","",SUMPRODUCT(--($B$2:$B$313=B147),--(AY147&gt;$AY$2:$AY$313))+1)</f>
        <v>6</v>
      </c>
      <c r="BA147" s="1" t="str">
        <f t="shared" si="160"/>
        <v>K2024GP09_2_1</v>
      </c>
      <c r="BB147" s="1" t="str">
        <f t="shared" si="161"/>
        <v>K2024GP09_2_2</v>
      </c>
      <c r="BC147" s="1">
        <f t="shared" si="162"/>
        <v>1</v>
      </c>
      <c r="BD147" s="1">
        <f t="shared" si="163"/>
        <v>1</v>
      </c>
      <c r="BE147" s="1">
        <f t="shared" si="164"/>
        <v>1</v>
      </c>
      <c r="BF147" s="1">
        <f t="shared" si="165"/>
        <v>172</v>
      </c>
      <c r="BG147" s="1">
        <f t="shared" si="166"/>
        <v>135</v>
      </c>
      <c r="BH147" s="1">
        <f t="shared" si="167"/>
        <v>3</v>
      </c>
      <c r="BI147" s="1">
        <f t="shared" si="168"/>
        <v>2</v>
      </c>
      <c r="BJ147" s="1">
        <f t="shared" si="169"/>
        <v>3.0199999999999998E-2</v>
      </c>
      <c r="BK147" s="1">
        <f t="shared" si="170"/>
        <v>0</v>
      </c>
      <c r="BL147" s="1">
        <f t="shared" si="171"/>
        <v>9.8999999999999994E-5</v>
      </c>
      <c r="BM147" s="1">
        <f t="shared" si="172"/>
        <v>3.0298999999999996E-2</v>
      </c>
      <c r="BN147" s="1">
        <f t="shared" si="173"/>
        <v>0</v>
      </c>
      <c r="BO147" s="1">
        <f t="shared" si="130"/>
        <v>3</v>
      </c>
      <c r="BP147" s="1">
        <f t="shared" si="131"/>
        <v>0</v>
      </c>
      <c r="BQ147" s="1" cm="1">
        <f t="array" ref="BQ147">IF(I147="","",IF(BP147=1,"",IF(L147=0,"",IF(B147=1,"",_xlfn.XLOOKUP(1,($I$2:$I$313=$I147)*($B$2:$B$313=($B147-1)),$BO$2:$BO$313)))))</f>
        <v>12</v>
      </c>
      <c r="BR147" s="1">
        <f>IF(I147="","",IF($B147=1,_xlfn.MINIFS($BO$2:$BO$313,$B$2:$B$313,$B147),_xlfn.MINIFS(BQ$2:$BQ$313,$B$2:$B$313,$B147)))</f>
        <v>1</v>
      </c>
      <c r="BS147" s="1">
        <f t="shared" si="174"/>
        <v>2</v>
      </c>
      <c r="BT147" s="1" t="str" cm="1">
        <f t="array" ref="BT147">IF($I147="","",IF($B147=1,_xlfn.XLOOKUP(1,($B$2:$B$313=$B147)*($BO$2:$BO$313=BR147),Data!$I$2:$I$313,,0),_xlfn.XLOOKUP(1,($B$2:$B$313=$B147)*($BQ$2:$BQ$313=$BR147),$I$2:$I$313,,0)))</f>
        <v>Mika Sola</v>
      </c>
      <c r="BU147" s="1" t="str" cm="1">
        <f t="array" ref="BU147">IF(I147="","",IF($B147=1,_xlfn.XLOOKUP(1,($B$2:$B$313=$B147)*($BO$2:$BO$313=$BS147),$I$2:$I$313,,0),_xlfn.XLOOKUP(1,($B$2:$B$313=$B147)*($BQ$2:$BQ$313=$BS147),$I$2:$I$313,,0)))</f>
        <v>Miika Nordblad</v>
      </c>
      <c r="BV147" s="1" t="str" cm="1">
        <f t="array" ref="BV147">IF($I147="","",IF($B147=1,"",IF($B147=2,_xlfn.XLOOKUP(1,($B$2:$B$313=1)*($BO$2:$BO$313=1),$I$2:$I$313,,0),_xlfn.XLOOKUP($B147-1,$B$2:$B$313,$CH$2:$CH$313,,0))))</f>
        <v>Jami Kallio</v>
      </c>
      <c r="BW147" s="1" t="str" cm="1">
        <f t="array" ref="BW147">IF($I147="","",IF($B147=1,"",IF(_xlfn.XLOOKUP(1,($B$2:$B$313=$B147)*($I$2:$I$313=$BV147),$BQ$2:$BQ$313,,0)="","NOK","OK")))</f>
        <v>OK</v>
      </c>
      <c r="BX147" s="1" t="str">
        <f t="shared" si="175"/>
        <v>Jami Kallio</v>
      </c>
      <c r="BY147" s="1" t="str">
        <f t="shared" si="176"/>
        <v>Mika Sola</v>
      </c>
      <c r="BZ147" s="1">
        <f t="shared" si="177"/>
        <v>195</v>
      </c>
      <c r="CA147" s="1">
        <f t="shared" si="178"/>
        <v>112</v>
      </c>
      <c r="CB147" s="1">
        <f t="shared" si="179"/>
        <v>9.8999999999999994E-5</v>
      </c>
      <c r="CC147" s="1">
        <f t="shared" si="180"/>
        <v>123</v>
      </c>
      <c r="CD147" s="1">
        <f t="shared" si="181"/>
        <v>90</v>
      </c>
      <c r="CE147" s="1">
        <f t="shared" si="182"/>
        <v>9.8999999999999994E-5</v>
      </c>
      <c r="CF147" s="1" t="str">
        <f t="shared" si="183"/>
        <v>Jami Kallio (P)</v>
      </c>
      <c r="CG147" s="1" t="str">
        <f t="shared" si="184"/>
        <v>Mika Sola (1)</v>
      </c>
      <c r="CH147" s="1" t="str">
        <f t="shared" si="185"/>
        <v>Jami Kallio</v>
      </c>
      <c r="CI147" s="1">
        <f t="shared" si="186"/>
        <v>0</v>
      </c>
      <c r="CJ147" s="1" t="str">
        <f ca="1">IF(B147="","",IF(SUM(AI147:AK147)&gt;0,"+SP","")&amp;IF(CI147&gt;0,"+KK","")&amp;IF(AB147&gt;0,"+KGP1","")&amp;IF(AC147&gt;0,"+KGP2","")&amp;IF(AG147&lt;0,"-KGP1","")&amp;IF(AH147&lt;0,"-KGP2",""))</f>
        <v>+SP</v>
      </c>
    </row>
    <row r="148" spans="1:88" x14ac:dyDescent="0.25">
      <c r="A148" s="1">
        <f>IFERROR(IF(ROW(A147)=1,1,IF(1+A147&lt;=$CP$1*$CP$2,1+A147,"")),"")</f>
        <v>147</v>
      </c>
      <c r="B148" s="1">
        <f>IF($I148="","",IF(ROW(B147)=1,1,ROUNDUP(A148/$CP$2,0)))</f>
        <v>9</v>
      </c>
      <c r="C148" s="4">
        <f t="shared" si="132"/>
        <v>45711</v>
      </c>
      <c r="D148" s="4" t="str">
        <f t="shared" si="126"/>
        <v>Raision keilahalli</v>
      </c>
      <c r="E148" s="1">
        <f>IF($B148="","",COUNTIF($B$2:B148,B148))</f>
        <v>3</v>
      </c>
      <c r="F148" s="1" t="str">
        <f t="shared" si="127"/>
        <v>K2024GP09</v>
      </c>
      <c r="G148" s="1" t="str">
        <f t="shared" si="133"/>
        <v>K2024GP09_3</v>
      </c>
      <c r="H148" s="1">
        <f t="shared" si="134"/>
        <v>1</v>
      </c>
      <c r="I148" s="3" t="s">
        <v>130</v>
      </c>
      <c r="J148" s="3">
        <v>133</v>
      </c>
      <c r="K148" s="3">
        <v>169</v>
      </c>
      <c r="L148" s="1">
        <f t="shared" si="135"/>
        <v>302</v>
      </c>
      <c r="M148" s="1">
        <f t="shared" si="136"/>
        <v>1</v>
      </c>
      <c r="N148" s="1">
        <f t="shared" si="137"/>
        <v>3</v>
      </c>
      <c r="O148" s="1">
        <f t="shared" si="138"/>
        <v>302</v>
      </c>
      <c r="P148" s="1">
        <f t="shared" si="139"/>
        <v>5</v>
      </c>
      <c r="Q148" s="1">
        <f t="array" ref="Q148">IF($B148="","",IF(MAX(IF(B148=$B$2:$B$313,$L$2:$L$313))-L148=0,"",MAX(IF(B148=$B$2:$B$313,$L$2:$L$313))-L148))</f>
        <v>5</v>
      </c>
      <c r="R148" s="1">
        <f t="array" ref="R148">IF($B148="","",SUMPRODUCT(--($B$2:$B$313=B148),--(L148&lt;$L$2:$L$313))+1)</f>
        <v>3</v>
      </c>
      <c r="S148" s="1">
        <f t="shared" si="140"/>
        <v>2</v>
      </c>
      <c r="T148" s="1" cm="1">
        <f t="array" ref="T148">IF($B148="","",IF(M148=0,"",SUMPRODUCT(--($B$2:$B$313=B148),--(J148&lt;$J$2:$J$313))+1))</f>
        <v>8</v>
      </c>
      <c r="U148" s="1">
        <f t="shared" si="141"/>
        <v>-5</v>
      </c>
      <c r="V148" s="1" t="str">
        <f t="shared" si="142"/>
        <v>0903</v>
      </c>
      <c r="W148" s="1">
        <f t="shared" si="143"/>
        <v>1</v>
      </c>
      <c r="X148" s="1">
        <f t="shared" si="128"/>
        <v>0</v>
      </c>
      <c r="Y148" s="1">
        <f>IF($B148="","",MAX(_xlfn.MAXIFS($J$2:J148,$I$2:I148,$I148),_xlfn.MAXIFS($K$2:K148,$I$2:I148,$I148)))</f>
        <v>204</v>
      </c>
      <c r="Z148" s="1">
        <f t="shared" si="144"/>
        <v>195</v>
      </c>
      <c r="AA148" s="1">
        <f t="shared" si="145"/>
        <v>0</v>
      </c>
      <c r="AB148" s="1">
        <f t="shared" si="146"/>
        <v>0</v>
      </c>
      <c r="AC148" s="1">
        <f t="shared" si="147"/>
        <v>0</v>
      </c>
      <c r="AD148" s="1">
        <f>IF($B148="","",MIN(_xlfn.MINIFS($J$2:J148,$I$2:I148,$I148),_xlfn.MINIFS($K$2:K148,$I$2:I148,$I148)))</f>
        <v>111</v>
      </c>
      <c r="AE148" s="1">
        <f t="shared" si="148"/>
        <v>90</v>
      </c>
      <c r="AF148" s="1">
        <f t="shared" si="149"/>
        <v>0</v>
      </c>
      <c r="AG148" s="1">
        <f t="shared" si="150"/>
        <v>0</v>
      </c>
      <c r="AH148" s="1">
        <f t="shared" si="151"/>
        <v>0</v>
      </c>
      <c r="AI148" s="1">
        <f ca="1">IF($B148="","",IF($K148="",0,OFFSET($CO$17,R148,W148)))</f>
        <v>8</v>
      </c>
      <c r="AJ148" s="1">
        <f t="shared" ca="1" si="152"/>
        <v>0</v>
      </c>
      <c r="AK148" s="1">
        <f ca="1">IF(AJ148="","",IF(AJ148=0,0,IF(W148=1,0,SUM(OFFSET($CO$17,N148,1):OFFSET($CO$17,N148+W148-2,1))/W148)))</f>
        <v>0</v>
      </c>
      <c r="AL148" s="1">
        <f t="shared" ca="1" si="153"/>
        <v>8</v>
      </c>
      <c r="AM148" s="1">
        <f ca="1">IF($B148="","",SUMIFS($AL$2:AL148,$I$2:I148,$I148))</f>
        <v>40.5</v>
      </c>
      <c r="AN148" s="1">
        <f t="shared" si="154"/>
        <v>3.0001470000000001</v>
      </c>
      <c r="AO148" s="1">
        <f>IFERROR(IF($B148="","",AVERAGEIFS($L$2:L148,$I$2:I148,I148,$L$2:L148,"&lt;&gt;0")),0)</f>
        <v>306.5</v>
      </c>
      <c r="AP148" s="1">
        <f t="shared" si="155"/>
        <v>153.25</v>
      </c>
      <c r="AQ148" s="1">
        <f>IF($B148="","",COUNTIFS($R$2:R148,1,$I$2:I148,$I148))</f>
        <v>2</v>
      </c>
      <c r="AR148" s="1">
        <f t="array" aca="1" ref="AR148" ca="1">IF($B148="","",SUMPRODUCT(--($B$2:$B$313=B148),--(AM148&lt;$AM$2:$AM$313))+1)</f>
        <v>5</v>
      </c>
      <c r="AS148" s="1">
        <f t="array" ref="AS148">IF($B148="","",SUMPRODUCT(--($B$2:$B$313=B148),--(AP148&lt;$AP$2:$AP$313))+1)</f>
        <v>2</v>
      </c>
      <c r="AT148" s="1">
        <f t="array" ref="AT148">IF($B148="","",SUMPRODUCT(--($B$2:$B$313=B148),--(AQ148&lt;$AQ$2:$AQ$313))+1)</f>
        <v>2</v>
      </c>
      <c r="AU148" s="1">
        <f t="shared" si="156"/>
        <v>1.4700000000000001E-7</v>
      </c>
      <c r="AV148" s="1">
        <f t="shared" ca="1" si="157"/>
        <v>5.0202147000000003E-2</v>
      </c>
      <c r="AW148" s="1" t="str">
        <f t="shared" si="129"/>
        <v/>
      </c>
      <c r="AX148" s="1" t="str">
        <f t="shared" si="158"/>
        <v/>
      </c>
      <c r="AY148" s="8">
        <f t="shared" ca="1" si="159"/>
        <v>5.0202147000000003E-2</v>
      </c>
      <c r="AZ148" s="1" cm="1">
        <f t="array" aca="1" ref="AZ148" ca="1">IF($B148="","",SUMPRODUCT(--($B$2:$B$313=B148),--(AY148&gt;$AY$2:$AY$313))+1)</f>
        <v>5</v>
      </c>
      <c r="BA148" s="1" t="str">
        <f t="shared" si="160"/>
        <v>K2024GP09_3_1</v>
      </c>
      <c r="BB148" s="1" t="str">
        <f t="shared" si="161"/>
        <v>K2024GP09_3_2</v>
      </c>
      <c r="BC148" s="1">
        <f t="shared" si="162"/>
        <v>0</v>
      </c>
      <c r="BD148" s="1">
        <f t="shared" si="163"/>
        <v>1</v>
      </c>
      <c r="BE148" s="1">
        <f t="shared" si="164"/>
        <v>1</v>
      </c>
      <c r="BF148" s="1">
        <f t="shared" si="165"/>
        <v>169</v>
      </c>
      <c r="BG148" s="1">
        <f t="shared" si="166"/>
        <v>133</v>
      </c>
      <c r="BH148" s="1">
        <f t="shared" si="167"/>
        <v>4</v>
      </c>
      <c r="BI148" s="1">
        <f t="shared" si="168"/>
        <v>3</v>
      </c>
      <c r="BJ148" s="1">
        <f t="shared" si="169"/>
        <v>4.0300000000000002E-2</v>
      </c>
      <c r="BK148" s="1">
        <f t="shared" si="170"/>
        <v>0</v>
      </c>
      <c r="BL148" s="1">
        <f t="shared" si="171"/>
        <v>9.8999999999999994E-5</v>
      </c>
      <c r="BM148" s="1">
        <f t="shared" si="172"/>
        <v>4.0399000000000004E-2</v>
      </c>
      <c r="BN148" s="1">
        <f t="shared" si="173"/>
        <v>0</v>
      </c>
      <c r="BO148" s="1">
        <f t="shared" si="130"/>
        <v>4</v>
      </c>
      <c r="BP148" s="1">
        <f t="shared" si="131"/>
        <v>0</v>
      </c>
      <c r="BQ148" s="1" cm="1">
        <f t="array" ref="BQ148">IF(I148="","",IF(BP148=1,"",IF(L148=0,"",IF(B148=1,"",_xlfn.XLOOKUP(1,($I$2:$I$313=$I148)*($B$2:$B$313=($B148-1)),$BO$2:$BO$313)))))</f>
        <v>16</v>
      </c>
      <c r="BR148" s="1">
        <f>IF(I148="","",IF($B148=1,_xlfn.MINIFS($BO$2:$BO$313,$B$2:$B$313,$B148),_xlfn.MINIFS(BQ$2:$BQ$313,$B$2:$B$313,$B148)))</f>
        <v>1</v>
      </c>
      <c r="BS148" s="1">
        <f t="shared" si="174"/>
        <v>2</v>
      </c>
      <c r="BT148" s="1" t="str" cm="1">
        <f t="array" ref="BT148">IF($I148="","",IF($B148=1,_xlfn.XLOOKUP(1,($B$2:$B$313=$B148)*($BO$2:$BO$313=BR148),Data!$I$2:$I$313,,0),_xlfn.XLOOKUP(1,($B$2:$B$313=$B148)*($BQ$2:$BQ$313=$BR148),$I$2:$I$313,,0)))</f>
        <v>Mika Sola</v>
      </c>
      <c r="BU148" s="1" t="str" cm="1">
        <f t="array" ref="BU148">IF(I148="","",IF($B148=1,_xlfn.XLOOKUP(1,($B$2:$B$313=$B148)*($BO$2:$BO$313=$BS148),$I$2:$I$313,,0),_xlfn.XLOOKUP(1,($B$2:$B$313=$B148)*($BQ$2:$BQ$313=$BS148),$I$2:$I$313,,0)))</f>
        <v>Miika Nordblad</v>
      </c>
      <c r="BV148" s="1" t="str" cm="1">
        <f t="array" ref="BV148">IF($I148="","",IF($B148=1,"",IF($B148=2,_xlfn.XLOOKUP(1,($B$2:$B$313=1)*($BO$2:$BO$313=1),$I$2:$I$313,,0),_xlfn.XLOOKUP($B148-1,$B$2:$B$313,$CH$2:$CH$313,,0))))</f>
        <v>Jami Kallio</v>
      </c>
      <c r="BW148" s="1" t="str" cm="1">
        <f t="array" ref="BW148">IF($I148="","",IF($B148=1,"",IF(_xlfn.XLOOKUP(1,($B$2:$B$313=$B148)*($I$2:$I$313=$BV148),$BQ$2:$BQ$313,,0)="","NOK","OK")))</f>
        <v>OK</v>
      </c>
      <c r="BX148" s="1" t="str">
        <f t="shared" si="175"/>
        <v>Jami Kallio</v>
      </c>
      <c r="BY148" s="1" t="str">
        <f t="shared" si="176"/>
        <v>Mika Sola</v>
      </c>
      <c r="BZ148" s="1">
        <f t="shared" si="177"/>
        <v>195</v>
      </c>
      <c r="CA148" s="1">
        <f t="shared" si="178"/>
        <v>112</v>
      </c>
      <c r="CB148" s="1">
        <f t="shared" si="179"/>
        <v>9.8999999999999994E-5</v>
      </c>
      <c r="CC148" s="1">
        <f t="shared" si="180"/>
        <v>123</v>
      </c>
      <c r="CD148" s="1">
        <f t="shared" si="181"/>
        <v>90</v>
      </c>
      <c r="CE148" s="1">
        <f t="shared" si="182"/>
        <v>9.8999999999999994E-5</v>
      </c>
      <c r="CF148" s="1" t="str">
        <f t="shared" si="183"/>
        <v>Jami Kallio (P)</v>
      </c>
      <c r="CG148" s="1" t="str">
        <f t="shared" si="184"/>
        <v>Mika Sola (1)</v>
      </c>
      <c r="CH148" s="1" t="str">
        <f t="shared" si="185"/>
        <v>Jami Kallio</v>
      </c>
      <c r="CI148" s="1">
        <f t="shared" si="186"/>
        <v>0</v>
      </c>
      <c r="CJ148" s="1" t="str">
        <f ca="1">IF(B148="","",IF(SUM(AI148:AK148)&gt;0,"+SP","")&amp;IF(CI148&gt;0,"+KK","")&amp;IF(AB148&gt;0,"+KGP1","")&amp;IF(AC148&gt;0,"+KGP2","")&amp;IF(AG148&lt;0,"-KGP1","")&amp;IF(AH148&lt;0,"-KGP2",""))</f>
        <v>+SP</v>
      </c>
    </row>
    <row r="149" spans="1:88" x14ac:dyDescent="0.25">
      <c r="A149" s="1">
        <f>IFERROR(IF(ROW(A148)=1,1,IF(1+A148&lt;=$CP$1*$CP$2,1+A148,"")),"")</f>
        <v>148</v>
      </c>
      <c r="B149" s="1">
        <f>IF($I149="","",IF(ROW(B148)=1,1,ROUNDUP(A149/$CP$2,0)))</f>
        <v>9</v>
      </c>
      <c r="C149" s="4">
        <f t="shared" si="132"/>
        <v>45711</v>
      </c>
      <c r="D149" s="4" t="str">
        <f t="shared" si="126"/>
        <v>Raision keilahalli</v>
      </c>
      <c r="E149" s="1">
        <f>IF($B149="","",COUNTIF($B$2:B149,B149))</f>
        <v>4</v>
      </c>
      <c r="F149" s="1" t="str">
        <f t="shared" si="127"/>
        <v>K2024GP09</v>
      </c>
      <c r="G149" s="1" t="str">
        <f t="shared" si="133"/>
        <v>K2024GP09_4</v>
      </c>
      <c r="H149" s="1">
        <f t="shared" si="134"/>
        <v>1</v>
      </c>
      <c r="I149" s="3" t="s">
        <v>143</v>
      </c>
      <c r="J149" s="3">
        <v>150</v>
      </c>
      <c r="K149" s="3">
        <v>140</v>
      </c>
      <c r="L149" s="1">
        <f t="shared" si="135"/>
        <v>290</v>
      </c>
      <c r="M149" s="1">
        <f t="shared" si="136"/>
        <v>1</v>
      </c>
      <c r="N149" s="1">
        <f t="shared" si="137"/>
        <v>4</v>
      </c>
      <c r="O149" s="1">
        <f t="shared" si="138"/>
        <v>290</v>
      </c>
      <c r="P149" s="1">
        <f t="shared" si="139"/>
        <v>17</v>
      </c>
      <c r="Q149" s="1">
        <f t="array" ref="Q149">IF($B149="","",IF(MAX(IF(B149=$B$2:$B$313,$L$2:$L$313))-L149=0,"",MAX(IF(B149=$B$2:$B$313,$L$2:$L$313))-L149))</f>
        <v>17</v>
      </c>
      <c r="R149" s="1">
        <f t="array" ref="R149">IF($B149="","",SUMPRODUCT(--($B$2:$B$313=B149),--(L149&lt;$L$2:$L$313))+1)</f>
        <v>4</v>
      </c>
      <c r="S149" s="1">
        <f t="shared" si="140"/>
        <v>2</v>
      </c>
      <c r="T149" s="1" cm="1">
        <f t="array" ref="T149">IF($B149="","",IF(M149=0,"",SUMPRODUCT(--($B$2:$B$313=B149),--(J149&lt;$J$2:$J$313))+1))</f>
        <v>3</v>
      </c>
      <c r="U149" s="1">
        <f t="shared" si="141"/>
        <v>1</v>
      </c>
      <c r="V149" s="1" t="str">
        <f t="shared" si="142"/>
        <v>0904</v>
      </c>
      <c r="W149" s="1">
        <f t="shared" si="143"/>
        <v>1</v>
      </c>
      <c r="X149" s="1">
        <f t="shared" si="128"/>
        <v>0</v>
      </c>
      <c r="Y149" s="1">
        <f>IF($B149="","",MAX(_xlfn.MAXIFS($J$2:J149,$I$2:I149,$I149),_xlfn.MAXIFS($K$2:K149,$I$2:I149,$I149)))</f>
        <v>184</v>
      </c>
      <c r="Z149" s="1">
        <f t="shared" si="144"/>
        <v>195</v>
      </c>
      <c r="AA149" s="1">
        <f t="shared" si="145"/>
        <v>0</v>
      </c>
      <c r="AB149" s="1">
        <f t="shared" si="146"/>
        <v>0</v>
      </c>
      <c r="AC149" s="1">
        <f t="shared" si="147"/>
        <v>0</v>
      </c>
      <c r="AD149" s="1">
        <f>IF($B149="","",MIN(_xlfn.MINIFS($J$2:J149,$I$2:I149,$I149),_xlfn.MINIFS($K$2:K149,$I$2:I149,$I149)))</f>
        <v>123</v>
      </c>
      <c r="AE149" s="1">
        <f t="shared" si="148"/>
        <v>90</v>
      </c>
      <c r="AF149" s="1">
        <f t="shared" si="149"/>
        <v>0</v>
      </c>
      <c r="AG149" s="1">
        <f t="shared" si="150"/>
        <v>0</v>
      </c>
      <c r="AH149" s="1">
        <f t="shared" si="151"/>
        <v>0</v>
      </c>
      <c r="AI149" s="1">
        <f ca="1">IF($B149="","",IF($K149="",0,OFFSET($CO$17,R149,W149)))</f>
        <v>7</v>
      </c>
      <c r="AJ149" s="1">
        <f t="shared" ca="1" si="152"/>
        <v>0</v>
      </c>
      <c r="AK149" s="1">
        <f ca="1">IF(AJ149="","",IF(AJ149=0,0,IF(W149=1,0,SUM(OFFSET($CO$17,N149,1):OFFSET($CO$17,N149+W149-2,1))/W149)))</f>
        <v>0</v>
      </c>
      <c r="AL149" s="1">
        <f t="shared" ca="1" si="153"/>
        <v>7</v>
      </c>
      <c r="AM149" s="1">
        <f ca="1">IF($B149="","",SUMIFS($AL$2:AL149,$I$2:I149,$I149))</f>
        <v>69</v>
      </c>
      <c r="AN149" s="1">
        <f t="shared" si="154"/>
        <v>4.0001480000000003</v>
      </c>
      <c r="AO149" s="1">
        <f>IFERROR(IF($B149="","",AVERAGEIFS($L$2:L149,$I$2:I149,I149,$L$2:L149,"&lt;&gt;0")),0)</f>
        <v>309</v>
      </c>
      <c r="AP149" s="1">
        <f t="shared" si="155"/>
        <v>154.5</v>
      </c>
      <c r="AQ149" s="1">
        <f>IF($B149="","",COUNTIFS($R$2:R149,1,$I$2:I149,$I149))</f>
        <v>3</v>
      </c>
      <c r="AR149" s="1">
        <f t="array" aca="1" ref="AR149" ca="1">IF($B149="","",SUMPRODUCT(--($B$2:$B$313=B149),--(AM149&lt;$AM$2:$AM$313))+1)</f>
        <v>2</v>
      </c>
      <c r="AS149" s="1">
        <f t="array" ref="AS149">IF($B149="","",SUMPRODUCT(--($B$2:$B$313=B149),--(AP149&lt;$AP$2:$AP$313))+1)</f>
        <v>1</v>
      </c>
      <c r="AT149" s="1">
        <f t="array" ref="AT149">IF($B149="","",SUMPRODUCT(--($B$2:$B$313=B149),--(AQ149&lt;$AQ$2:$AQ$313))+1)</f>
        <v>1</v>
      </c>
      <c r="AU149" s="1">
        <f t="shared" si="156"/>
        <v>1.48E-7</v>
      </c>
      <c r="AV149" s="1">
        <f t="shared" ca="1" si="157"/>
        <v>2.0101147999999999E-2</v>
      </c>
      <c r="AW149" s="1" t="str">
        <f t="shared" si="129"/>
        <v/>
      </c>
      <c r="AX149" s="1" t="str">
        <f t="shared" si="158"/>
        <v/>
      </c>
      <c r="AY149" s="8">
        <f t="shared" ca="1" si="159"/>
        <v>2.0101147999999999E-2</v>
      </c>
      <c r="AZ149" s="1" cm="1">
        <f t="array" aca="1" ref="AZ149" ca="1">IF($B149="","",SUMPRODUCT(--($B$2:$B$313=B149),--(AY149&gt;$AY$2:$AY$313))+1)</f>
        <v>2</v>
      </c>
      <c r="BA149" s="1" t="str">
        <f t="shared" si="160"/>
        <v>K2024GP09_4_1</v>
      </c>
      <c r="BB149" s="1" t="str">
        <f t="shared" si="161"/>
        <v>K2024GP09_4_2</v>
      </c>
      <c r="BC149" s="1">
        <f t="shared" si="162"/>
        <v>0</v>
      </c>
      <c r="BD149" s="1">
        <f t="shared" si="163"/>
        <v>0</v>
      </c>
      <c r="BE149" s="1">
        <f t="shared" si="164"/>
        <v>1</v>
      </c>
      <c r="BF149" s="1">
        <f t="shared" si="165"/>
        <v>150</v>
      </c>
      <c r="BG149" s="1">
        <f t="shared" si="166"/>
        <v>140</v>
      </c>
      <c r="BH149" s="1">
        <f t="shared" si="167"/>
        <v>6</v>
      </c>
      <c r="BI149" s="1">
        <f t="shared" si="168"/>
        <v>1</v>
      </c>
      <c r="BJ149" s="1">
        <f t="shared" si="169"/>
        <v>6.0100000000000001E-2</v>
      </c>
      <c r="BK149" s="1">
        <f t="shared" si="170"/>
        <v>0</v>
      </c>
      <c r="BL149" s="1">
        <f t="shared" si="171"/>
        <v>9.8999999999999994E-5</v>
      </c>
      <c r="BM149" s="1">
        <f t="shared" si="172"/>
        <v>6.0199000000000003E-2</v>
      </c>
      <c r="BN149" s="1">
        <f t="shared" si="173"/>
        <v>0</v>
      </c>
      <c r="BO149" s="1">
        <f t="shared" si="130"/>
        <v>6</v>
      </c>
      <c r="BP149" s="1">
        <f t="shared" si="131"/>
        <v>0</v>
      </c>
      <c r="BQ149" s="1" cm="1">
        <f t="array" ref="BQ149">IF(I149="","",IF(BP149=1,"",IF(L149=0,"",IF(B149=1,"",_xlfn.XLOOKUP(1,($I$2:$I$313=$I149)*($B$2:$B$313=($B149-1)),$BO$2:$BO$313)))))</f>
        <v>2</v>
      </c>
      <c r="BR149" s="1">
        <f>IF(I149="","",IF($B149=1,_xlfn.MINIFS($BO$2:$BO$313,$B$2:$B$313,$B149),_xlfn.MINIFS(BQ$2:$BQ$313,$B$2:$B$313,$B149)))</f>
        <v>1</v>
      </c>
      <c r="BS149" s="1">
        <f t="shared" si="174"/>
        <v>2</v>
      </c>
      <c r="BT149" s="1" t="str" cm="1">
        <f t="array" ref="BT149">IF($I149="","",IF($B149=1,_xlfn.XLOOKUP(1,($B$2:$B$313=$B149)*($BO$2:$BO$313=BR149),Data!$I$2:$I$313,,0),_xlfn.XLOOKUP(1,($B$2:$B$313=$B149)*($BQ$2:$BQ$313=$BR149),$I$2:$I$313,,0)))</f>
        <v>Mika Sola</v>
      </c>
      <c r="BU149" s="1" t="str" cm="1">
        <f t="array" ref="BU149">IF(I149="","",IF($B149=1,_xlfn.XLOOKUP(1,($B$2:$B$313=$B149)*($BO$2:$BO$313=$BS149),$I$2:$I$313,,0),_xlfn.XLOOKUP(1,($B$2:$B$313=$B149)*($BQ$2:$BQ$313=$BS149),$I$2:$I$313,,0)))</f>
        <v>Miika Nordblad</v>
      </c>
      <c r="BV149" s="1" t="str" cm="1">
        <f t="array" ref="BV149">IF($I149="","",IF($B149=1,"",IF($B149=2,_xlfn.XLOOKUP(1,($B$2:$B$313=1)*($BO$2:$BO$313=1),$I$2:$I$313,,0),_xlfn.XLOOKUP($B149-1,$B$2:$B$313,$CH$2:$CH$313,,0))))</f>
        <v>Jami Kallio</v>
      </c>
      <c r="BW149" s="1" t="str" cm="1">
        <f t="array" ref="BW149">IF($I149="","",IF($B149=1,"",IF(_xlfn.XLOOKUP(1,($B$2:$B$313=$B149)*($I$2:$I$313=$BV149),$BQ$2:$BQ$313,,0)="","NOK","OK")))</f>
        <v>OK</v>
      </c>
      <c r="BX149" s="1" t="str">
        <f t="shared" si="175"/>
        <v>Jami Kallio</v>
      </c>
      <c r="BY149" s="1" t="str">
        <f t="shared" si="176"/>
        <v>Mika Sola</v>
      </c>
      <c r="BZ149" s="1">
        <f t="shared" si="177"/>
        <v>195</v>
      </c>
      <c r="CA149" s="1">
        <f t="shared" si="178"/>
        <v>112</v>
      </c>
      <c r="CB149" s="1">
        <f t="shared" si="179"/>
        <v>9.8999999999999994E-5</v>
      </c>
      <c r="CC149" s="1">
        <f t="shared" si="180"/>
        <v>123</v>
      </c>
      <c r="CD149" s="1">
        <f t="shared" si="181"/>
        <v>90</v>
      </c>
      <c r="CE149" s="1">
        <f t="shared" si="182"/>
        <v>9.8999999999999994E-5</v>
      </c>
      <c r="CF149" s="1" t="str">
        <f t="shared" si="183"/>
        <v>Jami Kallio (P)</v>
      </c>
      <c r="CG149" s="1" t="str">
        <f t="shared" si="184"/>
        <v>Mika Sola (1)</v>
      </c>
      <c r="CH149" s="1" t="str">
        <f t="shared" si="185"/>
        <v>Jami Kallio</v>
      </c>
      <c r="CI149" s="1">
        <f t="shared" si="186"/>
        <v>0</v>
      </c>
      <c r="CJ149" s="1" t="str">
        <f ca="1">IF(B149="","",IF(SUM(AI149:AK149)&gt;0,"+SP","")&amp;IF(CI149&gt;0,"+KK","")&amp;IF(AB149&gt;0,"+KGP1","")&amp;IF(AC149&gt;0,"+KGP2","")&amp;IF(AG149&lt;0,"-KGP1","")&amp;IF(AH149&lt;0,"-KGP2",""))</f>
        <v>+SP</v>
      </c>
    </row>
    <row r="150" spans="1:88" x14ac:dyDescent="0.25">
      <c r="A150" s="1">
        <f>IFERROR(IF(ROW(A149)=1,1,IF(1+A149&lt;=$CP$1*$CP$2,1+A149,"")),"")</f>
        <v>149</v>
      </c>
      <c r="B150" s="1">
        <f>IF($I150="","",IF(ROW(B149)=1,1,ROUNDUP(A150/$CP$2,0)))</f>
        <v>9</v>
      </c>
      <c r="C150" s="4">
        <f t="shared" si="132"/>
        <v>45711</v>
      </c>
      <c r="D150" s="4" t="str">
        <f t="shared" si="126"/>
        <v>Raision keilahalli</v>
      </c>
      <c r="E150" s="1">
        <f>IF($B150="","",COUNTIF($B$2:B150,B150))</f>
        <v>5</v>
      </c>
      <c r="F150" s="1" t="str">
        <f t="shared" si="127"/>
        <v>K2024GP09</v>
      </c>
      <c r="G150" s="1" t="str">
        <f t="shared" si="133"/>
        <v>K2024GP09_5</v>
      </c>
      <c r="H150" s="1">
        <f t="shared" si="134"/>
        <v>1</v>
      </c>
      <c r="I150" s="3" t="s">
        <v>139</v>
      </c>
      <c r="J150" s="3">
        <v>161</v>
      </c>
      <c r="K150" s="3">
        <v>119</v>
      </c>
      <c r="L150" s="1">
        <f t="shared" si="135"/>
        <v>280</v>
      </c>
      <c r="M150" s="1">
        <f t="shared" si="136"/>
        <v>1</v>
      </c>
      <c r="N150" s="1">
        <f t="shared" si="137"/>
        <v>5</v>
      </c>
      <c r="O150" s="1">
        <f t="shared" si="138"/>
        <v>280</v>
      </c>
      <c r="P150" s="1">
        <f t="shared" si="139"/>
        <v>27</v>
      </c>
      <c r="Q150" s="1">
        <f t="array" ref="Q150">IF($B150="","",IF(MAX(IF(B150=$B$2:$B$313,$L$2:$L$313))-L150=0,"",MAX(IF(B150=$B$2:$B$313,$L$2:$L$313))-L150))</f>
        <v>27</v>
      </c>
      <c r="R150" s="1">
        <f t="array" ref="R150">IF($B150="","",SUMPRODUCT(--($B$2:$B$313=B150),--(L150&lt;$L$2:$L$313))+1)</f>
        <v>5</v>
      </c>
      <c r="S150" s="1">
        <f t="shared" si="140"/>
        <v>2</v>
      </c>
      <c r="T150" s="1" cm="1">
        <f t="array" ref="T150">IF($B150="","",IF(M150=0,"",SUMPRODUCT(--($B$2:$B$313=B150),--(J150&lt;$J$2:$J$313))+1))</f>
        <v>2</v>
      </c>
      <c r="U150" s="1">
        <f t="shared" si="141"/>
        <v>3</v>
      </c>
      <c r="V150" s="1" t="str">
        <f t="shared" si="142"/>
        <v>0905</v>
      </c>
      <c r="W150" s="1">
        <f t="shared" si="143"/>
        <v>1</v>
      </c>
      <c r="X150" s="1">
        <f t="shared" si="128"/>
        <v>0</v>
      </c>
      <c r="Y150" s="1">
        <f>IF($B150="","",MAX(_xlfn.MAXIFS($J$2:J150,$I$2:I150,$I150),_xlfn.MAXIFS($K$2:K150,$I$2:I150,$I150)))</f>
        <v>209</v>
      </c>
      <c r="Z150" s="1">
        <f t="shared" si="144"/>
        <v>195</v>
      </c>
      <c r="AA150" s="1">
        <f t="shared" si="145"/>
        <v>0</v>
      </c>
      <c r="AB150" s="1">
        <f t="shared" si="146"/>
        <v>0</v>
      </c>
      <c r="AC150" s="1">
        <f t="shared" si="147"/>
        <v>0</v>
      </c>
      <c r="AD150" s="1">
        <f>IF($B150="","",MIN(_xlfn.MINIFS($J$2:J150,$I$2:I150,$I150),_xlfn.MINIFS($K$2:K150,$I$2:I150,$I150)))</f>
        <v>87</v>
      </c>
      <c r="AE150" s="1">
        <f t="shared" si="148"/>
        <v>90</v>
      </c>
      <c r="AF150" s="1">
        <f t="shared" si="149"/>
        <v>0</v>
      </c>
      <c r="AG150" s="1">
        <f t="shared" si="150"/>
        <v>0</v>
      </c>
      <c r="AH150" s="1">
        <f t="shared" si="151"/>
        <v>0</v>
      </c>
      <c r="AI150" s="1">
        <f ca="1">IF($B150="","",IF($K150="",0,OFFSET($CO$17,R150,W150)))</f>
        <v>6</v>
      </c>
      <c r="AJ150" s="1">
        <f t="shared" ca="1" si="152"/>
        <v>0</v>
      </c>
      <c r="AK150" s="1">
        <f ca="1">IF(AJ150="","",IF(AJ150=0,0,IF(W150=1,0,SUM(OFFSET($CO$17,N150,1):OFFSET($CO$17,N150+W150-2,1))/W150)))</f>
        <v>0</v>
      </c>
      <c r="AL150" s="1">
        <f t="shared" ca="1" si="153"/>
        <v>6</v>
      </c>
      <c r="AM150" s="1">
        <f ca="1">IF($B150="","",SUMIFS($AL$2:AL150,$I$2:I150,$I150))</f>
        <v>51.5</v>
      </c>
      <c r="AN150" s="1">
        <f t="shared" si="154"/>
        <v>5.0001490000000004</v>
      </c>
      <c r="AO150" s="1">
        <f>IFERROR(IF($B150="","",AVERAGEIFS($L$2:L150,$I$2:I150,I150,$L$2:L150,"&lt;&gt;0")),0)</f>
        <v>302.28571428571428</v>
      </c>
      <c r="AP150" s="1">
        <f t="shared" si="155"/>
        <v>151.14285714285714</v>
      </c>
      <c r="AQ150" s="1">
        <f>IF($B150="","",COUNTIFS($R$2:R150,1,$I$2:I150,$I150))</f>
        <v>1</v>
      </c>
      <c r="AR150" s="1">
        <f t="array" aca="1" ref="AR150" ca="1">IF($B150="","",SUMPRODUCT(--($B$2:$B$313=B150),--(AM150&lt;$AM$2:$AM$313))+1)</f>
        <v>3</v>
      </c>
      <c r="AS150" s="1">
        <f t="array" ref="AS150">IF($B150="","",SUMPRODUCT(--($B$2:$B$313=B150),--(AP150&lt;$AP$2:$AP$313))+1)</f>
        <v>4</v>
      </c>
      <c r="AT150" s="1">
        <f t="array" ref="AT150">IF($B150="","",SUMPRODUCT(--($B$2:$B$313=B150),--(AQ150&lt;$AQ$2:$AQ$313))+1)</f>
        <v>4</v>
      </c>
      <c r="AU150" s="1">
        <f t="shared" si="156"/>
        <v>1.49E-7</v>
      </c>
      <c r="AV150" s="1">
        <f t="shared" ca="1" si="157"/>
        <v>3.0404149000000002E-2</v>
      </c>
      <c r="AW150" s="1" t="str">
        <f t="shared" si="129"/>
        <v/>
      </c>
      <c r="AX150" s="1" t="str">
        <f t="shared" si="158"/>
        <v/>
      </c>
      <c r="AY150" s="8">
        <f t="shared" ca="1" si="159"/>
        <v>3.0404149000000002E-2</v>
      </c>
      <c r="AZ150" s="1" cm="1">
        <f t="array" aca="1" ref="AZ150" ca="1">IF($B150="","",SUMPRODUCT(--($B$2:$B$313=B150),--(AY150&gt;$AY$2:$AY$313))+1)</f>
        <v>3</v>
      </c>
      <c r="BA150" s="1" t="str">
        <f t="shared" si="160"/>
        <v>K2024GP09_5_1</v>
      </c>
      <c r="BB150" s="1" t="str">
        <f t="shared" si="161"/>
        <v>K2024GP09_5_2</v>
      </c>
      <c r="BC150" s="1">
        <f t="shared" si="162"/>
        <v>0</v>
      </c>
      <c r="BD150" s="1">
        <f t="shared" si="163"/>
        <v>0</v>
      </c>
      <c r="BE150" s="1">
        <f t="shared" si="164"/>
        <v>1</v>
      </c>
      <c r="BF150" s="1">
        <f t="shared" si="165"/>
        <v>161</v>
      </c>
      <c r="BG150" s="1">
        <f t="shared" si="166"/>
        <v>119</v>
      </c>
      <c r="BH150" s="1">
        <f t="shared" si="167"/>
        <v>5</v>
      </c>
      <c r="BI150" s="1">
        <f t="shared" si="168"/>
        <v>7</v>
      </c>
      <c r="BJ150" s="1">
        <f t="shared" si="169"/>
        <v>5.0700000000000002E-2</v>
      </c>
      <c r="BK150" s="1">
        <f t="shared" si="170"/>
        <v>0</v>
      </c>
      <c r="BL150" s="1">
        <f t="shared" si="171"/>
        <v>9.8999999999999994E-5</v>
      </c>
      <c r="BM150" s="1">
        <f t="shared" si="172"/>
        <v>5.0799000000000004E-2</v>
      </c>
      <c r="BN150" s="1">
        <f t="shared" si="173"/>
        <v>0</v>
      </c>
      <c r="BO150" s="1">
        <f t="shared" si="130"/>
        <v>5</v>
      </c>
      <c r="BP150" s="1">
        <f t="shared" si="131"/>
        <v>0</v>
      </c>
      <c r="BQ150" s="1" cm="1">
        <f t="array" ref="BQ150">IF(I150="","",IF(BP150=1,"",IF(L150=0,"",IF(B150=1,"",_xlfn.XLOOKUP(1,($I$2:$I$313=$I150)*($B$2:$B$313=($B150-1)),$BO$2:$BO$313)))))</f>
        <v>3</v>
      </c>
      <c r="BR150" s="1">
        <f>IF(I150="","",IF($B150=1,_xlfn.MINIFS($BO$2:$BO$313,$B$2:$B$313,$B150),_xlfn.MINIFS(BQ$2:$BQ$313,$B$2:$B$313,$B150)))</f>
        <v>1</v>
      </c>
      <c r="BS150" s="1">
        <f t="shared" si="174"/>
        <v>2</v>
      </c>
      <c r="BT150" s="1" t="str" cm="1">
        <f t="array" ref="BT150">IF($I150="","",IF($B150=1,_xlfn.XLOOKUP(1,($B$2:$B$313=$B150)*($BO$2:$BO$313=BR150),Data!$I$2:$I$313,,0),_xlfn.XLOOKUP(1,($B$2:$B$313=$B150)*($BQ$2:$BQ$313=$BR150),$I$2:$I$313,,0)))</f>
        <v>Mika Sola</v>
      </c>
      <c r="BU150" s="1" t="str" cm="1">
        <f t="array" ref="BU150">IF(I150="","",IF($B150=1,_xlfn.XLOOKUP(1,($B$2:$B$313=$B150)*($BO$2:$BO$313=$BS150),$I$2:$I$313,,0),_xlfn.XLOOKUP(1,($B$2:$B$313=$B150)*($BQ$2:$BQ$313=$BS150),$I$2:$I$313,,0)))</f>
        <v>Miika Nordblad</v>
      </c>
      <c r="BV150" s="1" t="str" cm="1">
        <f t="array" ref="BV150">IF($I150="","",IF($B150=1,"",IF($B150=2,_xlfn.XLOOKUP(1,($B$2:$B$313=1)*($BO$2:$BO$313=1),$I$2:$I$313,,0),_xlfn.XLOOKUP($B150-1,$B$2:$B$313,$CH$2:$CH$313,,0))))</f>
        <v>Jami Kallio</v>
      </c>
      <c r="BW150" s="1" t="str" cm="1">
        <f t="array" ref="BW150">IF($I150="","",IF($B150=1,"",IF(_xlfn.XLOOKUP(1,($B$2:$B$313=$B150)*($I$2:$I$313=$BV150),$BQ$2:$BQ$313,,0)="","NOK","OK")))</f>
        <v>OK</v>
      </c>
      <c r="BX150" s="1" t="str">
        <f t="shared" si="175"/>
        <v>Jami Kallio</v>
      </c>
      <c r="BY150" s="1" t="str">
        <f t="shared" si="176"/>
        <v>Mika Sola</v>
      </c>
      <c r="BZ150" s="1">
        <f t="shared" si="177"/>
        <v>195</v>
      </c>
      <c r="CA150" s="1">
        <f t="shared" si="178"/>
        <v>112</v>
      </c>
      <c r="CB150" s="1">
        <f t="shared" si="179"/>
        <v>9.8999999999999994E-5</v>
      </c>
      <c r="CC150" s="1">
        <f t="shared" si="180"/>
        <v>123</v>
      </c>
      <c r="CD150" s="1">
        <f t="shared" si="181"/>
        <v>90</v>
      </c>
      <c r="CE150" s="1">
        <f t="shared" si="182"/>
        <v>9.8999999999999994E-5</v>
      </c>
      <c r="CF150" s="1" t="str">
        <f t="shared" si="183"/>
        <v>Jami Kallio (P)</v>
      </c>
      <c r="CG150" s="1" t="str">
        <f t="shared" si="184"/>
        <v>Mika Sola (1)</v>
      </c>
      <c r="CH150" s="1" t="str">
        <f t="shared" si="185"/>
        <v>Jami Kallio</v>
      </c>
      <c r="CI150" s="1">
        <f t="shared" si="186"/>
        <v>0</v>
      </c>
      <c r="CJ150" s="1" t="str">
        <f ca="1">IF(B150="","",IF(SUM(AI150:AK150)&gt;0,"+SP","")&amp;IF(CI150&gt;0,"+KK","")&amp;IF(AB150&gt;0,"+KGP1","")&amp;IF(AC150&gt;0,"+KGP2","")&amp;IF(AG150&lt;0,"-KGP1","")&amp;IF(AH150&lt;0,"-KGP2",""))</f>
        <v>+SP</v>
      </c>
    </row>
    <row r="151" spans="1:88" x14ac:dyDescent="0.25">
      <c r="A151" s="1">
        <f>IFERROR(IF(ROW(A150)=1,1,IF(1+A150&lt;=$CP$1*$CP$2,1+A150,"")),"")</f>
        <v>150</v>
      </c>
      <c r="B151" s="1">
        <f>IF($I151="","",IF(ROW(B150)=1,1,ROUNDUP(A151/$CP$2,0)))</f>
        <v>9</v>
      </c>
      <c r="C151" s="4">
        <f t="shared" si="132"/>
        <v>45711</v>
      </c>
      <c r="D151" s="4" t="str">
        <f t="shared" si="126"/>
        <v>Raision keilahalli</v>
      </c>
      <c r="E151" s="1">
        <f>IF($B151="","",COUNTIF($B$2:B151,B151))</f>
        <v>6</v>
      </c>
      <c r="F151" s="1" t="str">
        <f t="shared" si="127"/>
        <v>K2024GP09</v>
      </c>
      <c r="G151" s="1" t="str">
        <f t="shared" si="133"/>
        <v>K2024GP09_6</v>
      </c>
      <c r="H151" s="1">
        <f t="shared" si="134"/>
        <v>1</v>
      </c>
      <c r="I151" s="3" t="s">
        <v>127</v>
      </c>
      <c r="J151" s="3">
        <v>178</v>
      </c>
      <c r="K151" s="3">
        <v>100</v>
      </c>
      <c r="L151" s="1">
        <f t="shared" si="135"/>
        <v>278</v>
      </c>
      <c r="M151" s="1">
        <f t="shared" si="136"/>
        <v>1</v>
      </c>
      <c r="N151" s="1">
        <f t="shared" si="137"/>
        <v>6</v>
      </c>
      <c r="O151" s="1">
        <f t="shared" si="138"/>
        <v>278</v>
      </c>
      <c r="P151" s="1">
        <f t="shared" si="139"/>
        <v>29</v>
      </c>
      <c r="Q151" s="1">
        <f t="array" ref="Q151">IF($B151="","",IF(MAX(IF(B151=$B$2:$B$313,$L$2:$L$313))-L151=0,"",MAX(IF(B151=$B$2:$B$313,$L$2:$L$313))-L151))</f>
        <v>29</v>
      </c>
      <c r="R151" s="1">
        <f t="array" ref="R151">IF($B151="","",SUMPRODUCT(--($B$2:$B$313=B151),--(L151&lt;$L$2:$L$313))+1)</f>
        <v>6</v>
      </c>
      <c r="S151" s="1">
        <f t="shared" si="140"/>
        <v>2</v>
      </c>
      <c r="T151" s="1" cm="1">
        <f t="array" ref="T151">IF($B151="","",IF(M151=0,"",SUMPRODUCT(--($B$2:$B$313=B151),--(J151&lt;$J$2:$J$313))+1))</f>
        <v>1</v>
      </c>
      <c r="U151" s="1">
        <f t="shared" si="141"/>
        <v>5</v>
      </c>
      <c r="V151" s="1" t="str">
        <f t="shared" si="142"/>
        <v>0906</v>
      </c>
      <c r="W151" s="1">
        <f t="shared" si="143"/>
        <v>1</v>
      </c>
      <c r="X151" s="1">
        <f t="shared" si="128"/>
        <v>0</v>
      </c>
      <c r="Y151" s="1">
        <f>IF($B151="","",MAX(_xlfn.MAXIFS($J$2:J151,$I$2:I151,$I151),_xlfn.MAXIFS($K$2:K151,$I$2:I151,$I151)))</f>
        <v>178</v>
      </c>
      <c r="Z151" s="1">
        <f t="shared" si="144"/>
        <v>195</v>
      </c>
      <c r="AA151" s="1">
        <f t="shared" si="145"/>
        <v>0</v>
      </c>
      <c r="AB151" s="1">
        <f t="shared" si="146"/>
        <v>0</v>
      </c>
      <c r="AC151" s="1">
        <f t="shared" si="147"/>
        <v>0</v>
      </c>
      <c r="AD151" s="1">
        <f>IF($B151="","",MIN(_xlfn.MINIFS($J$2:J151,$I$2:I151,$I151),_xlfn.MINIFS($K$2:K151,$I$2:I151,$I151)))</f>
        <v>59</v>
      </c>
      <c r="AE151" s="1">
        <f t="shared" si="148"/>
        <v>90</v>
      </c>
      <c r="AF151" s="1">
        <f t="shared" si="149"/>
        <v>0</v>
      </c>
      <c r="AG151" s="1">
        <f t="shared" si="150"/>
        <v>0</v>
      </c>
      <c r="AH151" s="1">
        <f t="shared" si="151"/>
        <v>0</v>
      </c>
      <c r="AI151" s="1">
        <f ca="1">IF($B151="","",IF($K151="",0,OFFSET($CO$17,R151,W151)))</f>
        <v>5</v>
      </c>
      <c r="AJ151" s="1">
        <f t="shared" ca="1" si="152"/>
        <v>0</v>
      </c>
      <c r="AK151" s="1">
        <f ca="1">IF(AJ151="","",IF(AJ151=0,0,IF(W151=1,0,SUM(OFFSET($CO$17,N151,1):OFFSET($CO$17,N151+W151-2,1))/W151)))</f>
        <v>0</v>
      </c>
      <c r="AL151" s="1">
        <f t="shared" ca="1" si="153"/>
        <v>5</v>
      </c>
      <c r="AM151" s="1">
        <f ca="1">IF($B151="","",SUMIFS($AL$2:AL151,$I$2:I151,$I151))</f>
        <v>4</v>
      </c>
      <c r="AN151" s="1">
        <f t="shared" si="154"/>
        <v>6.0001499999999997</v>
      </c>
      <c r="AO151" s="1">
        <f>IFERROR(IF($B151="","",AVERAGEIFS($L$2:L151,$I$2:I151,I151,$L$2:L151,"&lt;&gt;0")),0)</f>
        <v>208.2</v>
      </c>
      <c r="AP151" s="1">
        <f t="shared" si="155"/>
        <v>104.1</v>
      </c>
      <c r="AQ151" s="1">
        <f>IF($B151="","",COUNTIFS($R$2:R151,1,$I$2:I151,$I151))</f>
        <v>0</v>
      </c>
      <c r="AR151" s="1">
        <f t="array" aca="1" ref="AR151" ca="1">IF($B151="","",SUMPRODUCT(--($B$2:$B$313=B151),--(AM151&lt;$AM$2:$AM$313))+1)</f>
        <v>17</v>
      </c>
      <c r="AS151" s="1">
        <f t="array" ref="AS151">IF($B151="","",SUMPRODUCT(--($B$2:$B$313=B151),--(AP151&lt;$AP$2:$AP$313))+1)</f>
        <v>18</v>
      </c>
      <c r="AT151" s="1">
        <f t="array" ref="AT151">IF($B151="","",SUMPRODUCT(--($B$2:$B$313=B151),--(AQ151&lt;$AQ$2:$AQ$313))+1)</f>
        <v>8</v>
      </c>
      <c r="AU151" s="1">
        <f t="shared" si="156"/>
        <v>1.4999999999999999E-7</v>
      </c>
      <c r="AV151" s="1">
        <f t="shared" ca="1" si="157"/>
        <v>0.17180815000000002</v>
      </c>
      <c r="AW151" s="1" t="str">
        <f t="shared" si="129"/>
        <v/>
      </c>
      <c r="AX151" s="1" t="str">
        <f t="shared" si="158"/>
        <v/>
      </c>
      <c r="AY151" s="8">
        <f t="shared" ca="1" si="159"/>
        <v>0.17180815000000002</v>
      </c>
      <c r="AZ151" s="1" cm="1">
        <f t="array" aca="1" ref="AZ151" ca="1">IF($B151="","",SUMPRODUCT(--($B$2:$B$313=B151),--(AY151&gt;$AY$2:$AY$313))+1)</f>
        <v>17</v>
      </c>
      <c r="BA151" s="1" t="str">
        <f t="shared" si="160"/>
        <v>K2024GP09_6_1</v>
      </c>
      <c r="BB151" s="1" t="str">
        <f t="shared" si="161"/>
        <v>K2024GP09_6_2</v>
      </c>
      <c r="BC151" s="1">
        <f t="shared" si="162"/>
        <v>0</v>
      </c>
      <c r="BD151" s="1">
        <f t="shared" si="163"/>
        <v>0</v>
      </c>
      <c r="BE151" s="1">
        <f t="shared" si="164"/>
        <v>1</v>
      </c>
      <c r="BF151" s="1">
        <f t="shared" si="165"/>
        <v>178</v>
      </c>
      <c r="BG151" s="1">
        <f t="shared" si="166"/>
        <v>100</v>
      </c>
      <c r="BH151" s="1">
        <f t="shared" si="167"/>
        <v>2</v>
      </c>
      <c r="BI151" s="1">
        <f t="shared" si="168"/>
        <v>11</v>
      </c>
      <c r="BJ151" s="1">
        <f t="shared" si="169"/>
        <v>2.1100000000000001E-2</v>
      </c>
      <c r="BK151" s="1">
        <f t="shared" si="170"/>
        <v>0</v>
      </c>
      <c r="BL151" s="1">
        <f t="shared" si="171"/>
        <v>9.8999999999999994E-5</v>
      </c>
      <c r="BM151" s="1">
        <f t="shared" si="172"/>
        <v>2.1198999999999999E-2</v>
      </c>
      <c r="BN151" s="1">
        <f t="shared" si="173"/>
        <v>0</v>
      </c>
      <c r="BO151" s="1">
        <f t="shared" si="130"/>
        <v>2</v>
      </c>
      <c r="BP151" s="1">
        <f t="shared" si="131"/>
        <v>0</v>
      </c>
      <c r="BQ151" s="1" cm="1">
        <f t="array" ref="BQ151">IF(I151="","",IF(BP151=1,"",IF(L151=0,"",IF(B151=1,"",_xlfn.XLOOKUP(1,($I$2:$I$313=$I151)*($B$2:$B$313=($B151-1)),$BO$2:$BO$313)))))</f>
        <v>13</v>
      </c>
      <c r="BR151" s="1">
        <f>IF(I151="","",IF($B151=1,_xlfn.MINIFS($BO$2:$BO$313,$B$2:$B$313,$B151),_xlfn.MINIFS(BQ$2:$BQ$313,$B$2:$B$313,$B151)))</f>
        <v>1</v>
      </c>
      <c r="BS151" s="1">
        <f t="shared" si="174"/>
        <v>2</v>
      </c>
      <c r="BT151" s="1" t="str" cm="1">
        <f t="array" ref="BT151">IF($I151="","",IF($B151=1,_xlfn.XLOOKUP(1,($B$2:$B$313=$B151)*($BO$2:$BO$313=BR151),Data!$I$2:$I$313,,0),_xlfn.XLOOKUP(1,($B$2:$B$313=$B151)*($BQ$2:$BQ$313=$BR151),$I$2:$I$313,,0)))</f>
        <v>Mika Sola</v>
      </c>
      <c r="BU151" s="1" t="str" cm="1">
        <f t="array" ref="BU151">IF(I151="","",IF($B151=1,_xlfn.XLOOKUP(1,($B$2:$B$313=$B151)*($BO$2:$BO$313=$BS151),$I$2:$I$313,,0),_xlfn.XLOOKUP(1,($B$2:$B$313=$B151)*($BQ$2:$BQ$313=$BS151),$I$2:$I$313,,0)))</f>
        <v>Miika Nordblad</v>
      </c>
      <c r="BV151" s="1" t="str" cm="1">
        <f t="array" ref="BV151">IF($I151="","",IF($B151=1,"",IF($B151=2,_xlfn.XLOOKUP(1,($B$2:$B$313=1)*($BO$2:$BO$313=1),$I$2:$I$313,,0),_xlfn.XLOOKUP($B151-1,$B$2:$B$313,$CH$2:$CH$313,,0))))</f>
        <v>Jami Kallio</v>
      </c>
      <c r="BW151" s="1" t="str" cm="1">
        <f t="array" ref="BW151">IF($I151="","",IF($B151=1,"",IF(_xlfn.XLOOKUP(1,($B$2:$B$313=$B151)*($I$2:$I$313=$BV151),$BQ$2:$BQ$313,,0)="","NOK","OK")))</f>
        <v>OK</v>
      </c>
      <c r="BX151" s="1" t="str">
        <f t="shared" si="175"/>
        <v>Jami Kallio</v>
      </c>
      <c r="BY151" s="1" t="str">
        <f t="shared" si="176"/>
        <v>Mika Sola</v>
      </c>
      <c r="BZ151" s="1">
        <f t="shared" si="177"/>
        <v>195</v>
      </c>
      <c r="CA151" s="1">
        <f t="shared" si="178"/>
        <v>112</v>
      </c>
      <c r="CB151" s="1">
        <f t="shared" si="179"/>
        <v>9.8999999999999994E-5</v>
      </c>
      <c r="CC151" s="1">
        <f t="shared" si="180"/>
        <v>123</v>
      </c>
      <c r="CD151" s="1">
        <f t="shared" si="181"/>
        <v>90</v>
      </c>
      <c r="CE151" s="1">
        <f t="shared" si="182"/>
        <v>9.8999999999999994E-5</v>
      </c>
      <c r="CF151" s="1" t="str">
        <f t="shared" si="183"/>
        <v>Jami Kallio (P)</v>
      </c>
      <c r="CG151" s="1" t="str">
        <f t="shared" si="184"/>
        <v>Mika Sola (1)</v>
      </c>
      <c r="CH151" s="1" t="str">
        <f t="shared" si="185"/>
        <v>Jami Kallio</v>
      </c>
      <c r="CI151" s="1">
        <f t="shared" si="186"/>
        <v>0</v>
      </c>
      <c r="CJ151" s="1" t="str">
        <f ca="1">IF(B151="","",IF(SUM(AI151:AK151)&gt;0,"+SP","")&amp;IF(CI151&gt;0,"+KK","")&amp;IF(AB151&gt;0,"+KGP1","")&amp;IF(AC151&gt;0,"+KGP2","")&amp;IF(AG151&lt;0,"-KGP1","")&amp;IF(AH151&lt;0,"-KGP2",""))</f>
        <v>+SP</v>
      </c>
    </row>
    <row r="152" spans="1:88" x14ac:dyDescent="0.25">
      <c r="A152" s="1">
        <f>IFERROR(IF(ROW(A151)=1,1,IF(1+A151&lt;=$CP$1*$CP$2,1+A151,"")),"")</f>
        <v>151</v>
      </c>
      <c r="B152" s="1">
        <f>IF($I152="","",IF(ROW(B151)=1,1,ROUNDUP(A152/$CP$2,0)))</f>
        <v>9</v>
      </c>
      <c r="C152" s="4">
        <f t="shared" si="132"/>
        <v>45711</v>
      </c>
      <c r="D152" s="4" t="str">
        <f t="shared" si="126"/>
        <v>Raision keilahalli</v>
      </c>
      <c r="E152" s="1">
        <f>IF($B152="","",COUNTIF($B$2:B152,B152))</f>
        <v>7</v>
      </c>
      <c r="F152" s="1" t="str">
        <f t="shared" si="127"/>
        <v>K2024GP09</v>
      </c>
      <c r="G152" s="1" t="str">
        <f t="shared" si="133"/>
        <v>K2024GP09_7</v>
      </c>
      <c r="H152" s="1">
        <f t="shared" si="134"/>
        <v>1</v>
      </c>
      <c r="I152" s="3" t="s">
        <v>128</v>
      </c>
      <c r="J152" s="3">
        <v>148</v>
      </c>
      <c r="K152" s="3">
        <v>124</v>
      </c>
      <c r="L152" s="1">
        <f t="shared" si="135"/>
        <v>272</v>
      </c>
      <c r="M152" s="1">
        <f t="shared" si="136"/>
        <v>1</v>
      </c>
      <c r="N152" s="1">
        <f t="shared" si="137"/>
        <v>7</v>
      </c>
      <c r="O152" s="1">
        <f t="shared" si="138"/>
        <v>272</v>
      </c>
      <c r="P152" s="1">
        <f t="shared" si="139"/>
        <v>35</v>
      </c>
      <c r="Q152" s="1">
        <f t="array" ref="Q152">IF($B152="","",IF(MAX(IF(B152=$B$2:$B$313,$L$2:$L$313))-L152=0,"",MAX(IF(B152=$B$2:$B$313,$L$2:$L$313))-L152))</f>
        <v>35</v>
      </c>
      <c r="R152" s="1">
        <f t="array" ref="R152">IF($B152="","",SUMPRODUCT(--($B$2:$B$313=B152),--(L152&lt;$L$2:$L$313))+1)</f>
        <v>7</v>
      </c>
      <c r="S152" s="1">
        <f t="shared" si="140"/>
        <v>2</v>
      </c>
      <c r="T152" s="1" cm="1">
        <f t="array" ref="T152">IF($B152="","",IF(M152=0,"",SUMPRODUCT(--($B$2:$B$313=B152),--(J152&lt;$J$2:$J$313))+1))</f>
        <v>4</v>
      </c>
      <c r="U152" s="1">
        <f t="shared" si="141"/>
        <v>3</v>
      </c>
      <c r="V152" s="1" t="str">
        <f t="shared" si="142"/>
        <v>0907</v>
      </c>
      <c r="W152" s="1">
        <f t="shared" si="143"/>
        <v>1</v>
      </c>
      <c r="X152" s="1">
        <f t="shared" si="128"/>
        <v>0</v>
      </c>
      <c r="Y152" s="1">
        <f>IF($B152="","",MAX(_xlfn.MAXIFS($J$2:J152,$I$2:I152,$I152),_xlfn.MAXIFS($K$2:K152,$I$2:I152,$I152)))</f>
        <v>164</v>
      </c>
      <c r="Z152" s="1">
        <f t="shared" si="144"/>
        <v>195</v>
      </c>
      <c r="AA152" s="1">
        <f t="shared" si="145"/>
        <v>0</v>
      </c>
      <c r="AB152" s="1">
        <f t="shared" si="146"/>
        <v>0</v>
      </c>
      <c r="AC152" s="1">
        <f t="shared" si="147"/>
        <v>0</v>
      </c>
      <c r="AD152" s="1">
        <f>IF($B152="","",MIN(_xlfn.MINIFS($J$2:J152,$I$2:I152,$I152),_xlfn.MINIFS($K$2:K152,$I$2:I152,$I152)))</f>
        <v>92</v>
      </c>
      <c r="AE152" s="1">
        <f t="shared" si="148"/>
        <v>90</v>
      </c>
      <c r="AF152" s="1">
        <f t="shared" si="149"/>
        <v>0</v>
      </c>
      <c r="AG152" s="1">
        <f t="shared" si="150"/>
        <v>0</v>
      </c>
      <c r="AH152" s="1">
        <f t="shared" si="151"/>
        <v>0</v>
      </c>
      <c r="AI152" s="1">
        <f ca="1">IF($B152="","",IF($K152="",0,OFFSET($CO$17,R152,W152)))</f>
        <v>4</v>
      </c>
      <c r="AJ152" s="1">
        <f t="shared" ca="1" si="152"/>
        <v>0</v>
      </c>
      <c r="AK152" s="1">
        <f ca="1">IF(AJ152="","",IF(AJ152=0,0,IF(W152=1,0,SUM(OFFSET($CO$17,N152,1):OFFSET($CO$17,N152+W152-2,1))/W152)))</f>
        <v>0</v>
      </c>
      <c r="AL152" s="1">
        <f t="shared" ca="1" si="153"/>
        <v>4</v>
      </c>
      <c r="AM152" s="1">
        <f ca="1">IF($B152="","",SUMIFS($AL$2:AL152,$I$2:I152,$I152))</f>
        <v>24</v>
      </c>
      <c r="AN152" s="1">
        <f t="shared" si="154"/>
        <v>7.0001509999999998</v>
      </c>
      <c r="AO152" s="1">
        <f>IFERROR(IF($B152="","",AVERAGEIFS($L$2:L152,$I$2:I152,I152,$L$2:L152,"&lt;&gt;0")),0)</f>
        <v>248.14285714285714</v>
      </c>
      <c r="AP152" s="1">
        <f t="shared" si="155"/>
        <v>124.07142857142857</v>
      </c>
      <c r="AQ152" s="1">
        <f>IF($B152="","",COUNTIFS($R$2:R152,1,$I$2:I152,$I152))</f>
        <v>1</v>
      </c>
      <c r="AR152" s="1">
        <f t="array" aca="1" ref="AR152" ca="1">IF($B152="","",SUMPRODUCT(--($B$2:$B$313=B152),--(AM152&lt;$AM$2:$AM$313))+1)</f>
        <v>9</v>
      </c>
      <c r="AS152" s="1">
        <f t="array" ref="AS152">IF($B152="","",SUMPRODUCT(--($B$2:$B$313=B152),--(AP152&lt;$AP$2:$AP$313))+1)</f>
        <v>13</v>
      </c>
      <c r="AT152" s="1">
        <f t="array" ref="AT152">IF($B152="","",SUMPRODUCT(--($B$2:$B$313=B152),--(AQ152&lt;$AQ$2:$AQ$313))+1)</f>
        <v>4</v>
      </c>
      <c r="AU152" s="1">
        <f t="shared" si="156"/>
        <v>1.5099999999999999E-7</v>
      </c>
      <c r="AV152" s="1">
        <f t="shared" ca="1" si="157"/>
        <v>9.1304151E-2</v>
      </c>
      <c r="AW152" s="1" t="str">
        <f t="shared" si="129"/>
        <v/>
      </c>
      <c r="AX152" s="1" t="str">
        <f t="shared" si="158"/>
        <v/>
      </c>
      <c r="AY152" s="8">
        <f t="shared" ca="1" si="159"/>
        <v>9.1304151E-2</v>
      </c>
      <c r="AZ152" s="1" cm="1">
        <f t="array" aca="1" ref="AZ152" ca="1">IF($B152="","",SUMPRODUCT(--($B$2:$B$313=B152),--(AY152&gt;$AY$2:$AY$313))+1)</f>
        <v>9</v>
      </c>
      <c r="BA152" s="1" t="str">
        <f t="shared" si="160"/>
        <v>K2024GP09_7_1</v>
      </c>
      <c r="BB152" s="1" t="str">
        <f t="shared" si="161"/>
        <v>K2024GP09_7_2</v>
      </c>
      <c r="BC152" s="1">
        <f t="shared" si="162"/>
        <v>0</v>
      </c>
      <c r="BD152" s="1">
        <f t="shared" si="163"/>
        <v>0</v>
      </c>
      <c r="BE152" s="1">
        <f t="shared" si="164"/>
        <v>1</v>
      </c>
      <c r="BF152" s="1">
        <f t="shared" si="165"/>
        <v>148</v>
      </c>
      <c r="BG152" s="1">
        <f t="shared" si="166"/>
        <v>124</v>
      </c>
      <c r="BH152" s="1">
        <f t="shared" si="167"/>
        <v>7</v>
      </c>
      <c r="BI152" s="1">
        <f t="shared" si="168"/>
        <v>5</v>
      </c>
      <c r="BJ152" s="1">
        <f t="shared" si="169"/>
        <v>7.0500000000000007E-2</v>
      </c>
      <c r="BK152" s="1">
        <f t="shared" si="170"/>
        <v>0</v>
      </c>
      <c r="BL152" s="1">
        <f t="shared" si="171"/>
        <v>9.8999999999999994E-5</v>
      </c>
      <c r="BM152" s="1">
        <f t="shared" si="172"/>
        <v>7.0599000000000009E-2</v>
      </c>
      <c r="BN152" s="1">
        <f t="shared" si="173"/>
        <v>0</v>
      </c>
      <c r="BO152" s="1">
        <f t="shared" si="130"/>
        <v>7</v>
      </c>
      <c r="BP152" s="1">
        <f t="shared" si="131"/>
        <v>0</v>
      </c>
      <c r="BQ152" s="1" cm="1">
        <f t="array" ref="BQ152">IF(I152="","",IF(BP152=1,"",IF(L152=0,"",IF(B152=1,"",_xlfn.XLOOKUP(1,($I$2:$I$313=$I152)*($B$2:$B$313=($B152-1)),$BO$2:$BO$313)))))</f>
        <v>14</v>
      </c>
      <c r="BR152" s="1">
        <f>IF(I152="","",IF($B152=1,_xlfn.MINIFS($BO$2:$BO$313,$B$2:$B$313,$B152),_xlfn.MINIFS(BQ$2:$BQ$313,$B$2:$B$313,$B152)))</f>
        <v>1</v>
      </c>
      <c r="BS152" s="1">
        <f t="shared" si="174"/>
        <v>2</v>
      </c>
      <c r="BT152" s="1" t="str" cm="1">
        <f t="array" ref="BT152">IF($I152="","",IF($B152=1,_xlfn.XLOOKUP(1,($B$2:$B$313=$B152)*($BO$2:$BO$313=BR152),Data!$I$2:$I$313,,0),_xlfn.XLOOKUP(1,($B$2:$B$313=$B152)*($BQ$2:$BQ$313=$BR152),$I$2:$I$313,,0)))</f>
        <v>Mika Sola</v>
      </c>
      <c r="BU152" s="1" t="str" cm="1">
        <f t="array" ref="BU152">IF(I152="","",IF($B152=1,_xlfn.XLOOKUP(1,($B$2:$B$313=$B152)*($BO$2:$BO$313=$BS152),$I$2:$I$313,,0),_xlfn.XLOOKUP(1,($B$2:$B$313=$B152)*($BQ$2:$BQ$313=$BS152),$I$2:$I$313,,0)))</f>
        <v>Miika Nordblad</v>
      </c>
      <c r="BV152" s="1" t="str" cm="1">
        <f t="array" ref="BV152">IF($I152="","",IF($B152=1,"",IF($B152=2,_xlfn.XLOOKUP(1,($B$2:$B$313=1)*($BO$2:$BO$313=1),$I$2:$I$313,,0),_xlfn.XLOOKUP($B152-1,$B$2:$B$313,$CH$2:$CH$313,,0))))</f>
        <v>Jami Kallio</v>
      </c>
      <c r="BW152" s="1" t="str" cm="1">
        <f t="array" ref="BW152">IF($I152="","",IF($B152=1,"",IF(_xlfn.XLOOKUP(1,($B$2:$B$313=$B152)*($I$2:$I$313=$BV152),$BQ$2:$BQ$313,,0)="","NOK","OK")))</f>
        <v>OK</v>
      </c>
      <c r="BX152" s="1" t="str">
        <f t="shared" si="175"/>
        <v>Jami Kallio</v>
      </c>
      <c r="BY152" s="1" t="str">
        <f t="shared" si="176"/>
        <v>Mika Sola</v>
      </c>
      <c r="BZ152" s="1">
        <f t="shared" si="177"/>
        <v>195</v>
      </c>
      <c r="CA152" s="1">
        <f t="shared" si="178"/>
        <v>112</v>
      </c>
      <c r="CB152" s="1">
        <f t="shared" si="179"/>
        <v>9.8999999999999994E-5</v>
      </c>
      <c r="CC152" s="1">
        <f t="shared" si="180"/>
        <v>123</v>
      </c>
      <c r="CD152" s="1">
        <f t="shared" si="181"/>
        <v>90</v>
      </c>
      <c r="CE152" s="1">
        <f t="shared" si="182"/>
        <v>9.8999999999999994E-5</v>
      </c>
      <c r="CF152" s="1" t="str">
        <f t="shared" si="183"/>
        <v>Jami Kallio (P)</v>
      </c>
      <c r="CG152" s="1" t="str">
        <f t="shared" si="184"/>
        <v>Mika Sola (1)</v>
      </c>
      <c r="CH152" s="1" t="str">
        <f t="shared" si="185"/>
        <v>Jami Kallio</v>
      </c>
      <c r="CI152" s="1">
        <f t="shared" si="186"/>
        <v>0</v>
      </c>
      <c r="CJ152" s="1" t="str">
        <f ca="1">IF(B152="","",IF(SUM(AI152:AK152)&gt;0,"+SP","")&amp;IF(CI152&gt;0,"+KK","")&amp;IF(AB152&gt;0,"+KGP1","")&amp;IF(AC152&gt;0,"+KGP2","")&amp;IF(AG152&lt;0,"-KGP1","")&amp;IF(AH152&lt;0,"-KGP2",""))</f>
        <v>+SP</v>
      </c>
    </row>
    <row r="153" spans="1:88" x14ac:dyDescent="0.25">
      <c r="A153" s="1">
        <f>IFERROR(IF(ROW(A152)=1,1,IF(1+A152&lt;=$CP$1*$CP$2,1+A152,"")),"")</f>
        <v>152</v>
      </c>
      <c r="B153" s="1">
        <f>IF($I153="","",IF(ROW(B152)=1,1,ROUNDUP(A153/$CP$2,0)))</f>
        <v>9</v>
      </c>
      <c r="C153" s="4">
        <f t="shared" si="132"/>
        <v>45711</v>
      </c>
      <c r="D153" s="4" t="str">
        <f t="shared" si="126"/>
        <v>Raision keilahalli</v>
      </c>
      <c r="E153" s="1">
        <f>IF($B153="","",COUNTIF($B$2:B153,B153))</f>
        <v>8</v>
      </c>
      <c r="F153" s="1" t="str">
        <f t="shared" si="127"/>
        <v>K2024GP09</v>
      </c>
      <c r="G153" s="1" t="str">
        <f t="shared" si="133"/>
        <v>K2024GP09_8</v>
      </c>
      <c r="H153" s="1">
        <f t="shared" si="134"/>
        <v>1</v>
      </c>
      <c r="I153" s="3" t="s">
        <v>137</v>
      </c>
      <c r="J153" s="3">
        <v>140</v>
      </c>
      <c r="K153" s="3">
        <v>131</v>
      </c>
      <c r="L153" s="1">
        <f t="shared" si="135"/>
        <v>271</v>
      </c>
      <c r="M153" s="1">
        <f t="shared" si="136"/>
        <v>1</v>
      </c>
      <c r="N153" s="1">
        <f t="shared" si="137"/>
        <v>8</v>
      </c>
      <c r="O153" s="1">
        <f t="shared" si="138"/>
        <v>271</v>
      </c>
      <c r="P153" s="1">
        <f t="shared" si="139"/>
        <v>36</v>
      </c>
      <c r="Q153" s="1">
        <f t="array" ref="Q153">IF($B153="","",IF(MAX(IF(B153=$B$2:$B$313,$L$2:$L$313))-L153=0,"",MAX(IF(B153=$B$2:$B$313,$L$2:$L$313))-L153))</f>
        <v>36</v>
      </c>
      <c r="R153" s="1">
        <f t="array" ref="R153">IF($B153="","",SUMPRODUCT(--($B$2:$B$313=B153),--(L153&lt;$L$2:$L$313))+1)</f>
        <v>8</v>
      </c>
      <c r="S153" s="1">
        <f t="shared" si="140"/>
        <v>2</v>
      </c>
      <c r="T153" s="1" cm="1">
        <f t="array" ref="T153">IF($B153="","",IF(M153=0,"",SUMPRODUCT(--($B$2:$B$313=B153),--(J153&lt;$J$2:$J$313))+1))</f>
        <v>6</v>
      </c>
      <c r="U153" s="1">
        <f t="shared" si="141"/>
        <v>2</v>
      </c>
      <c r="V153" s="1" t="str">
        <f t="shared" si="142"/>
        <v>0908</v>
      </c>
      <c r="W153" s="1">
        <f t="shared" si="143"/>
        <v>1</v>
      </c>
      <c r="X153" s="1">
        <f t="shared" si="128"/>
        <v>0</v>
      </c>
      <c r="Y153" s="1">
        <f>IF($B153="","",MAX(_xlfn.MAXIFS($J$2:J153,$I$2:I153,$I153),_xlfn.MAXIFS($K$2:K153,$I$2:I153,$I153)))</f>
        <v>175</v>
      </c>
      <c r="Z153" s="1">
        <f t="shared" si="144"/>
        <v>195</v>
      </c>
      <c r="AA153" s="1">
        <f t="shared" si="145"/>
        <v>0</v>
      </c>
      <c r="AB153" s="1">
        <f t="shared" si="146"/>
        <v>0</v>
      </c>
      <c r="AC153" s="1">
        <f t="shared" si="147"/>
        <v>0</v>
      </c>
      <c r="AD153" s="1">
        <f>IF($B153="","",MIN(_xlfn.MINIFS($J$2:J153,$I$2:I153,$I153),_xlfn.MINIFS($K$2:K153,$I$2:I153,$I153)))</f>
        <v>111</v>
      </c>
      <c r="AE153" s="1">
        <f t="shared" si="148"/>
        <v>90</v>
      </c>
      <c r="AF153" s="1">
        <f t="shared" si="149"/>
        <v>0</v>
      </c>
      <c r="AG153" s="1">
        <f t="shared" si="150"/>
        <v>0</v>
      </c>
      <c r="AH153" s="1">
        <f t="shared" si="151"/>
        <v>0</v>
      </c>
      <c r="AI153" s="1">
        <f ca="1">IF($B153="","",IF($K153="",0,OFFSET($CO$17,R153,W153)))</f>
        <v>3</v>
      </c>
      <c r="AJ153" s="1">
        <f t="shared" ca="1" si="152"/>
        <v>0</v>
      </c>
      <c r="AK153" s="1">
        <f ca="1">IF(AJ153="","",IF(AJ153=0,0,IF(W153=1,0,SUM(OFFSET($CO$17,N153,1):OFFSET($CO$17,N153+W153-2,1))/W153)))</f>
        <v>0</v>
      </c>
      <c r="AL153" s="1">
        <f t="shared" ca="1" si="153"/>
        <v>3</v>
      </c>
      <c r="AM153" s="1">
        <f ca="1">IF($B153="","",SUMIFS($AL$2:AL153,$I$2:I153,$I153))</f>
        <v>22</v>
      </c>
      <c r="AN153" s="1">
        <f t="shared" si="154"/>
        <v>8.0001519999999999</v>
      </c>
      <c r="AO153" s="1">
        <f>IFERROR(IF($B153="","",AVERAGEIFS($L$2:L153,$I$2:I153,I153,$L$2:L153,"&lt;&gt;0")),0)</f>
        <v>278.33333333333331</v>
      </c>
      <c r="AP153" s="1">
        <f t="shared" si="155"/>
        <v>139.16666666666666</v>
      </c>
      <c r="AQ153" s="1">
        <f>IF($B153="","",COUNTIFS($R$2:R153,1,$I$2:I153,$I153))</f>
        <v>0</v>
      </c>
      <c r="AR153" s="1">
        <f t="array" aca="1" ref="AR153" ca="1">IF($B153="","",SUMPRODUCT(--($B$2:$B$313=B153),--(AM153&lt;$AM$2:$AM$313))+1)</f>
        <v>11</v>
      </c>
      <c r="AS153" s="1">
        <f t="array" ref="AS153">IF($B153="","",SUMPRODUCT(--($B$2:$B$313=B153),--(AP153&lt;$AP$2:$AP$313))+1)</f>
        <v>8</v>
      </c>
      <c r="AT153" s="1">
        <f t="array" ref="AT153">IF($B153="","",SUMPRODUCT(--($B$2:$B$313=B153),--(AQ153&lt;$AQ$2:$AQ$313))+1)</f>
        <v>8</v>
      </c>
      <c r="AU153" s="1">
        <f t="shared" si="156"/>
        <v>1.5200000000000001E-7</v>
      </c>
      <c r="AV153" s="1">
        <f t="shared" ca="1" si="157"/>
        <v>0.11080815199999999</v>
      </c>
      <c r="AW153" s="1" t="str">
        <f t="shared" si="129"/>
        <v/>
      </c>
      <c r="AX153" s="1" t="str">
        <f t="shared" si="158"/>
        <v/>
      </c>
      <c r="AY153" s="8">
        <f t="shared" ca="1" si="159"/>
        <v>0.11080815199999999</v>
      </c>
      <c r="AZ153" s="1" cm="1">
        <f t="array" aca="1" ref="AZ153" ca="1">IF($B153="","",SUMPRODUCT(--($B$2:$B$313=B153),--(AY153&gt;$AY$2:$AY$313))+1)</f>
        <v>11</v>
      </c>
      <c r="BA153" s="1" t="str">
        <f t="shared" si="160"/>
        <v>K2024GP09_8_1</v>
      </c>
      <c r="BB153" s="1" t="str">
        <f t="shared" si="161"/>
        <v>K2024GP09_8_2</v>
      </c>
      <c r="BC153" s="1">
        <f t="shared" si="162"/>
        <v>0</v>
      </c>
      <c r="BD153" s="1">
        <f t="shared" si="163"/>
        <v>0</v>
      </c>
      <c r="BE153" s="1">
        <f t="shared" si="164"/>
        <v>1</v>
      </c>
      <c r="BF153" s="1">
        <f t="shared" si="165"/>
        <v>140</v>
      </c>
      <c r="BG153" s="1">
        <f t="shared" si="166"/>
        <v>131</v>
      </c>
      <c r="BH153" s="1">
        <f t="shared" si="167"/>
        <v>9</v>
      </c>
      <c r="BI153" s="1">
        <f t="shared" si="168"/>
        <v>4</v>
      </c>
      <c r="BJ153" s="1">
        <f t="shared" si="169"/>
        <v>9.0399999999999994E-2</v>
      </c>
      <c r="BK153" s="1">
        <f t="shared" si="170"/>
        <v>0</v>
      </c>
      <c r="BL153" s="1">
        <f t="shared" si="171"/>
        <v>9.8999999999999994E-5</v>
      </c>
      <c r="BM153" s="1">
        <f t="shared" si="172"/>
        <v>9.0498999999999996E-2</v>
      </c>
      <c r="BN153" s="1">
        <f t="shared" si="173"/>
        <v>0</v>
      </c>
      <c r="BO153" s="1">
        <f t="shared" si="130"/>
        <v>9</v>
      </c>
      <c r="BP153" s="1">
        <f t="shared" si="131"/>
        <v>0</v>
      </c>
      <c r="BQ153" s="1" cm="1">
        <f t="array" ref="BQ153">IF(I153="","",IF(BP153=1,"",IF(L153=0,"",IF(B153=1,"",_xlfn.XLOOKUP(1,($I$2:$I$313=$I153)*($B$2:$B$313=($B153-1)),$BO$2:$BO$313)))))</f>
        <v>15</v>
      </c>
      <c r="BR153" s="1">
        <f>IF(I153="","",IF($B153=1,_xlfn.MINIFS($BO$2:$BO$313,$B$2:$B$313,$B153),_xlfn.MINIFS(BQ$2:$BQ$313,$B$2:$B$313,$B153)))</f>
        <v>1</v>
      </c>
      <c r="BS153" s="1">
        <f t="shared" si="174"/>
        <v>2</v>
      </c>
      <c r="BT153" s="1" t="str" cm="1">
        <f t="array" ref="BT153">IF($I153="","",IF($B153=1,_xlfn.XLOOKUP(1,($B$2:$B$313=$B153)*($BO$2:$BO$313=BR153),Data!$I$2:$I$313,,0),_xlfn.XLOOKUP(1,($B$2:$B$313=$B153)*($BQ$2:$BQ$313=$BR153),$I$2:$I$313,,0)))</f>
        <v>Mika Sola</v>
      </c>
      <c r="BU153" s="1" t="str" cm="1">
        <f t="array" ref="BU153">IF(I153="","",IF($B153=1,_xlfn.XLOOKUP(1,($B$2:$B$313=$B153)*($BO$2:$BO$313=$BS153),$I$2:$I$313,,0),_xlfn.XLOOKUP(1,($B$2:$B$313=$B153)*($BQ$2:$BQ$313=$BS153),$I$2:$I$313,,0)))</f>
        <v>Miika Nordblad</v>
      </c>
      <c r="BV153" s="1" t="str" cm="1">
        <f t="array" ref="BV153">IF($I153="","",IF($B153=1,"",IF($B153=2,_xlfn.XLOOKUP(1,($B$2:$B$313=1)*($BO$2:$BO$313=1),$I$2:$I$313,,0),_xlfn.XLOOKUP($B153-1,$B$2:$B$313,$CH$2:$CH$313,,0))))</f>
        <v>Jami Kallio</v>
      </c>
      <c r="BW153" s="1" t="str" cm="1">
        <f t="array" ref="BW153">IF($I153="","",IF($B153=1,"",IF(_xlfn.XLOOKUP(1,($B$2:$B$313=$B153)*($I$2:$I$313=$BV153),$BQ$2:$BQ$313,,0)="","NOK","OK")))</f>
        <v>OK</v>
      </c>
      <c r="BX153" s="1" t="str">
        <f t="shared" si="175"/>
        <v>Jami Kallio</v>
      </c>
      <c r="BY153" s="1" t="str">
        <f t="shared" si="176"/>
        <v>Mika Sola</v>
      </c>
      <c r="BZ153" s="1">
        <f t="shared" si="177"/>
        <v>195</v>
      </c>
      <c r="CA153" s="1">
        <f t="shared" si="178"/>
        <v>112</v>
      </c>
      <c r="CB153" s="1">
        <f t="shared" si="179"/>
        <v>9.8999999999999994E-5</v>
      </c>
      <c r="CC153" s="1">
        <f t="shared" si="180"/>
        <v>123</v>
      </c>
      <c r="CD153" s="1">
        <f t="shared" si="181"/>
        <v>90</v>
      </c>
      <c r="CE153" s="1">
        <f t="shared" si="182"/>
        <v>9.8999999999999994E-5</v>
      </c>
      <c r="CF153" s="1" t="str">
        <f t="shared" si="183"/>
        <v>Jami Kallio (P)</v>
      </c>
      <c r="CG153" s="1" t="str">
        <f t="shared" si="184"/>
        <v>Mika Sola (1)</v>
      </c>
      <c r="CH153" s="1" t="str">
        <f t="shared" si="185"/>
        <v>Jami Kallio</v>
      </c>
      <c r="CI153" s="1">
        <f t="shared" si="186"/>
        <v>0</v>
      </c>
      <c r="CJ153" s="1" t="str">
        <f ca="1">IF(B153="","",IF(SUM(AI153:AK153)&gt;0,"+SP","")&amp;IF(CI153&gt;0,"+KK","")&amp;IF(AB153&gt;0,"+KGP1","")&amp;IF(AC153&gt;0,"+KGP2","")&amp;IF(AG153&lt;0,"-KGP1","")&amp;IF(AH153&lt;0,"-KGP2",""))</f>
        <v>+SP</v>
      </c>
    </row>
    <row r="154" spans="1:88" x14ac:dyDescent="0.25">
      <c r="A154" s="1">
        <f>IFERROR(IF(ROW(A153)=1,1,IF(1+A153&lt;=$CP$1*$CP$2,1+A153,"")),"")</f>
        <v>153</v>
      </c>
      <c r="B154" s="1">
        <f>IF($I154="","",IF(ROW(B153)=1,1,ROUNDUP(A154/$CP$2,0)))</f>
        <v>9</v>
      </c>
      <c r="C154" s="4">
        <f t="shared" si="132"/>
        <v>45711</v>
      </c>
      <c r="D154" s="4" t="str">
        <f t="shared" si="126"/>
        <v>Raision keilahalli</v>
      </c>
      <c r="E154" s="1">
        <f>IF($B154="","",COUNTIF($B$2:B154,B154))</f>
        <v>9</v>
      </c>
      <c r="F154" s="1" t="str">
        <f t="shared" si="127"/>
        <v>K2024GP09</v>
      </c>
      <c r="G154" s="1" t="str">
        <f t="shared" si="133"/>
        <v>K2024GP09_9</v>
      </c>
      <c r="H154" s="1">
        <f t="shared" si="134"/>
        <v>1</v>
      </c>
      <c r="I154" s="3" t="s">
        <v>117</v>
      </c>
      <c r="J154" s="3">
        <v>145</v>
      </c>
      <c r="K154" s="3">
        <v>118</v>
      </c>
      <c r="L154" s="1">
        <f t="shared" si="135"/>
        <v>263</v>
      </c>
      <c r="M154" s="1">
        <f t="shared" si="136"/>
        <v>1</v>
      </c>
      <c r="N154" s="1">
        <f t="shared" si="137"/>
        <v>9</v>
      </c>
      <c r="O154" s="1">
        <f t="shared" si="138"/>
        <v>263</v>
      </c>
      <c r="P154" s="1">
        <f t="shared" si="139"/>
        <v>44</v>
      </c>
      <c r="Q154" s="1">
        <f t="array" ref="Q154">IF($B154="","",IF(MAX(IF(B154=$B$2:$B$313,$L$2:$L$313))-L154=0,"",MAX(IF(B154=$B$2:$B$313,$L$2:$L$313))-L154))</f>
        <v>44</v>
      </c>
      <c r="R154" s="1">
        <f t="array" ref="R154">IF($B154="","",SUMPRODUCT(--($B$2:$B$313=B154),--(L154&lt;$L$2:$L$313))+1)</f>
        <v>9</v>
      </c>
      <c r="S154" s="1">
        <f t="shared" si="140"/>
        <v>2</v>
      </c>
      <c r="T154" s="1" cm="1">
        <f t="array" ref="T154">IF($B154="","",IF(M154=0,"",SUMPRODUCT(--($B$2:$B$313=B154),--(J154&lt;$J$2:$J$313))+1))</f>
        <v>5</v>
      </c>
      <c r="U154" s="1">
        <f t="shared" si="141"/>
        <v>4</v>
      </c>
      <c r="V154" s="1" t="str">
        <f t="shared" si="142"/>
        <v>0909</v>
      </c>
      <c r="W154" s="1">
        <f t="shared" si="143"/>
        <v>1</v>
      </c>
      <c r="X154" s="1">
        <f t="shared" si="128"/>
        <v>0</v>
      </c>
      <c r="Y154" s="1">
        <f>IF($B154="","",MAX(_xlfn.MAXIFS($J$2:J154,$I$2:I154,$I154),_xlfn.MAXIFS($K$2:K154,$I$2:I154,$I154)))</f>
        <v>177</v>
      </c>
      <c r="Z154" s="1">
        <f t="shared" si="144"/>
        <v>195</v>
      </c>
      <c r="AA154" s="1">
        <f t="shared" si="145"/>
        <v>0</v>
      </c>
      <c r="AB154" s="1">
        <f t="shared" si="146"/>
        <v>0</v>
      </c>
      <c r="AC154" s="1">
        <f t="shared" si="147"/>
        <v>0</v>
      </c>
      <c r="AD154" s="1">
        <f>IF($B154="","",MIN(_xlfn.MINIFS($J$2:J154,$I$2:I154,$I154),_xlfn.MINIFS($K$2:K154,$I$2:I154,$I154)))</f>
        <v>97</v>
      </c>
      <c r="AE154" s="1">
        <f t="shared" si="148"/>
        <v>90</v>
      </c>
      <c r="AF154" s="1">
        <f t="shared" si="149"/>
        <v>0</v>
      </c>
      <c r="AG154" s="1">
        <f t="shared" si="150"/>
        <v>0</v>
      </c>
      <c r="AH154" s="1">
        <f t="shared" si="151"/>
        <v>0</v>
      </c>
      <c r="AI154" s="1">
        <f ca="1">IF($B154="","",IF($K154="",0,OFFSET($CO$17,R154,W154)))</f>
        <v>2</v>
      </c>
      <c r="AJ154" s="1">
        <f t="shared" ca="1" si="152"/>
        <v>0</v>
      </c>
      <c r="AK154" s="1">
        <f ca="1">IF(AJ154="","",IF(AJ154=0,0,IF(W154=1,0,SUM(OFFSET($CO$17,N154,1):OFFSET($CO$17,N154+W154-2,1))/W154)))</f>
        <v>0</v>
      </c>
      <c r="AL154" s="1">
        <f t="shared" ca="1" si="153"/>
        <v>2</v>
      </c>
      <c r="AM154" s="1">
        <f ca="1">IF($B154="","",SUMIFS($AL$2:AL154,$I$2:I154,$I154))</f>
        <v>29</v>
      </c>
      <c r="AN154" s="1">
        <f t="shared" si="154"/>
        <v>9.0001529999999992</v>
      </c>
      <c r="AO154" s="1">
        <f>IFERROR(IF($B154="","",AVERAGEIFS($L$2:L154,$I$2:I154,I154,$L$2:L154,"&lt;&gt;0")),0)</f>
        <v>280.42857142857144</v>
      </c>
      <c r="AP154" s="1">
        <f t="shared" si="155"/>
        <v>140.21428571428572</v>
      </c>
      <c r="AQ154" s="1">
        <f>IF($B154="","",COUNTIFS($R$2:R154,1,$I$2:I154,$I154))</f>
        <v>1</v>
      </c>
      <c r="AR154" s="1">
        <f t="array" aca="1" ref="AR154" ca="1">IF($B154="","",SUMPRODUCT(--($B$2:$B$313=B154),--(AM154&lt;$AM$2:$AM$313))+1)</f>
        <v>8</v>
      </c>
      <c r="AS154" s="1">
        <f t="array" ref="AS154">IF($B154="","",SUMPRODUCT(--($B$2:$B$313=B154),--(AP154&lt;$AP$2:$AP$313))+1)</f>
        <v>6</v>
      </c>
      <c r="AT154" s="1">
        <f t="array" ref="AT154">IF($B154="","",SUMPRODUCT(--($B$2:$B$313=B154),--(AQ154&lt;$AQ$2:$AQ$313))+1)</f>
        <v>4</v>
      </c>
      <c r="AU154" s="1">
        <f t="shared" si="156"/>
        <v>1.5300000000000001E-7</v>
      </c>
      <c r="AV154" s="1">
        <f t="shared" ca="1" si="157"/>
        <v>8.0604153000000012E-2</v>
      </c>
      <c r="AW154" s="1" t="str">
        <f t="shared" si="129"/>
        <v/>
      </c>
      <c r="AX154" s="1" t="str">
        <f t="shared" si="158"/>
        <v/>
      </c>
      <c r="AY154" s="8">
        <f t="shared" ca="1" si="159"/>
        <v>8.0604153000000012E-2</v>
      </c>
      <c r="AZ154" s="1" cm="1">
        <f t="array" aca="1" ref="AZ154" ca="1">IF($B154="","",SUMPRODUCT(--($B$2:$B$313=B154),--(AY154&gt;$AY$2:$AY$313))+1)</f>
        <v>8</v>
      </c>
      <c r="BA154" s="1" t="str">
        <f t="shared" si="160"/>
        <v>K2024GP09_9_1</v>
      </c>
      <c r="BB154" s="1" t="str">
        <f t="shared" si="161"/>
        <v>K2024GP09_9_2</v>
      </c>
      <c r="BC154" s="1">
        <f t="shared" si="162"/>
        <v>0</v>
      </c>
      <c r="BD154" s="1">
        <f t="shared" si="163"/>
        <v>0</v>
      </c>
      <c r="BE154" s="1">
        <f t="shared" si="164"/>
        <v>1</v>
      </c>
      <c r="BF154" s="1">
        <f t="shared" si="165"/>
        <v>145</v>
      </c>
      <c r="BG154" s="1">
        <f t="shared" si="166"/>
        <v>118</v>
      </c>
      <c r="BH154" s="1">
        <f t="shared" si="167"/>
        <v>8</v>
      </c>
      <c r="BI154" s="1">
        <f t="shared" si="168"/>
        <v>8</v>
      </c>
      <c r="BJ154" s="1">
        <f t="shared" si="169"/>
        <v>8.0799999999999997E-2</v>
      </c>
      <c r="BK154" s="1">
        <f t="shared" si="170"/>
        <v>0</v>
      </c>
      <c r="BL154" s="1">
        <f t="shared" si="171"/>
        <v>9.8999999999999994E-5</v>
      </c>
      <c r="BM154" s="1">
        <f t="shared" si="172"/>
        <v>8.0898999999999999E-2</v>
      </c>
      <c r="BN154" s="1">
        <f t="shared" si="173"/>
        <v>0</v>
      </c>
      <c r="BO154" s="1">
        <f t="shared" si="130"/>
        <v>8</v>
      </c>
      <c r="BP154" s="1">
        <f t="shared" si="131"/>
        <v>0</v>
      </c>
      <c r="BQ154" s="1" cm="1">
        <f t="array" ref="BQ154">IF(I154="","",IF(BP154=1,"",IF(L154=0,"",IF(B154=1,"",_xlfn.XLOOKUP(1,($I$2:$I$313=$I154)*($B$2:$B$313=($B154-1)),$BO$2:$BO$313)))))</f>
        <v>10</v>
      </c>
      <c r="BR154" s="1">
        <f>IF(I154="","",IF($B154=1,_xlfn.MINIFS($BO$2:$BO$313,$B$2:$B$313,$B154),_xlfn.MINIFS(BQ$2:$BQ$313,$B$2:$B$313,$B154)))</f>
        <v>1</v>
      </c>
      <c r="BS154" s="1">
        <f t="shared" si="174"/>
        <v>2</v>
      </c>
      <c r="BT154" s="1" t="str" cm="1">
        <f t="array" ref="BT154">IF($I154="","",IF($B154=1,_xlfn.XLOOKUP(1,($B$2:$B$313=$B154)*($BO$2:$BO$313=BR154),Data!$I$2:$I$313,,0),_xlfn.XLOOKUP(1,($B$2:$B$313=$B154)*($BQ$2:$BQ$313=$BR154),$I$2:$I$313,,0)))</f>
        <v>Mika Sola</v>
      </c>
      <c r="BU154" s="1" t="str" cm="1">
        <f t="array" ref="BU154">IF(I154="","",IF($B154=1,_xlfn.XLOOKUP(1,($B$2:$B$313=$B154)*($BO$2:$BO$313=$BS154),$I$2:$I$313,,0),_xlfn.XLOOKUP(1,($B$2:$B$313=$B154)*($BQ$2:$BQ$313=$BS154),$I$2:$I$313,,0)))</f>
        <v>Miika Nordblad</v>
      </c>
      <c r="BV154" s="1" t="str" cm="1">
        <f t="array" ref="BV154">IF($I154="","",IF($B154=1,"",IF($B154=2,_xlfn.XLOOKUP(1,($B$2:$B$313=1)*($BO$2:$BO$313=1),$I$2:$I$313,,0),_xlfn.XLOOKUP($B154-1,$B$2:$B$313,$CH$2:$CH$313,,0))))</f>
        <v>Jami Kallio</v>
      </c>
      <c r="BW154" s="1" t="str" cm="1">
        <f t="array" ref="BW154">IF($I154="","",IF($B154=1,"",IF(_xlfn.XLOOKUP(1,($B$2:$B$313=$B154)*($I$2:$I$313=$BV154),$BQ$2:$BQ$313,,0)="","NOK","OK")))</f>
        <v>OK</v>
      </c>
      <c r="BX154" s="1" t="str">
        <f t="shared" si="175"/>
        <v>Jami Kallio</v>
      </c>
      <c r="BY154" s="1" t="str">
        <f t="shared" si="176"/>
        <v>Mika Sola</v>
      </c>
      <c r="BZ154" s="1">
        <f t="shared" si="177"/>
        <v>195</v>
      </c>
      <c r="CA154" s="1">
        <f t="shared" si="178"/>
        <v>112</v>
      </c>
      <c r="CB154" s="1">
        <f t="shared" si="179"/>
        <v>9.8999999999999994E-5</v>
      </c>
      <c r="CC154" s="1">
        <f t="shared" si="180"/>
        <v>123</v>
      </c>
      <c r="CD154" s="1">
        <f t="shared" si="181"/>
        <v>90</v>
      </c>
      <c r="CE154" s="1">
        <f t="shared" si="182"/>
        <v>9.8999999999999994E-5</v>
      </c>
      <c r="CF154" s="1" t="str">
        <f t="shared" si="183"/>
        <v>Jami Kallio (P)</v>
      </c>
      <c r="CG154" s="1" t="str">
        <f t="shared" si="184"/>
        <v>Mika Sola (1)</v>
      </c>
      <c r="CH154" s="1" t="str">
        <f t="shared" si="185"/>
        <v>Jami Kallio</v>
      </c>
      <c r="CI154" s="1">
        <f t="shared" si="186"/>
        <v>0</v>
      </c>
      <c r="CJ154" s="1" t="str">
        <f ca="1">IF(B154="","",IF(SUM(AI154:AK154)&gt;0,"+SP","")&amp;IF(CI154&gt;0,"+KK","")&amp;IF(AB154&gt;0,"+KGP1","")&amp;IF(AC154&gt;0,"+KGP2","")&amp;IF(AG154&lt;0,"-KGP1","")&amp;IF(AH154&lt;0,"-KGP2",""))</f>
        <v>+SP</v>
      </c>
    </row>
    <row r="155" spans="1:88" x14ac:dyDescent="0.25">
      <c r="A155" s="1">
        <f>IFERROR(IF(ROW(A154)=1,1,IF(1+A154&lt;=$CP$1*$CP$2,1+A154,"")),"")</f>
        <v>154</v>
      </c>
      <c r="B155" s="1">
        <f>IF($I155="","",IF(ROW(B154)=1,1,ROUNDUP(A155/$CP$2,0)))</f>
        <v>9</v>
      </c>
      <c r="C155" s="4">
        <f t="shared" si="132"/>
        <v>45711</v>
      </c>
      <c r="D155" s="4" t="str">
        <f t="shared" si="126"/>
        <v>Raision keilahalli</v>
      </c>
      <c r="E155" s="1">
        <f>IF($B155="","",COUNTIF($B$2:B155,B155))</f>
        <v>10</v>
      </c>
      <c r="F155" s="1" t="str">
        <f t="shared" si="127"/>
        <v>K2024GP09</v>
      </c>
      <c r="G155" s="1" t="str">
        <f t="shared" si="133"/>
        <v>K2024GP09_10</v>
      </c>
      <c r="H155" s="1">
        <f t="shared" si="134"/>
        <v>1</v>
      </c>
      <c r="I155" s="3" t="s">
        <v>131</v>
      </c>
      <c r="J155" s="3">
        <v>133</v>
      </c>
      <c r="K155" s="3">
        <v>123</v>
      </c>
      <c r="L155" s="1">
        <f t="shared" si="135"/>
        <v>256</v>
      </c>
      <c r="M155" s="1">
        <f t="shared" si="136"/>
        <v>1</v>
      </c>
      <c r="N155" s="1">
        <f t="shared" si="137"/>
        <v>10</v>
      </c>
      <c r="O155" s="1">
        <f t="shared" si="138"/>
        <v>256</v>
      </c>
      <c r="P155" s="1">
        <f t="shared" si="139"/>
        <v>51</v>
      </c>
      <c r="Q155" s="1">
        <f t="array" ref="Q155">IF($B155="","",IF(MAX(IF(B155=$B$2:$B$313,$L$2:$L$313))-L155=0,"",MAX(IF(B155=$B$2:$B$313,$L$2:$L$313))-L155))</f>
        <v>51</v>
      </c>
      <c r="R155" s="1">
        <f t="array" ref="R155">IF($B155="","",SUMPRODUCT(--($B$2:$B$313=B155),--(L155&lt;$L$2:$L$313))+1)</f>
        <v>10</v>
      </c>
      <c r="S155" s="1">
        <f t="shared" si="140"/>
        <v>2</v>
      </c>
      <c r="T155" s="1" cm="1">
        <f t="array" ref="T155">IF($B155="","",IF(M155=0,"",SUMPRODUCT(--($B$2:$B$313=B155),--(J155&lt;$J$2:$J$313))+1))</f>
        <v>8</v>
      </c>
      <c r="U155" s="1">
        <f t="shared" si="141"/>
        <v>2</v>
      </c>
      <c r="V155" s="1" t="str">
        <f t="shared" si="142"/>
        <v>0910</v>
      </c>
      <c r="W155" s="1">
        <f t="shared" si="143"/>
        <v>1</v>
      </c>
      <c r="X155" s="1">
        <f t="shared" si="128"/>
        <v>0</v>
      </c>
      <c r="Y155" s="1">
        <f>IF($B155="","",MAX(_xlfn.MAXIFS($J$2:J155,$I$2:I155,$I155),_xlfn.MAXIFS($K$2:K155,$I$2:I155,$I155)))</f>
        <v>170</v>
      </c>
      <c r="Z155" s="1">
        <f t="shared" si="144"/>
        <v>195</v>
      </c>
      <c r="AA155" s="1">
        <f t="shared" si="145"/>
        <v>0</v>
      </c>
      <c r="AB155" s="1">
        <f t="shared" si="146"/>
        <v>0</v>
      </c>
      <c r="AC155" s="1">
        <f t="shared" si="147"/>
        <v>0</v>
      </c>
      <c r="AD155" s="1">
        <f>IF($B155="","",MIN(_xlfn.MINIFS($J$2:J155,$I$2:I155,$I155),_xlfn.MINIFS($K$2:K155,$I$2:I155,$I155)))</f>
        <v>102</v>
      </c>
      <c r="AE155" s="1">
        <f t="shared" si="148"/>
        <v>90</v>
      </c>
      <c r="AF155" s="1">
        <f t="shared" si="149"/>
        <v>0</v>
      </c>
      <c r="AG155" s="1">
        <f t="shared" si="150"/>
        <v>0</v>
      </c>
      <c r="AH155" s="1">
        <f t="shared" si="151"/>
        <v>0</v>
      </c>
      <c r="AI155" s="1">
        <f ca="1">IF($B155="","",IF($K155="",0,OFFSET($CO$17,R155,W155)))</f>
        <v>1</v>
      </c>
      <c r="AJ155" s="1">
        <f t="shared" ca="1" si="152"/>
        <v>0</v>
      </c>
      <c r="AK155" s="1">
        <f ca="1">IF(AJ155="","",IF(AJ155=0,0,IF(W155=1,0,SUM(OFFSET($CO$17,N155,1):OFFSET($CO$17,N155+W155-2,1))/W155)))</f>
        <v>0</v>
      </c>
      <c r="AL155" s="1">
        <f t="shared" ca="1" si="153"/>
        <v>1</v>
      </c>
      <c r="AM155" s="1">
        <f ca="1">IF($B155="","",SUMIFS($AL$2:AL155,$I$2:I155,$I155))</f>
        <v>46</v>
      </c>
      <c r="AN155" s="1">
        <f t="shared" si="154"/>
        <v>10.000154</v>
      </c>
      <c r="AO155" s="1">
        <f>IFERROR(IF($B155="","",AVERAGEIFS($L$2:L155,$I$2:I155,I155,$L$2:L155,"&lt;&gt;0")),0)</f>
        <v>278.77777777777777</v>
      </c>
      <c r="AP155" s="1">
        <f t="shared" si="155"/>
        <v>139.38888888888889</v>
      </c>
      <c r="AQ155" s="1">
        <f>IF($B155="","",COUNTIFS($R$2:R155,1,$I$2:I155,$I155))</f>
        <v>0</v>
      </c>
      <c r="AR155" s="1">
        <f t="array" aca="1" ref="AR155" ca="1">IF($B155="","",SUMPRODUCT(--($B$2:$B$313=B155),--(AM155&lt;$AM$2:$AM$313))+1)</f>
        <v>4</v>
      </c>
      <c r="AS155" s="1">
        <f t="array" ref="AS155">IF($B155="","",SUMPRODUCT(--($B$2:$B$313=B155),--(AP155&lt;$AP$2:$AP$313))+1)</f>
        <v>7</v>
      </c>
      <c r="AT155" s="1">
        <f t="array" ref="AT155">IF($B155="","",SUMPRODUCT(--($B$2:$B$313=B155),--(AQ155&lt;$AQ$2:$AQ$313))+1)</f>
        <v>8</v>
      </c>
      <c r="AU155" s="1">
        <f t="shared" si="156"/>
        <v>1.54E-7</v>
      </c>
      <c r="AV155" s="1">
        <f t="shared" ca="1" si="157"/>
        <v>4.0708154000000003E-2</v>
      </c>
      <c r="AW155" s="1" t="str">
        <f t="shared" si="129"/>
        <v/>
      </c>
      <c r="AX155" s="1" t="str">
        <f t="shared" si="158"/>
        <v/>
      </c>
      <c r="AY155" s="8">
        <f t="shared" ca="1" si="159"/>
        <v>4.0708154000000003E-2</v>
      </c>
      <c r="AZ155" s="1" cm="1">
        <f t="array" aca="1" ref="AZ155" ca="1">IF($B155="","",SUMPRODUCT(--($B$2:$B$313=B155),--(AY155&gt;$AY$2:$AY$313))+1)</f>
        <v>4</v>
      </c>
      <c r="BA155" s="1" t="str">
        <f t="shared" si="160"/>
        <v>K2024GP09_10_1</v>
      </c>
      <c r="BB155" s="1" t="str">
        <f t="shared" si="161"/>
        <v>K2024GP09_10_2</v>
      </c>
      <c r="BC155" s="1">
        <f t="shared" si="162"/>
        <v>0</v>
      </c>
      <c r="BD155" s="1">
        <f t="shared" si="163"/>
        <v>0</v>
      </c>
      <c r="BE155" s="1">
        <f t="shared" si="164"/>
        <v>1</v>
      </c>
      <c r="BF155" s="1">
        <f t="shared" si="165"/>
        <v>133</v>
      </c>
      <c r="BG155" s="1">
        <f t="shared" si="166"/>
        <v>123</v>
      </c>
      <c r="BH155" s="1">
        <f t="shared" si="167"/>
        <v>10</v>
      </c>
      <c r="BI155" s="1">
        <f t="shared" si="168"/>
        <v>6</v>
      </c>
      <c r="BJ155" s="1">
        <f t="shared" si="169"/>
        <v>0.10060000000000001</v>
      </c>
      <c r="BK155" s="1">
        <f t="shared" si="170"/>
        <v>0</v>
      </c>
      <c r="BL155" s="1">
        <f t="shared" si="171"/>
        <v>9.8999999999999994E-5</v>
      </c>
      <c r="BM155" s="1">
        <f t="shared" si="172"/>
        <v>0.10069900000000001</v>
      </c>
      <c r="BN155" s="1">
        <f t="shared" si="173"/>
        <v>0</v>
      </c>
      <c r="BO155" s="1">
        <f t="shared" si="130"/>
        <v>10</v>
      </c>
      <c r="BP155" s="1">
        <f t="shared" si="131"/>
        <v>0</v>
      </c>
      <c r="BQ155" s="1" cm="1">
        <f t="array" ref="BQ155">IF(I155="","",IF(BP155=1,"",IF(L155=0,"",IF(B155=1,"",_xlfn.XLOOKUP(1,($I$2:$I$313=$I155)*($B$2:$B$313=($B155-1)),$BO$2:$BO$313)))))</f>
        <v>8</v>
      </c>
      <c r="BR155" s="1">
        <f>IF(I155="","",IF($B155=1,_xlfn.MINIFS($BO$2:$BO$313,$B$2:$B$313,$B155),_xlfn.MINIFS(BQ$2:$BQ$313,$B$2:$B$313,$B155)))</f>
        <v>1</v>
      </c>
      <c r="BS155" s="1">
        <f t="shared" si="174"/>
        <v>2</v>
      </c>
      <c r="BT155" s="1" t="str" cm="1">
        <f t="array" ref="BT155">IF($I155="","",IF($B155=1,_xlfn.XLOOKUP(1,($B$2:$B$313=$B155)*($BO$2:$BO$313=BR155),Data!$I$2:$I$313,,0),_xlfn.XLOOKUP(1,($B$2:$B$313=$B155)*($BQ$2:$BQ$313=$BR155),$I$2:$I$313,,0)))</f>
        <v>Mika Sola</v>
      </c>
      <c r="BU155" s="1" t="str" cm="1">
        <f t="array" ref="BU155">IF(I155="","",IF($B155=1,_xlfn.XLOOKUP(1,($B$2:$B$313=$B155)*($BO$2:$BO$313=$BS155),$I$2:$I$313,,0),_xlfn.XLOOKUP(1,($B$2:$B$313=$B155)*($BQ$2:$BQ$313=$BS155),$I$2:$I$313,,0)))</f>
        <v>Miika Nordblad</v>
      </c>
      <c r="BV155" s="1" t="str" cm="1">
        <f t="array" ref="BV155">IF($I155="","",IF($B155=1,"",IF($B155=2,_xlfn.XLOOKUP(1,($B$2:$B$313=1)*($BO$2:$BO$313=1),$I$2:$I$313,,0),_xlfn.XLOOKUP($B155-1,$B$2:$B$313,$CH$2:$CH$313,,0))))</f>
        <v>Jami Kallio</v>
      </c>
      <c r="BW155" s="1" t="str" cm="1">
        <f t="array" ref="BW155">IF($I155="","",IF($B155=1,"",IF(_xlfn.XLOOKUP(1,($B$2:$B$313=$B155)*($I$2:$I$313=$BV155),$BQ$2:$BQ$313,,0)="","NOK","OK")))</f>
        <v>OK</v>
      </c>
      <c r="BX155" s="1" t="str">
        <f t="shared" si="175"/>
        <v>Jami Kallio</v>
      </c>
      <c r="BY155" s="1" t="str">
        <f t="shared" si="176"/>
        <v>Mika Sola</v>
      </c>
      <c r="BZ155" s="1">
        <f t="shared" si="177"/>
        <v>195</v>
      </c>
      <c r="CA155" s="1">
        <f t="shared" si="178"/>
        <v>112</v>
      </c>
      <c r="CB155" s="1">
        <f t="shared" si="179"/>
        <v>9.8999999999999994E-5</v>
      </c>
      <c r="CC155" s="1">
        <f t="shared" si="180"/>
        <v>123</v>
      </c>
      <c r="CD155" s="1">
        <f t="shared" si="181"/>
        <v>90</v>
      </c>
      <c r="CE155" s="1">
        <f t="shared" si="182"/>
        <v>9.8999999999999994E-5</v>
      </c>
      <c r="CF155" s="1" t="str">
        <f t="shared" si="183"/>
        <v>Jami Kallio (P)</v>
      </c>
      <c r="CG155" s="1" t="str">
        <f t="shared" si="184"/>
        <v>Mika Sola (1)</v>
      </c>
      <c r="CH155" s="1" t="str">
        <f t="shared" si="185"/>
        <v>Jami Kallio</v>
      </c>
      <c r="CI155" s="1">
        <f t="shared" si="186"/>
        <v>0</v>
      </c>
      <c r="CJ155" s="1" t="str">
        <f ca="1">IF(B155="","",IF(SUM(AI155:AK155)&gt;0,"+SP","")&amp;IF(CI155&gt;0,"+KK","")&amp;IF(AB155&gt;0,"+KGP1","")&amp;IF(AC155&gt;0,"+KGP2","")&amp;IF(AG155&lt;0,"-KGP1","")&amp;IF(AH155&lt;0,"-KGP2",""))</f>
        <v>+SP</v>
      </c>
    </row>
    <row r="156" spans="1:88" x14ac:dyDescent="0.25">
      <c r="A156" s="1">
        <f>IFERROR(IF(ROW(A155)=1,1,IF(1+A155&lt;=$CP$1*$CP$2,1+A155,"")),"")</f>
        <v>155</v>
      </c>
      <c r="B156" s="1">
        <f>IF($I156="","",IF(ROW(B155)=1,1,ROUNDUP(A156/$CP$2,0)))</f>
        <v>9</v>
      </c>
      <c r="C156" s="4">
        <f t="shared" si="132"/>
        <v>45711</v>
      </c>
      <c r="D156" s="4" t="str">
        <f t="shared" si="126"/>
        <v>Raision keilahalli</v>
      </c>
      <c r="E156" s="1">
        <f>IF($B156="","",COUNTIF($B$2:B156,B156))</f>
        <v>11</v>
      </c>
      <c r="F156" s="1" t="str">
        <f t="shared" si="127"/>
        <v>K2024GP09</v>
      </c>
      <c r="G156" s="1" t="str">
        <f t="shared" si="133"/>
        <v>K2024GP09_11</v>
      </c>
      <c r="H156" s="1">
        <f t="shared" si="134"/>
        <v>1</v>
      </c>
      <c r="I156" s="3" t="s">
        <v>126</v>
      </c>
      <c r="J156" s="3">
        <v>119</v>
      </c>
      <c r="K156" s="3">
        <v>104</v>
      </c>
      <c r="L156" s="1">
        <f t="shared" si="135"/>
        <v>223</v>
      </c>
      <c r="M156" s="1">
        <f t="shared" si="136"/>
        <v>1</v>
      </c>
      <c r="N156" s="1">
        <f t="shared" si="137"/>
        <v>11</v>
      </c>
      <c r="O156" s="1">
        <f t="shared" si="138"/>
        <v>223</v>
      </c>
      <c r="P156" s="1">
        <f t="shared" si="139"/>
        <v>84</v>
      </c>
      <c r="Q156" s="1">
        <f t="array" ref="Q156">IF($B156="","",IF(MAX(IF(B156=$B$2:$B$313,$L$2:$L$313))-L156=0,"",MAX(IF(B156=$B$2:$B$313,$L$2:$L$313))-L156))</f>
        <v>84</v>
      </c>
      <c r="R156" s="1">
        <f t="array" ref="R156">IF($B156="","",SUMPRODUCT(--($B$2:$B$313=B156),--(L156&lt;$L$2:$L$313))+1)</f>
        <v>11</v>
      </c>
      <c r="S156" s="1">
        <f t="shared" si="140"/>
        <v>2</v>
      </c>
      <c r="T156" s="1" cm="1">
        <f t="array" ref="T156">IF($B156="","",IF(M156=0,"",SUMPRODUCT(--($B$2:$B$313=B156),--(J156&lt;$J$2:$J$313))+1))</f>
        <v>11</v>
      </c>
      <c r="U156" s="1">
        <f t="shared" si="141"/>
        <v>0</v>
      </c>
      <c r="V156" s="1" t="str">
        <f t="shared" si="142"/>
        <v>0911</v>
      </c>
      <c r="W156" s="1">
        <f t="shared" si="143"/>
        <v>1</v>
      </c>
      <c r="X156" s="1">
        <f t="shared" si="128"/>
        <v>0</v>
      </c>
      <c r="Y156" s="1">
        <f>IF($B156="","",MAX(_xlfn.MAXIFS($J$2:J156,$I$2:I156,$I156),_xlfn.MAXIFS($K$2:K156,$I$2:I156,$I156)))</f>
        <v>156</v>
      </c>
      <c r="Z156" s="1">
        <f t="shared" si="144"/>
        <v>195</v>
      </c>
      <c r="AA156" s="1">
        <f t="shared" si="145"/>
        <v>0</v>
      </c>
      <c r="AB156" s="1">
        <f t="shared" si="146"/>
        <v>0</v>
      </c>
      <c r="AC156" s="1">
        <f t="shared" si="147"/>
        <v>0</v>
      </c>
      <c r="AD156" s="1">
        <f>IF($B156="","",MIN(_xlfn.MINIFS($J$2:J156,$I$2:I156,$I156),_xlfn.MINIFS($K$2:K156,$I$2:I156,$I156)))</f>
        <v>80</v>
      </c>
      <c r="AE156" s="1">
        <f t="shared" si="148"/>
        <v>90</v>
      </c>
      <c r="AF156" s="1">
        <f t="shared" si="149"/>
        <v>0</v>
      </c>
      <c r="AG156" s="1">
        <f t="shared" si="150"/>
        <v>0</v>
      </c>
      <c r="AH156" s="1">
        <f t="shared" si="151"/>
        <v>0</v>
      </c>
      <c r="AI156" s="1">
        <f ca="1">IF($B156="","",IF($K156="",0,OFFSET($CO$17,R156,W156)))</f>
        <v>0</v>
      </c>
      <c r="AJ156" s="1">
        <f t="shared" ca="1" si="152"/>
        <v>0</v>
      </c>
      <c r="AK156" s="1">
        <f ca="1">IF(AJ156="","",IF(AJ156=0,0,IF(W156=1,0,SUM(OFFSET($CO$17,N156,1):OFFSET($CO$17,N156+W156-2,1))/W156)))</f>
        <v>0</v>
      </c>
      <c r="AL156" s="1">
        <f t="shared" ca="1" si="153"/>
        <v>0</v>
      </c>
      <c r="AM156" s="1">
        <f ca="1">IF($B156="","",SUMIFS($AL$2:AL156,$I$2:I156,$I156))</f>
        <v>1</v>
      </c>
      <c r="AN156" s="1">
        <f t="shared" si="154"/>
        <v>11.000154999999999</v>
      </c>
      <c r="AO156" s="1">
        <f>IFERROR(IF($B156="","",AVERAGEIFS($L$2:L156,$I$2:I156,I156,$L$2:L156,"&lt;&gt;0")),0)</f>
        <v>235.71428571428572</v>
      </c>
      <c r="AP156" s="1">
        <f t="shared" si="155"/>
        <v>117.85714285714286</v>
      </c>
      <c r="AQ156" s="1">
        <f>IF($B156="","",COUNTIFS($R$2:R156,1,$I$2:I156,$I156))</f>
        <v>0</v>
      </c>
      <c r="AR156" s="1">
        <f t="array" aca="1" ref="AR156" ca="1">IF($B156="","",SUMPRODUCT(--($B$2:$B$313=B156),--(AM156&lt;$AM$2:$AM$313))+1)</f>
        <v>18</v>
      </c>
      <c r="AS156" s="1">
        <f t="array" ref="AS156">IF($B156="","",SUMPRODUCT(--($B$2:$B$313=B156),--(AP156&lt;$AP$2:$AP$313))+1)</f>
        <v>16</v>
      </c>
      <c r="AT156" s="1">
        <f t="array" ref="AT156">IF($B156="","",SUMPRODUCT(--($B$2:$B$313=B156),--(AQ156&lt;$AQ$2:$AQ$313))+1)</f>
        <v>8</v>
      </c>
      <c r="AU156" s="1">
        <f t="shared" si="156"/>
        <v>1.55E-7</v>
      </c>
      <c r="AV156" s="1">
        <f t="shared" ca="1" si="157"/>
        <v>0.18160815499999999</v>
      </c>
      <c r="AW156" s="1" t="str">
        <f t="shared" si="129"/>
        <v/>
      </c>
      <c r="AX156" s="1" t="str">
        <f t="shared" si="158"/>
        <v/>
      </c>
      <c r="AY156" s="8">
        <f t="shared" ca="1" si="159"/>
        <v>0.18160815499999999</v>
      </c>
      <c r="AZ156" s="1" cm="1">
        <f t="array" aca="1" ref="AZ156" ca="1">IF($B156="","",SUMPRODUCT(--($B$2:$B$313=B156),--(AY156&gt;$AY$2:$AY$313))+1)</f>
        <v>18</v>
      </c>
      <c r="BA156" s="1" t="str">
        <f t="shared" si="160"/>
        <v>K2024GP09_11_1</v>
      </c>
      <c r="BB156" s="1" t="str">
        <f t="shared" si="161"/>
        <v>K2024GP09_11_2</v>
      </c>
      <c r="BC156" s="1">
        <f t="shared" si="162"/>
        <v>0</v>
      </c>
      <c r="BD156" s="1">
        <f t="shared" si="163"/>
        <v>0</v>
      </c>
      <c r="BE156" s="1">
        <f t="shared" si="164"/>
        <v>1</v>
      </c>
      <c r="BF156" s="1">
        <f t="shared" si="165"/>
        <v>119</v>
      </c>
      <c r="BG156" s="1">
        <f t="shared" si="166"/>
        <v>104</v>
      </c>
      <c r="BH156" s="1">
        <f t="shared" si="167"/>
        <v>12</v>
      </c>
      <c r="BI156" s="1">
        <f t="shared" si="168"/>
        <v>10</v>
      </c>
      <c r="BJ156" s="1">
        <f t="shared" si="169"/>
        <v>0.121</v>
      </c>
      <c r="BK156" s="1">
        <f t="shared" si="170"/>
        <v>0</v>
      </c>
      <c r="BL156" s="1">
        <f t="shared" si="171"/>
        <v>9.8999999999999994E-5</v>
      </c>
      <c r="BM156" s="1">
        <f t="shared" si="172"/>
        <v>0.121099</v>
      </c>
      <c r="BN156" s="1">
        <f t="shared" si="173"/>
        <v>0</v>
      </c>
      <c r="BO156" s="1">
        <f t="shared" si="130"/>
        <v>12</v>
      </c>
      <c r="BP156" s="1">
        <f t="shared" si="131"/>
        <v>0</v>
      </c>
      <c r="BQ156" s="1" cm="1">
        <f t="array" ref="BQ156">IF(I156="","",IF(BP156=1,"",IF(L156=0,"",IF(B156=1,"",_xlfn.XLOOKUP(1,($I$2:$I$313=$I156)*($B$2:$B$313=($B156-1)),$BO$2:$BO$313)))))</f>
        <v>7</v>
      </c>
      <c r="BR156" s="1">
        <f>IF(I156="","",IF($B156=1,_xlfn.MINIFS($BO$2:$BO$313,$B$2:$B$313,$B156),_xlfn.MINIFS(BQ$2:$BQ$313,$B$2:$B$313,$B156)))</f>
        <v>1</v>
      </c>
      <c r="BS156" s="1">
        <f t="shared" si="174"/>
        <v>2</v>
      </c>
      <c r="BT156" s="1" t="str" cm="1">
        <f t="array" ref="BT156">IF($I156="","",IF($B156=1,_xlfn.XLOOKUP(1,($B$2:$B$313=$B156)*($BO$2:$BO$313=BR156),Data!$I$2:$I$313,,0),_xlfn.XLOOKUP(1,($B$2:$B$313=$B156)*($BQ$2:$BQ$313=$BR156),$I$2:$I$313,,0)))</f>
        <v>Mika Sola</v>
      </c>
      <c r="BU156" s="1" t="str" cm="1">
        <f t="array" ref="BU156">IF(I156="","",IF($B156=1,_xlfn.XLOOKUP(1,($B$2:$B$313=$B156)*($BO$2:$BO$313=$BS156),$I$2:$I$313,,0),_xlfn.XLOOKUP(1,($B$2:$B$313=$B156)*($BQ$2:$BQ$313=$BS156),$I$2:$I$313,,0)))</f>
        <v>Miika Nordblad</v>
      </c>
      <c r="BV156" s="1" t="str" cm="1">
        <f t="array" ref="BV156">IF($I156="","",IF($B156=1,"",IF($B156=2,_xlfn.XLOOKUP(1,($B$2:$B$313=1)*($BO$2:$BO$313=1),$I$2:$I$313,,0),_xlfn.XLOOKUP($B156-1,$B$2:$B$313,$CH$2:$CH$313,,0))))</f>
        <v>Jami Kallio</v>
      </c>
      <c r="BW156" s="1" t="str" cm="1">
        <f t="array" ref="BW156">IF($I156="","",IF($B156=1,"",IF(_xlfn.XLOOKUP(1,($B$2:$B$313=$B156)*($I$2:$I$313=$BV156),$BQ$2:$BQ$313,,0)="","NOK","OK")))</f>
        <v>OK</v>
      </c>
      <c r="BX156" s="1" t="str">
        <f t="shared" si="175"/>
        <v>Jami Kallio</v>
      </c>
      <c r="BY156" s="1" t="str">
        <f t="shared" si="176"/>
        <v>Mika Sola</v>
      </c>
      <c r="BZ156" s="1">
        <f t="shared" si="177"/>
        <v>195</v>
      </c>
      <c r="CA156" s="1">
        <f t="shared" si="178"/>
        <v>112</v>
      </c>
      <c r="CB156" s="1">
        <f t="shared" si="179"/>
        <v>9.8999999999999994E-5</v>
      </c>
      <c r="CC156" s="1">
        <f t="shared" si="180"/>
        <v>123</v>
      </c>
      <c r="CD156" s="1">
        <f t="shared" si="181"/>
        <v>90</v>
      </c>
      <c r="CE156" s="1">
        <f t="shared" si="182"/>
        <v>9.8999999999999994E-5</v>
      </c>
      <c r="CF156" s="1" t="str">
        <f t="shared" si="183"/>
        <v>Jami Kallio (P)</v>
      </c>
      <c r="CG156" s="1" t="str">
        <f t="shared" si="184"/>
        <v>Mika Sola (1)</v>
      </c>
      <c r="CH156" s="1" t="str">
        <f t="shared" si="185"/>
        <v>Jami Kallio</v>
      </c>
      <c r="CI156" s="1">
        <f t="shared" si="186"/>
        <v>0</v>
      </c>
      <c r="CJ156" s="1" t="str">
        <f ca="1">IF(B156="","",IF(SUM(AI156:AK156)&gt;0,"+SP","")&amp;IF(CI156&gt;0,"+KK","")&amp;IF(AB156&gt;0,"+KGP1","")&amp;IF(AC156&gt;0,"+KGP2","")&amp;IF(AG156&lt;0,"-KGP1","")&amp;IF(AH156&lt;0,"-KGP2",""))</f>
        <v/>
      </c>
    </row>
    <row r="157" spans="1:88" x14ac:dyDescent="0.25">
      <c r="A157" s="1">
        <f>IFERROR(IF(ROW(A156)=1,1,IF(1+A156&lt;=$CP$1*$CP$2,1+A156,"")),"")</f>
        <v>156</v>
      </c>
      <c r="B157" s="1">
        <f>IF($I157="","",IF(ROW(B156)=1,1,ROUNDUP(A157/$CP$2,0)))</f>
        <v>9</v>
      </c>
      <c r="C157" s="4">
        <f t="shared" si="132"/>
        <v>45711</v>
      </c>
      <c r="D157" s="4" t="str">
        <f t="shared" si="126"/>
        <v>Raision keilahalli</v>
      </c>
      <c r="E157" s="1">
        <f>IF($B157="","",COUNTIF($B$2:B157,B157))</f>
        <v>12</v>
      </c>
      <c r="F157" s="1" t="str">
        <f t="shared" si="127"/>
        <v>K2024GP09</v>
      </c>
      <c r="G157" s="1" t="str">
        <f t="shared" si="133"/>
        <v>K2024GP09_12</v>
      </c>
      <c r="H157" s="1">
        <f t="shared" si="134"/>
        <v>1</v>
      </c>
      <c r="I157" s="3" t="s">
        <v>133</v>
      </c>
      <c r="J157" s="3">
        <v>123</v>
      </c>
      <c r="K157" s="3">
        <v>90</v>
      </c>
      <c r="L157" s="1">
        <f t="shared" si="135"/>
        <v>213</v>
      </c>
      <c r="M157" s="1">
        <f t="shared" si="136"/>
        <v>1</v>
      </c>
      <c r="N157" s="1">
        <f t="shared" si="137"/>
        <v>12</v>
      </c>
      <c r="O157" s="1">
        <f t="shared" si="138"/>
        <v>213</v>
      </c>
      <c r="P157" s="1">
        <f t="shared" si="139"/>
        <v>94</v>
      </c>
      <c r="Q157" s="1">
        <f t="array" ref="Q157">IF($B157="","",IF(MAX(IF(B157=$B$2:$B$313,$L$2:$L$313))-L157=0,"",MAX(IF(B157=$B$2:$B$313,$L$2:$L$313))-L157))</f>
        <v>94</v>
      </c>
      <c r="R157" s="1">
        <f t="array" ref="R157">IF($B157="","",SUMPRODUCT(--($B$2:$B$313=B157),--(L157&lt;$L$2:$L$313))+1)</f>
        <v>12</v>
      </c>
      <c r="S157" s="1">
        <f t="shared" si="140"/>
        <v>2</v>
      </c>
      <c r="T157" s="1" cm="1">
        <f t="array" ref="T157">IF($B157="","",IF(M157=0,"",SUMPRODUCT(--($B$2:$B$313=B157),--(J157&lt;$J$2:$J$313))+1))</f>
        <v>10</v>
      </c>
      <c r="U157" s="1">
        <f t="shared" si="141"/>
        <v>2</v>
      </c>
      <c r="V157" s="1" t="str">
        <f t="shared" si="142"/>
        <v>0912</v>
      </c>
      <c r="W157" s="1">
        <f t="shared" si="143"/>
        <v>1</v>
      </c>
      <c r="X157" s="1">
        <f t="shared" si="128"/>
        <v>0</v>
      </c>
      <c r="Y157" s="1">
        <f>IF($B157="","",MAX(_xlfn.MAXIFS($J$2:J157,$I$2:I157,$I157),_xlfn.MAXIFS($K$2:K157,$I$2:I157,$I157)))</f>
        <v>203</v>
      </c>
      <c r="Z157" s="1">
        <f t="shared" si="144"/>
        <v>195</v>
      </c>
      <c r="AA157" s="1">
        <f t="shared" si="145"/>
        <v>0</v>
      </c>
      <c r="AB157" s="1">
        <f t="shared" si="146"/>
        <v>0</v>
      </c>
      <c r="AC157" s="1">
        <f t="shared" si="147"/>
        <v>0</v>
      </c>
      <c r="AD157" s="1">
        <f>IF($B157="","",MIN(_xlfn.MINIFS($J$2:J157,$I$2:I157,$I157),_xlfn.MINIFS($K$2:K157,$I$2:I157,$I157)))</f>
        <v>90</v>
      </c>
      <c r="AE157" s="1">
        <f t="shared" si="148"/>
        <v>90</v>
      </c>
      <c r="AF157" s="1">
        <f t="shared" si="149"/>
        <v>0</v>
      </c>
      <c r="AG157" s="1">
        <f t="shared" si="150"/>
        <v>0</v>
      </c>
      <c r="AH157" s="1">
        <f t="shared" si="151"/>
        <v>0</v>
      </c>
      <c r="AI157" s="1">
        <f ca="1">IF($B157="","",IF($K157="",0,OFFSET($CO$17,R157,W157)))</f>
        <v>0</v>
      </c>
      <c r="AJ157" s="1">
        <f t="shared" ca="1" si="152"/>
        <v>0</v>
      </c>
      <c r="AK157" s="1">
        <f ca="1">IF(AJ157="","",IF(AJ157=0,0,IF(W157=1,0,SUM(OFFSET($CO$17,N157,1):OFFSET($CO$17,N157+W157-2,1))/W157)))</f>
        <v>0</v>
      </c>
      <c r="AL157" s="1">
        <f t="shared" ca="1" si="153"/>
        <v>0</v>
      </c>
      <c r="AM157" s="1">
        <f ca="1">IF($B157="","",SUMIFS($AL$2:AL157,$I$2:I157,$I157))</f>
        <v>37</v>
      </c>
      <c r="AN157" s="1">
        <f t="shared" si="154"/>
        <v>12.000156</v>
      </c>
      <c r="AO157" s="1">
        <f>IFERROR(IF($B157="","",AVERAGEIFS($L$2:L157,$I$2:I157,I157,$L$2:L157,"&lt;&gt;0")),0)</f>
        <v>263.55555555555554</v>
      </c>
      <c r="AP157" s="1">
        <f t="shared" si="155"/>
        <v>131.77777777777777</v>
      </c>
      <c r="AQ157" s="1">
        <f>IF($B157="","",COUNTIFS($R$2:R157,1,$I$2:I157,$I157))</f>
        <v>0</v>
      </c>
      <c r="AR157" s="1">
        <f t="array" aca="1" ref="AR157" ca="1">IF($B157="","",SUMPRODUCT(--($B$2:$B$313=B157),--(AM157&lt;$AM$2:$AM$313))+1)</f>
        <v>7</v>
      </c>
      <c r="AS157" s="1">
        <f t="array" ref="AS157">IF($B157="","",SUMPRODUCT(--($B$2:$B$313=B157),--(AP157&lt;$AP$2:$AP$313))+1)</f>
        <v>10</v>
      </c>
      <c r="AT157" s="1">
        <f t="array" ref="AT157">IF($B157="","",SUMPRODUCT(--($B$2:$B$313=B157),--(AQ157&lt;$AQ$2:$AQ$313))+1)</f>
        <v>8</v>
      </c>
      <c r="AU157" s="1">
        <f t="shared" si="156"/>
        <v>1.5599999999999999E-7</v>
      </c>
      <c r="AV157" s="1">
        <f t="shared" ca="1" si="157"/>
        <v>7.1008156000000003E-2</v>
      </c>
      <c r="AW157" s="1" t="str">
        <f t="shared" si="129"/>
        <v/>
      </c>
      <c r="AX157" s="1" t="str">
        <f t="shared" si="158"/>
        <v/>
      </c>
      <c r="AY157" s="8">
        <f t="shared" ca="1" si="159"/>
        <v>7.1008156000000003E-2</v>
      </c>
      <c r="AZ157" s="1" cm="1">
        <f t="array" aca="1" ref="AZ157" ca="1">IF($B157="","",SUMPRODUCT(--($B$2:$B$313=B157),--(AY157&gt;$AY$2:$AY$313))+1)</f>
        <v>7</v>
      </c>
      <c r="BA157" s="1" t="str">
        <f t="shared" si="160"/>
        <v>K2024GP09_12_1</v>
      </c>
      <c r="BB157" s="1" t="str">
        <f t="shared" si="161"/>
        <v>K2024GP09_12_2</v>
      </c>
      <c r="BC157" s="1">
        <f t="shared" si="162"/>
        <v>0</v>
      </c>
      <c r="BD157" s="1">
        <f t="shared" si="163"/>
        <v>0</v>
      </c>
      <c r="BE157" s="1">
        <f t="shared" si="164"/>
        <v>1</v>
      </c>
      <c r="BF157" s="1">
        <f t="shared" si="165"/>
        <v>123</v>
      </c>
      <c r="BG157" s="1">
        <f t="shared" si="166"/>
        <v>90</v>
      </c>
      <c r="BH157" s="1">
        <f t="shared" si="167"/>
        <v>11</v>
      </c>
      <c r="BI157" s="1">
        <f t="shared" si="168"/>
        <v>13</v>
      </c>
      <c r="BJ157" s="1">
        <f t="shared" si="169"/>
        <v>0.1113</v>
      </c>
      <c r="BK157" s="1">
        <f t="shared" si="170"/>
        <v>0</v>
      </c>
      <c r="BL157" s="1">
        <f t="shared" si="171"/>
        <v>9.8999999999999994E-5</v>
      </c>
      <c r="BM157" s="1">
        <f t="shared" si="172"/>
        <v>0.111399</v>
      </c>
      <c r="BN157" s="1">
        <f t="shared" si="173"/>
        <v>0</v>
      </c>
      <c r="BO157" s="1">
        <f t="shared" si="130"/>
        <v>11</v>
      </c>
      <c r="BP157" s="1">
        <f t="shared" si="131"/>
        <v>0</v>
      </c>
      <c r="BQ157" s="1" cm="1">
        <f t="array" ref="BQ157">IF(I157="","",IF(BP157=1,"",IF(L157=0,"",IF(B157=1,"",_xlfn.XLOOKUP(1,($I$2:$I$313=$I157)*($B$2:$B$313=($B157-1)),$BO$2:$BO$313)))))</f>
        <v>1</v>
      </c>
      <c r="BR157" s="1">
        <f>IF(I157="","",IF($B157=1,_xlfn.MINIFS($BO$2:$BO$313,$B$2:$B$313,$B157),_xlfn.MINIFS(BQ$2:$BQ$313,$B$2:$B$313,$B157)))</f>
        <v>1</v>
      </c>
      <c r="BS157" s="1">
        <f t="shared" si="174"/>
        <v>2</v>
      </c>
      <c r="BT157" s="1" t="str" cm="1">
        <f t="array" ref="BT157">IF($I157="","",IF($B157=1,_xlfn.XLOOKUP(1,($B$2:$B$313=$B157)*($BO$2:$BO$313=BR157),Data!$I$2:$I$313,,0),_xlfn.XLOOKUP(1,($B$2:$B$313=$B157)*($BQ$2:$BQ$313=$BR157),$I$2:$I$313,,0)))</f>
        <v>Mika Sola</v>
      </c>
      <c r="BU157" s="1" t="str" cm="1">
        <f t="array" ref="BU157">IF(I157="","",IF($B157=1,_xlfn.XLOOKUP(1,($B$2:$B$313=$B157)*($BO$2:$BO$313=$BS157),$I$2:$I$313,,0),_xlfn.XLOOKUP(1,($B$2:$B$313=$B157)*($BQ$2:$BQ$313=$BS157),$I$2:$I$313,,0)))</f>
        <v>Miika Nordblad</v>
      </c>
      <c r="BV157" s="1" t="str" cm="1">
        <f t="array" ref="BV157">IF($I157="","",IF($B157=1,"",IF($B157=2,_xlfn.XLOOKUP(1,($B$2:$B$313=1)*($BO$2:$BO$313=1),$I$2:$I$313,,0),_xlfn.XLOOKUP($B157-1,$B$2:$B$313,$CH$2:$CH$313,,0))))</f>
        <v>Jami Kallio</v>
      </c>
      <c r="BW157" s="1" t="str" cm="1">
        <f t="array" ref="BW157">IF($I157="","",IF($B157=1,"",IF(_xlfn.XLOOKUP(1,($B$2:$B$313=$B157)*($I$2:$I$313=$BV157),$BQ$2:$BQ$313,,0)="","NOK","OK")))</f>
        <v>OK</v>
      </c>
      <c r="BX157" s="1" t="str">
        <f t="shared" si="175"/>
        <v>Jami Kallio</v>
      </c>
      <c r="BY157" s="1" t="str">
        <f t="shared" si="176"/>
        <v>Mika Sola</v>
      </c>
      <c r="BZ157" s="1">
        <f t="shared" si="177"/>
        <v>195</v>
      </c>
      <c r="CA157" s="1">
        <f t="shared" si="178"/>
        <v>112</v>
      </c>
      <c r="CB157" s="1">
        <f t="shared" si="179"/>
        <v>9.8999999999999994E-5</v>
      </c>
      <c r="CC157" s="1">
        <f t="shared" si="180"/>
        <v>123</v>
      </c>
      <c r="CD157" s="1">
        <f t="shared" si="181"/>
        <v>90</v>
      </c>
      <c r="CE157" s="1">
        <f t="shared" si="182"/>
        <v>9.8999999999999994E-5</v>
      </c>
      <c r="CF157" s="1" t="str">
        <f t="shared" si="183"/>
        <v>Jami Kallio (P)</v>
      </c>
      <c r="CG157" s="1" t="str">
        <f t="shared" si="184"/>
        <v>Mika Sola (1)</v>
      </c>
      <c r="CH157" s="1" t="str">
        <f t="shared" si="185"/>
        <v>Jami Kallio</v>
      </c>
      <c r="CI157" s="1">
        <f t="shared" si="186"/>
        <v>0</v>
      </c>
      <c r="CJ157" s="1" t="str">
        <f ca="1">IF(B157="","",IF(SUM(AI157:AK157)&gt;0,"+SP","")&amp;IF(CI157&gt;0,"+KK","")&amp;IF(AB157&gt;0,"+KGP1","")&amp;IF(AC157&gt;0,"+KGP2","")&amp;IF(AG157&lt;0,"-KGP1","")&amp;IF(AH157&lt;0,"-KGP2",""))</f>
        <v/>
      </c>
    </row>
    <row r="158" spans="1:88" x14ac:dyDescent="0.25">
      <c r="A158" s="1">
        <f>IFERROR(IF(ROW(A157)=1,1,IF(1+A157&lt;=$CP$1*$CP$2,1+A157,"")),"")</f>
        <v>157</v>
      </c>
      <c r="B158" s="1">
        <f>IF($I158="","",IF(ROW(B157)=1,1,ROUNDUP(A158/$CP$2,0)))</f>
        <v>9</v>
      </c>
      <c r="C158" s="4">
        <f t="shared" si="132"/>
        <v>45711</v>
      </c>
      <c r="D158" s="4" t="str">
        <f t="shared" si="126"/>
        <v>Raision keilahalli</v>
      </c>
      <c r="E158" s="1">
        <f>IF($B158="","",COUNTIF($B$2:B158,B158))</f>
        <v>13</v>
      </c>
      <c r="F158" s="1" t="str">
        <f t="shared" si="127"/>
        <v>K2024GP09</v>
      </c>
      <c r="G158" s="1" t="str">
        <f t="shared" si="133"/>
        <v>K2024GP09_13</v>
      </c>
      <c r="H158" s="1">
        <f t="shared" si="134"/>
        <v>1</v>
      </c>
      <c r="I158" s="3" t="s">
        <v>236</v>
      </c>
      <c r="J158" s="3">
        <v>97</v>
      </c>
      <c r="K158" s="3">
        <v>107</v>
      </c>
      <c r="L158" s="1">
        <f t="shared" si="135"/>
        <v>204</v>
      </c>
      <c r="M158" s="1">
        <f t="shared" si="136"/>
        <v>1</v>
      </c>
      <c r="N158" s="1">
        <f t="shared" si="137"/>
        <v>13</v>
      </c>
      <c r="O158" s="1">
        <f t="shared" si="138"/>
        <v>204</v>
      </c>
      <c r="P158" s="1">
        <f t="shared" si="139"/>
        <v>103</v>
      </c>
      <c r="Q158" s="1">
        <f t="array" ref="Q158">IF($B158="","",IF(MAX(IF(B158=$B$2:$B$313,$L$2:$L$313))-L158=0,"",MAX(IF(B158=$B$2:$B$313,$L$2:$L$313))-L158))</f>
        <v>103</v>
      </c>
      <c r="R158" s="1">
        <f t="array" ref="R158">IF($B158="","",SUMPRODUCT(--($B$2:$B$313=B158),--(L158&lt;$L$2:$L$313))+1)</f>
        <v>13</v>
      </c>
      <c r="S158" s="1">
        <f t="shared" si="140"/>
        <v>2</v>
      </c>
      <c r="T158" s="1" cm="1">
        <f t="array" ref="T158">IF($B158="","",IF(M158=0,"",SUMPRODUCT(--($B$2:$B$313=B158),--(J158&lt;$J$2:$J$313))+1))</f>
        <v>13</v>
      </c>
      <c r="U158" s="1">
        <f t="shared" si="141"/>
        <v>0</v>
      </c>
      <c r="V158" s="1" t="str">
        <f t="shared" si="142"/>
        <v>0913</v>
      </c>
      <c r="W158" s="1">
        <f t="shared" si="143"/>
        <v>1</v>
      </c>
      <c r="X158" s="1">
        <f t="shared" si="128"/>
        <v>0</v>
      </c>
      <c r="Y158" s="1">
        <f>IF($B158="","",MAX(_xlfn.MAXIFS($J$2:J158,$I$2:I158,$I158),_xlfn.MAXIFS($K$2:K158,$I$2:I158,$I158)))</f>
        <v>183</v>
      </c>
      <c r="Z158" s="1">
        <f t="shared" si="144"/>
        <v>195</v>
      </c>
      <c r="AA158" s="1">
        <f t="shared" si="145"/>
        <v>0</v>
      </c>
      <c r="AB158" s="1">
        <f t="shared" si="146"/>
        <v>0</v>
      </c>
      <c r="AC158" s="1">
        <f t="shared" si="147"/>
        <v>0</v>
      </c>
      <c r="AD158" s="1">
        <f>IF($B158="","",MIN(_xlfn.MINIFS($J$2:J158,$I$2:I158,$I158),_xlfn.MINIFS($K$2:K158,$I$2:I158,$I158)))</f>
        <v>73</v>
      </c>
      <c r="AE158" s="1">
        <f t="shared" si="148"/>
        <v>90</v>
      </c>
      <c r="AF158" s="1">
        <f t="shared" si="149"/>
        <v>0</v>
      </c>
      <c r="AG158" s="1">
        <f t="shared" si="150"/>
        <v>0</v>
      </c>
      <c r="AH158" s="1">
        <f t="shared" si="151"/>
        <v>0</v>
      </c>
      <c r="AI158" s="1">
        <f ca="1">IF($B158="","",IF($K158="",0,OFFSET($CO$17,R158,W158)))</f>
        <v>0</v>
      </c>
      <c r="AJ158" s="1">
        <f t="shared" ca="1" si="152"/>
        <v>0</v>
      </c>
      <c r="AK158" s="1">
        <f ca="1">IF(AJ158="","",IF(AJ158=0,0,IF(W158=1,0,SUM(OFFSET($CO$17,N158,1):OFFSET($CO$17,N158+W158-2,1))/W158)))</f>
        <v>0</v>
      </c>
      <c r="AL158" s="1">
        <f t="shared" ca="1" si="153"/>
        <v>0</v>
      </c>
      <c r="AM158" s="1">
        <f ca="1">IF($B158="","",SUMIFS($AL$2:AL158,$I$2:I158,$I158))</f>
        <v>20</v>
      </c>
      <c r="AN158" s="1">
        <f t="shared" si="154"/>
        <v>13.000157</v>
      </c>
      <c r="AO158" s="1">
        <f>IFERROR(IF($B158="","",AVERAGEIFS($L$2:L158,$I$2:I158,I158,$L$2:L158,"&lt;&gt;0")),0)</f>
        <v>243.75</v>
      </c>
      <c r="AP158" s="1">
        <f t="shared" si="155"/>
        <v>121.875</v>
      </c>
      <c r="AQ158" s="1">
        <f>IF($B158="","",COUNTIFS($R$2:R158,1,$I$2:I158,$I158))</f>
        <v>0</v>
      </c>
      <c r="AR158" s="1">
        <f t="array" aca="1" ref="AR158" ca="1">IF($B158="","",SUMPRODUCT(--($B$2:$B$313=B158),--(AM158&lt;$AM$2:$AM$313))+1)</f>
        <v>12</v>
      </c>
      <c r="AS158" s="1">
        <f t="array" ref="AS158">IF($B158="","",SUMPRODUCT(--($B$2:$B$313=B158),--(AP158&lt;$AP$2:$AP$313))+1)</f>
        <v>15</v>
      </c>
      <c r="AT158" s="1">
        <f t="array" ref="AT158">IF($B158="","",SUMPRODUCT(--($B$2:$B$313=B158),--(AQ158&lt;$AQ$2:$AQ$313))+1)</f>
        <v>8</v>
      </c>
      <c r="AU158" s="1">
        <f t="shared" si="156"/>
        <v>1.5699999999999999E-7</v>
      </c>
      <c r="AV158" s="1">
        <f t="shared" ca="1" si="157"/>
        <v>0.12150815699999999</v>
      </c>
      <c r="AW158" s="1" t="str">
        <f t="shared" si="129"/>
        <v/>
      </c>
      <c r="AX158" s="1" t="str">
        <f t="shared" si="158"/>
        <v/>
      </c>
      <c r="AY158" s="8">
        <f t="shared" ca="1" si="159"/>
        <v>0.12150815699999999</v>
      </c>
      <c r="AZ158" s="1" cm="1">
        <f t="array" aca="1" ref="AZ158" ca="1">IF($B158="","",SUMPRODUCT(--($B$2:$B$313=B158),--(AY158&gt;$AY$2:$AY$313))+1)</f>
        <v>12</v>
      </c>
      <c r="BA158" s="1" t="str">
        <f t="shared" si="160"/>
        <v>K2024GP09_13_1</v>
      </c>
      <c r="BB158" s="1" t="str">
        <f t="shared" si="161"/>
        <v>K2024GP09_13_2</v>
      </c>
      <c r="BC158" s="1">
        <f t="shared" si="162"/>
        <v>0</v>
      </c>
      <c r="BD158" s="1">
        <f t="shared" si="163"/>
        <v>0</v>
      </c>
      <c r="BE158" s="1">
        <f t="shared" si="164"/>
        <v>1</v>
      </c>
      <c r="BF158" s="1">
        <f t="shared" si="165"/>
        <v>107</v>
      </c>
      <c r="BG158" s="1">
        <f t="shared" si="166"/>
        <v>97</v>
      </c>
      <c r="BH158" s="1">
        <f t="shared" si="167"/>
        <v>13</v>
      </c>
      <c r="BI158" s="1">
        <f t="shared" si="168"/>
        <v>12</v>
      </c>
      <c r="BJ158" s="1">
        <f t="shared" si="169"/>
        <v>0.13120000000000001</v>
      </c>
      <c r="BK158" s="1">
        <f t="shared" si="170"/>
        <v>0</v>
      </c>
      <c r="BL158" s="1">
        <f t="shared" si="171"/>
        <v>9.8999999999999994E-5</v>
      </c>
      <c r="BM158" s="1">
        <f t="shared" si="172"/>
        <v>0.131299</v>
      </c>
      <c r="BN158" s="1">
        <f t="shared" si="173"/>
        <v>0</v>
      </c>
      <c r="BO158" s="1">
        <f t="shared" si="130"/>
        <v>13</v>
      </c>
      <c r="BP158" s="1">
        <f t="shared" si="131"/>
        <v>0</v>
      </c>
      <c r="BQ158" s="1" cm="1">
        <f t="array" ref="BQ158">IF(I158="","",IF(BP158=1,"",IF(L158=0,"",IF(B158=1,"",_xlfn.XLOOKUP(1,($I$2:$I$313=$I158)*($B$2:$B$313=($B158-1)),$BO$2:$BO$313)))))</f>
        <v>11</v>
      </c>
      <c r="BR158" s="1">
        <f>IF(I158="","",IF($B158=1,_xlfn.MINIFS($BO$2:$BO$313,$B$2:$B$313,$B158),_xlfn.MINIFS(BQ$2:$BQ$313,$B$2:$B$313,$B158)))</f>
        <v>1</v>
      </c>
      <c r="BS158" s="1">
        <f t="shared" si="174"/>
        <v>2</v>
      </c>
      <c r="BT158" s="1" t="str" cm="1">
        <f t="array" ref="BT158">IF($I158="","",IF($B158=1,_xlfn.XLOOKUP(1,($B$2:$B$313=$B158)*($BO$2:$BO$313=BR158),Data!$I$2:$I$313,,0),_xlfn.XLOOKUP(1,($B$2:$B$313=$B158)*($BQ$2:$BQ$313=$BR158),$I$2:$I$313,,0)))</f>
        <v>Mika Sola</v>
      </c>
      <c r="BU158" s="1" t="str" cm="1">
        <f t="array" ref="BU158">IF(I158="","",IF($B158=1,_xlfn.XLOOKUP(1,($B$2:$B$313=$B158)*($BO$2:$BO$313=$BS158),$I$2:$I$313,,0),_xlfn.XLOOKUP(1,($B$2:$B$313=$B158)*($BQ$2:$BQ$313=$BS158),$I$2:$I$313,,0)))</f>
        <v>Miika Nordblad</v>
      </c>
      <c r="BV158" s="1" t="str" cm="1">
        <f t="array" ref="BV158">IF($I158="","",IF($B158=1,"",IF($B158=2,_xlfn.XLOOKUP(1,($B$2:$B$313=1)*($BO$2:$BO$313=1),$I$2:$I$313,,0),_xlfn.XLOOKUP($B158-1,$B$2:$B$313,$CH$2:$CH$313,,0))))</f>
        <v>Jami Kallio</v>
      </c>
      <c r="BW158" s="1" t="str" cm="1">
        <f t="array" ref="BW158">IF($I158="","",IF($B158=1,"",IF(_xlfn.XLOOKUP(1,($B$2:$B$313=$B158)*($I$2:$I$313=$BV158),$BQ$2:$BQ$313,,0)="","NOK","OK")))</f>
        <v>OK</v>
      </c>
      <c r="BX158" s="1" t="str">
        <f t="shared" si="175"/>
        <v>Jami Kallio</v>
      </c>
      <c r="BY158" s="1" t="str">
        <f t="shared" si="176"/>
        <v>Mika Sola</v>
      </c>
      <c r="BZ158" s="1">
        <f t="shared" si="177"/>
        <v>195</v>
      </c>
      <c r="CA158" s="1">
        <f t="shared" si="178"/>
        <v>112</v>
      </c>
      <c r="CB158" s="1">
        <f t="shared" si="179"/>
        <v>9.8999999999999994E-5</v>
      </c>
      <c r="CC158" s="1">
        <f t="shared" si="180"/>
        <v>123</v>
      </c>
      <c r="CD158" s="1">
        <f t="shared" si="181"/>
        <v>90</v>
      </c>
      <c r="CE158" s="1">
        <f t="shared" si="182"/>
        <v>9.8999999999999994E-5</v>
      </c>
      <c r="CF158" s="1" t="str">
        <f t="shared" si="183"/>
        <v>Jami Kallio (P)</v>
      </c>
      <c r="CG158" s="1" t="str">
        <f t="shared" si="184"/>
        <v>Mika Sola (1)</v>
      </c>
      <c r="CH158" s="1" t="str">
        <f t="shared" si="185"/>
        <v>Jami Kallio</v>
      </c>
      <c r="CI158" s="1">
        <f t="shared" si="186"/>
        <v>0</v>
      </c>
      <c r="CJ158" s="1" t="str">
        <f ca="1">IF(B158="","",IF(SUM(AI158:AK158)&gt;0,"+SP","")&amp;IF(CI158&gt;0,"+KK","")&amp;IF(AB158&gt;0,"+KGP1","")&amp;IF(AC158&gt;0,"+KGP2","")&amp;IF(AG158&lt;0,"-KGP1","")&amp;IF(AH158&lt;0,"-KGP2",""))</f>
        <v/>
      </c>
    </row>
    <row r="159" spans="1:88" x14ac:dyDescent="0.25">
      <c r="A159" s="1">
        <f>IFERROR(IF(ROW(A158)=1,1,IF(1+A158&lt;=$CP$1*$CP$2,1+A158,"")),"")</f>
        <v>158</v>
      </c>
      <c r="B159" s="1">
        <f>IF($I159="","",IF(ROW(B158)=1,1,ROUNDUP(A159/$CP$2,0)))</f>
        <v>9</v>
      </c>
      <c r="C159" s="4">
        <f t="shared" si="132"/>
        <v>45711</v>
      </c>
      <c r="D159" s="4" t="str">
        <f t="shared" si="126"/>
        <v>Raision keilahalli</v>
      </c>
      <c r="E159" s="1">
        <f>IF($B159="","",COUNTIF($B$2:B159,B159))</f>
        <v>14</v>
      </c>
      <c r="F159" s="1" t="str">
        <f t="shared" si="127"/>
        <v>K2024GP09</v>
      </c>
      <c r="G159" s="1" t="str">
        <f t="shared" si="133"/>
        <v>K2024GP09_14</v>
      </c>
      <c r="H159" s="1">
        <f t="shared" si="134"/>
        <v>1</v>
      </c>
      <c r="I159" s="3" t="s">
        <v>141</v>
      </c>
      <c r="J159" s="3"/>
      <c r="K159" s="3"/>
      <c r="L159" s="1">
        <f t="shared" si="135"/>
        <v>0</v>
      </c>
      <c r="M159" s="1">
        <f t="shared" si="136"/>
        <v>0</v>
      </c>
      <c r="N159" s="1" t="str">
        <f t="shared" si="137"/>
        <v/>
      </c>
      <c r="O159" s="1" t="str">
        <f t="shared" si="138"/>
        <v/>
      </c>
      <c r="P159" s="1" t="str">
        <f t="shared" si="139"/>
        <v/>
      </c>
      <c r="Q159" s="1">
        <f t="array" ref="Q159">IF($B159="","",IF(MAX(IF(B159=$B$2:$B$313,$L$2:$L$313))-L159=0,"",MAX(IF(B159=$B$2:$B$313,$L$2:$L$313))-L159))</f>
        <v>307</v>
      </c>
      <c r="R159" s="1">
        <f t="array" ref="R159">IF($B159="","",SUMPRODUCT(--($B$2:$B$313=B159),--(L159&lt;$L$2:$L$313))+1)</f>
        <v>14</v>
      </c>
      <c r="S159" s="1">
        <f t="shared" si="140"/>
        <v>0</v>
      </c>
      <c r="T159" s="1" t="str" cm="1">
        <f t="array" ref="T159">IF($B159="","",IF(M159=0,"",SUMPRODUCT(--($B$2:$B$313=B159),--(J159&lt;$J$2:$J$313))+1))</f>
        <v/>
      </c>
      <c r="U159" s="1" t="str">
        <f t="shared" si="141"/>
        <v/>
      </c>
      <c r="V159" s="1" t="str">
        <f t="shared" si="142"/>
        <v>0914</v>
      </c>
      <c r="W159" s="1">
        <f t="shared" si="143"/>
        <v>5</v>
      </c>
      <c r="X159" s="1">
        <f t="shared" si="128"/>
        <v>0</v>
      </c>
      <c r="Y159" s="1">
        <f>IF($B159="","",MAX(_xlfn.MAXIFS($J$2:J159,$I$2:I159,$I159),_xlfn.MAXIFS($K$2:K159,$I$2:I159,$I159)))</f>
        <v>184</v>
      </c>
      <c r="Z159" s="1">
        <f t="shared" si="144"/>
        <v>195</v>
      </c>
      <c r="AA159" s="1">
        <f t="shared" si="145"/>
        <v>0</v>
      </c>
      <c r="AB159" s="1">
        <f t="shared" si="146"/>
        <v>0</v>
      </c>
      <c r="AC159" s="1">
        <f t="shared" si="147"/>
        <v>0</v>
      </c>
      <c r="AD159" s="1">
        <f>IF($B159="","",MIN(_xlfn.MINIFS($J$2:J159,$I$2:I159,$I159),_xlfn.MINIFS($K$2:K159,$I$2:I159,$I159)))</f>
        <v>102</v>
      </c>
      <c r="AE159" s="1">
        <f t="shared" si="148"/>
        <v>90</v>
      </c>
      <c r="AF159" s="1">
        <f t="shared" si="149"/>
        <v>0</v>
      </c>
      <c r="AG159" s="1">
        <f t="shared" si="150"/>
        <v>0</v>
      </c>
      <c r="AH159" s="1">
        <f t="shared" si="151"/>
        <v>0</v>
      </c>
      <c r="AI159" s="1">
        <f ca="1">IF($B159="","",IF($K159="",0,OFFSET($CO$17,R159,W159)))</f>
        <v>0</v>
      </c>
      <c r="AJ159" s="1">
        <f t="shared" ca="1" si="152"/>
        <v>0</v>
      </c>
      <c r="AK159" s="1">
        <f ca="1">IF(AJ159="","",IF(AJ159=0,0,IF(W159=1,0,SUM(OFFSET($CO$17,N159,1):OFFSET($CO$17,N159+W159-2,1))/W159)))</f>
        <v>0</v>
      </c>
      <c r="AL159" s="1">
        <f t="shared" si="153"/>
        <v>0</v>
      </c>
      <c r="AM159" s="1">
        <f ca="1">IF($B159="","",SUMIFS($AL$2:AL159,$I$2:I159,$I159))</f>
        <v>23</v>
      </c>
      <c r="AN159" s="1">
        <f t="shared" si="154"/>
        <v>14.000158000000001</v>
      </c>
      <c r="AO159" s="1">
        <f>IFERROR(IF($B159="","",AVERAGEIFS($L$2:L159,$I$2:I159,I159,$L$2:L159,"&lt;&gt;0")),0)</f>
        <v>263.42857142857144</v>
      </c>
      <c r="AP159" s="1">
        <f t="shared" si="155"/>
        <v>131.71428571428572</v>
      </c>
      <c r="AQ159" s="1">
        <f>IF($B159="","",COUNTIFS($R$2:R159,1,$I$2:I159,$I159))</f>
        <v>0</v>
      </c>
      <c r="AR159" s="1">
        <f t="array" aca="1" ref="AR159" ca="1">IF($B159="","",SUMPRODUCT(--($B$2:$B$313=B159),--(AM159&lt;$AM$2:$AM$313))+1)</f>
        <v>10</v>
      </c>
      <c r="AS159" s="1">
        <f t="array" ref="AS159">IF($B159="","",SUMPRODUCT(--($B$2:$B$313=B159),--(AP159&lt;$AP$2:$AP$313))+1)</f>
        <v>11</v>
      </c>
      <c r="AT159" s="1">
        <f t="array" ref="AT159">IF($B159="","",SUMPRODUCT(--($B$2:$B$313=B159),--(AQ159&lt;$AQ$2:$AQ$313))+1)</f>
        <v>8</v>
      </c>
      <c r="AU159" s="1">
        <f t="shared" si="156"/>
        <v>1.5800000000000001E-7</v>
      </c>
      <c r="AV159" s="1">
        <f t="shared" ca="1" si="157"/>
        <v>0.101108158</v>
      </c>
      <c r="AW159" s="1" t="str">
        <f t="shared" si="129"/>
        <v/>
      </c>
      <c r="AX159" s="1" t="str">
        <f t="shared" si="158"/>
        <v/>
      </c>
      <c r="AY159" s="8">
        <f t="shared" ca="1" si="159"/>
        <v>0.101108158</v>
      </c>
      <c r="AZ159" s="1" cm="1">
        <f t="array" aca="1" ref="AZ159" ca="1">IF($B159="","",SUMPRODUCT(--($B$2:$B$313=B159),--(AY159&gt;$AY$2:$AY$313))+1)</f>
        <v>10</v>
      </c>
      <c r="BA159" s="1" t="str">
        <f t="shared" si="160"/>
        <v>K2024GP09_14_1</v>
      </c>
      <c r="BB159" s="1" t="str">
        <f t="shared" si="161"/>
        <v>K2024GP09_14_2</v>
      </c>
      <c r="BC159" s="1">
        <f t="shared" si="162"/>
        <v>0</v>
      </c>
      <c r="BD159" s="1">
        <f t="shared" si="163"/>
        <v>0</v>
      </c>
      <c r="BE159" s="1">
        <f t="shared" si="164"/>
        <v>1</v>
      </c>
      <c r="BF159" s="1">
        <f t="shared" si="165"/>
        <v>0</v>
      </c>
      <c r="BG159" s="1">
        <f t="shared" si="166"/>
        <v>0</v>
      </c>
      <c r="BH159" s="1">
        <f t="shared" si="167"/>
        <v>14</v>
      </c>
      <c r="BI159" s="1">
        <f t="shared" si="168"/>
        <v>14</v>
      </c>
      <c r="BJ159" s="1">
        <f t="shared" si="169"/>
        <v>0.14140000000000003</v>
      </c>
      <c r="BK159" s="1" t="str">
        <f t="shared" si="170"/>
        <v/>
      </c>
      <c r="BL159" s="1">
        <f t="shared" si="171"/>
        <v>9.8999999999999994E-5</v>
      </c>
      <c r="BM159" s="1">
        <f t="shared" si="172"/>
        <v>0.14151490000000003</v>
      </c>
      <c r="BN159" s="1" t="str">
        <f t="shared" si="173"/>
        <v/>
      </c>
      <c r="BO159" s="1">
        <f t="shared" si="130"/>
        <v>14</v>
      </c>
      <c r="BP159" s="1">
        <f t="shared" si="131"/>
        <v>0</v>
      </c>
      <c r="BQ159" s="1" t="str" cm="1">
        <f t="array" ref="BQ159">IF(I159="","",IF(BP159=1,"",IF(L159=0,"",IF(B159=1,"",_xlfn.XLOOKUP(1,($I$2:$I$313=$I159)*($B$2:$B$313=($B159-1)),$BO$2:$BO$313)))))</f>
        <v/>
      </c>
      <c r="BR159" s="1">
        <f>IF(I159="","",IF($B159=1,_xlfn.MINIFS($BO$2:$BO$313,$B$2:$B$313,$B159),_xlfn.MINIFS(BQ$2:$BQ$313,$B$2:$B$313,$B159)))</f>
        <v>1</v>
      </c>
      <c r="BS159" s="1">
        <f t="shared" si="174"/>
        <v>2</v>
      </c>
      <c r="BT159" s="1" t="str" cm="1">
        <f t="array" ref="BT159">IF($I159="","",IF($B159=1,_xlfn.XLOOKUP(1,($B$2:$B$313=$B159)*($BO$2:$BO$313=BR159),Data!$I$2:$I$313,,0),_xlfn.XLOOKUP(1,($B$2:$B$313=$B159)*($BQ$2:$BQ$313=$BR159),$I$2:$I$313,,0)))</f>
        <v>Mika Sola</v>
      </c>
      <c r="BU159" s="1" t="str" cm="1">
        <f t="array" ref="BU159">IF(I159="","",IF($B159=1,_xlfn.XLOOKUP(1,($B$2:$B$313=$B159)*($BO$2:$BO$313=$BS159),$I$2:$I$313,,0),_xlfn.XLOOKUP(1,($B$2:$B$313=$B159)*($BQ$2:$BQ$313=$BS159),$I$2:$I$313,,0)))</f>
        <v>Miika Nordblad</v>
      </c>
      <c r="BV159" s="1" t="str" cm="1">
        <f t="array" ref="BV159">IF($I159="","",IF($B159=1,"",IF($B159=2,_xlfn.XLOOKUP(1,($B$2:$B$313=1)*($BO$2:$BO$313=1),$I$2:$I$313,,0),_xlfn.XLOOKUP($B159-1,$B$2:$B$313,$CH$2:$CH$313,,0))))</f>
        <v>Jami Kallio</v>
      </c>
      <c r="BW159" s="1" t="str" cm="1">
        <f t="array" ref="BW159">IF($I159="","",IF($B159=1,"",IF(_xlfn.XLOOKUP(1,($B$2:$B$313=$B159)*($I$2:$I$313=$BV159),$BQ$2:$BQ$313,,0)="","NOK","OK")))</f>
        <v>OK</v>
      </c>
      <c r="BX159" s="1" t="str">
        <f t="shared" si="175"/>
        <v>Jami Kallio</v>
      </c>
      <c r="BY159" s="1" t="str">
        <f t="shared" si="176"/>
        <v>Mika Sola</v>
      </c>
      <c r="BZ159" s="1">
        <f t="shared" si="177"/>
        <v>195</v>
      </c>
      <c r="CA159" s="1">
        <f t="shared" si="178"/>
        <v>112</v>
      </c>
      <c r="CB159" s="1">
        <f t="shared" si="179"/>
        <v>9.8999999999999994E-5</v>
      </c>
      <c r="CC159" s="1">
        <f t="shared" si="180"/>
        <v>123</v>
      </c>
      <c r="CD159" s="1">
        <f t="shared" si="181"/>
        <v>90</v>
      </c>
      <c r="CE159" s="1">
        <f t="shared" si="182"/>
        <v>9.8999999999999994E-5</v>
      </c>
      <c r="CF159" s="1" t="str">
        <f t="shared" si="183"/>
        <v>Jami Kallio (P)</v>
      </c>
      <c r="CG159" s="1" t="str">
        <f t="shared" si="184"/>
        <v>Mika Sola (1)</v>
      </c>
      <c r="CH159" s="1" t="str">
        <f t="shared" si="185"/>
        <v>Jami Kallio</v>
      </c>
      <c r="CI159" s="1">
        <f t="shared" si="186"/>
        <v>0</v>
      </c>
      <c r="CJ159" s="1" t="str">
        <f ca="1">IF(B159="","",IF(SUM(AI159:AK159)&gt;0,"+SP","")&amp;IF(CI159&gt;0,"+KK","")&amp;IF(AB159&gt;0,"+KGP1","")&amp;IF(AC159&gt;0,"+KGP2","")&amp;IF(AG159&lt;0,"-KGP1","")&amp;IF(AH159&lt;0,"-KGP2",""))</f>
        <v/>
      </c>
    </row>
    <row r="160" spans="1:88" x14ac:dyDescent="0.25">
      <c r="A160" s="1">
        <f>IFERROR(IF(ROW(A159)=1,1,IF(1+A159&lt;=$CP$1*$CP$2,1+A159,"")),"")</f>
        <v>159</v>
      </c>
      <c r="B160" s="1">
        <f>IF($I160="","",IF(ROW(B159)=1,1,ROUNDUP(A160/$CP$2,0)))</f>
        <v>9</v>
      </c>
      <c r="C160" s="4">
        <f t="shared" si="132"/>
        <v>45711</v>
      </c>
      <c r="D160" s="4" t="str">
        <f t="shared" si="126"/>
        <v>Raision keilahalli</v>
      </c>
      <c r="E160" s="1">
        <f>IF($B160="","",COUNTIF($B$2:B160,B160))</f>
        <v>15</v>
      </c>
      <c r="F160" s="1" t="str">
        <f t="shared" si="127"/>
        <v>K2024GP09</v>
      </c>
      <c r="G160" s="1" t="str">
        <f t="shared" si="133"/>
        <v>K2024GP09_15</v>
      </c>
      <c r="H160" s="1">
        <f t="shared" si="134"/>
        <v>1</v>
      </c>
      <c r="I160" s="3" t="s">
        <v>132</v>
      </c>
      <c r="J160" s="3"/>
      <c r="K160" s="3"/>
      <c r="L160" s="1">
        <f t="shared" si="135"/>
        <v>0</v>
      </c>
      <c r="M160" s="1">
        <f t="shared" si="136"/>
        <v>0</v>
      </c>
      <c r="N160" s="1" t="str">
        <f t="shared" si="137"/>
        <v/>
      </c>
      <c r="O160" s="1" t="str">
        <f t="shared" si="138"/>
        <v/>
      </c>
      <c r="P160" s="1" t="str">
        <f t="shared" si="139"/>
        <v/>
      </c>
      <c r="Q160" s="1">
        <f t="array" ref="Q160">IF($B160="","",IF(MAX(IF(B160=$B$2:$B$313,$L$2:$L$313))-L160=0,"",MAX(IF(B160=$B$2:$B$313,$L$2:$L$313))-L160))</f>
        <v>307</v>
      </c>
      <c r="R160" s="1">
        <f t="array" ref="R160">IF($B160="","",SUMPRODUCT(--($B$2:$B$313=B160),--(L160&lt;$L$2:$L$313))+1)</f>
        <v>14</v>
      </c>
      <c r="S160" s="1">
        <f t="shared" si="140"/>
        <v>0</v>
      </c>
      <c r="T160" s="1" t="str" cm="1">
        <f t="array" ref="T160">IF($B160="","",IF(M160=0,"",SUMPRODUCT(--($B$2:$B$313=B160),--(J160&lt;$J$2:$J$313))+1))</f>
        <v/>
      </c>
      <c r="U160" s="1" t="str">
        <f t="shared" si="141"/>
        <v/>
      </c>
      <c r="V160" s="1" t="str">
        <f t="shared" si="142"/>
        <v>0914</v>
      </c>
      <c r="W160" s="1">
        <f t="shared" si="143"/>
        <v>5</v>
      </c>
      <c r="X160" s="1">
        <f t="shared" si="128"/>
        <v>0</v>
      </c>
      <c r="Y160" s="1">
        <f>IF($B160="","",MAX(_xlfn.MAXIFS($J$2:J160,$I$2:I160,$I160),_xlfn.MAXIFS($K$2:K160,$I$2:I160,$I160)))</f>
        <v>156</v>
      </c>
      <c r="Z160" s="1">
        <f t="shared" si="144"/>
        <v>195</v>
      </c>
      <c r="AA160" s="1">
        <f t="shared" si="145"/>
        <v>0</v>
      </c>
      <c r="AB160" s="1">
        <f t="shared" si="146"/>
        <v>0</v>
      </c>
      <c r="AC160" s="1">
        <f t="shared" si="147"/>
        <v>0</v>
      </c>
      <c r="AD160" s="1">
        <f>IF($B160="","",MIN(_xlfn.MINIFS($J$2:J160,$I$2:I160,$I160),_xlfn.MINIFS($K$2:K160,$I$2:I160,$I160)))</f>
        <v>73</v>
      </c>
      <c r="AE160" s="1">
        <f t="shared" si="148"/>
        <v>90</v>
      </c>
      <c r="AF160" s="1">
        <f t="shared" si="149"/>
        <v>0</v>
      </c>
      <c r="AG160" s="1">
        <f t="shared" si="150"/>
        <v>0</v>
      </c>
      <c r="AH160" s="1">
        <f t="shared" si="151"/>
        <v>0</v>
      </c>
      <c r="AI160" s="1">
        <f ca="1">IF($B160="","",IF($K160="",0,OFFSET($CO$17,R160,W160)))</f>
        <v>0</v>
      </c>
      <c r="AJ160" s="1">
        <f t="shared" ca="1" si="152"/>
        <v>0</v>
      </c>
      <c r="AK160" s="1">
        <f ca="1">IF(AJ160="","",IF(AJ160=0,0,IF(W160=1,0,SUM(OFFSET($CO$17,N160,1):OFFSET($CO$17,N160+W160-2,1))/W160)))</f>
        <v>0</v>
      </c>
      <c r="AL160" s="1">
        <f t="shared" si="153"/>
        <v>0</v>
      </c>
      <c r="AM160" s="1">
        <f ca="1">IF($B160="","",SUMIFS($AL$2:AL160,$I$2:I160,$I160))</f>
        <v>11</v>
      </c>
      <c r="AN160" s="1">
        <f t="shared" si="154"/>
        <v>14.000159</v>
      </c>
      <c r="AO160" s="1">
        <f>IFERROR(IF($B160="","",AVERAGEIFS($L$2:L160,$I$2:I160,I160,$L$2:L160,"&lt;&gt;0")),0)</f>
        <v>245</v>
      </c>
      <c r="AP160" s="1">
        <f t="shared" si="155"/>
        <v>122.5</v>
      </c>
      <c r="AQ160" s="1">
        <f>IF($B160="","",COUNTIFS($R$2:R160,1,$I$2:I160,$I160))</f>
        <v>0</v>
      </c>
      <c r="AR160" s="1">
        <f t="array" aca="1" ref="AR160" ca="1">IF($B160="","",SUMPRODUCT(--($B$2:$B$313=B160),--(AM160&lt;$AM$2:$AM$313))+1)</f>
        <v>15</v>
      </c>
      <c r="AS160" s="1">
        <f t="array" ref="AS160">IF($B160="","",SUMPRODUCT(--($B$2:$B$313=B160),--(AP160&lt;$AP$2:$AP$313))+1)</f>
        <v>14</v>
      </c>
      <c r="AT160" s="1">
        <f t="array" ref="AT160">IF($B160="","",SUMPRODUCT(--($B$2:$B$313=B160),--(AQ160&lt;$AQ$2:$AQ$313))+1)</f>
        <v>8</v>
      </c>
      <c r="AU160" s="1">
        <f t="shared" si="156"/>
        <v>1.5900000000000001E-7</v>
      </c>
      <c r="AV160" s="1">
        <f t="shared" ca="1" si="157"/>
        <v>0.15140815900000001</v>
      </c>
      <c r="AW160" s="1" t="str">
        <f t="shared" si="129"/>
        <v/>
      </c>
      <c r="AX160" s="1" t="str">
        <f t="shared" si="158"/>
        <v/>
      </c>
      <c r="AY160" s="8">
        <f t="shared" ca="1" si="159"/>
        <v>0.15140815900000001</v>
      </c>
      <c r="AZ160" s="1" cm="1">
        <f t="array" aca="1" ref="AZ160" ca="1">IF($B160="","",SUMPRODUCT(--($B$2:$B$313=B160),--(AY160&gt;$AY$2:$AY$313))+1)</f>
        <v>15</v>
      </c>
      <c r="BA160" s="1" t="str">
        <f t="shared" si="160"/>
        <v>K2024GP09_15_1</v>
      </c>
      <c r="BB160" s="1" t="str">
        <f t="shared" si="161"/>
        <v>K2024GP09_15_2</v>
      </c>
      <c r="BC160" s="1">
        <f t="shared" si="162"/>
        <v>0</v>
      </c>
      <c r="BD160" s="1">
        <f t="shared" si="163"/>
        <v>0</v>
      </c>
      <c r="BE160" s="1">
        <f t="shared" si="164"/>
        <v>1</v>
      </c>
      <c r="BF160" s="1">
        <f t="shared" si="165"/>
        <v>0</v>
      </c>
      <c r="BG160" s="1">
        <f t="shared" si="166"/>
        <v>0</v>
      </c>
      <c r="BH160" s="1">
        <f t="shared" si="167"/>
        <v>14</v>
      </c>
      <c r="BI160" s="1">
        <f t="shared" si="168"/>
        <v>14</v>
      </c>
      <c r="BJ160" s="1">
        <f t="shared" si="169"/>
        <v>0.14140000000000003</v>
      </c>
      <c r="BK160" s="1" t="str">
        <f t="shared" si="170"/>
        <v/>
      </c>
      <c r="BL160" s="1">
        <f t="shared" si="171"/>
        <v>9.8999999999999994E-5</v>
      </c>
      <c r="BM160" s="1">
        <f t="shared" si="172"/>
        <v>0.141515</v>
      </c>
      <c r="BN160" s="1" t="str">
        <f t="shared" si="173"/>
        <v/>
      </c>
      <c r="BO160" s="1">
        <f t="shared" si="130"/>
        <v>15</v>
      </c>
      <c r="BP160" s="1">
        <f t="shared" si="131"/>
        <v>0</v>
      </c>
      <c r="BQ160" s="1" t="str" cm="1">
        <f t="array" ref="BQ160">IF(I160="","",IF(BP160=1,"",IF(L160=0,"",IF(B160=1,"",_xlfn.XLOOKUP(1,($I$2:$I$313=$I160)*($B$2:$B$313=($B160-1)),$BO$2:$BO$313)))))</f>
        <v/>
      </c>
      <c r="BR160" s="1">
        <f>IF(I160="","",IF($B160=1,_xlfn.MINIFS($BO$2:$BO$313,$B$2:$B$313,$B160),_xlfn.MINIFS(BQ$2:$BQ$313,$B$2:$B$313,$B160)))</f>
        <v>1</v>
      </c>
      <c r="BS160" s="1">
        <f t="shared" si="174"/>
        <v>2</v>
      </c>
      <c r="BT160" s="1" t="str" cm="1">
        <f t="array" ref="BT160">IF($I160="","",IF($B160=1,_xlfn.XLOOKUP(1,($B$2:$B$313=$B160)*($BO$2:$BO$313=BR160),Data!$I$2:$I$313,,0),_xlfn.XLOOKUP(1,($B$2:$B$313=$B160)*($BQ$2:$BQ$313=$BR160),$I$2:$I$313,,0)))</f>
        <v>Mika Sola</v>
      </c>
      <c r="BU160" s="1" t="str" cm="1">
        <f t="array" ref="BU160">IF(I160="","",IF($B160=1,_xlfn.XLOOKUP(1,($B$2:$B$313=$B160)*($BO$2:$BO$313=$BS160),$I$2:$I$313,,0),_xlfn.XLOOKUP(1,($B$2:$B$313=$B160)*($BQ$2:$BQ$313=$BS160),$I$2:$I$313,,0)))</f>
        <v>Miika Nordblad</v>
      </c>
      <c r="BV160" s="1" t="str" cm="1">
        <f t="array" ref="BV160">IF($I160="","",IF($B160=1,"",IF($B160=2,_xlfn.XLOOKUP(1,($B$2:$B$313=1)*($BO$2:$BO$313=1),$I$2:$I$313,,0),_xlfn.XLOOKUP($B160-1,$B$2:$B$313,$CH$2:$CH$313,,0))))</f>
        <v>Jami Kallio</v>
      </c>
      <c r="BW160" s="1" t="str" cm="1">
        <f t="array" ref="BW160">IF($I160="","",IF($B160=1,"",IF(_xlfn.XLOOKUP(1,($B$2:$B$313=$B160)*($I$2:$I$313=$BV160),$BQ$2:$BQ$313,,0)="","NOK","OK")))</f>
        <v>OK</v>
      </c>
      <c r="BX160" s="1" t="str">
        <f t="shared" si="175"/>
        <v>Jami Kallio</v>
      </c>
      <c r="BY160" s="1" t="str">
        <f t="shared" si="176"/>
        <v>Mika Sola</v>
      </c>
      <c r="BZ160" s="1">
        <f t="shared" si="177"/>
        <v>195</v>
      </c>
      <c r="CA160" s="1">
        <f t="shared" si="178"/>
        <v>112</v>
      </c>
      <c r="CB160" s="1">
        <f t="shared" si="179"/>
        <v>9.8999999999999994E-5</v>
      </c>
      <c r="CC160" s="1">
        <f t="shared" si="180"/>
        <v>123</v>
      </c>
      <c r="CD160" s="1">
        <f t="shared" si="181"/>
        <v>90</v>
      </c>
      <c r="CE160" s="1">
        <f t="shared" si="182"/>
        <v>9.8999999999999994E-5</v>
      </c>
      <c r="CF160" s="1" t="str">
        <f t="shared" si="183"/>
        <v>Jami Kallio (P)</v>
      </c>
      <c r="CG160" s="1" t="str">
        <f t="shared" si="184"/>
        <v>Mika Sola (1)</v>
      </c>
      <c r="CH160" s="1" t="str">
        <f t="shared" si="185"/>
        <v>Jami Kallio</v>
      </c>
      <c r="CI160" s="1">
        <f t="shared" si="186"/>
        <v>0</v>
      </c>
      <c r="CJ160" s="1" t="str">
        <f ca="1">IF(B160="","",IF(SUM(AI160:AK160)&gt;0,"+SP","")&amp;IF(CI160&gt;0,"+KK","")&amp;IF(AB160&gt;0,"+KGP1","")&amp;IF(AC160&gt;0,"+KGP2","")&amp;IF(AG160&lt;0,"-KGP1","")&amp;IF(AH160&lt;0,"-KGP2",""))</f>
        <v/>
      </c>
    </row>
    <row r="161" spans="1:88" x14ac:dyDescent="0.25">
      <c r="A161" s="1">
        <f>IFERROR(IF(ROW(A160)=1,1,IF(1+A160&lt;=$CP$1*$CP$2,1+A160,"")),"")</f>
        <v>160</v>
      </c>
      <c r="B161" s="1">
        <f>IF($I161="","",IF(ROW(B160)=1,1,ROUNDUP(A161/$CP$2,0)))</f>
        <v>9</v>
      </c>
      <c r="C161" s="4">
        <f t="shared" si="132"/>
        <v>45711</v>
      </c>
      <c r="D161" s="4" t="str">
        <f t="shared" si="126"/>
        <v>Raision keilahalli</v>
      </c>
      <c r="E161" s="1">
        <f>IF($B161="","",COUNTIF($B$2:B161,B161))</f>
        <v>16</v>
      </c>
      <c r="F161" s="1" t="str">
        <f t="shared" si="127"/>
        <v>K2024GP09</v>
      </c>
      <c r="G161" s="1" t="str">
        <f t="shared" si="133"/>
        <v>K2024GP09_16</v>
      </c>
      <c r="H161" s="1">
        <f t="shared" si="134"/>
        <v>1</v>
      </c>
      <c r="I161" s="3" t="s">
        <v>136</v>
      </c>
      <c r="J161" s="3"/>
      <c r="K161" s="3"/>
      <c r="L161" s="1">
        <f t="shared" si="135"/>
        <v>0</v>
      </c>
      <c r="M161" s="1">
        <f t="shared" si="136"/>
        <v>0</v>
      </c>
      <c r="N161" s="1" t="str">
        <f t="shared" si="137"/>
        <v/>
      </c>
      <c r="O161" s="1" t="str">
        <f t="shared" si="138"/>
        <v/>
      </c>
      <c r="P161" s="1" t="str">
        <f t="shared" si="139"/>
        <v/>
      </c>
      <c r="Q161" s="1">
        <f t="array" ref="Q161">IF($B161="","",IF(MAX(IF(B161=$B$2:$B$313,$L$2:$L$313))-L161=0,"",MAX(IF(B161=$B$2:$B$313,$L$2:$L$313))-L161))</f>
        <v>307</v>
      </c>
      <c r="R161" s="1">
        <f t="array" ref="R161">IF($B161="","",SUMPRODUCT(--($B$2:$B$313=B161),--(L161&lt;$L$2:$L$313))+1)</f>
        <v>14</v>
      </c>
      <c r="S161" s="1">
        <f t="shared" si="140"/>
        <v>0</v>
      </c>
      <c r="T161" s="1" t="str" cm="1">
        <f t="array" ref="T161">IF($B161="","",IF(M161=0,"",SUMPRODUCT(--($B$2:$B$313=B161),--(J161&lt;$J$2:$J$313))+1))</f>
        <v/>
      </c>
      <c r="U161" s="1" t="str">
        <f t="shared" si="141"/>
        <v/>
      </c>
      <c r="V161" s="1" t="str">
        <f t="shared" si="142"/>
        <v>0914</v>
      </c>
      <c r="W161" s="1">
        <f t="shared" si="143"/>
        <v>5</v>
      </c>
      <c r="X161" s="1">
        <f t="shared" si="128"/>
        <v>0</v>
      </c>
      <c r="Y161" s="1">
        <f>IF($B161="","",MAX(_xlfn.MAXIFS($J$2:J161,$I$2:I161,$I161),_xlfn.MAXIFS($K$2:K161,$I$2:I161,$I161)))</f>
        <v>165</v>
      </c>
      <c r="Z161" s="1">
        <f t="shared" si="144"/>
        <v>195</v>
      </c>
      <c r="AA161" s="1">
        <f t="shared" si="145"/>
        <v>0</v>
      </c>
      <c r="AB161" s="1">
        <f t="shared" si="146"/>
        <v>0</v>
      </c>
      <c r="AC161" s="1">
        <f t="shared" si="147"/>
        <v>0</v>
      </c>
      <c r="AD161" s="1">
        <f>IF($B161="","",MIN(_xlfn.MINIFS($J$2:J161,$I$2:I161,$I161),_xlfn.MINIFS($K$2:K161,$I$2:I161,$I161)))</f>
        <v>127</v>
      </c>
      <c r="AE161" s="1">
        <f t="shared" si="148"/>
        <v>90</v>
      </c>
      <c r="AF161" s="1">
        <f t="shared" si="149"/>
        <v>0</v>
      </c>
      <c r="AG161" s="1">
        <f t="shared" si="150"/>
        <v>0</v>
      </c>
      <c r="AH161" s="1">
        <f t="shared" si="151"/>
        <v>0</v>
      </c>
      <c r="AI161" s="1">
        <f ca="1">IF($B161="","",IF($K161="",0,OFFSET($CO$17,R161,W161)))</f>
        <v>0</v>
      </c>
      <c r="AJ161" s="1">
        <f t="shared" ca="1" si="152"/>
        <v>0</v>
      </c>
      <c r="AK161" s="1">
        <f ca="1">IF(AJ161="","",IF(AJ161=0,0,IF(W161=1,0,SUM(OFFSET($CO$17,N161,1):OFFSET($CO$17,N161+W161-2,1))/W161)))</f>
        <v>0</v>
      </c>
      <c r="AL161" s="1">
        <f t="shared" si="153"/>
        <v>0</v>
      </c>
      <c r="AM161" s="1">
        <f ca="1">IF($B161="","",SUMIFS($AL$2:AL161,$I$2:I161,$I161))</f>
        <v>17</v>
      </c>
      <c r="AN161" s="1">
        <f t="shared" si="154"/>
        <v>14.000159999999999</v>
      </c>
      <c r="AO161" s="1">
        <f>IFERROR(IF($B161="","",AVERAGEIFS($L$2:L161,$I$2:I161,I161,$L$2:L161,"&lt;&gt;0")),0)</f>
        <v>285</v>
      </c>
      <c r="AP161" s="1">
        <f t="shared" si="155"/>
        <v>142.5</v>
      </c>
      <c r="AQ161" s="1">
        <f>IF($B161="","",COUNTIFS($R$2:R161,1,$I$2:I161,$I161))</f>
        <v>0</v>
      </c>
      <c r="AR161" s="1">
        <f t="array" aca="1" ref="AR161" ca="1">IF($B161="","",SUMPRODUCT(--($B$2:$B$313=B161),--(AM161&lt;$AM$2:$AM$313))+1)</f>
        <v>13</v>
      </c>
      <c r="AS161" s="1">
        <f t="array" ref="AS161">IF($B161="","",SUMPRODUCT(--($B$2:$B$313=B161),--(AP161&lt;$AP$2:$AP$313))+1)</f>
        <v>5</v>
      </c>
      <c r="AT161" s="1">
        <f t="array" ref="AT161">IF($B161="","",SUMPRODUCT(--($B$2:$B$313=B161),--(AQ161&lt;$AQ$2:$AQ$313))+1)</f>
        <v>8</v>
      </c>
      <c r="AU161" s="1">
        <f t="shared" si="156"/>
        <v>1.6E-7</v>
      </c>
      <c r="AV161" s="1">
        <f t="shared" ca="1" si="157"/>
        <v>0.13050816000000001</v>
      </c>
      <c r="AW161" s="1" t="str">
        <f t="shared" si="129"/>
        <v/>
      </c>
      <c r="AX161" s="1" t="str">
        <f t="shared" si="158"/>
        <v/>
      </c>
      <c r="AY161" s="8">
        <f t="shared" ca="1" si="159"/>
        <v>0.13050816000000001</v>
      </c>
      <c r="AZ161" s="1" cm="1">
        <f t="array" aca="1" ref="AZ161" ca="1">IF($B161="","",SUMPRODUCT(--($B$2:$B$313=B161),--(AY161&gt;$AY$2:$AY$313))+1)</f>
        <v>13</v>
      </c>
      <c r="BA161" s="1" t="str">
        <f t="shared" si="160"/>
        <v>K2024GP09_16_1</v>
      </c>
      <c r="BB161" s="1" t="str">
        <f t="shared" si="161"/>
        <v>K2024GP09_16_2</v>
      </c>
      <c r="BC161" s="1">
        <f t="shared" si="162"/>
        <v>0</v>
      </c>
      <c r="BD161" s="1">
        <f t="shared" si="163"/>
        <v>0</v>
      </c>
      <c r="BE161" s="1">
        <f t="shared" si="164"/>
        <v>1</v>
      </c>
      <c r="BF161" s="1">
        <f t="shared" si="165"/>
        <v>0</v>
      </c>
      <c r="BG161" s="1">
        <f t="shared" si="166"/>
        <v>0</v>
      </c>
      <c r="BH161" s="1">
        <f t="shared" si="167"/>
        <v>14</v>
      </c>
      <c r="BI161" s="1">
        <f t="shared" si="168"/>
        <v>14</v>
      </c>
      <c r="BJ161" s="1">
        <f t="shared" si="169"/>
        <v>0.14140000000000003</v>
      </c>
      <c r="BK161" s="1" t="str">
        <f t="shared" si="170"/>
        <v/>
      </c>
      <c r="BL161" s="1">
        <f t="shared" si="171"/>
        <v>9.8999999999999994E-5</v>
      </c>
      <c r="BM161" s="1">
        <f t="shared" si="172"/>
        <v>0.1415151</v>
      </c>
      <c r="BN161" s="1" t="str">
        <f t="shared" si="173"/>
        <v/>
      </c>
      <c r="BO161" s="1">
        <f t="shared" si="130"/>
        <v>16</v>
      </c>
      <c r="BP161" s="1">
        <f t="shared" si="131"/>
        <v>0</v>
      </c>
      <c r="BQ161" s="1" t="str" cm="1">
        <f t="array" ref="BQ161">IF(I161="","",IF(BP161=1,"",IF(L161=0,"",IF(B161=1,"",_xlfn.XLOOKUP(1,($I$2:$I$313=$I161)*($B$2:$B$313=($B161-1)),$BO$2:$BO$313)))))</f>
        <v/>
      </c>
      <c r="BR161" s="1">
        <f>IF(I161="","",IF($B161=1,_xlfn.MINIFS($BO$2:$BO$313,$B$2:$B$313,$B161),_xlfn.MINIFS(BQ$2:$BQ$313,$B$2:$B$313,$B161)))</f>
        <v>1</v>
      </c>
      <c r="BS161" s="1">
        <f t="shared" si="174"/>
        <v>2</v>
      </c>
      <c r="BT161" s="1" t="str" cm="1">
        <f t="array" ref="BT161">IF($I161="","",IF($B161=1,_xlfn.XLOOKUP(1,($B$2:$B$313=$B161)*($BO$2:$BO$313=BR161),Data!$I$2:$I$313,,0),_xlfn.XLOOKUP(1,($B$2:$B$313=$B161)*($BQ$2:$BQ$313=$BR161),$I$2:$I$313,,0)))</f>
        <v>Mika Sola</v>
      </c>
      <c r="BU161" s="1" t="str" cm="1">
        <f t="array" ref="BU161">IF(I161="","",IF($B161=1,_xlfn.XLOOKUP(1,($B$2:$B$313=$B161)*($BO$2:$BO$313=$BS161),$I$2:$I$313,,0),_xlfn.XLOOKUP(1,($B$2:$B$313=$B161)*($BQ$2:$BQ$313=$BS161),$I$2:$I$313,,0)))</f>
        <v>Miika Nordblad</v>
      </c>
      <c r="BV161" s="1" t="str" cm="1">
        <f t="array" ref="BV161">IF($I161="","",IF($B161=1,"",IF($B161=2,_xlfn.XLOOKUP(1,($B$2:$B$313=1)*($BO$2:$BO$313=1),$I$2:$I$313,,0),_xlfn.XLOOKUP($B161-1,$B$2:$B$313,$CH$2:$CH$313,,0))))</f>
        <v>Jami Kallio</v>
      </c>
      <c r="BW161" s="1" t="str" cm="1">
        <f t="array" ref="BW161">IF($I161="","",IF($B161=1,"",IF(_xlfn.XLOOKUP(1,($B$2:$B$313=$B161)*($I$2:$I$313=$BV161),$BQ$2:$BQ$313,,0)="","NOK","OK")))</f>
        <v>OK</v>
      </c>
      <c r="BX161" s="1" t="str">
        <f t="shared" si="175"/>
        <v>Jami Kallio</v>
      </c>
      <c r="BY161" s="1" t="str">
        <f t="shared" si="176"/>
        <v>Mika Sola</v>
      </c>
      <c r="BZ161" s="1">
        <f t="shared" si="177"/>
        <v>195</v>
      </c>
      <c r="CA161" s="1">
        <f t="shared" si="178"/>
        <v>112</v>
      </c>
      <c r="CB161" s="1">
        <f t="shared" si="179"/>
        <v>9.8999999999999994E-5</v>
      </c>
      <c r="CC161" s="1">
        <f t="shared" si="180"/>
        <v>123</v>
      </c>
      <c r="CD161" s="1">
        <f t="shared" si="181"/>
        <v>90</v>
      </c>
      <c r="CE161" s="1">
        <f t="shared" si="182"/>
        <v>9.8999999999999994E-5</v>
      </c>
      <c r="CF161" s="1" t="str">
        <f t="shared" si="183"/>
        <v>Jami Kallio (P)</v>
      </c>
      <c r="CG161" s="1" t="str">
        <f t="shared" si="184"/>
        <v>Mika Sola (1)</v>
      </c>
      <c r="CH161" s="1" t="str">
        <f t="shared" si="185"/>
        <v>Jami Kallio</v>
      </c>
      <c r="CI161" s="1">
        <f t="shared" si="186"/>
        <v>0</v>
      </c>
      <c r="CJ161" s="1" t="str">
        <f ca="1">IF(B161="","",IF(SUM(AI161:AK161)&gt;0,"+SP","")&amp;IF(CI161&gt;0,"+KK","")&amp;IF(AB161&gt;0,"+KGP1","")&amp;IF(AC161&gt;0,"+KGP2","")&amp;IF(AG161&lt;0,"-KGP1","")&amp;IF(AH161&lt;0,"-KGP2",""))</f>
        <v/>
      </c>
    </row>
    <row r="162" spans="1:88" x14ac:dyDescent="0.25">
      <c r="A162" s="1">
        <f>IFERROR(IF(ROW(A161)=1,1,IF(1+A161&lt;=$CP$1*$CP$2,1+A161,"")),"")</f>
        <v>161</v>
      </c>
      <c r="B162" s="1">
        <f>IF($I162="","",IF(ROW(B161)=1,1,ROUNDUP(A162/$CP$2,0)))</f>
        <v>9</v>
      </c>
      <c r="C162" s="4">
        <f t="shared" si="132"/>
        <v>45711</v>
      </c>
      <c r="D162" s="4" t="str">
        <f t="shared" si="126"/>
        <v>Raision keilahalli</v>
      </c>
      <c r="E162" s="1">
        <f>IF($B162="","",COUNTIF($B$2:B162,B162))</f>
        <v>17</v>
      </c>
      <c r="F162" s="1" t="str">
        <f t="shared" si="127"/>
        <v>K2024GP09</v>
      </c>
      <c r="G162" s="1" t="str">
        <f t="shared" si="133"/>
        <v>K2024GP09_17</v>
      </c>
      <c r="H162" s="1">
        <f t="shared" si="134"/>
        <v>1</v>
      </c>
      <c r="I162" s="3" t="s">
        <v>144</v>
      </c>
      <c r="J162" s="3"/>
      <c r="K162" s="3"/>
      <c r="L162" s="1">
        <f t="shared" si="135"/>
        <v>0</v>
      </c>
      <c r="M162" s="1">
        <f t="shared" si="136"/>
        <v>0</v>
      </c>
      <c r="N162" s="1" t="str">
        <f t="shared" si="137"/>
        <v/>
      </c>
      <c r="O162" s="1" t="str">
        <f t="shared" si="138"/>
        <v/>
      </c>
      <c r="P162" s="1" t="str">
        <f t="shared" si="139"/>
        <v/>
      </c>
      <c r="Q162" s="1">
        <f t="array" ref="Q162">IF($B162="","",IF(MAX(IF(B162=$B$2:$B$313,$L$2:$L$313))-L162=0,"",MAX(IF(B162=$B$2:$B$313,$L$2:$L$313))-L162))</f>
        <v>307</v>
      </c>
      <c r="R162" s="1">
        <f t="array" ref="R162">IF($B162="","",SUMPRODUCT(--($B$2:$B$313=B162),--(L162&lt;$L$2:$L$313))+1)</f>
        <v>14</v>
      </c>
      <c r="S162" s="1">
        <f t="shared" si="140"/>
        <v>0</v>
      </c>
      <c r="T162" s="1" t="str" cm="1">
        <f t="array" ref="T162">IF($B162="","",IF(M162=0,"",SUMPRODUCT(--($B$2:$B$313=B162),--(J162&lt;$J$2:$J$313))+1))</f>
        <v/>
      </c>
      <c r="U162" s="1" t="str">
        <f t="shared" si="141"/>
        <v/>
      </c>
      <c r="V162" s="1" t="str">
        <f t="shared" si="142"/>
        <v>0914</v>
      </c>
      <c r="W162" s="1">
        <f t="shared" si="143"/>
        <v>5</v>
      </c>
      <c r="X162" s="1">
        <f t="shared" si="128"/>
        <v>0</v>
      </c>
      <c r="Y162" s="1">
        <f>IF($B162="","",MAX(_xlfn.MAXIFS($J$2:J162,$I$2:I162,$I162),_xlfn.MAXIFS($K$2:K162,$I$2:I162,$I162)))</f>
        <v>193</v>
      </c>
      <c r="Z162" s="1">
        <f t="shared" si="144"/>
        <v>195</v>
      </c>
      <c r="AA162" s="1">
        <f t="shared" si="145"/>
        <v>0</v>
      </c>
      <c r="AB162" s="1">
        <f t="shared" si="146"/>
        <v>0</v>
      </c>
      <c r="AC162" s="1">
        <f t="shared" si="147"/>
        <v>0</v>
      </c>
      <c r="AD162" s="1">
        <f>IF($B162="","",MIN(_xlfn.MINIFS($J$2:J162,$I$2:I162,$I162),_xlfn.MINIFS($K$2:K162,$I$2:I162,$I162)))</f>
        <v>82</v>
      </c>
      <c r="AE162" s="1">
        <f t="shared" si="148"/>
        <v>90</v>
      </c>
      <c r="AF162" s="1">
        <f t="shared" si="149"/>
        <v>0</v>
      </c>
      <c r="AG162" s="1">
        <f t="shared" si="150"/>
        <v>0</v>
      </c>
      <c r="AH162" s="1">
        <f t="shared" si="151"/>
        <v>0</v>
      </c>
      <c r="AI162" s="1">
        <f ca="1">IF($B162="","",IF($K162="",0,OFFSET($CO$17,R162,W162)))</f>
        <v>0</v>
      </c>
      <c r="AJ162" s="1">
        <f t="shared" ca="1" si="152"/>
        <v>0</v>
      </c>
      <c r="AK162" s="1">
        <f ca="1">IF(AJ162="","",IF(AJ162=0,0,IF(W162=1,0,SUM(OFFSET($CO$17,N162,1):OFFSET($CO$17,N162+W162-2,1))/W162)))</f>
        <v>0</v>
      </c>
      <c r="AL162" s="1">
        <f t="shared" si="153"/>
        <v>0</v>
      </c>
      <c r="AM162" s="1">
        <f ca="1">IF($B162="","",SUMIFS($AL$2:AL162,$I$2:I162,$I162))</f>
        <v>15</v>
      </c>
      <c r="AN162" s="1">
        <f t="shared" si="154"/>
        <v>14.000161</v>
      </c>
      <c r="AO162" s="1">
        <f>IFERROR(IF($B162="","",AVERAGEIFS($L$2:L162,$I$2:I162,I162,$L$2:L162,"&lt;&gt;0")),0)</f>
        <v>255.8</v>
      </c>
      <c r="AP162" s="1">
        <f t="shared" si="155"/>
        <v>127.9</v>
      </c>
      <c r="AQ162" s="1">
        <f>IF($B162="","",COUNTIFS($R$2:R162,1,$I$2:I162,$I162))</f>
        <v>0</v>
      </c>
      <c r="AR162" s="1">
        <f t="array" aca="1" ref="AR162" ca="1">IF($B162="","",SUMPRODUCT(--($B$2:$B$313=B162),--(AM162&lt;$AM$2:$AM$313))+1)</f>
        <v>14</v>
      </c>
      <c r="AS162" s="1">
        <f t="array" ref="AS162">IF($B162="","",SUMPRODUCT(--($B$2:$B$313=B162),--(AP162&lt;$AP$2:$AP$313))+1)</f>
        <v>12</v>
      </c>
      <c r="AT162" s="1">
        <f t="array" ref="AT162">IF($B162="","",SUMPRODUCT(--($B$2:$B$313=B162),--(AQ162&lt;$AQ$2:$AQ$313))+1)</f>
        <v>8</v>
      </c>
      <c r="AU162" s="1">
        <f t="shared" si="156"/>
        <v>1.61E-7</v>
      </c>
      <c r="AV162" s="1">
        <f t="shared" ca="1" si="157"/>
        <v>0.14120816100000003</v>
      </c>
      <c r="AW162" s="1" t="str">
        <f t="shared" si="129"/>
        <v/>
      </c>
      <c r="AX162" s="1" t="str">
        <f t="shared" si="158"/>
        <v/>
      </c>
      <c r="AY162" s="8">
        <f t="shared" ca="1" si="159"/>
        <v>0.14120816100000003</v>
      </c>
      <c r="AZ162" s="1" cm="1">
        <f t="array" aca="1" ref="AZ162" ca="1">IF($B162="","",SUMPRODUCT(--($B$2:$B$313=B162),--(AY162&gt;$AY$2:$AY$313))+1)</f>
        <v>14</v>
      </c>
      <c r="BA162" s="1" t="str">
        <f t="shared" si="160"/>
        <v>K2024GP09_17_1</v>
      </c>
      <c r="BB162" s="1" t="str">
        <f t="shared" si="161"/>
        <v>K2024GP09_17_2</v>
      </c>
      <c r="BC162" s="1">
        <f t="shared" si="162"/>
        <v>0</v>
      </c>
      <c r="BD162" s="1">
        <f t="shared" si="163"/>
        <v>0</v>
      </c>
      <c r="BE162" s="1">
        <f t="shared" si="164"/>
        <v>1</v>
      </c>
      <c r="BF162" s="1">
        <f t="shared" si="165"/>
        <v>0</v>
      </c>
      <c r="BG162" s="1">
        <f t="shared" si="166"/>
        <v>0</v>
      </c>
      <c r="BH162" s="1">
        <f t="shared" si="167"/>
        <v>14</v>
      </c>
      <c r="BI162" s="1">
        <f t="shared" si="168"/>
        <v>14</v>
      </c>
      <c r="BJ162" s="1">
        <f t="shared" si="169"/>
        <v>0.14140000000000003</v>
      </c>
      <c r="BK162" s="1" t="str">
        <f t="shared" si="170"/>
        <v/>
      </c>
      <c r="BL162" s="1">
        <f t="shared" si="171"/>
        <v>9.8999999999999994E-5</v>
      </c>
      <c r="BM162" s="1">
        <f t="shared" si="172"/>
        <v>0.14151520000000001</v>
      </c>
      <c r="BN162" s="1" t="str">
        <f t="shared" si="173"/>
        <v/>
      </c>
      <c r="BO162" s="1">
        <f t="shared" si="130"/>
        <v>17</v>
      </c>
      <c r="BP162" s="1">
        <f t="shared" si="131"/>
        <v>0</v>
      </c>
      <c r="BQ162" s="1" t="str" cm="1">
        <f t="array" ref="BQ162">IF(I162="","",IF(BP162=1,"",IF(L162=0,"",IF(B162=1,"",_xlfn.XLOOKUP(1,($I$2:$I$313=$I162)*($B$2:$B$313=($B162-1)),$BO$2:$BO$313)))))</f>
        <v/>
      </c>
      <c r="BR162" s="1">
        <f>IF(I162="","",IF($B162=1,_xlfn.MINIFS($BO$2:$BO$313,$B$2:$B$313,$B162),_xlfn.MINIFS(BQ$2:$BQ$313,$B$2:$B$313,$B162)))</f>
        <v>1</v>
      </c>
      <c r="BS162" s="1">
        <f t="shared" si="174"/>
        <v>2</v>
      </c>
      <c r="BT162" s="1" t="str" cm="1">
        <f t="array" ref="BT162">IF($I162="","",IF($B162=1,_xlfn.XLOOKUP(1,($B$2:$B$313=$B162)*($BO$2:$BO$313=BR162),Data!$I$2:$I$313,,0),_xlfn.XLOOKUP(1,($B$2:$B$313=$B162)*($BQ$2:$BQ$313=$BR162),$I$2:$I$313,,0)))</f>
        <v>Mika Sola</v>
      </c>
      <c r="BU162" s="1" t="str" cm="1">
        <f t="array" ref="BU162">IF(I162="","",IF($B162=1,_xlfn.XLOOKUP(1,($B$2:$B$313=$B162)*($BO$2:$BO$313=$BS162),$I$2:$I$313,,0),_xlfn.XLOOKUP(1,($B$2:$B$313=$B162)*($BQ$2:$BQ$313=$BS162),$I$2:$I$313,,0)))</f>
        <v>Miika Nordblad</v>
      </c>
      <c r="BV162" s="1" t="str" cm="1">
        <f t="array" ref="BV162">IF($I162="","",IF($B162=1,"",IF($B162=2,_xlfn.XLOOKUP(1,($B$2:$B$313=1)*($BO$2:$BO$313=1),$I$2:$I$313,,0),_xlfn.XLOOKUP($B162-1,$B$2:$B$313,$CH$2:$CH$313,,0))))</f>
        <v>Jami Kallio</v>
      </c>
      <c r="BW162" s="1" t="str" cm="1">
        <f t="array" ref="BW162">IF($I162="","",IF($B162=1,"",IF(_xlfn.XLOOKUP(1,($B$2:$B$313=$B162)*($I$2:$I$313=$BV162),$BQ$2:$BQ$313,,0)="","NOK","OK")))</f>
        <v>OK</v>
      </c>
      <c r="BX162" s="1" t="str">
        <f t="shared" si="175"/>
        <v>Jami Kallio</v>
      </c>
      <c r="BY162" s="1" t="str">
        <f t="shared" si="176"/>
        <v>Mika Sola</v>
      </c>
      <c r="BZ162" s="1">
        <f t="shared" si="177"/>
        <v>195</v>
      </c>
      <c r="CA162" s="1">
        <f t="shared" si="178"/>
        <v>112</v>
      </c>
      <c r="CB162" s="1">
        <f t="shared" si="179"/>
        <v>9.8999999999999994E-5</v>
      </c>
      <c r="CC162" s="1">
        <f t="shared" si="180"/>
        <v>123</v>
      </c>
      <c r="CD162" s="1">
        <f t="shared" si="181"/>
        <v>90</v>
      </c>
      <c r="CE162" s="1">
        <f t="shared" si="182"/>
        <v>9.8999999999999994E-5</v>
      </c>
      <c r="CF162" s="1" t="str">
        <f t="shared" si="183"/>
        <v>Jami Kallio (P)</v>
      </c>
      <c r="CG162" s="1" t="str">
        <f t="shared" si="184"/>
        <v>Mika Sola (1)</v>
      </c>
      <c r="CH162" s="1" t="str">
        <f t="shared" si="185"/>
        <v>Jami Kallio</v>
      </c>
      <c r="CI162" s="1">
        <f t="shared" si="186"/>
        <v>0</v>
      </c>
      <c r="CJ162" s="1" t="str">
        <f ca="1">IF(B162="","",IF(SUM(AI162:AK162)&gt;0,"+SP","")&amp;IF(CI162&gt;0,"+KK","")&amp;IF(AB162&gt;0,"+KGP1","")&amp;IF(AC162&gt;0,"+KGP2","")&amp;IF(AG162&lt;0,"-KGP1","")&amp;IF(AH162&lt;0,"-KGP2",""))</f>
        <v/>
      </c>
    </row>
    <row r="163" spans="1:88" x14ac:dyDescent="0.25">
      <c r="A163" s="1">
        <f>IFERROR(IF(ROW(A162)=1,1,IF(1+A162&lt;=$CP$1*$CP$2,1+A162,"")),"")</f>
        <v>162</v>
      </c>
      <c r="B163" s="1">
        <f>IF($I163="","",IF(ROW(B162)=1,1,ROUNDUP(A163/$CP$2,0)))</f>
        <v>9</v>
      </c>
      <c r="C163" s="4">
        <f t="shared" si="132"/>
        <v>45711</v>
      </c>
      <c r="D163" s="4" t="str">
        <f t="shared" si="126"/>
        <v>Raision keilahalli</v>
      </c>
      <c r="E163" s="1">
        <f>IF($B163="","",COUNTIF($B$2:B163,B163))</f>
        <v>18</v>
      </c>
      <c r="F163" s="1" t="str">
        <f t="shared" si="127"/>
        <v>K2024GP09</v>
      </c>
      <c r="G163" s="1" t="str">
        <f t="shared" si="133"/>
        <v>K2024GP09_18</v>
      </c>
      <c r="H163" s="1">
        <f t="shared" si="134"/>
        <v>1</v>
      </c>
      <c r="I163" s="3" t="s">
        <v>135</v>
      </c>
      <c r="J163" s="3"/>
      <c r="K163" s="3"/>
      <c r="L163" s="1">
        <f t="shared" si="135"/>
        <v>0</v>
      </c>
      <c r="M163" s="1">
        <f t="shared" si="136"/>
        <v>0</v>
      </c>
      <c r="N163" s="1" t="str">
        <f t="shared" si="137"/>
        <v/>
      </c>
      <c r="O163" s="1" t="str">
        <f t="shared" si="138"/>
        <v/>
      </c>
      <c r="P163" s="1" t="str">
        <f t="shared" si="139"/>
        <v/>
      </c>
      <c r="Q163" s="1">
        <f t="array" ref="Q163">IF($B163="","",IF(MAX(IF(B163=$B$2:$B$313,$L$2:$L$313))-L163=0,"",MAX(IF(B163=$B$2:$B$313,$L$2:$L$313))-L163))</f>
        <v>307</v>
      </c>
      <c r="R163" s="1">
        <f t="array" ref="R163">IF($B163="","",SUMPRODUCT(--($B$2:$B$313=B163),--(L163&lt;$L$2:$L$313))+1)</f>
        <v>14</v>
      </c>
      <c r="S163" s="1">
        <f t="shared" si="140"/>
        <v>0</v>
      </c>
      <c r="T163" s="1" t="str" cm="1">
        <f t="array" ref="T163">IF($B163="","",IF(M163=0,"",SUMPRODUCT(--($B$2:$B$313=B163),--(J163&lt;$J$2:$J$313))+1))</f>
        <v/>
      </c>
      <c r="U163" s="1" t="str">
        <f t="shared" si="141"/>
        <v/>
      </c>
      <c r="V163" s="1" t="str">
        <f t="shared" si="142"/>
        <v>0914</v>
      </c>
      <c r="W163" s="1">
        <f t="shared" si="143"/>
        <v>5</v>
      </c>
      <c r="X163" s="1">
        <f t="shared" si="128"/>
        <v>0</v>
      </c>
      <c r="Y163" s="1">
        <f>IF($B163="","",MAX(_xlfn.MAXIFS($J$2:J163,$I$2:I163,$I163),_xlfn.MAXIFS($K$2:K163,$I$2:I163,$I163)))</f>
        <v>129</v>
      </c>
      <c r="Z163" s="1">
        <f t="shared" si="144"/>
        <v>195</v>
      </c>
      <c r="AA163" s="1">
        <f t="shared" si="145"/>
        <v>0</v>
      </c>
      <c r="AB163" s="1">
        <f t="shared" si="146"/>
        <v>0</v>
      </c>
      <c r="AC163" s="1">
        <f t="shared" si="147"/>
        <v>0</v>
      </c>
      <c r="AD163" s="1">
        <f>IF($B163="","",MIN(_xlfn.MINIFS($J$2:J163,$I$2:I163,$I163),_xlfn.MINIFS($K$2:K163,$I$2:I163,$I163)))</f>
        <v>84</v>
      </c>
      <c r="AE163" s="1">
        <f t="shared" si="148"/>
        <v>90</v>
      </c>
      <c r="AF163" s="1">
        <f t="shared" si="149"/>
        <v>0</v>
      </c>
      <c r="AG163" s="1">
        <f t="shared" si="150"/>
        <v>0</v>
      </c>
      <c r="AH163" s="1">
        <f t="shared" si="151"/>
        <v>0</v>
      </c>
      <c r="AI163" s="1">
        <f ca="1">IF($B163="","",IF($K163="",0,OFFSET($CO$17,R163,W163)))</f>
        <v>0</v>
      </c>
      <c r="AJ163" s="1">
        <f t="shared" ca="1" si="152"/>
        <v>0</v>
      </c>
      <c r="AK163" s="1">
        <f ca="1">IF(AJ163="","",IF(AJ163=0,0,IF(W163=1,0,SUM(OFFSET($CO$17,N163,1):OFFSET($CO$17,N163+W163-2,1))/W163)))</f>
        <v>0</v>
      </c>
      <c r="AL163" s="1">
        <f t="shared" si="153"/>
        <v>0</v>
      </c>
      <c r="AM163" s="1">
        <f ca="1">IF($B163="","",SUMIFS($AL$2:AL163,$I$2:I163,$I163))</f>
        <v>5</v>
      </c>
      <c r="AN163" s="1">
        <f t="shared" si="154"/>
        <v>14.000162</v>
      </c>
      <c r="AO163" s="1">
        <f>IFERROR(IF($B163="","",AVERAGEIFS($L$2:L163,$I$2:I163,I163,$L$2:L163,"&lt;&gt;0")),0)</f>
        <v>208.66666666666666</v>
      </c>
      <c r="AP163" s="1">
        <f t="shared" si="155"/>
        <v>104.33333333333333</v>
      </c>
      <c r="AQ163" s="1">
        <f>IF($B163="","",COUNTIFS($R$2:R163,1,$I$2:I163,$I163))</f>
        <v>0</v>
      </c>
      <c r="AR163" s="1">
        <f t="array" aca="1" ref="AR163" ca="1">IF($B163="","",SUMPRODUCT(--($B$2:$B$313=B163),--(AM163&lt;$AM$2:$AM$313))+1)</f>
        <v>16</v>
      </c>
      <c r="AS163" s="1">
        <f t="array" ref="AS163">IF($B163="","",SUMPRODUCT(--($B$2:$B$313=B163),--(AP163&lt;$AP$2:$AP$313))+1)</f>
        <v>17</v>
      </c>
      <c r="AT163" s="1">
        <f t="array" ref="AT163">IF($B163="","",SUMPRODUCT(--($B$2:$B$313=B163),--(AQ163&lt;$AQ$2:$AQ$313))+1)</f>
        <v>8</v>
      </c>
      <c r="AU163" s="1">
        <f t="shared" si="156"/>
        <v>1.6199999999999999E-7</v>
      </c>
      <c r="AV163" s="1">
        <f t="shared" ca="1" si="157"/>
        <v>0.16170816200000002</v>
      </c>
      <c r="AW163" s="1" t="str">
        <f t="shared" si="129"/>
        <v/>
      </c>
      <c r="AX163" s="1" t="str">
        <f t="shared" si="158"/>
        <v/>
      </c>
      <c r="AY163" s="8">
        <f t="shared" ca="1" si="159"/>
        <v>0.16170816200000002</v>
      </c>
      <c r="AZ163" s="1" cm="1">
        <f t="array" aca="1" ref="AZ163" ca="1">IF($B163="","",SUMPRODUCT(--($B$2:$B$313=B163),--(AY163&gt;$AY$2:$AY$313))+1)</f>
        <v>16</v>
      </c>
      <c r="BA163" s="1" t="str">
        <f t="shared" si="160"/>
        <v>K2024GP09_18_1</v>
      </c>
      <c r="BB163" s="1" t="str">
        <f t="shared" si="161"/>
        <v>K2024GP09_18_2</v>
      </c>
      <c r="BC163" s="1">
        <f t="shared" si="162"/>
        <v>0</v>
      </c>
      <c r="BD163" s="1">
        <f t="shared" si="163"/>
        <v>0</v>
      </c>
      <c r="BE163" s="1">
        <f t="shared" si="164"/>
        <v>1</v>
      </c>
      <c r="BF163" s="1">
        <f t="shared" si="165"/>
        <v>0</v>
      </c>
      <c r="BG163" s="1">
        <f t="shared" si="166"/>
        <v>0</v>
      </c>
      <c r="BH163" s="1">
        <f t="shared" si="167"/>
        <v>14</v>
      </c>
      <c r="BI163" s="1">
        <f t="shared" si="168"/>
        <v>14</v>
      </c>
      <c r="BJ163" s="1">
        <f t="shared" si="169"/>
        <v>0.14140000000000003</v>
      </c>
      <c r="BK163" s="1" t="str">
        <f t="shared" si="170"/>
        <v/>
      </c>
      <c r="BL163" s="1">
        <f t="shared" si="171"/>
        <v>9.8999999999999994E-5</v>
      </c>
      <c r="BM163" s="1">
        <f t="shared" si="172"/>
        <v>0.14151530000000001</v>
      </c>
      <c r="BN163" s="1" t="str">
        <f t="shared" si="173"/>
        <v/>
      </c>
      <c r="BO163" s="1">
        <f t="shared" si="130"/>
        <v>18</v>
      </c>
      <c r="BP163" s="1">
        <f t="shared" si="131"/>
        <v>0</v>
      </c>
      <c r="BQ163" s="1" t="str" cm="1">
        <f t="array" ref="BQ163">IF(I163="","",IF(BP163=1,"",IF(L163=0,"",IF(B163=1,"",_xlfn.XLOOKUP(1,($I$2:$I$313=$I163)*($B$2:$B$313=($B163-1)),$BO$2:$BO$313)))))</f>
        <v/>
      </c>
      <c r="BR163" s="1">
        <f>IF(I163="","",IF($B163=1,_xlfn.MINIFS($BO$2:$BO$313,$B$2:$B$313,$B163),_xlfn.MINIFS(BQ$2:$BQ$313,$B$2:$B$313,$B163)))</f>
        <v>1</v>
      </c>
      <c r="BS163" s="1">
        <f t="shared" si="174"/>
        <v>2</v>
      </c>
      <c r="BT163" s="1" t="str" cm="1">
        <f t="array" ref="BT163">IF($I163="","",IF($B163=1,_xlfn.XLOOKUP(1,($B$2:$B$313=$B163)*($BO$2:$BO$313=BR163),Data!$I$2:$I$313,,0),_xlfn.XLOOKUP(1,($B$2:$B$313=$B163)*($BQ$2:$BQ$313=$BR163),$I$2:$I$313,,0)))</f>
        <v>Mika Sola</v>
      </c>
      <c r="BU163" s="1" t="str" cm="1">
        <f t="array" ref="BU163">IF(I163="","",IF($B163=1,_xlfn.XLOOKUP(1,($B$2:$B$313=$B163)*($BO$2:$BO$313=$BS163),$I$2:$I$313,,0),_xlfn.XLOOKUP(1,($B$2:$B$313=$B163)*($BQ$2:$BQ$313=$BS163),$I$2:$I$313,,0)))</f>
        <v>Miika Nordblad</v>
      </c>
      <c r="BV163" s="1" t="str" cm="1">
        <f t="array" ref="BV163">IF($I163="","",IF($B163=1,"",IF($B163=2,_xlfn.XLOOKUP(1,($B$2:$B$313=1)*($BO$2:$BO$313=1),$I$2:$I$313,,0),_xlfn.XLOOKUP($B163-1,$B$2:$B$313,$CH$2:$CH$313,,0))))</f>
        <v>Jami Kallio</v>
      </c>
      <c r="BW163" s="1" t="str" cm="1">
        <f t="array" ref="BW163">IF($I163="","",IF($B163=1,"",IF(_xlfn.XLOOKUP(1,($B$2:$B$313=$B163)*($I$2:$I$313=$BV163),$BQ$2:$BQ$313,,0)="","NOK","OK")))</f>
        <v>OK</v>
      </c>
      <c r="BX163" s="1" t="str">
        <f t="shared" si="175"/>
        <v>Jami Kallio</v>
      </c>
      <c r="BY163" s="1" t="str">
        <f t="shared" si="176"/>
        <v>Mika Sola</v>
      </c>
      <c r="BZ163" s="1">
        <f t="shared" si="177"/>
        <v>195</v>
      </c>
      <c r="CA163" s="1">
        <f t="shared" si="178"/>
        <v>112</v>
      </c>
      <c r="CB163" s="1">
        <f t="shared" si="179"/>
        <v>9.8999999999999994E-5</v>
      </c>
      <c r="CC163" s="1">
        <f t="shared" si="180"/>
        <v>123</v>
      </c>
      <c r="CD163" s="1">
        <f t="shared" si="181"/>
        <v>90</v>
      </c>
      <c r="CE163" s="1">
        <f t="shared" si="182"/>
        <v>9.8999999999999994E-5</v>
      </c>
      <c r="CF163" s="1" t="str">
        <f t="shared" si="183"/>
        <v>Jami Kallio (P)</v>
      </c>
      <c r="CG163" s="1" t="str">
        <f t="shared" si="184"/>
        <v>Mika Sola (1)</v>
      </c>
      <c r="CH163" s="1" t="str">
        <f t="shared" si="185"/>
        <v>Jami Kallio</v>
      </c>
      <c r="CI163" s="1">
        <f t="shared" si="186"/>
        <v>0</v>
      </c>
      <c r="CJ163" s="1" t="str">
        <f ca="1">IF(B163="","",IF(SUM(AI163:AK163)&gt;0,"+SP","")&amp;IF(CI163&gt;0,"+KK","")&amp;IF(AB163&gt;0,"+KGP1","")&amp;IF(AC163&gt;0,"+KGP2","")&amp;IF(AG163&lt;0,"-KGP1","")&amp;IF(AH163&lt;0,"-KGP2",""))</f>
        <v/>
      </c>
    </row>
    <row r="164" spans="1:88" x14ac:dyDescent="0.25">
      <c r="A164" s="1">
        <f>IFERROR(IF(ROW(A163)=1,1,IF(1+A163&lt;=$CP$1*$CP$2,1+A163,"")),"")</f>
        <v>163</v>
      </c>
      <c r="B164" s="1">
        <f>IF($I164="","",IF(ROW(B163)=1,1,ROUNDUP(A164/$CP$2,0)))</f>
        <v>10</v>
      </c>
      <c r="C164" s="4">
        <f t="shared" si="132"/>
        <v>45732</v>
      </c>
      <c r="D164" s="4" t="str">
        <f t="shared" si="126"/>
        <v>Raision keilahalli</v>
      </c>
      <c r="E164" s="1">
        <f>IF($B164="","",COUNTIF($B$2:B164,B164))</f>
        <v>1</v>
      </c>
      <c r="F164" s="1" t="str">
        <f t="shared" si="127"/>
        <v>K2024GP10</v>
      </c>
      <c r="G164" s="1" t="str">
        <f t="shared" si="133"/>
        <v>K2024GP10_1</v>
      </c>
      <c r="H164" s="1">
        <f t="shared" si="134"/>
        <v>1</v>
      </c>
      <c r="I164" s="3" t="s">
        <v>143</v>
      </c>
      <c r="J164" s="3">
        <v>166</v>
      </c>
      <c r="K164" s="3">
        <v>147</v>
      </c>
      <c r="L164" s="1">
        <f t="shared" si="135"/>
        <v>313</v>
      </c>
      <c r="M164" s="1">
        <f t="shared" si="136"/>
        <v>1</v>
      </c>
      <c r="N164" s="1">
        <f t="shared" si="137"/>
        <v>1</v>
      </c>
      <c r="O164" s="1">
        <f t="shared" si="138"/>
        <v>313</v>
      </c>
      <c r="P164" s="1" t="str">
        <f t="shared" si="139"/>
        <v/>
      </c>
      <c r="Q164" s="1" t="str">
        <f t="array" ref="Q164">IF($B164="","",IF(MAX(IF(B164=$B$2:$B$313,$L$2:$L$313))-L164=0,"",MAX(IF(B164=$B$2:$B$313,$L$2:$L$313))-L164))</f>
        <v/>
      </c>
      <c r="R164" s="1">
        <f t="array" ref="R164">IF($B164="","",SUMPRODUCT(--($B$2:$B$313=B164),--(L164&lt;$L$2:$L$313))+1)</f>
        <v>1</v>
      </c>
      <c r="S164" s="1">
        <f t="shared" si="140"/>
        <v>2</v>
      </c>
      <c r="T164" s="1" cm="1">
        <f t="array" ref="T164">IF($B164="","",IF(M164=0,"",SUMPRODUCT(--($B$2:$B$313=B164),--(J164&lt;$J$2:$J$313))+1))</f>
        <v>1</v>
      </c>
      <c r="U164" s="1">
        <f t="shared" si="141"/>
        <v>0</v>
      </c>
      <c r="V164" s="1" t="str">
        <f t="shared" si="142"/>
        <v>1001</v>
      </c>
      <c r="W164" s="1">
        <f t="shared" si="143"/>
        <v>1</v>
      </c>
      <c r="X164" s="1">
        <f t="shared" si="128"/>
        <v>0</v>
      </c>
      <c r="Y164" s="1">
        <f>IF($B164="","",MAX(_xlfn.MAXIFS($J$2:J164,$I$2:I164,$I164),_xlfn.MAXIFS($K$2:K164,$I$2:I164,$I164)))</f>
        <v>184</v>
      </c>
      <c r="Z164" s="1">
        <f t="shared" si="144"/>
        <v>166</v>
      </c>
      <c r="AA164" s="1">
        <f t="shared" si="145"/>
        <v>0</v>
      </c>
      <c r="AB164" s="1">
        <f t="shared" si="146"/>
        <v>0</v>
      </c>
      <c r="AC164" s="1">
        <f t="shared" si="147"/>
        <v>0</v>
      </c>
      <c r="AD164" s="1">
        <f>IF($B164="","",MIN(_xlfn.MINIFS($J$2:J164,$I$2:I164,$I164),_xlfn.MINIFS($K$2:K164,$I$2:I164,$I164)))</f>
        <v>123</v>
      </c>
      <c r="AE164" s="1">
        <f t="shared" si="148"/>
        <v>91</v>
      </c>
      <c r="AF164" s="1">
        <f t="shared" si="149"/>
        <v>0</v>
      </c>
      <c r="AG164" s="1">
        <f t="shared" si="150"/>
        <v>0</v>
      </c>
      <c r="AH164" s="1">
        <f t="shared" si="151"/>
        <v>0</v>
      </c>
      <c r="AI164" s="1">
        <f ca="1">IF($B164="","",IF($K164="",0,OFFSET($CO$17,R164,W164)))</f>
        <v>12</v>
      </c>
      <c r="AJ164" s="1">
        <f t="shared" ca="1" si="152"/>
        <v>0</v>
      </c>
      <c r="AK164" s="1">
        <f ca="1">IF(AJ164="","",IF(AJ164=0,0,IF(W164=1,0,SUM(OFFSET($CO$17,N164,1):OFFSET($CO$17,N164+W164-2,1))/W164)))</f>
        <v>0</v>
      </c>
      <c r="AL164" s="1">
        <f t="shared" ca="1" si="153"/>
        <v>12</v>
      </c>
      <c r="AM164" s="1">
        <f ca="1">IF($B164="","",SUMIFS($AL$2:AL164,$I$2:I164,$I164))</f>
        <v>81</v>
      </c>
      <c r="AN164" s="1">
        <f t="shared" si="154"/>
        <v>1.0001629999999999</v>
      </c>
      <c r="AO164" s="1">
        <f>IFERROR(IF($B164="","",AVERAGEIFS($L$2:L164,$I$2:I164,I164,$L$2:L164,"&lt;&gt;0")),0)</f>
        <v>309.44444444444446</v>
      </c>
      <c r="AP164" s="1">
        <f t="shared" si="155"/>
        <v>154.72222222222223</v>
      </c>
      <c r="AQ164" s="1">
        <f>IF($B164="","",COUNTIFS($R$2:R164,1,$I$2:I164,$I164))</f>
        <v>4</v>
      </c>
      <c r="AR164" s="1">
        <f t="array" aca="1" ref="AR164" ca="1">IF($B164="","",SUMPRODUCT(--($B$2:$B$313=B164),--(AM164&lt;$AM$2:$AM$313))+1)</f>
        <v>2</v>
      </c>
      <c r="AS164" s="1">
        <f t="array" ref="AS164">IF($B164="","",SUMPRODUCT(--($B$2:$B$313=B164),--(AP164&lt;$AP$2:$AP$313))+1)</f>
        <v>1</v>
      </c>
      <c r="AT164" s="1">
        <f t="array" ref="AT164">IF($B164="","",SUMPRODUCT(--($B$2:$B$313=B164),--(AQ164&lt;$AQ$2:$AQ$313))+1)</f>
        <v>1</v>
      </c>
      <c r="AU164" s="1">
        <f t="shared" si="156"/>
        <v>1.6299999999999999E-7</v>
      </c>
      <c r="AV164" s="1">
        <f t="shared" ca="1" si="157"/>
        <v>2.0101163000000002E-2</v>
      </c>
      <c r="AW164" s="1">
        <f t="shared" ca="1" si="129"/>
        <v>2.0101163000000002E-2</v>
      </c>
      <c r="AX164" s="1">
        <f t="shared" ca="1" si="158"/>
        <v>2</v>
      </c>
      <c r="AY164" s="8">
        <f t="shared" ca="1" si="159"/>
        <v>2.0101163000000002E-2</v>
      </c>
      <c r="AZ164" s="1" cm="1">
        <f t="array" aca="1" ref="AZ164" ca="1">IF($B164="","",SUMPRODUCT(--($B$2:$B$313=B164),--(AY164&gt;$AY$2:$AY$313))+1)</f>
        <v>2</v>
      </c>
      <c r="BA164" s="1" t="str">
        <f t="shared" si="160"/>
        <v>K2024GP10_1_1</v>
      </c>
      <c r="BB164" s="1" t="str">
        <f t="shared" si="161"/>
        <v>K2024GP10_1_2</v>
      </c>
      <c r="BC164" s="1">
        <f t="shared" si="162"/>
        <v>1</v>
      </c>
      <c r="BD164" s="1">
        <f t="shared" si="163"/>
        <v>1</v>
      </c>
      <c r="BE164" s="1">
        <f t="shared" si="164"/>
        <v>1</v>
      </c>
      <c r="BF164" s="1">
        <f t="shared" si="165"/>
        <v>166</v>
      </c>
      <c r="BG164" s="1">
        <f t="shared" si="166"/>
        <v>147</v>
      </c>
      <c r="BH164" s="1">
        <f t="shared" si="167"/>
        <v>1</v>
      </c>
      <c r="BI164" s="1">
        <f t="shared" si="168"/>
        <v>1</v>
      </c>
      <c r="BJ164" s="1">
        <f t="shared" si="169"/>
        <v>1.01E-2</v>
      </c>
      <c r="BK164" s="1">
        <f t="shared" si="170"/>
        <v>0</v>
      </c>
      <c r="BL164" s="1">
        <f t="shared" si="171"/>
        <v>9.8999999999999994E-5</v>
      </c>
      <c r="BM164" s="1">
        <f t="shared" si="172"/>
        <v>1.0199E-2</v>
      </c>
      <c r="BN164" s="1">
        <f t="shared" si="173"/>
        <v>0</v>
      </c>
      <c r="BO164" s="1">
        <f t="shared" si="130"/>
        <v>1</v>
      </c>
      <c r="BP164" s="1">
        <f t="shared" si="131"/>
        <v>0</v>
      </c>
      <c r="BQ164" s="1" cm="1">
        <f t="array" ref="BQ164">IF(I164="","",IF(BP164=1,"",IF(L164=0,"",IF(B164=1,"",_xlfn.XLOOKUP(1,($I$2:$I$313=$I164)*($B$2:$B$313=($B164-1)),$BO$2:$BO$313)))))</f>
        <v>6</v>
      </c>
      <c r="BR164" s="1">
        <f>IF(I164="","",IF($B164=1,_xlfn.MINIFS($BO$2:$BO$313,$B$2:$B$313,$B164),_xlfn.MINIFS(BQ$2:$BQ$313,$B$2:$B$313,$B164)))</f>
        <v>1</v>
      </c>
      <c r="BS164" s="1">
        <f t="shared" si="174"/>
        <v>2</v>
      </c>
      <c r="BT164" s="1" t="str" cm="1">
        <f t="array" ref="BT164">IF($I164="","",IF($B164=1,_xlfn.XLOOKUP(1,($B$2:$B$313=$B164)*($BO$2:$BO$313=BR164),Data!$I$2:$I$313,,0),_xlfn.XLOOKUP(1,($B$2:$B$313=$B164)*($BQ$2:$BQ$313=$BR164),$I$2:$I$313,,0)))</f>
        <v>Jami Kallio</v>
      </c>
      <c r="BU164" s="1" t="str" cm="1">
        <f t="array" ref="BU164">IF(I164="","",IF($B164=1,_xlfn.XLOOKUP(1,($B$2:$B$313=$B164)*($BO$2:$BO$313=$BS164),$I$2:$I$313,,0),_xlfn.XLOOKUP(1,($B$2:$B$313=$B164)*($BQ$2:$BQ$313=$BS164),$I$2:$I$313,,0)))</f>
        <v>Mikko Mansikkamäki</v>
      </c>
      <c r="BV164" s="1" t="str" cm="1">
        <f t="array" ref="BV164">IF($I164="","",IF($B164=1,"",IF($B164=2,_xlfn.XLOOKUP(1,($B$2:$B$313=1)*($BO$2:$BO$313=1),$I$2:$I$313,,0),_xlfn.XLOOKUP($B164-1,$B$2:$B$313,$CH$2:$CH$313,,0))))</f>
        <v>Jami Kallio</v>
      </c>
      <c r="BW164" s="1" t="str" cm="1">
        <f t="array" ref="BW164">IF($I164="","",IF($B164=1,"",IF(_xlfn.XLOOKUP(1,($B$2:$B$313=$B164)*($I$2:$I$313=$BV164),$BQ$2:$BQ$313,,0)="","NOK","OK")))</f>
        <v>OK</v>
      </c>
      <c r="BX164" s="1" t="str">
        <f t="shared" si="175"/>
        <v>Jami Kallio</v>
      </c>
      <c r="BY164" s="1" t="str">
        <f t="shared" si="176"/>
        <v>Mikko Mansikkamäki</v>
      </c>
      <c r="BZ164" s="1">
        <f t="shared" si="177"/>
        <v>145</v>
      </c>
      <c r="CA164" s="1">
        <f t="shared" si="178"/>
        <v>132</v>
      </c>
      <c r="CB164" s="1">
        <f t="shared" si="179"/>
        <v>9.8999999999999994E-5</v>
      </c>
      <c r="CC164" s="1">
        <f t="shared" si="180"/>
        <v>137</v>
      </c>
      <c r="CD164" s="1">
        <f t="shared" si="181"/>
        <v>127</v>
      </c>
      <c r="CE164" s="1">
        <f t="shared" si="182"/>
        <v>9.8999999999999994E-5</v>
      </c>
      <c r="CF164" s="1" t="str">
        <f t="shared" si="183"/>
        <v>Jami Kallio (P)</v>
      </c>
      <c r="CG164" s="1" t="str">
        <f t="shared" si="184"/>
        <v>Mikko Mansikkamäki (2)</v>
      </c>
      <c r="CH164" s="1" t="str">
        <f t="shared" si="185"/>
        <v>Jami Kallio</v>
      </c>
      <c r="CI164" s="1">
        <f t="shared" si="186"/>
        <v>0</v>
      </c>
      <c r="CJ164" s="1" t="str">
        <f ca="1">IF(B164="","",IF(SUM(AI164:AK164)&gt;0,"+SP","")&amp;IF(CI164&gt;0,"+KK","")&amp;IF(AB164&gt;0,"+KGP1","")&amp;IF(AC164&gt;0,"+KGP2","")&amp;IF(AG164&lt;0,"-KGP1","")&amp;IF(AH164&lt;0,"-KGP2",""))</f>
        <v>+SP</v>
      </c>
    </row>
    <row r="165" spans="1:88" x14ac:dyDescent="0.25">
      <c r="A165" s="1">
        <f>IFERROR(IF(ROW(A164)=1,1,IF(1+A164&lt;=$CP$1*$CP$2,1+A164,"")),"")</f>
        <v>164</v>
      </c>
      <c r="B165" s="1">
        <f>IF($I165="","",IF(ROW(B164)=1,1,ROUNDUP(A165/$CP$2,0)))</f>
        <v>10</v>
      </c>
      <c r="C165" s="4">
        <f t="shared" si="132"/>
        <v>45732</v>
      </c>
      <c r="D165" s="4" t="str">
        <f t="shared" si="126"/>
        <v>Raision keilahalli</v>
      </c>
      <c r="E165" s="1">
        <f>IF($B165="","",COUNTIF($B$2:B165,B165))</f>
        <v>2</v>
      </c>
      <c r="F165" s="1" t="str">
        <f t="shared" si="127"/>
        <v>K2024GP10</v>
      </c>
      <c r="G165" s="1" t="str">
        <f t="shared" si="133"/>
        <v>K2024GP10_2</v>
      </c>
      <c r="H165" s="1">
        <f t="shared" si="134"/>
        <v>1</v>
      </c>
      <c r="I165" s="3" t="s">
        <v>131</v>
      </c>
      <c r="J165" s="3">
        <v>144</v>
      </c>
      <c r="K165" s="3">
        <v>147</v>
      </c>
      <c r="L165" s="1">
        <f t="shared" si="135"/>
        <v>291</v>
      </c>
      <c r="M165" s="1">
        <f t="shared" si="136"/>
        <v>1</v>
      </c>
      <c r="N165" s="1">
        <f t="shared" si="137"/>
        <v>2</v>
      </c>
      <c r="O165" s="1">
        <f t="shared" si="138"/>
        <v>291</v>
      </c>
      <c r="P165" s="1">
        <f t="shared" si="139"/>
        <v>22</v>
      </c>
      <c r="Q165" s="1">
        <f t="array" ref="Q165">IF($B165="","",IF(MAX(IF(B165=$B$2:$B$313,$L$2:$L$313))-L165=0,"",MAX(IF(B165=$B$2:$B$313,$L$2:$L$313))-L165))</f>
        <v>22</v>
      </c>
      <c r="R165" s="1">
        <f t="array" ref="R165">IF($B165="","",SUMPRODUCT(--($B$2:$B$313=B165),--(L165&lt;$L$2:$L$313))+1)</f>
        <v>2</v>
      </c>
      <c r="S165" s="1">
        <f t="shared" si="140"/>
        <v>2</v>
      </c>
      <c r="T165" s="1" cm="1">
        <f t="array" ref="T165">IF($B165="","",IF(M165=0,"",SUMPRODUCT(--($B$2:$B$313=B165),--(J165&lt;$J$2:$J$313))+1))</f>
        <v>3</v>
      </c>
      <c r="U165" s="1">
        <f t="shared" si="141"/>
        <v>-1</v>
      </c>
      <c r="V165" s="1" t="str">
        <f t="shared" si="142"/>
        <v>1002</v>
      </c>
      <c r="W165" s="1">
        <f t="shared" si="143"/>
        <v>1</v>
      </c>
      <c r="X165" s="1">
        <f t="shared" si="128"/>
        <v>0</v>
      </c>
      <c r="Y165" s="1">
        <f>IF($B165="","",MAX(_xlfn.MAXIFS($J$2:J165,$I$2:I165,$I165),_xlfn.MAXIFS($K$2:K165,$I$2:I165,$I165)))</f>
        <v>170</v>
      </c>
      <c r="Z165" s="1">
        <f t="shared" si="144"/>
        <v>166</v>
      </c>
      <c r="AA165" s="1">
        <f t="shared" si="145"/>
        <v>0</v>
      </c>
      <c r="AB165" s="1">
        <f t="shared" si="146"/>
        <v>0</v>
      </c>
      <c r="AC165" s="1">
        <f t="shared" si="147"/>
        <v>0</v>
      </c>
      <c r="AD165" s="1">
        <f>IF($B165="","",MIN(_xlfn.MINIFS($J$2:J165,$I$2:I165,$I165),_xlfn.MINIFS($K$2:K165,$I$2:I165,$I165)))</f>
        <v>102</v>
      </c>
      <c r="AE165" s="1">
        <f t="shared" si="148"/>
        <v>91</v>
      </c>
      <c r="AF165" s="1">
        <f t="shared" si="149"/>
        <v>0</v>
      </c>
      <c r="AG165" s="1">
        <f t="shared" si="150"/>
        <v>0</v>
      </c>
      <c r="AH165" s="1">
        <f t="shared" si="151"/>
        <v>0</v>
      </c>
      <c r="AI165" s="1">
        <f ca="1">IF($B165="","",IF($K165="",0,OFFSET($CO$17,R165,W165)))</f>
        <v>10</v>
      </c>
      <c r="AJ165" s="1">
        <f t="shared" ca="1" si="152"/>
        <v>0</v>
      </c>
      <c r="AK165" s="1">
        <f ca="1">IF(AJ165="","",IF(AJ165=0,0,IF(W165=1,0,SUM(OFFSET($CO$17,N165,1):OFFSET($CO$17,N165+W165-2,1))/W165)))</f>
        <v>0</v>
      </c>
      <c r="AL165" s="1">
        <f t="shared" ca="1" si="153"/>
        <v>10</v>
      </c>
      <c r="AM165" s="1">
        <f ca="1">IF($B165="","",SUMIFS($AL$2:AL165,$I$2:I165,$I165))</f>
        <v>56</v>
      </c>
      <c r="AN165" s="1">
        <f t="shared" si="154"/>
        <v>2.0001639999999998</v>
      </c>
      <c r="AO165" s="1">
        <f>IFERROR(IF($B165="","",AVERAGEIFS($L$2:L165,$I$2:I165,I165,$L$2:L165,"&lt;&gt;0")),0)</f>
        <v>280</v>
      </c>
      <c r="AP165" s="1">
        <f t="shared" si="155"/>
        <v>140</v>
      </c>
      <c r="AQ165" s="1">
        <f>IF($B165="","",COUNTIFS($R$2:R165,1,$I$2:I165,$I165))</f>
        <v>0</v>
      </c>
      <c r="AR165" s="1">
        <f t="array" aca="1" ref="AR165" ca="1">IF($B165="","",SUMPRODUCT(--($B$2:$B$313=B165),--(AM165&lt;$AM$2:$AM$313))+1)</f>
        <v>3</v>
      </c>
      <c r="AS165" s="1">
        <f t="array" ref="AS165">IF($B165="","",SUMPRODUCT(--($B$2:$B$313=B165),--(AP165&lt;$AP$2:$AP$313))+1)</f>
        <v>7</v>
      </c>
      <c r="AT165" s="1">
        <f t="array" ref="AT165">IF($B165="","",SUMPRODUCT(--($B$2:$B$313=B165),--(AQ165&lt;$AQ$2:$AQ$313))+1)</f>
        <v>8</v>
      </c>
      <c r="AU165" s="1">
        <f t="shared" si="156"/>
        <v>1.6400000000000001E-7</v>
      </c>
      <c r="AV165" s="1">
        <f t="shared" ca="1" si="157"/>
        <v>3.0708164E-2</v>
      </c>
      <c r="AW165" s="1">
        <f t="shared" ca="1" si="129"/>
        <v>3.0708164E-2</v>
      </c>
      <c r="AX165" s="1">
        <f t="shared" ca="1" si="158"/>
        <v>3</v>
      </c>
      <c r="AY165" s="8">
        <f t="shared" ca="1" si="159"/>
        <v>3.0708164E-2</v>
      </c>
      <c r="AZ165" s="1" cm="1">
        <f t="array" aca="1" ref="AZ165" ca="1">IF($B165="","",SUMPRODUCT(--($B$2:$B$313=B165),--(AY165&gt;$AY$2:$AY$313))+1)</f>
        <v>3</v>
      </c>
      <c r="BA165" s="1" t="str">
        <f t="shared" si="160"/>
        <v>K2024GP10_2_1</v>
      </c>
      <c r="BB165" s="1" t="str">
        <f t="shared" si="161"/>
        <v>K2024GP10_2_2</v>
      </c>
      <c r="BC165" s="1">
        <f t="shared" si="162"/>
        <v>0</v>
      </c>
      <c r="BD165" s="1">
        <f t="shared" si="163"/>
        <v>1</v>
      </c>
      <c r="BE165" s="1">
        <f t="shared" si="164"/>
        <v>1</v>
      </c>
      <c r="BF165" s="1">
        <f t="shared" si="165"/>
        <v>147</v>
      </c>
      <c r="BG165" s="1">
        <f t="shared" si="166"/>
        <v>144</v>
      </c>
      <c r="BH165" s="1">
        <f t="shared" si="167"/>
        <v>2</v>
      </c>
      <c r="BI165" s="1">
        <f t="shared" si="168"/>
        <v>2</v>
      </c>
      <c r="BJ165" s="1">
        <f t="shared" si="169"/>
        <v>2.0199999999999999E-2</v>
      </c>
      <c r="BK165" s="1">
        <f t="shared" si="170"/>
        <v>0</v>
      </c>
      <c r="BL165" s="1">
        <f t="shared" si="171"/>
        <v>9.8999999999999994E-5</v>
      </c>
      <c r="BM165" s="1">
        <f t="shared" si="172"/>
        <v>2.0298999999999998E-2</v>
      </c>
      <c r="BN165" s="1">
        <f t="shared" si="173"/>
        <v>0</v>
      </c>
      <c r="BO165" s="1">
        <f t="shared" si="130"/>
        <v>2</v>
      </c>
      <c r="BP165" s="1">
        <f t="shared" si="131"/>
        <v>0</v>
      </c>
      <c r="BQ165" s="1" cm="1">
        <f t="array" ref="BQ165">IF(I165="","",IF(BP165=1,"",IF(L165=0,"",IF(B165=1,"",_xlfn.XLOOKUP(1,($I$2:$I$313=$I165)*($B$2:$B$313=($B165-1)),$BO$2:$BO$313)))))</f>
        <v>10</v>
      </c>
      <c r="BR165" s="1">
        <f>IF(I165="","",IF($B165=1,_xlfn.MINIFS($BO$2:$BO$313,$B$2:$B$313,$B165),_xlfn.MINIFS(BQ$2:$BQ$313,$B$2:$B$313,$B165)))</f>
        <v>1</v>
      </c>
      <c r="BS165" s="1">
        <f t="shared" si="174"/>
        <v>2</v>
      </c>
      <c r="BT165" s="1" t="str" cm="1">
        <f t="array" ref="BT165">IF($I165="","",IF($B165=1,_xlfn.XLOOKUP(1,($B$2:$B$313=$B165)*($BO$2:$BO$313=BR165),Data!$I$2:$I$313,,0),_xlfn.XLOOKUP(1,($B$2:$B$313=$B165)*($BQ$2:$BQ$313=$BR165),$I$2:$I$313,,0)))</f>
        <v>Jami Kallio</v>
      </c>
      <c r="BU165" s="1" t="str" cm="1">
        <f t="array" ref="BU165">IF(I165="","",IF($B165=1,_xlfn.XLOOKUP(1,($B$2:$B$313=$B165)*($BO$2:$BO$313=$BS165),$I$2:$I$313,,0),_xlfn.XLOOKUP(1,($B$2:$B$313=$B165)*($BQ$2:$BQ$313=$BS165),$I$2:$I$313,,0)))</f>
        <v>Mikko Mansikkamäki</v>
      </c>
      <c r="BV165" s="1" t="str" cm="1">
        <f t="array" ref="BV165">IF($I165="","",IF($B165=1,"",IF($B165=2,_xlfn.XLOOKUP(1,($B$2:$B$313=1)*($BO$2:$BO$313=1),$I$2:$I$313,,0),_xlfn.XLOOKUP($B165-1,$B$2:$B$313,$CH$2:$CH$313,,0))))</f>
        <v>Jami Kallio</v>
      </c>
      <c r="BW165" s="1" t="str" cm="1">
        <f t="array" ref="BW165">IF($I165="","",IF($B165=1,"",IF(_xlfn.XLOOKUP(1,($B$2:$B$313=$B165)*($I$2:$I$313=$BV165),$BQ$2:$BQ$313,,0)="","NOK","OK")))</f>
        <v>OK</v>
      </c>
      <c r="BX165" s="1" t="str">
        <f t="shared" si="175"/>
        <v>Jami Kallio</v>
      </c>
      <c r="BY165" s="1" t="str">
        <f t="shared" si="176"/>
        <v>Mikko Mansikkamäki</v>
      </c>
      <c r="BZ165" s="1">
        <f t="shared" si="177"/>
        <v>145</v>
      </c>
      <c r="CA165" s="1">
        <f t="shared" si="178"/>
        <v>132</v>
      </c>
      <c r="CB165" s="1">
        <f t="shared" si="179"/>
        <v>9.8999999999999994E-5</v>
      </c>
      <c r="CC165" s="1">
        <f t="shared" si="180"/>
        <v>137</v>
      </c>
      <c r="CD165" s="1">
        <f t="shared" si="181"/>
        <v>127</v>
      </c>
      <c r="CE165" s="1">
        <f t="shared" si="182"/>
        <v>9.8999999999999994E-5</v>
      </c>
      <c r="CF165" s="1" t="str">
        <f t="shared" si="183"/>
        <v>Jami Kallio (P)</v>
      </c>
      <c r="CG165" s="1" t="str">
        <f t="shared" si="184"/>
        <v>Mikko Mansikkamäki (2)</v>
      </c>
      <c r="CH165" s="1" t="str">
        <f t="shared" si="185"/>
        <v>Jami Kallio</v>
      </c>
      <c r="CI165" s="1">
        <f t="shared" si="186"/>
        <v>0</v>
      </c>
      <c r="CJ165" s="1" t="str">
        <f ca="1">IF(B165="","",IF(SUM(AI165:AK165)&gt;0,"+SP","")&amp;IF(CI165&gt;0,"+KK","")&amp;IF(AB165&gt;0,"+KGP1","")&amp;IF(AC165&gt;0,"+KGP2","")&amp;IF(AG165&lt;0,"-KGP1","")&amp;IF(AH165&lt;0,"-KGP2",""))</f>
        <v>+SP</v>
      </c>
    </row>
    <row r="166" spans="1:88" x14ac:dyDescent="0.25">
      <c r="A166" s="1">
        <f>IFERROR(IF(ROW(A165)=1,1,IF(1+A165&lt;=$CP$1*$CP$2,1+A165,"")),"")</f>
        <v>165</v>
      </c>
      <c r="B166" s="1">
        <f>IF($I166="","",IF(ROW(B165)=1,1,ROUNDUP(A166/$CP$2,0)))</f>
        <v>10</v>
      </c>
      <c r="C166" s="4">
        <f t="shared" si="132"/>
        <v>45732</v>
      </c>
      <c r="D166" s="4" t="str">
        <f t="shared" si="126"/>
        <v>Raision keilahalli</v>
      </c>
      <c r="E166" s="1">
        <f>IF($B166="","",COUNTIF($B$2:B166,B166))</f>
        <v>3</v>
      </c>
      <c r="F166" s="1" t="str">
        <f t="shared" si="127"/>
        <v>K2024GP10</v>
      </c>
      <c r="G166" s="1" t="str">
        <f t="shared" si="133"/>
        <v>K2024GP10_3</v>
      </c>
      <c r="H166" s="1">
        <f t="shared" si="134"/>
        <v>1</v>
      </c>
      <c r="I166" s="3" t="s">
        <v>134</v>
      </c>
      <c r="J166" s="3">
        <v>145</v>
      </c>
      <c r="K166" s="3">
        <v>132</v>
      </c>
      <c r="L166" s="1">
        <f t="shared" si="135"/>
        <v>277</v>
      </c>
      <c r="M166" s="1">
        <f t="shared" si="136"/>
        <v>1</v>
      </c>
      <c r="N166" s="1">
        <f t="shared" si="137"/>
        <v>3</v>
      </c>
      <c r="O166" s="1">
        <f t="shared" si="138"/>
        <v>277</v>
      </c>
      <c r="P166" s="1">
        <f t="shared" si="139"/>
        <v>36</v>
      </c>
      <c r="Q166" s="1">
        <f t="array" ref="Q166">IF($B166="","",IF(MAX(IF(B166=$B$2:$B$313,$L$2:$L$313))-L166=0,"",MAX(IF(B166=$B$2:$B$313,$L$2:$L$313))-L166))</f>
        <v>36</v>
      </c>
      <c r="R166" s="1">
        <f t="array" ref="R166">IF($B166="","",SUMPRODUCT(--($B$2:$B$313=B166),--(L166&lt;$L$2:$L$313))+1)</f>
        <v>3</v>
      </c>
      <c r="S166" s="1">
        <f t="shared" si="140"/>
        <v>2</v>
      </c>
      <c r="T166" s="1" cm="1">
        <f t="array" ref="T166">IF($B166="","",IF(M166=0,"",SUMPRODUCT(--($B$2:$B$313=B166),--(J166&lt;$J$2:$J$313))+1))</f>
        <v>2</v>
      </c>
      <c r="U166" s="1">
        <f t="shared" si="141"/>
        <v>1</v>
      </c>
      <c r="V166" s="1" t="str">
        <f t="shared" si="142"/>
        <v>1003</v>
      </c>
      <c r="W166" s="1">
        <f t="shared" si="143"/>
        <v>1</v>
      </c>
      <c r="X166" s="1">
        <f t="shared" si="128"/>
        <v>0</v>
      </c>
      <c r="Y166" s="1">
        <f>IF($B166="","",MAX(_xlfn.MAXIFS($J$2:J166,$I$2:I166,$I166),_xlfn.MAXIFS($K$2:K166,$I$2:I166,$I166)))</f>
        <v>196</v>
      </c>
      <c r="Z166" s="1">
        <f t="shared" si="144"/>
        <v>166</v>
      </c>
      <c r="AA166" s="1">
        <f t="shared" si="145"/>
        <v>0</v>
      </c>
      <c r="AB166" s="1">
        <f t="shared" si="146"/>
        <v>0</v>
      </c>
      <c r="AC166" s="1">
        <f t="shared" si="147"/>
        <v>0</v>
      </c>
      <c r="AD166" s="1">
        <f>IF($B166="","",MIN(_xlfn.MINIFS($J$2:J166,$I$2:I166,$I166),_xlfn.MINIFS($K$2:K166,$I$2:I166,$I166)))</f>
        <v>97</v>
      </c>
      <c r="AE166" s="1">
        <f t="shared" si="148"/>
        <v>91</v>
      </c>
      <c r="AF166" s="1">
        <f t="shared" si="149"/>
        <v>0</v>
      </c>
      <c r="AG166" s="1">
        <f t="shared" si="150"/>
        <v>0</v>
      </c>
      <c r="AH166" s="1">
        <f t="shared" si="151"/>
        <v>0</v>
      </c>
      <c r="AI166" s="1">
        <f ca="1">IF($B166="","",IF($K166="",0,OFFSET($CO$17,R166,W166)))</f>
        <v>8</v>
      </c>
      <c r="AJ166" s="1">
        <f t="shared" ca="1" si="152"/>
        <v>0</v>
      </c>
      <c r="AK166" s="1">
        <f ca="1">IF(AJ166="","",IF(AJ166=0,0,IF(W166=1,0,SUM(OFFSET($CO$17,N166,1):OFFSET($CO$17,N166+W166-2,1))/W166)))</f>
        <v>0</v>
      </c>
      <c r="AL166" s="1">
        <f t="shared" ca="1" si="153"/>
        <v>9</v>
      </c>
      <c r="AM166" s="1">
        <f ca="1">IF($B166="","",SUMIFS($AL$2:AL166,$I$2:I166,$I166))</f>
        <v>85</v>
      </c>
      <c r="AN166" s="1">
        <f t="shared" si="154"/>
        <v>3.000165</v>
      </c>
      <c r="AO166" s="1">
        <f>IFERROR(IF($B166="","",AVERAGEIFS($L$2:L166,$I$2:I166,I166,$L$2:L166,"&lt;&gt;0")),0)</f>
        <v>300.10000000000002</v>
      </c>
      <c r="AP166" s="1">
        <f t="shared" si="155"/>
        <v>150.05000000000001</v>
      </c>
      <c r="AQ166" s="1">
        <f>IF($B166="","",COUNTIFS($R$2:R166,1,$I$2:I166,$I166))</f>
        <v>2</v>
      </c>
      <c r="AR166" s="1">
        <f t="array" aca="1" ref="AR166" ca="1">IF($B166="","",SUMPRODUCT(--($B$2:$B$313=B166),--(AM166&lt;$AM$2:$AM$313))+1)</f>
        <v>1</v>
      </c>
      <c r="AS166" s="1">
        <f t="array" ref="AS166">IF($B166="","",SUMPRODUCT(--($B$2:$B$313=B166),--(AP166&lt;$AP$2:$AP$313))+1)</f>
        <v>3</v>
      </c>
      <c r="AT166" s="1">
        <f t="array" ref="AT166">IF($B166="","",SUMPRODUCT(--($B$2:$B$313=B166),--(AQ166&lt;$AQ$2:$AQ$313))+1)</f>
        <v>2</v>
      </c>
      <c r="AU166" s="1">
        <f t="shared" si="156"/>
        <v>1.6500000000000001E-7</v>
      </c>
      <c r="AV166" s="1">
        <f t="shared" ca="1" si="157"/>
        <v>1.0302165E-2</v>
      </c>
      <c r="AW166" s="1">
        <f t="shared" ca="1" si="129"/>
        <v>1.0302165E-2</v>
      </c>
      <c r="AX166" s="1">
        <f t="shared" ca="1" si="158"/>
        <v>1</v>
      </c>
      <c r="AY166" s="8">
        <f t="shared" ca="1" si="159"/>
        <v>1.0302165E-2</v>
      </c>
      <c r="AZ166" s="1" cm="1">
        <f t="array" aca="1" ref="AZ166" ca="1">IF($B166="","",SUMPRODUCT(--($B$2:$B$313=B166),--(AY166&gt;$AY$2:$AY$313))+1)</f>
        <v>1</v>
      </c>
      <c r="BA166" s="1" t="str">
        <f t="shared" si="160"/>
        <v>K2024GP10_3_1</v>
      </c>
      <c r="BB166" s="1" t="str">
        <f t="shared" si="161"/>
        <v>K2024GP10_3_2</v>
      </c>
      <c r="BC166" s="1">
        <f t="shared" si="162"/>
        <v>0</v>
      </c>
      <c r="BD166" s="1">
        <f t="shared" si="163"/>
        <v>1</v>
      </c>
      <c r="BE166" s="1">
        <f t="shared" si="164"/>
        <v>1</v>
      </c>
      <c r="BF166" s="1">
        <f t="shared" si="165"/>
        <v>145</v>
      </c>
      <c r="BG166" s="1">
        <f t="shared" si="166"/>
        <v>132</v>
      </c>
      <c r="BH166" s="1">
        <f t="shared" si="167"/>
        <v>3</v>
      </c>
      <c r="BI166" s="1">
        <f t="shared" si="168"/>
        <v>3</v>
      </c>
      <c r="BJ166" s="1">
        <f t="shared" si="169"/>
        <v>3.0300000000000001E-2</v>
      </c>
      <c r="BK166" s="1">
        <f t="shared" si="170"/>
        <v>0</v>
      </c>
      <c r="BL166" s="1">
        <f t="shared" si="171"/>
        <v>9.8999999999999994E-5</v>
      </c>
      <c r="BM166" s="1">
        <f t="shared" si="172"/>
        <v>3.0398999999999999E-2</v>
      </c>
      <c r="BN166" s="1">
        <f t="shared" si="173"/>
        <v>0</v>
      </c>
      <c r="BO166" s="1">
        <f t="shared" si="130"/>
        <v>3</v>
      </c>
      <c r="BP166" s="1">
        <f t="shared" si="131"/>
        <v>0</v>
      </c>
      <c r="BQ166" s="1" cm="1">
        <f t="array" ref="BQ166">IF(I166="","",IF(BP166=1,"",IF(L166=0,"",IF(B166=1,"",_xlfn.XLOOKUP(1,($I$2:$I$313=$I166)*($B$2:$B$313=($B166-1)),$BO$2:$BO$313)))))</f>
        <v>1</v>
      </c>
      <c r="BR166" s="1">
        <f>IF(I166="","",IF($B166=1,_xlfn.MINIFS($BO$2:$BO$313,$B$2:$B$313,$B166),_xlfn.MINIFS(BQ$2:$BQ$313,$B$2:$B$313,$B166)))</f>
        <v>1</v>
      </c>
      <c r="BS166" s="1">
        <f t="shared" si="174"/>
        <v>2</v>
      </c>
      <c r="BT166" s="1" t="str" cm="1">
        <f t="array" ref="BT166">IF($I166="","",IF($B166=1,_xlfn.XLOOKUP(1,($B$2:$B$313=$B166)*($BO$2:$BO$313=BR166),Data!$I$2:$I$313,,0),_xlfn.XLOOKUP(1,($B$2:$B$313=$B166)*($BQ$2:$BQ$313=$BR166),$I$2:$I$313,,0)))</f>
        <v>Jami Kallio</v>
      </c>
      <c r="BU166" s="1" t="str" cm="1">
        <f t="array" ref="BU166">IF(I166="","",IF($B166=1,_xlfn.XLOOKUP(1,($B$2:$B$313=$B166)*($BO$2:$BO$313=$BS166),$I$2:$I$313,,0),_xlfn.XLOOKUP(1,($B$2:$B$313=$B166)*($BQ$2:$BQ$313=$BS166),$I$2:$I$313,,0)))</f>
        <v>Mikko Mansikkamäki</v>
      </c>
      <c r="BV166" s="1" t="str" cm="1">
        <f t="array" ref="BV166">IF($I166="","",IF($B166=1,"",IF($B166=2,_xlfn.XLOOKUP(1,($B$2:$B$313=1)*($BO$2:$BO$313=1),$I$2:$I$313,,0),_xlfn.XLOOKUP($B166-1,$B$2:$B$313,$CH$2:$CH$313,,0))))</f>
        <v>Jami Kallio</v>
      </c>
      <c r="BW166" s="1" t="str" cm="1">
        <f t="array" ref="BW166">IF($I166="","",IF($B166=1,"",IF(_xlfn.XLOOKUP(1,($B$2:$B$313=$B166)*($I$2:$I$313=$BV166),$BQ$2:$BQ$313,,0)="","NOK","OK")))</f>
        <v>OK</v>
      </c>
      <c r="BX166" s="1" t="str">
        <f t="shared" si="175"/>
        <v>Jami Kallio</v>
      </c>
      <c r="BY166" s="1" t="str">
        <f t="shared" si="176"/>
        <v>Mikko Mansikkamäki</v>
      </c>
      <c r="BZ166" s="1">
        <f t="shared" si="177"/>
        <v>145</v>
      </c>
      <c r="CA166" s="1">
        <f t="shared" si="178"/>
        <v>132</v>
      </c>
      <c r="CB166" s="1">
        <f t="shared" si="179"/>
        <v>9.8999999999999994E-5</v>
      </c>
      <c r="CC166" s="1">
        <f t="shared" si="180"/>
        <v>137</v>
      </c>
      <c r="CD166" s="1">
        <f t="shared" si="181"/>
        <v>127</v>
      </c>
      <c r="CE166" s="1">
        <f t="shared" si="182"/>
        <v>9.8999999999999994E-5</v>
      </c>
      <c r="CF166" s="1" t="str">
        <f t="shared" si="183"/>
        <v>Jami Kallio (P)</v>
      </c>
      <c r="CG166" s="1" t="str">
        <f t="shared" si="184"/>
        <v>Mikko Mansikkamäki (2)</v>
      </c>
      <c r="CH166" s="1" t="str">
        <f t="shared" si="185"/>
        <v>Jami Kallio</v>
      </c>
      <c r="CI166" s="1">
        <f t="shared" si="186"/>
        <v>1</v>
      </c>
      <c r="CJ166" s="1" t="str">
        <f ca="1">IF(B166="","",IF(SUM(AI166:AK166)&gt;0,"+SP","")&amp;IF(CI166&gt;0,"+KK","")&amp;IF(AB166&gt;0,"+KGP1","")&amp;IF(AC166&gt;0,"+KGP2","")&amp;IF(AG166&lt;0,"-KGP1","")&amp;IF(AH166&lt;0,"-KGP2",""))</f>
        <v>+SP+KK</v>
      </c>
    </row>
    <row r="167" spans="1:88" x14ac:dyDescent="0.25">
      <c r="A167" s="1">
        <f>IFERROR(IF(ROW(A166)=1,1,IF(1+A166&lt;=$CP$1*$CP$2,1+A166,"")),"")</f>
        <v>166</v>
      </c>
      <c r="B167" s="1">
        <f>IF($I167="","",IF(ROW(B166)=1,1,ROUNDUP(A167/$CP$2,0)))</f>
        <v>10</v>
      </c>
      <c r="C167" s="4">
        <f t="shared" si="132"/>
        <v>45732</v>
      </c>
      <c r="D167" s="4" t="str">
        <f t="shared" si="126"/>
        <v>Raision keilahalli</v>
      </c>
      <c r="E167" s="1">
        <f>IF($B167="","",COUNTIF($B$2:B167,B167))</f>
        <v>4</v>
      </c>
      <c r="F167" s="1" t="str">
        <f t="shared" si="127"/>
        <v>K2024GP10</v>
      </c>
      <c r="G167" s="1" t="str">
        <f t="shared" si="133"/>
        <v>K2024GP10_4</v>
      </c>
      <c r="H167" s="1">
        <f t="shared" si="134"/>
        <v>1</v>
      </c>
      <c r="I167" s="3" t="s">
        <v>127</v>
      </c>
      <c r="J167" s="3">
        <v>127</v>
      </c>
      <c r="K167" s="3">
        <v>137</v>
      </c>
      <c r="L167" s="1">
        <f t="shared" si="135"/>
        <v>264</v>
      </c>
      <c r="M167" s="1">
        <f t="shared" si="136"/>
        <v>1</v>
      </c>
      <c r="N167" s="1">
        <f t="shared" si="137"/>
        <v>4</v>
      </c>
      <c r="O167" s="1">
        <f t="shared" si="138"/>
        <v>264</v>
      </c>
      <c r="P167" s="1">
        <f t="shared" si="139"/>
        <v>49</v>
      </c>
      <c r="Q167" s="1">
        <f t="array" ref="Q167">IF($B167="","",IF(MAX(IF(B167=$B$2:$B$313,$L$2:$L$313))-L167=0,"",MAX(IF(B167=$B$2:$B$313,$L$2:$L$313))-L167))</f>
        <v>49</v>
      </c>
      <c r="R167" s="1">
        <f t="array" ref="R167">IF($B167="","",SUMPRODUCT(--($B$2:$B$313=B167),--(L167&lt;$L$2:$L$313))+1)</f>
        <v>4</v>
      </c>
      <c r="S167" s="1">
        <f t="shared" si="140"/>
        <v>2</v>
      </c>
      <c r="T167" s="1" cm="1">
        <f t="array" ref="T167">IF($B167="","",IF(M167=0,"",SUMPRODUCT(--($B$2:$B$313=B167),--(J167&lt;$J$2:$J$313))+1))</f>
        <v>6</v>
      </c>
      <c r="U167" s="1">
        <f t="shared" si="141"/>
        <v>-2</v>
      </c>
      <c r="V167" s="1" t="str">
        <f t="shared" si="142"/>
        <v>1004</v>
      </c>
      <c r="W167" s="1">
        <f t="shared" si="143"/>
        <v>1</v>
      </c>
      <c r="X167" s="1">
        <f t="shared" si="128"/>
        <v>0</v>
      </c>
      <c r="Y167" s="1">
        <f>IF($B167="","",MAX(_xlfn.MAXIFS($J$2:J167,$I$2:I167,$I167),_xlfn.MAXIFS($K$2:K167,$I$2:I167,$I167)))</f>
        <v>178</v>
      </c>
      <c r="Z167" s="1">
        <f t="shared" si="144"/>
        <v>166</v>
      </c>
      <c r="AA167" s="1">
        <f t="shared" si="145"/>
        <v>0</v>
      </c>
      <c r="AB167" s="1">
        <f t="shared" si="146"/>
        <v>0</v>
      </c>
      <c r="AC167" s="1">
        <f t="shared" si="147"/>
        <v>0</v>
      </c>
      <c r="AD167" s="1">
        <f>IF($B167="","",MIN(_xlfn.MINIFS($J$2:J167,$I$2:I167,$I167),_xlfn.MINIFS($K$2:K167,$I$2:I167,$I167)))</f>
        <v>59</v>
      </c>
      <c r="AE167" s="1">
        <f t="shared" si="148"/>
        <v>91</v>
      </c>
      <c r="AF167" s="1">
        <f t="shared" si="149"/>
        <v>0</v>
      </c>
      <c r="AG167" s="1">
        <f t="shared" si="150"/>
        <v>0</v>
      </c>
      <c r="AH167" s="1">
        <f t="shared" si="151"/>
        <v>0</v>
      </c>
      <c r="AI167" s="1">
        <f ca="1">IF($B167="","",IF($K167="",0,OFFSET($CO$17,R167,W167)))</f>
        <v>7</v>
      </c>
      <c r="AJ167" s="1">
        <f t="shared" ca="1" si="152"/>
        <v>0</v>
      </c>
      <c r="AK167" s="1">
        <f ca="1">IF(AJ167="","",IF(AJ167=0,0,IF(W167=1,0,SUM(OFFSET($CO$17,N167,1):OFFSET($CO$17,N167+W167-2,1))/W167)))</f>
        <v>0</v>
      </c>
      <c r="AL167" s="1">
        <f t="shared" ca="1" si="153"/>
        <v>7</v>
      </c>
      <c r="AM167" s="1">
        <f ca="1">IF($B167="","",SUMIFS($AL$2:AL167,$I$2:I167,$I167))</f>
        <v>11</v>
      </c>
      <c r="AN167" s="1">
        <f t="shared" si="154"/>
        <v>4.0001660000000001</v>
      </c>
      <c r="AO167" s="1">
        <f>IFERROR(IF($B167="","",AVERAGEIFS($L$2:L167,$I$2:I167,I167,$L$2:L167,"&lt;&gt;0")),0)</f>
        <v>217.5</v>
      </c>
      <c r="AP167" s="1">
        <f t="shared" si="155"/>
        <v>108.75</v>
      </c>
      <c r="AQ167" s="1">
        <f>IF($B167="","",COUNTIFS($R$2:R167,1,$I$2:I167,$I167))</f>
        <v>0</v>
      </c>
      <c r="AR167" s="1">
        <f t="array" aca="1" ref="AR167" ca="1">IF($B167="","",SUMPRODUCT(--($B$2:$B$313=B167),--(AM167&lt;$AM$2:$AM$313))+1)</f>
        <v>15</v>
      </c>
      <c r="AS167" s="1">
        <f t="array" ref="AS167">IF($B167="","",SUMPRODUCT(--($B$2:$B$313=B167),--(AP167&lt;$AP$2:$AP$313))+1)</f>
        <v>17</v>
      </c>
      <c r="AT167" s="1">
        <f t="array" ref="AT167">IF($B167="","",SUMPRODUCT(--($B$2:$B$313=B167),--(AQ167&lt;$AQ$2:$AQ$313))+1)</f>
        <v>8</v>
      </c>
      <c r="AU167" s="1">
        <f t="shared" si="156"/>
        <v>1.66E-7</v>
      </c>
      <c r="AV167" s="1">
        <f t="shared" ca="1" si="157"/>
        <v>0.15170816600000001</v>
      </c>
      <c r="AW167" s="1">
        <f t="shared" ca="1" si="129"/>
        <v>0.15170816600000001</v>
      </c>
      <c r="AX167" s="1">
        <f t="shared" ca="1" si="158"/>
        <v>16</v>
      </c>
      <c r="AY167" s="8">
        <f t="shared" ca="1" si="159"/>
        <v>0.15170816600000001</v>
      </c>
      <c r="AZ167" s="1" cm="1">
        <f t="array" aca="1" ref="AZ167" ca="1">IF($B167="","",SUMPRODUCT(--($B$2:$B$313=B167),--(AY167&gt;$AY$2:$AY$313))+1)</f>
        <v>16</v>
      </c>
      <c r="BA167" s="1" t="str">
        <f t="shared" si="160"/>
        <v>K2024GP10_4_1</v>
      </c>
      <c r="BB167" s="1" t="str">
        <f t="shared" si="161"/>
        <v>K2024GP10_4_2</v>
      </c>
      <c r="BC167" s="1">
        <f t="shared" si="162"/>
        <v>0</v>
      </c>
      <c r="BD167" s="1">
        <f t="shared" si="163"/>
        <v>0</v>
      </c>
      <c r="BE167" s="1">
        <f t="shared" si="164"/>
        <v>1</v>
      </c>
      <c r="BF167" s="1">
        <f t="shared" si="165"/>
        <v>137</v>
      </c>
      <c r="BG167" s="1">
        <f t="shared" si="166"/>
        <v>127</v>
      </c>
      <c r="BH167" s="1">
        <f t="shared" si="167"/>
        <v>4</v>
      </c>
      <c r="BI167" s="1">
        <f t="shared" si="168"/>
        <v>4</v>
      </c>
      <c r="BJ167" s="1">
        <f t="shared" si="169"/>
        <v>4.0399999999999998E-2</v>
      </c>
      <c r="BK167" s="1">
        <f t="shared" si="170"/>
        <v>0</v>
      </c>
      <c r="BL167" s="1">
        <f t="shared" si="171"/>
        <v>9.8999999999999994E-5</v>
      </c>
      <c r="BM167" s="1">
        <f t="shared" si="172"/>
        <v>4.0499E-2</v>
      </c>
      <c r="BN167" s="1">
        <f t="shared" si="173"/>
        <v>0</v>
      </c>
      <c r="BO167" s="1">
        <f t="shared" si="130"/>
        <v>4</v>
      </c>
      <c r="BP167" s="1">
        <f t="shared" si="131"/>
        <v>0</v>
      </c>
      <c r="BQ167" s="1" cm="1">
        <f t="array" ref="BQ167">IF(I167="","",IF(BP167=1,"",IF(L167=0,"",IF(B167=1,"",_xlfn.XLOOKUP(1,($I$2:$I$313=$I167)*($B$2:$B$313=($B167-1)),$BO$2:$BO$313)))))</f>
        <v>2</v>
      </c>
      <c r="BR167" s="1">
        <f>IF(I167="","",IF($B167=1,_xlfn.MINIFS($BO$2:$BO$313,$B$2:$B$313,$B167),_xlfn.MINIFS(BQ$2:$BQ$313,$B$2:$B$313,$B167)))</f>
        <v>1</v>
      </c>
      <c r="BS167" s="1">
        <f t="shared" si="174"/>
        <v>2</v>
      </c>
      <c r="BT167" s="1" t="str" cm="1">
        <f t="array" ref="BT167">IF($I167="","",IF($B167=1,_xlfn.XLOOKUP(1,($B$2:$B$313=$B167)*($BO$2:$BO$313=BR167),Data!$I$2:$I$313,,0),_xlfn.XLOOKUP(1,($B$2:$B$313=$B167)*($BQ$2:$BQ$313=$BR167),$I$2:$I$313,,0)))</f>
        <v>Jami Kallio</v>
      </c>
      <c r="BU167" s="1" t="str" cm="1">
        <f t="array" ref="BU167">IF(I167="","",IF($B167=1,_xlfn.XLOOKUP(1,($B$2:$B$313=$B167)*($BO$2:$BO$313=$BS167),$I$2:$I$313,,0),_xlfn.XLOOKUP(1,($B$2:$B$313=$B167)*($BQ$2:$BQ$313=$BS167),$I$2:$I$313,,0)))</f>
        <v>Mikko Mansikkamäki</v>
      </c>
      <c r="BV167" s="1" t="str" cm="1">
        <f t="array" ref="BV167">IF($I167="","",IF($B167=1,"",IF($B167=2,_xlfn.XLOOKUP(1,($B$2:$B$313=1)*($BO$2:$BO$313=1),$I$2:$I$313,,0),_xlfn.XLOOKUP($B167-1,$B$2:$B$313,$CH$2:$CH$313,,0))))</f>
        <v>Jami Kallio</v>
      </c>
      <c r="BW167" s="1" t="str" cm="1">
        <f t="array" ref="BW167">IF($I167="","",IF($B167=1,"",IF(_xlfn.XLOOKUP(1,($B$2:$B$313=$B167)*($I$2:$I$313=$BV167),$BQ$2:$BQ$313,,0)="","NOK","OK")))</f>
        <v>OK</v>
      </c>
      <c r="BX167" s="1" t="str">
        <f t="shared" si="175"/>
        <v>Jami Kallio</v>
      </c>
      <c r="BY167" s="1" t="str">
        <f t="shared" si="176"/>
        <v>Mikko Mansikkamäki</v>
      </c>
      <c r="BZ167" s="1">
        <f t="shared" si="177"/>
        <v>145</v>
      </c>
      <c r="CA167" s="1">
        <f t="shared" si="178"/>
        <v>132</v>
      </c>
      <c r="CB167" s="1">
        <f t="shared" si="179"/>
        <v>9.8999999999999994E-5</v>
      </c>
      <c r="CC167" s="1">
        <f t="shared" si="180"/>
        <v>137</v>
      </c>
      <c r="CD167" s="1">
        <f t="shared" si="181"/>
        <v>127</v>
      </c>
      <c r="CE167" s="1">
        <f t="shared" si="182"/>
        <v>9.8999999999999994E-5</v>
      </c>
      <c r="CF167" s="1" t="str">
        <f t="shared" si="183"/>
        <v>Jami Kallio (P)</v>
      </c>
      <c r="CG167" s="1" t="str">
        <f t="shared" si="184"/>
        <v>Mikko Mansikkamäki (2)</v>
      </c>
      <c r="CH167" s="1" t="str">
        <f t="shared" si="185"/>
        <v>Jami Kallio</v>
      </c>
      <c r="CI167" s="1">
        <f t="shared" si="186"/>
        <v>0</v>
      </c>
      <c r="CJ167" s="1" t="str">
        <f ca="1">IF(B167="","",IF(SUM(AI167:AK167)&gt;0,"+SP","")&amp;IF(CI167&gt;0,"+KK","")&amp;IF(AB167&gt;0,"+KGP1","")&amp;IF(AC167&gt;0,"+KGP2","")&amp;IF(AG167&lt;0,"-KGP1","")&amp;IF(AH167&lt;0,"-KGP2",""))</f>
        <v>+SP</v>
      </c>
    </row>
    <row r="168" spans="1:88" x14ac:dyDescent="0.25">
      <c r="A168" s="1">
        <f>IFERROR(IF(ROW(A167)=1,1,IF(1+A167&lt;=$CP$1*$CP$2,1+A167,"")),"")</f>
        <v>167</v>
      </c>
      <c r="B168" s="1">
        <f>IF($I168="","",IF(ROW(B167)=1,1,ROUNDUP(A168/$CP$2,0)))</f>
        <v>10</v>
      </c>
      <c r="C168" s="4">
        <f t="shared" si="132"/>
        <v>45732</v>
      </c>
      <c r="D168" s="4" t="str">
        <f t="shared" si="126"/>
        <v>Raision keilahalli</v>
      </c>
      <c r="E168" s="1">
        <f>IF($B168="","",COUNTIF($B$2:B168,B168))</f>
        <v>5</v>
      </c>
      <c r="F168" s="1" t="str">
        <f t="shared" si="127"/>
        <v>K2024GP10</v>
      </c>
      <c r="G168" s="1" t="str">
        <f t="shared" si="133"/>
        <v>K2024GP10_5</v>
      </c>
      <c r="H168" s="1">
        <f t="shared" si="134"/>
        <v>1</v>
      </c>
      <c r="I168" s="3" t="s">
        <v>141</v>
      </c>
      <c r="J168" s="3">
        <v>133</v>
      </c>
      <c r="K168" s="3">
        <v>120</v>
      </c>
      <c r="L168" s="1">
        <f t="shared" si="135"/>
        <v>253</v>
      </c>
      <c r="M168" s="1">
        <f t="shared" si="136"/>
        <v>1</v>
      </c>
      <c r="N168" s="1">
        <f t="shared" si="137"/>
        <v>5</v>
      </c>
      <c r="O168" s="1">
        <f t="shared" si="138"/>
        <v>253</v>
      </c>
      <c r="P168" s="1">
        <f t="shared" si="139"/>
        <v>60</v>
      </c>
      <c r="Q168" s="1">
        <f t="array" ref="Q168">IF($B168="","",IF(MAX(IF(B168=$B$2:$B$313,$L$2:$L$313))-L168=0,"",MAX(IF(B168=$B$2:$B$313,$L$2:$L$313))-L168))</f>
        <v>60</v>
      </c>
      <c r="R168" s="1">
        <f t="array" ref="R168">IF($B168="","",SUMPRODUCT(--($B$2:$B$313=B168),--(L168&lt;$L$2:$L$313))+1)</f>
        <v>5</v>
      </c>
      <c r="S168" s="1">
        <f t="shared" si="140"/>
        <v>2</v>
      </c>
      <c r="T168" s="1" cm="1">
        <f t="array" ref="T168">IF($B168="","",IF(M168=0,"",SUMPRODUCT(--($B$2:$B$313=B168),--(J168&lt;$J$2:$J$313))+1))</f>
        <v>4</v>
      </c>
      <c r="U168" s="1">
        <f t="shared" si="141"/>
        <v>1</v>
      </c>
      <c r="V168" s="1" t="str">
        <f t="shared" si="142"/>
        <v>1005</v>
      </c>
      <c r="W168" s="1">
        <f t="shared" si="143"/>
        <v>1</v>
      </c>
      <c r="X168" s="1">
        <f t="shared" si="128"/>
        <v>0</v>
      </c>
      <c r="Y168" s="1">
        <f>IF($B168="","",MAX(_xlfn.MAXIFS($J$2:J168,$I$2:I168,$I168),_xlfn.MAXIFS($K$2:K168,$I$2:I168,$I168)))</f>
        <v>184</v>
      </c>
      <c r="Z168" s="1">
        <f t="shared" si="144"/>
        <v>166</v>
      </c>
      <c r="AA168" s="1">
        <f t="shared" si="145"/>
        <v>0</v>
      </c>
      <c r="AB168" s="1">
        <f t="shared" si="146"/>
        <v>0</v>
      </c>
      <c r="AC168" s="1">
        <f t="shared" si="147"/>
        <v>0</v>
      </c>
      <c r="AD168" s="1">
        <f>IF($B168="","",MIN(_xlfn.MINIFS($J$2:J168,$I$2:I168,$I168),_xlfn.MINIFS($K$2:K168,$I$2:I168,$I168)))</f>
        <v>102</v>
      </c>
      <c r="AE168" s="1">
        <f t="shared" si="148"/>
        <v>91</v>
      </c>
      <c r="AF168" s="1">
        <f t="shared" si="149"/>
        <v>0</v>
      </c>
      <c r="AG168" s="1">
        <f t="shared" si="150"/>
        <v>0</v>
      </c>
      <c r="AH168" s="1">
        <f t="shared" si="151"/>
        <v>0</v>
      </c>
      <c r="AI168" s="1">
        <f ca="1">IF($B168="","",IF($K168="",0,OFFSET($CO$17,R168,W168)))</f>
        <v>6</v>
      </c>
      <c r="AJ168" s="1">
        <f t="shared" ca="1" si="152"/>
        <v>0</v>
      </c>
      <c r="AK168" s="1">
        <f ca="1">IF(AJ168="","",IF(AJ168=0,0,IF(W168=1,0,SUM(OFFSET($CO$17,N168,1):OFFSET($CO$17,N168+W168-2,1))/W168)))</f>
        <v>0</v>
      </c>
      <c r="AL168" s="1">
        <f t="shared" ca="1" si="153"/>
        <v>6</v>
      </c>
      <c r="AM168" s="1">
        <f ca="1">IF($B168="","",SUMIFS($AL$2:AL168,$I$2:I168,$I168))</f>
        <v>29</v>
      </c>
      <c r="AN168" s="1">
        <f t="shared" si="154"/>
        <v>5.0001670000000003</v>
      </c>
      <c r="AO168" s="1">
        <f>IFERROR(IF($B168="","",AVERAGEIFS($L$2:L168,$I$2:I168,I168,$L$2:L168,"&lt;&gt;0")),0)</f>
        <v>262.125</v>
      </c>
      <c r="AP168" s="1">
        <f t="shared" si="155"/>
        <v>131.0625</v>
      </c>
      <c r="AQ168" s="1">
        <f>IF($B168="","",COUNTIFS($R$2:R168,1,$I$2:I168,$I168))</f>
        <v>0</v>
      </c>
      <c r="AR168" s="1">
        <f t="array" aca="1" ref="AR168" ca="1">IF($B168="","",SUMPRODUCT(--($B$2:$B$313=B168),--(AM168&lt;$AM$2:$AM$313))+1)</f>
        <v>8</v>
      </c>
      <c r="AS168" s="1">
        <f t="array" ref="AS168">IF($B168="","",SUMPRODUCT(--($B$2:$B$313=B168),--(AP168&lt;$AP$2:$AP$313))+1)</f>
        <v>11</v>
      </c>
      <c r="AT168" s="1">
        <f t="array" ref="AT168">IF($B168="","",SUMPRODUCT(--($B$2:$B$313=B168),--(AQ168&lt;$AQ$2:$AQ$313))+1)</f>
        <v>8</v>
      </c>
      <c r="AU168" s="1">
        <f t="shared" si="156"/>
        <v>1.67E-7</v>
      </c>
      <c r="AV168" s="1">
        <f t="shared" ca="1" si="157"/>
        <v>8.1108166999999995E-2</v>
      </c>
      <c r="AW168" s="1">
        <f t="shared" ca="1" si="129"/>
        <v>8.1108166999999995E-2</v>
      </c>
      <c r="AX168" s="1">
        <f t="shared" ca="1" si="158"/>
        <v>9</v>
      </c>
      <c r="AY168" s="8">
        <f t="shared" ca="1" si="159"/>
        <v>8.1108166999999995E-2</v>
      </c>
      <c r="AZ168" s="1" cm="1">
        <f t="array" aca="1" ref="AZ168" ca="1">IF($B168="","",SUMPRODUCT(--($B$2:$B$313=B168),--(AY168&gt;$AY$2:$AY$313))+1)</f>
        <v>9</v>
      </c>
      <c r="BA168" s="1" t="str">
        <f t="shared" si="160"/>
        <v>K2024GP10_5_1</v>
      </c>
      <c r="BB168" s="1" t="str">
        <f t="shared" si="161"/>
        <v>K2024GP10_5_2</v>
      </c>
      <c r="BC168" s="1">
        <f t="shared" si="162"/>
        <v>0</v>
      </c>
      <c r="BD168" s="1">
        <f t="shared" si="163"/>
        <v>0</v>
      </c>
      <c r="BE168" s="1">
        <f t="shared" si="164"/>
        <v>1</v>
      </c>
      <c r="BF168" s="1">
        <f t="shared" si="165"/>
        <v>133</v>
      </c>
      <c r="BG168" s="1">
        <f t="shared" si="166"/>
        <v>120</v>
      </c>
      <c r="BH168" s="1">
        <f t="shared" si="167"/>
        <v>5</v>
      </c>
      <c r="BI168" s="1">
        <f t="shared" si="168"/>
        <v>5</v>
      </c>
      <c r="BJ168" s="1">
        <f t="shared" si="169"/>
        <v>5.0500000000000003E-2</v>
      </c>
      <c r="BK168" s="1">
        <f t="shared" si="170"/>
        <v>0</v>
      </c>
      <c r="BL168" s="1">
        <f t="shared" si="171"/>
        <v>9.8999999999999994E-5</v>
      </c>
      <c r="BM168" s="1">
        <f t="shared" si="172"/>
        <v>5.0599000000000005E-2</v>
      </c>
      <c r="BN168" s="1">
        <f t="shared" si="173"/>
        <v>0</v>
      </c>
      <c r="BO168" s="1">
        <f t="shared" si="130"/>
        <v>5</v>
      </c>
      <c r="BP168" s="1">
        <f t="shared" si="131"/>
        <v>0</v>
      </c>
      <c r="BQ168" s="1" cm="1">
        <f t="array" ref="BQ168">IF(I168="","",IF(BP168=1,"",IF(L168=0,"",IF(B168=1,"",_xlfn.XLOOKUP(1,($I$2:$I$313=$I168)*($B$2:$B$313=($B168-1)),$BO$2:$BO$313)))))</f>
        <v>14</v>
      </c>
      <c r="BR168" s="1">
        <f>IF(I168="","",IF($B168=1,_xlfn.MINIFS($BO$2:$BO$313,$B$2:$B$313,$B168),_xlfn.MINIFS(BQ$2:$BQ$313,$B$2:$B$313,$B168)))</f>
        <v>1</v>
      </c>
      <c r="BS168" s="1">
        <f t="shared" si="174"/>
        <v>2</v>
      </c>
      <c r="BT168" s="1" t="str" cm="1">
        <f t="array" ref="BT168">IF($I168="","",IF($B168=1,_xlfn.XLOOKUP(1,($B$2:$B$313=$B168)*($BO$2:$BO$313=BR168),Data!$I$2:$I$313,,0),_xlfn.XLOOKUP(1,($B$2:$B$313=$B168)*($BQ$2:$BQ$313=$BR168),$I$2:$I$313,,0)))</f>
        <v>Jami Kallio</v>
      </c>
      <c r="BU168" s="1" t="str" cm="1">
        <f t="array" ref="BU168">IF(I168="","",IF($B168=1,_xlfn.XLOOKUP(1,($B$2:$B$313=$B168)*($BO$2:$BO$313=$BS168),$I$2:$I$313,,0),_xlfn.XLOOKUP(1,($B$2:$B$313=$B168)*($BQ$2:$BQ$313=$BS168),$I$2:$I$313,,0)))</f>
        <v>Mikko Mansikkamäki</v>
      </c>
      <c r="BV168" s="1" t="str" cm="1">
        <f t="array" ref="BV168">IF($I168="","",IF($B168=1,"",IF($B168=2,_xlfn.XLOOKUP(1,($B$2:$B$313=1)*($BO$2:$BO$313=1),$I$2:$I$313,,0),_xlfn.XLOOKUP($B168-1,$B$2:$B$313,$CH$2:$CH$313,,0))))</f>
        <v>Jami Kallio</v>
      </c>
      <c r="BW168" s="1" t="str" cm="1">
        <f t="array" ref="BW168">IF($I168="","",IF($B168=1,"",IF(_xlfn.XLOOKUP(1,($B$2:$B$313=$B168)*($I$2:$I$313=$BV168),$BQ$2:$BQ$313,,0)="","NOK","OK")))</f>
        <v>OK</v>
      </c>
      <c r="BX168" s="1" t="str">
        <f t="shared" si="175"/>
        <v>Jami Kallio</v>
      </c>
      <c r="BY168" s="1" t="str">
        <f t="shared" si="176"/>
        <v>Mikko Mansikkamäki</v>
      </c>
      <c r="BZ168" s="1">
        <f t="shared" si="177"/>
        <v>145</v>
      </c>
      <c r="CA168" s="1">
        <f t="shared" si="178"/>
        <v>132</v>
      </c>
      <c r="CB168" s="1">
        <f t="shared" si="179"/>
        <v>9.8999999999999994E-5</v>
      </c>
      <c r="CC168" s="1">
        <f t="shared" si="180"/>
        <v>137</v>
      </c>
      <c r="CD168" s="1">
        <f t="shared" si="181"/>
        <v>127</v>
      </c>
      <c r="CE168" s="1">
        <f t="shared" si="182"/>
        <v>9.8999999999999994E-5</v>
      </c>
      <c r="CF168" s="1" t="str">
        <f t="shared" si="183"/>
        <v>Jami Kallio (P)</v>
      </c>
      <c r="CG168" s="1" t="str">
        <f t="shared" si="184"/>
        <v>Mikko Mansikkamäki (2)</v>
      </c>
      <c r="CH168" s="1" t="str">
        <f t="shared" si="185"/>
        <v>Jami Kallio</v>
      </c>
      <c r="CI168" s="1">
        <f t="shared" si="186"/>
        <v>0</v>
      </c>
      <c r="CJ168" s="1" t="str">
        <f ca="1">IF(B168="","",IF(SUM(AI168:AK168)&gt;0,"+SP","")&amp;IF(CI168&gt;0,"+KK","")&amp;IF(AB168&gt;0,"+KGP1","")&amp;IF(AC168&gt;0,"+KGP2","")&amp;IF(AG168&lt;0,"-KGP1","")&amp;IF(AH168&lt;0,"-KGP2",""))</f>
        <v>+SP</v>
      </c>
    </row>
    <row r="169" spans="1:88" x14ac:dyDescent="0.25">
      <c r="A169" s="1">
        <f>IFERROR(IF(ROW(A168)=1,1,IF(1+A168&lt;=$CP$1*$CP$2,1+A168,"")),"")</f>
        <v>168</v>
      </c>
      <c r="B169" s="1">
        <f>IF($I169="","",IF(ROW(B168)=1,1,ROUNDUP(A169/$CP$2,0)))</f>
        <v>10</v>
      </c>
      <c r="C169" s="4">
        <f t="shared" si="132"/>
        <v>45732</v>
      </c>
      <c r="D169" s="4" t="str">
        <f t="shared" si="126"/>
        <v>Raision keilahalli</v>
      </c>
      <c r="E169" s="1">
        <f>IF($B169="","",COUNTIF($B$2:B169,B169))</f>
        <v>6</v>
      </c>
      <c r="F169" s="1" t="str">
        <f t="shared" si="127"/>
        <v>K2024GP10</v>
      </c>
      <c r="G169" s="1" t="str">
        <f t="shared" si="133"/>
        <v>K2024GP10_6</v>
      </c>
      <c r="H169" s="1">
        <f t="shared" si="134"/>
        <v>1</v>
      </c>
      <c r="I169" s="3" t="s">
        <v>133</v>
      </c>
      <c r="J169" s="3">
        <v>119</v>
      </c>
      <c r="K169" s="3">
        <v>131</v>
      </c>
      <c r="L169" s="1">
        <f t="shared" si="135"/>
        <v>250</v>
      </c>
      <c r="M169" s="1">
        <f t="shared" si="136"/>
        <v>1</v>
      </c>
      <c r="N169" s="1">
        <f t="shared" si="137"/>
        <v>6</v>
      </c>
      <c r="O169" s="1">
        <f t="shared" si="138"/>
        <v>250</v>
      </c>
      <c r="P169" s="1">
        <f t="shared" si="139"/>
        <v>63</v>
      </c>
      <c r="Q169" s="1">
        <f t="array" ref="Q169">IF($B169="","",IF(MAX(IF(B169=$B$2:$B$313,$L$2:$L$313))-L169=0,"",MAX(IF(B169=$B$2:$B$313,$L$2:$L$313))-L169))</f>
        <v>63</v>
      </c>
      <c r="R169" s="1">
        <f t="array" ref="R169">IF($B169="","",SUMPRODUCT(--($B$2:$B$313=B169),--(L169&lt;$L$2:$L$313))+1)</f>
        <v>6</v>
      </c>
      <c r="S169" s="1">
        <f t="shared" si="140"/>
        <v>2</v>
      </c>
      <c r="T169" s="1" cm="1">
        <f t="array" ref="T169">IF($B169="","",IF(M169=0,"",SUMPRODUCT(--($B$2:$B$313=B169),--(J169&lt;$J$2:$J$313))+1))</f>
        <v>7</v>
      </c>
      <c r="U169" s="1">
        <f t="shared" si="141"/>
        <v>-1</v>
      </c>
      <c r="V169" s="1" t="str">
        <f t="shared" si="142"/>
        <v>1006</v>
      </c>
      <c r="W169" s="1">
        <f t="shared" si="143"/>
        <v>1</v>
      </c>
      <c r="X169" s="1">
        <f t="shared" si="128"/>
        <v>0</v>
      </c>
      <c r="Y169" s="1">
        <f>IF($B169="","",MAX(_xlfn.MAXIFS($J$2:J169,$I$2:I169,$I169),_xlfn.MAXIFS($K$2:K169,$I$2:I169,$I169)))</f>
        <v>203</v>
      </c>
      <c r="Z169" s="1">
        <f t="shared" si="144"/>
        <v>166</v>
      </c>
      <c r="AA169" s="1">
        <f t="shared" si="145"/>
        <v>0</v>
      </c>
      <c r="AB169" s="1">
        <f t="shared" si="146"/>
        <v>0</v>
      </c>
      <c r="AC169" s="1">
        <f t="shared" si="147"/>
        <v>0</v>
      </c>
      <c r="AD169" s="1">
        <f>IF($B169="","",MIN(_xlfn.MINIFS($J$2:J169,$I$2:I169,$I169),_xlfn.MINIFS($K$2:K169,$I$2:I169,$I169)))</f>
        <v>90</v>
      </c>
      <c r="AE169" s="1">
        <f t="shared" si="148"/>
        <v>91</v>
      </c>
      <c r="AF169" s="1">
        <f t="shared" si="149"/>
        <v>0</v>
      </c>
      <c r="AG169" s="1">
        <f t="shared" si="150"/>
        <v>0</v>
      </c>
      <c r="AH169" s="1">
        <f t="shared" si="151"/>
        <v>0</v>
      </c>
      <c r="AI169" s="1">
        <f ca="1">IF($B169="","",IF($K169="",0,OFFSET($CO$17,R169,W169)))</f>
        <v>5</v>
      </c>
      <c r="AJ169" s="1">
        <f t="shared" ca="1" si="152"/>
        <v>0</v>
      </c>
      <c r="AK169" s="1">
        <f ca="1">IF(AJ169="","",IF(AJ169=0,0,IF(W169=1,0,SUM(OFFSET($CO$17,N169,1):OFFSET($CO$17,N169+W169-2,1))/W169)))</f>
        <v>0</v>
      </c>
      <c r="AL169" s="1">
        <f t="shared" ca="1" si="153"/>
        <v>5</v>
      </c>
      <c r="AM169" s="1">
        <f ca="1">IF($B169="","",SUMIFS($AL$2:AL169,$I$2:I169,$I169))</f>
        <v>42</v>
      </c>
      <c r="AN169" s="1">
        <f t="shared" si="154"/>
        <v>6.0001680000000004</v>
      </c>
      <c r="AO169" s="1">
        <f>IFERROR(IF($B169="","",AVERAGEIFS($L$2:L169,$I$2:I169,I169,$L$2:L169,"&lt;&gt;0")),0)</f>
        <v>262.2</v>
      </c>
      <c r="AP169" s="1">
        <f t="shared" si="155"/>
        <v>131.1</v>
      </c>
      <c r="AQ169" s="1">
        <f>IF($B169="","",COUNTIFS($R$2:R169,1,$I$2:I169,$I169))</f>
        <v>0</v>
      </c>
      <c r="AR169" s="1">
        <f t="array" aca="1" ref="AR169" ca="1">IF($B169="","",SUMPRODUCT(--($B$2:$B$313=B169),--(AM169&lt;$AM$2:$AM$313))+1)</f>
        <v>5</v>
      </c>
      <c r="AS169" s="1">
        <f t="array" ref="AS169">IF($B169="","",SUMPRODUCT(--($B$2:$B$313=B169),--(AP169&lt;$AP$2:$AP$313))+1)</f>
        <v>10</v>
      </c>
      <c r="AT169" s="1">
        <f t="array" ref="AT169">IF($B169="","",SUMPRODUCT(--($B$2:$B$313=B169),--(AQ169&lt;$AQ$2:$AQ$313))+1)</f>
        <v>8</v>
      </c>
      <c r="AU169" s="1">
        <f t="shared" si="156"/>
        <v>1.68E-7</v>
      </c>
      <c r="AV169" s="1">
        <f t="shared" ca="1" si="157"/>
        <v>5.1008168000000007E-2</v>
      </c>
      <c r="AW169" s="1">
        <f t="shared" ca="1" si="129"/>
        <v>5.1008168000000007E-2</v>
      </c>
      <c r="AX169" s="1">
        <f t="shared" ca="1" si="158"/>
        <v>6</v>
      </c>
      <c r="AY169" s="8">
        <f t="shared" ca="1" si="159"/>
        <v>5.1008168000000007E-2</v>
      </c>
      <c r="AZ169" s="1" cm="1">
        <f t="array" aca="1" ref="AZ169" ca="1">IF($B169="","",SUMPRODUCT(--($B$2:$B$313=B169),--(AY169&gt;$AY$2:$AY$313))+1)</f>
        <v>6</v>
      </c>
      <c r="BA169" s="1" t="str">
        <f t="shared" si="160"/>
        <v>K2024GP10_6_1</v>
      </c>
      <c r="BB169" s="1" t="str">
        <f t="shared" si="161"/>
        <v>K2024GP10_6_2</v>
      </c>
      <c r="BC169" s="1">
        <f t="shared" si="162"/>
        <v>0</v>
      </c>
      <c r="BD169" s="1">
        <f t="shared" si="163"/>
        <v>0</v>
      </c>
      <c r="BE169" s="1">
        <f t="shared" si="164"/>
        <v>1</v>
      </c>
      <c r="BF169" s="1">
        <f t="shared" si="165"/>
        <v>131</v>
      </c>
      <c r="BG169" s="1">
        <f t="shared" si="166"/>
        <v>119</v>
      </c>
      <c r="BH169" s="1">
        <f t="shared" si="167"/>
        <v>6</v>
      </c>
      <c r="BI169" s="1">
        <f t="shared" si="168"/>
        <v>6</v>
      </c>
      <c r="BJ169" s="1">
        <f t="shared" si="169"/>
        <v>6.0600000000000001E-2</v>
      </c>
      <c r="BK169" s="1">
        <f t="shared" si="170"/>
        <v>0</v>
      </c>
      <c r="BL169" s="1">
        <f t="shared" si="171"/>
        <v>9.8999999999999994E-5</v>
      </c>
      <c r="BM169" s="1">
        <f t="shared" si="172"/>
        <v>6.0699000000000003E-2</v>
      </c>
      <c r="BN169" s="1">
        <f t="shared" si="173"/>
        <v>0</v>
      </c>
      <c r="BO169" s="1">
        <f t="shared" si="130"/>
        <v>6</v>
      </c>
      <c r="BP169" s="1">
        <f t="shared" si="131"/>
        <v>0</v>
      </c>
      <c r="BQ169" s="1" cm="1">
        <f t="array" ref="BQ169">IF(I169="","",IF(BP169=1,"",IF(L169=0,"",IF(B169=1,"",_xlfn.XLOOKUP(1,($I$2:$I$313=$I169)*($B$2:$B$313=($B169-1)),$BO$2:$BO$313)))))</f>
        <v>11</v>
      </c>
      <c r="BR169" s="1">
        <f>IF(I169="","",IF($B169=1,_xlfn.MINIFS($BO$2:$BO$313,$B$2:$B$313,$B169),_xlfn.MINIFS(BQ$2:$BQ$313,$B$2:$B$313,$B169)))</f>
        <v>1</v>
      </c>
      <c r="BS169" s="1">
        <f t="shared" si="174"/>
        <v>2</v>
      </c>
      <c r="BT169" s="1" t="str" cm="1">
        <f t="array" ref="BT169">IF($I169="","",IF($B169=1,_xlfn.XLOOKUP(1,($B$2:$B$313=$B169)*($BO$2:$BO$313=BR169),Data!$I$2:$I$313,,0),_xlfn.XLOOKUP(1,($B$2:$B$313=$B169)*($BQ$2:$BQ$313=$BR169),$I$2:$I$313,,0)))</f>
        <v>Jami Kallio</v>
      </c>
      <c r="BU169" s="1" t="str" cm="1">
        <f t="array" ref="BU169">IF(I169="","",IF($B169=1,_xlfn.XLOOKUP(1,($B$2:$B$313=$B169)*($BO$2:$BO$313=$BS169),$I$2:$I$313,,0),_xlfn.XLOOKUP(1,($B$2:$B$313=$B169)*($BQ$2:$BQ$313=$BS169),$I$2:$I$313,,0)))</f>
        <v>Mikko Mansikkamäki</v>
      </c>
      <c r="BV169" s="1" t="str" cm="1">
        <f t="array" ref="BV169">IF($I169="","",IF($B169=1,"",IF($B169=2,_xlfn.XLOOKUP(1,($B$2:$B$313=1)*($BO$2:$BO$313=1),$I$2:$I$313,,0),_xlfn.XLOOKUP($B169-1,$B$2:$B$313,$CH$2:$CH$313,,0))))</f>
        <v>Jami Kallio</v>
      </c>
      <c r="BW169" s="1" t="str" cm="1">
        <f t="array" ref="BW169">IF($I169="","",IF($B169=1,"",IF(_xlfn.XLOOKUP(1,($B$2:$B$313=$B169)*($I$2:$I$313=$BV169),$BQ$2:$BQ$313,,0)="","NOK","OK")))</f>
        <v>OK</v>
      </c>
      <c r="BX169" s="1" t="str">
        <f t="shared" si="175"/>
        <v>Jami Kallio</v>
      </c>
      <c r="BY169" s="1" t="str">
        <f t="shared" si="176"/>
        <v>Mikko Mansikkamäki</v>
      </c>
      <c r="BZ169" s="1">
        <f t="shared" si="177"/>
        <v>145</v>
      </c>
      <c r="CA169" s="1">
        <f t="shared" si="178"/>
        <v>132</v>
      </c>
      <c r="CB169" s="1">
        <f t="shared" si="179"/>
        <v>9.8999999999999994E-5</v>
      </c>
      <c r="CC169" s="1">
        <f t="shared" si="180"/>
        <v>137</v>
      </c>
      <c r="CD169" s="1">
        <f t="shared" si="181"/>
        <v>127</v>
      </c>
      <c r="CE169" s="1">
        <f t="shared" si="182"/>
        <v>9.8999999999999994E-5</v>
      </c>
      <c r="CF169" s="1" t="str">
        <f t="shared" si="183"/>
        <v>Jami Kallio (P)</v>
      </c>
      <c r="CG169" s="1" t="str">
        <f t="shared" si="184"/>
        <v>Mikko Mansikkamäki (2)</v>
      </c>
      <c r="CH169" s="1" t="str">
        <f t="shared" si="185"/>
        <v>Jami Kallio</v>
      </c>
      <c r="CI169" s="1">
        <f t="shared" si="186"/>
        <v>0</v>
      </c>
      <c r="CJ169" s="1" t="str">
        <f ca="1">IF(B169="","",IF(SUM(AI169:AK169)&gt;0,"+SP","")&amp;IF(CI169&gt;0,"+KK","")&amp;IF(AB169&gt;0,"+KGP1","")&amp;IF(AC169&gt;0,"+KGP2","")&amp;IF(AG169&lt;0,"-KGP1","")&amp;IF(AH169&lt;0,"-KGP2",""))</f>
        <v>+SP</v>
      </c>
    </row>
    <row r="170" spans="1:88" x14ac:dyDescent="0.25">
      <c r="A170" s="1">
        <f>IFERROR(IF(ROW(A169)=1,1,IF(1+A169&lt;=$CP$1*$CP$2,1+A169,"")),"")</f>
        <v>169</v>
      </c>
      <c r="B170" s="1">
        <f>IF($I170="","",IF(ROW(B169)=1,1,ROUNDUP(A170/$CP$2,0)))</f>
        <v>10</v>
      </c>
      <c r="C170" s="4">
        <f t="shared" si="132"/>
        <v>45732</v>
      </c>
      <c r="D170" s="4" t="str">
        <f t="shared" si="126"/>
        <v>Raision keilahalli</v>
      </c>
      <c r="E170" s="1">
        <f>IF($B170="","",COUNTIF($B$2:B170,B170))</f>
        <v>7</v>
      </c>
      <c r="F170" s="1" t="str">
        <f t="shared" si="127"/>
        <v>K2024GP10</v>
      </c>
      <c r="G170" s="1" t="str">
        <f t="shared" si="133"/>
        <v>K2024GP10_7</v>
      </c>
      <c r="H170" s="1">
        <f t="shared" si="134"/>
        <v>1</v>
      </c>
      <c r="I170" s="3" t="s">
        <v>138</v>
      </c>
      <c r="J170" s="3">
        <v>129</v>
      </c>
      <c r="K170" s="3">
        <v>117</v>
      </c>
      <c r="L170" s="1">
        <f t="shared" si="135"/>
        <v>246</v>
      </c>
      <c r="M170" s="1">
        <f t="shared" si="136"/>
        <v>1</v>
      </c>
      <c r="N170" s="1">
        <f t="shared" si="137"/>
        <v>7</v>
      </c>
      <c r="O170" s="1">
        <f t="shared" si="138"/>
        <v>246</v>
      </c>
      <c r="P170" s="1">
        <f t="shared" si="139"/>
        <v>67</v>
      </c>
      <c r="Q170" s="1">
        <f t="array" ref="Q170">IF($B170="","",IF(MAX(IF(B170=$B$2:$B$313,$L$2:$L$313))-L170=0,"",MAX(IF(B170=$B$2:$B$313,$L$2:$L$313))-L170))</f>
        <v>67</v>
      </c>
      <c r="R170" s="1">
        <f t="array" ref="R170">IF($B170="","",SUMPRODUCT(--($B$2:$B$313=B170),--(L170&lt;$L$2:$L$313))+1)</f>
        <v>7</v>
      </c>
      <c r="S170" s="1">
        <f t="shared" si="140"/>
        <v>2</v>
      </c>
      <c r="T170" s="1" cm="1">
        <f t="array" ref="T170">IF($B170="","",IF(M170=0,"",SUMPRODUCT(--($B$2:$B$313=B170),--(J170&lt;$J$2:$J$313))+1))</f>
        <v>5</v>
      </c>
      <c r="U170" s="1">
        <f t="shared" si="141"/>
        <v>2</v>
      </c>
      <c r="V170" s="1" t="str">
        <f t="shared" si="142"/>
        <v>1007</v>
      </c>
      <c r="W170" s="1">
        <f t="shared" si="143"/>
        <v>1</v>
      </c>
      <c r="X170" s="1">
        <f t="shared" si="128"/>
        <v>0</v>
      </c>
      <c r="Y170" s="1">
        <f>IF($B170="","",MAX(_xlfn.MAXIFS($J$2:J170,$I$2:I170,$I170),_xlfn.MAXIFS($K$2:K170,$I$2:I170,$I170)))</f>
        <v>178</v>
      </c>
      <c r="Z170" s="1">
        <f t="shared" si="144"/>
        <v>166</v>
      </c>
      <c r="AA170" s="1">
        <f t="shared" si="145"/>
        <v>0</v>
      </c>
      <c r="AB170" s="1">
        <f t="shared" si="146"/>
        <v>0</v>
      </c>
      <c r="AC170" s="1">
        <f t="shared" si="147"/>
        <v>0</v>
      </c>
      <c r="AD170" s="1">
        <f>IF($B170="","",MIN(_xlfn.MINIFS($J$2:J170,$I$2:I170,$I170),_xlfn.MINIFS($K$2:K170,$I$2:I170,$I170)))</f>
        <v>87</v>
      </c>
      <c r="AE170" s="1">
        <f t="shared" si="148"/>
        <v>91</v>
      </c>
      <c r="AF170" s="1">
        <f t="shared" si="149"/>
        <v>0</v>
      </c>
      <c r="AG170" s="1">
        <f t="shared" si="150"/>
        <v>0</v>
      </c>
      <c r="AH170" s="1">
        <f t="shared" si="151"/>
        <v>0</v>
      </c>
      <c r="AI170" s="1">
        <f ca="1">IF($B170="","",IF($K170="",0,OFFSET($CO$17,R170,W170)))</f>
        <v>4</v>
      </c>
      <c r="AJ170" s="1">
        <f t="shared" ca="1" si="152"/>
        <v>0</v>
      </c>
      <c r="AK170" s="1">
        <f ca="1">IF(AJ170="","",IF(AJ170=0,0,IF(W170=1,0,SUM(OFFSET($CO$17,N170,1):OFFSET($CO$17,N170+W170-2,1))/W170)))</f>
        <v>0</v>
      </c>
      <c r="AL170" s="1">
        <f t="shared" ca="1" si="153"/>
        <v>4</v>
      </c>
      <c r="AM170" s="1">
        <f ca="1">IF($B170="","",SUMIFS($AL$2:AL170,$I$2:I170,$I170))</f>
        <v>42</v>
      </c>
      <c r="AN170" s="1">
        <f t="shared" si="154"/>
        <v>7.0001689999999996</v>
      </c>
      <c r="AO170" s="1">
        <f>IFERROR(IF($B170="","",AVERAGEIFS($L$2:L170,$I$2:I170,I170,$L$2:L170,"&lt;&gt;0")),0)</f>
        <v>266.33333333333331</v>
      </c>
      <c r="AP170" s="1">
        <f t="shared" si="155"/>
        <v>133.16666666666666</v>
      </c>
      <c r="AQ170" s="1">
        <f>IF($B170="","",COUNTIFS($R$2:R170,1,$I$2:I170,$I170))</f>
        <v>1</v>
      </c>
      <c r="AR170" s="1">
        <f t="array" aca="1" ref="AR170" ca="1">IF($B170="","",SUMPRODUCT(--($B$2:$B$313=B170),--(AM170&lt;$AM$2:$AM$313))+1)</f>
        <v>5</v>
      </c>
      <c r="AS170" s="1">
        <f t="array" ref="AS170">IF($B170="","",SUMPRODUCT(--($B$2:$B$313=B170),--(AP170&lt;$AP$2:$AP$313))+1)</f>
        <v>9</v>
      </c>
      <c r="AT170" s="1">
        <f t="array" ref="AT170">IF($B170="","",SUMPRODUCT(--($B$2:$B$313=B170),--(AQ170&lt;$AQ$2:$AQ$313))+1)</f>
        <v>4</v>
      </c>
      <c r="AU170" s="1">
        <f t="shared" si="156"/>
        <v>1.6899999999999999E-7</v>
      </c>
      <c r="AV170" s="1">
        <f t="shared" ca="1" si="157"/>
        <v>5.0904168999999999E-2</v>
      </c>
      <c r="AW170" s="1">
        <f t="shared" ca="1" si="129"/>
        <v>5.0904168999999999E-2</v>
      </c>
      <c r="AX170" s="1">
        <f t="shared" ca="1" si="158"/>
        <v>5</v>
      </c>
      <c r="AY170" s="8">
        <f t="shared" ca="1" si="159"/>
        <v>5.0904168999999999E-2</v>
      </c>
      <c r="AZ170" s="1" cm="1">
        <f t="array" aca="1" ref="AZ170" ca="1">IF($B170="","",SUMPRODUCT(--($B$2:$B$313=B170),--(AY170&gt;$AY$2:$AY$313))+1)</f>
        <v>5</v>
      </c>
      <c r="BA170" s="1" t="str">
        <f t="shared" si="160"/>
        <v>K2024GP10_7_1</v>
      </c>
      <c r="BB170" s="1" t="str">
        <f t="shared" si="161"/>
        <v>K2024GP10_7_2</v>
      </c>
      <c r="BC170" s="1">
        <f t="shared" si="162"/>
        <v>0</v>
      </c>
      <c r="BD170" s="1">
        <f t="shared" si="163"/>
        <v>0</v>
      </c>
      <c r="BE170" s="1">
        <f t="shared" si="164"/>
        <v>1</v>
      </c>
      <c r="BF170" s="1">
        <f t="shared" si="165"/>
        <v>129</v>
      </c>
      <c r="BG170" s="1">
        <f t="shared" si="166"/>
        <v>117</v>
      </c>
      <c r="BH170" s="1">
        <f t="shared" si="167"/>
        <v>8</v>
      </c>
      <c r="BI170" s="1">
        <f t="shared" si="168"/>
        <v>7</v>
      </c>
      <c r="BJ170" s="1">
        <f t="shared" si="169"/>
        <v>8.0700000000000008E-2</v>
      </c>
      <c r="BK170" s="1">
        <f t="shared" si="170"/>
        <v>0</v>
      </c>
      <c r="BL170" s="1">
        <f t="shared" si="171"/>
        <v>9.8999999999999994E-5</v>
      </c>
      <c r="BM170" s="1">
        <f t="shared" si="172"/>
        <v>8.079900000000001E-2</v>
      </c>
      <c r="BN170" s="1">
        <f t="shared" si="173"/>
        <v>0</v>
      </c>
      <c r="BO170" s="1">
        <f t="shared" si="130"/>
        <v>8</v>
      </c>
      <c r="BP170" s="1">
        <f t="shared" si="131"/>
        <v>0</v>
      </c>
      <c r="BQ170" s="1" cm="1">
        <f t="array" ref="BQ170">IF(I170="","",IF(BP170=1,"",IF(L170=0,"",IF(B170=1,"",_xlfn.XLOOKUP(1,($I$2:$I$313=$I170)*($B$2:$B$313=($B170-1)),$BO$2:$BO$313)))))</f>
        <v>3</v>
      </c>
      <c r="BR170" s="1">
        <f>IF(I170="","",IF($B170=1,_xlfn.MINIFS($BO$2:$BO$313,$B$2:$B$313,$B170),_xlfn.MINIFS(BQ$2:$BQ$313,$B$2:$B$313,$B170)))</f>
        <v>1</v>
      </c>
      <c r="BS170" s="1">
        <f t="shared" si="174"/>
        <v>2</v>
      </c>
      <c r="BT170" s="1" t="str" cm="1">
        <f t="array" ref="BT170">IF($I170="","",IF($B170=1,_xlfn.XLOOKUP(1,($B$2:$B$313=$B170)*($BO$2:$BO$313=BR170),Data!$I$2:$I$313,,0),_xlfn.XLOOKUP(1,($B$2:$B$313=$B170)*($BQ$2:$BQ$313=$BR170),$I$2:$I$313,,0)))</f>
        <v>Jami Kallio</v>
      </c>
      <c r="BU170" s="1" t="str" cm="1">
        <f t="array" ref="BU170">IF(I170="","",IF($B170=1,_xlfn.XLOOKUP(1,($B$2:$B$313=$B170)*($BO$2:$BO$313=$BS170),$I$2:$I$313,,0),_xlfn.XLOOKUP(1,($B$2:$B$313=$B170)*($BQ$2:$BQ$313=$BS170),$I$2:$I$313,,0)))</f>
        <v>Mikko Mansikkamäki</v>
      </c>
      <c r="BV170" s="1" t="str" cm="1">
        <f t="array" ref="BV170">IF($I170="","",IF($B170=1,"",IF($B170=2,_xlfn.XLOOKUP(1,($B$2:$B$313=1)*($BO$2:$BO$313=1),$I$2:$I$313,,0),_xlfn.XLOOKUP($B170-1,$B$2:$B$313,$CH$2:$CH$313,,0))))</f>
        <v>Jami Kallio</v>
      </c>
      <c r="BW170" s="1" t="str" cm="1">
        <f t="array" ref="BW170">IF($I170="","",IF($B170=1,"",IF(_xlfn.XLOOKUP(1,($B$2:$B$313=$B170)*($I$2:$I$313=$BV170),$BQ$2:$BQ$313,,0)="","NOK","OK")))</f>
        <v>OK</v>
      </c>
      <c r="BX170" s="1" t="str">
        <f t="shared" si="175"/>
        <v>Jami Kallio</v>
      </c>
      <c r="BY170" s="1" t="str">
        <f t="shared" si="176"/>
        <v>Mikko Mansikkamäki</v>
      </c>
      <c r="BZ170" s="1">
        <f t="shared" si="177"/>
        <v>145</v>
      </c>
      <c r="CA170" s="1">
        <f t="shared" si="178"/>
        <v>132</v>
      </c>
      <c r="CB170" s="1">
        <f t="shared" si="179"/>
        <v>9.8999999999999994E-5</v>
      </c>
      <c r="CC170" s="1">
        <f t="shared" si="180"/>
        <v>137</v>
      </c>
      <c r="CD170" s="1">
        <f t="shared" si="181"/>
        <v>127</v>
      </c>
      <c r="CE170" s="1">
        <f t="shared" si="182"/>
        <v>9.8999999999999994E-5</v>
      </c>
      <c r="CF170" s="1" t="str">
        <f t="shared" si="183"/>
        <v>Jami Kallio (P)</v>
      </c>
      <c r="CG170" s="1" t="str">
        <f t="shared" si="184"/>
        <v>Mikko Mansikkamäki (2)</v>
      </c>
      <c r="CH170" s="1" t="str">
        <f t="shared" si="185"/>
        <v>Jami Kallio</v>
      </c>
      <c r="CI170" s="1">
        <f t="shared" si="186"/>
        <v>0</v>
      </c>
      <c r="CJ170" s="1" t="str">
        <f ca="1">IF(B170="","",IF(SUM(AI170:AK170)&gt;0,"+SP","")&amp;IF(CI170&gt;0,"+KK","")&amp;IF(AB170&gt;0,"+KGP1","")&amp;IF(AC170&gt;0,"+KGP2","")&amp;IF(AG170&lt;0,"-KGP1","")&amp;IF(AH170&lt;0,"-KGP2",""))</f>
        <v>+SP</v>
      </c>
    </row>
    <row r="171" spans="1:88" x14ac:dyDescent="0.25">
      <c r="A171" s="1">
        <f>IFERROR(IF(ROW(A170)=1,1,IF(1+A170&lt;=$CP$1*$CP$2,1+A170,"")),"")</f>
        <v>170</v>
      </c>
      <c r="B171" s="1">
        <f>IF($I171="","",IF(ROW(B170)=1,1,ROUNDUP(A171/$CP$2,0)))</f>
        <v>10</v>
      </c>
      <c r="C171" s="4">
        <f t="shared" si="132"/>
        <v>45732</v>
      </c>
      <c r="D171" s="4" t="str">
        <f t="shared" si="126"/>
        <v>Raision keilahalli</v>
      </c>
      <c r="E171" s="1">
        <f>IF($B171="","",COUNTIF($B$2:B171,B171))</f>
        <v>8</v>
      </c>
      <c r="F171" s="1" t="str">
        <f t="shared" si="127"/>
        <v>K2024GP10</v>
      </c>
      <c r="G171" s="1" t="str">
        <f t="shared" si="133"/>
        <v>K2024GP10_8</v>
      </c>
      <c r="H171" s="1">
        <f t="shared" si="134"/>
        <v>1</v>
      </c>
      <c r="I171" s="3" t="s">
        <v>144</v>
      </c>
      <c r="J171" s="3">
        <v>109</v>
      </c>
      <c r="K171" s="3">
        <v>131</v>
      </c>
      <c r="L171" s="1">
        <f t="shared" si="135"/>
        <v>240</v>
      </c>
      <c r="M171" s="1">
        <f t="shared" si="136"/>
        <v>1</v>
      </c>
      <c r="N171" s="1">
        <f t="shared" si="137"/>
        <v>8</v>
      </c>
      <c r="O171" s="1">
        <f t="shared" si="138"/>
        <v>240</v>
      </c>
      <c r="P171" s="1">
        <f t="shared" si="139"/>
        <v>73</v>
      </c>
      <c r="Q171" s="1">
        <f t="array" ref="Q171">IF($B171="","",IF(MAX(IF(B171=$B$2:$B$313,$L$2:$L$313))-L171=0,"",MAX(IF(B171=$B$2:$B$313,$L$2:$L$313))-L171))</f>
        <v>73</v>
      </c>
      <c r="R171" s="1">
        <f t="array" ref="R171">IF($B171="","",SUMPRODUCT(--($B$2:$B$313=B171),--(L171&lt;$L$2:$L$313))+1)</f>
        <v>8</v>
      </c>
      <c r="S171" s="1">
        <f t="shared" si="140"/>
        <v>2</v>
      </c>
      <c r="T171" s="1" cm="1">
        <f t="array" ref="T171">IF($B171="","",IF(M171=0,"",SUMPRODUCT(--($B$2:$B$313=B171),--(J171&lt;$J$2:$J$313))+1))</f>
        <v>9</v>
      </c>
      <c r="U171" s="1">
        <f t="shared" si="141"/>
        <v>-1</v>
      </c>
      <c r="V171" s="1" t="str">
        <f t="shared" si="142"/>
        <v>1008</v>
      </c>
      <c r="W171" s="1">
        <f t="shared" si="143"/>
        <v>1</v>
      </c>
      <c r="X171" s="1">
        <f t="shared" si="128"/>
        <v>0</v>
      </c>
      <c r="Y171" s="1">
        <f>IF($B171="","",MAX(_xlfn.MAXIFS($J$2:J171,$I$2:I171,$I171),_xlfn.MAXIFS($K$2:K171,$I$2:I171,$I171)))</f>
        <v>193</v>
      </c>
      <c r="Z171" s="1">
        <f t="shared" si="144"/>
        <v>166</v>
      </c>
      <c r="AA171" s="1">
        <f t="shared" si="145"/>
        <v>0</v>
      </c>
      <c r="AB171" s="1">
        <f t="shared" si="146"/>
        <v>0</v>
      </c>
      <c r="AC171" s="1">
        <f t="shared" si="147"/>
        <v>0</v>
      </c>
      <c r="AD171" s="1">
        <f>IF($B171="","",MIN(_xlfn.MINIFS($J$2:J171,$I$2:I171,$I171),_xlfn.MINIFS($K$2:K171,$I$2:I171,$I171)))</f>
        <v>82</v>
      </c>
      <c r="AE171" s="1">
        <f t="shared" si="148"/>
        <v>91</v>
      </c>
      <c r="AF171" s="1">
        <f t="shared" si="149"/>
        <v>0</v>
      </c>
      <c r="AG171" s="1">
        <f t="shared" si="150"/>
        <v>0</v>
      </c>
      <c r="AH171" s="1">
        <f t="shared" si="151"/>
        <v>0</v>
      </c>
      <c r="AI171" s="1">
        <f ca="1">IF($B171="","",IF($K171="",0,OFFSET($CO$17,R171,W171)))</f>
        <v>3</v>
      </c>
      <c r="AJ171" s="1">
        <f t="shared" ca="1" si="152"/>
        <v>0</v>
      </c>
      <c r="AK171" s="1">
        <f ca="1">IF(AJ171="","",IF(AJ171=0,0,IF(W171=1,0,SUM(OFFSET($CO$17,N171,1):OFFSET($CO$17,N171+W171-2,1))/W171)))</f>
        <v>0</v>
      </c>
      <c r="AL171" s="1">
        <f t="shared" ca="1" si="153"/>
        <v>3</v>
      </c>
      <c r="AM171" s="1">
        <f ca="1">IF($B171="","",SUMIFS($AL$2:AL171,$I$2:I171,$I171))</f>
        <v>18</v>
      </c>
      <c r="AN171" s="1">
        <f t="shared" si="154"/>
        <v>8.0001700000000007</v>
      </c>
      <c r="AO171" s="1">
        <f>IFERROR(IF($B171="","",AVERAGEIFS($L$2:L171,$I$2:I171,I171,$L$2:L171,"&lt;&gt;0")),0)</f>
        <v>253.16666666666666</v>
      </c>
      <c r="AP171" s="1">
        <f t="shared" si="155"/>
        <v>126.58333333333333</v>
      </c>
      <c r="AQ171" s="1">
        <f>IF($B171="","",COUNTIFS($R$2:R171,1,$I$2:I171,$I171))</f>
        <v>0</v>
      </c>
      <c r="AR171" s="1">
        <f t="array" aca="1" ref="AR171" ca="1">IF($B171="","",SUMPRODUCT(--($B$2:$B$313=B171),--(AM171&lt;$AM$2:$AM$313))+1)</f>
        <v>13</v>
      </c>
      <c r="AS171" s="1">
        <f t="array" ref="AS171">IF($B171="","",SUMPRODUCT(--($B$2:$B$313=B171),--(AP171&lt;$AP$2:$AP$313))+1)</f>
        <v>12</v>
      </c>
      <c r="AT171" s="1">
        <f t="array" ref="AT171">IF($B171="","",SUMPRODUCT(--($B$2:$B$313=B171),--(AQ171&lt;$AQ$2:$AQ$313))+1)</f>
        <v>8</v>
      </c>
      <c r="AU171" s="1">
        <f t="shared" si="156"/>
        <v>1.6999999999999999E-7</v>
      </c>
      <c r="AV171" s="1">
        <f t="shared" ca="1" si="157"/>
        <v>0.13120817000000001</v>
      </c>
      <c r="AW171" s="1">
        <f t="shared" ca="1" si="129"/>
        <v>0.13120817000000001</v>
      </c>
      <c r="AX171" s="1">
        <f t="shared" ca="1" si="158"/>
        <v>13</v>
      </c>
      <c r="AY171" s="8">
        <f t="shared" ca="1" si="159"/>
        <v>0.13120817000000001</v>
      </c>
      <c r="AZ171" s="1" cm="1">
        <f t="array" aca="1" ref="AZ171" ca="1">IF($B171="","",SUMPRODUCT(--($B$2:$B$313=B171),--(AY171&gt;$AY$2:$AY$313))+1)</f>
        <v>13</v>
      </c>
      <c r="BA171" s="1" t="str">
        <f t="shared" si="160"/>
        <v>K2024GP10_8_1</v>
      </c>
      <c r="BB171" s="1" t="str">
        <f t="shared" si="161"/>
        <v>K2024GP10_8_2</v>
      </c>
      <c r="BC171" s="1">
        <f t="shared" si="162"/>
        <v>0</v>
      </c>
      <c r="BD171" s="1">
        <f t="shared" si="163"/>
        <v>0</v>
      </c>
      <c r="BE171" s="1">
        <f t="shared" si="164"/>
        <v>1</v>
      </c>
      <c r="BF171" s="1">
        <f t="shared" si="165"/>
        <v>131</v>
      </c>
      <c r="BG171" s="1">
        <f t="shared" si="166"/>
        <v>109</v>
      </c>
      <c r="BH171" s="1">
        <f t="shared" si="167"/>
        <v>6</v>
      </c>
      <c r="BI171" s="1">
        <f t="shared" si="168"/>
        <v>8</v>
      </c>
      <c r="BJ171" s="1">
        <f t="shared" si="169"/>
        <v>6.08E-2</v>
      </c>
      <c r="BK171" s="1">
        <f t="shared" si="170"/>
        <v>0</v>
      </c>
      <c r="BL171" s="1">
        <f t="shared" si="171"/>
        <v>9.8999999999999994E-5</v>
      </c>
      <c r="BM171" s="1">
        <f t="shared" si="172"/>
        <v>6.0899000000000002E-2</v>
      </c>
      <c r="BN171" s="1">
        <f t="shared" si="173"/>
        <v>0</v>
      </c>
      <c r="BO171" s="1">
        <f t="shared" si="130"/>
        <v>7</v>
      </c>
      <c r="BP171" s="1">
        <f t="shared" si="131"/>
        <v>0</v>
      </c>
      <c r="BQ171" s="1" cm="1">
        <f t="array" ref="BQ171">IF(I171="","",IF(BP171=1,"",IF(L171=0,"",IF(B171=1,"",_xlfn.XLOOKUP(1,($I$2:$I$313=$I171)*($B$2:$B$313=($B171-1)),$BO$2:$BO$313)))))</f>
        <v>17</v>
      </c>
      <c r="BR171" s="1">
        <f>IF(I171="","",IF($B171=1,_xlfn.MINIFS($BO$2:$BO$313,$B$2:$B$313,$B171),_xlfn.MINIFS(BQ$2:$BQ$313,$B$2:$B$313,$B171)))</f>
        <v>1</v>
      </c>
      <c r="BS171" s="1">
        <f t="shared" si="174"/>
        <v>2</v>
      </c>
      <c r="BT171" s="1" t="str" cm="1">
        <f t="array" ref="BT171">IF($I171="","",IF($B171=1,_xlfn.XLOOKUP(1,($B$2:$B$313=$B171)*($BO$2:$BO$313=BR171),Data!$I$2:$I$313,,0),_xlfn.XLOOKUP(1,($B$2:$B$313=$B171)*($BQ$2:$BQ$313=$BR171),$I$2:$I$313,,0)))</f>
        <v>Jami Kallio</v>
      </c>
      <c r="BU171" s="1" t="str" cm="1">
        <f t="array" ref="BU171">IF(I171="","",IF($B171=1,_xlfn.XLOOKUP(1,($B$2:$B$313=$B171)*($BO$2:$BO$313=$BS171),$I$2:$I$313,,0),_xlfn.XLOOKUP(1,($B$2:$B$313=$B171)*($BQ$2:$BQ$313=$BS171),$I$2:$I$313,,0)))</f>
        <v>Mikko Mansikkamäki</v>
      </c>
      <c r="BV171" s="1" t="str" cm="1">
        <f t="array" ref="BV171">IF($I171="","",IF($B171=1,"",IF($B171=2,_xlfn.XLOOKUP(1,($B$2:$B$313=1)*($BO$2:$BO$313=1),$I$2:$I$313,,0),_xlfn.XLOOKUP($B171-1,$B$2:$B$313,$CH$2:$CH$313,,0))))</f>
        <v>Jami Kallio</v>
      </c>
      <c r="BW171" s="1" t="str" cm="1">
        <f t="array" ref="BW171">IF($I171="","",IF($B171=1,"",IF(_xlfn.XLOOKUP(1,($B$2:$B$313=$B171)*($I$2:$I$313=$BV171),$BQ$2:$BQ$313,,0)="","NOK","OK")))</f>
        <v>OK</v>
      </c>
      <c r="BX171" s="1" t="str">
        <f t="shared" si="175"/>
        <v>Jami Kallio</v>
      </c>
      <c r="BY171" s="1" t="str">
        <f t="shared" si="176"/>
        <v>Mikko Mansikkamäki</v>
      </c>
      <c r="BZ171" s="1">
        <f t="shared" si="177"/>
        <v>145</v>
      </c>
      <c r="CA171" s="1">
        <f t="shared" si="178"/>
        <v>132</v>
      </c>
      <c r="CB171" s="1">
        <f t="shared" si="179"/>
        <v>9.8999999999999994E-5</v>
      </c>
      <c r="CC171" s="1">
        <f t="shared" si="180"/>
        <v>137</v>
      </c>
      <c r="CD171" s="1">
        <f t="shared" si="181"/>
        <v>127</v>
      </c>
      <c r="CE171" s="1">
        <f t="shared" si="182"/>
        <v>9.8999999999999994E-5</v>
      </c>
      <c r="CF171" s="1" t="str">
        <f t="shared" si="183"/>
        <v>Jami Kallio (P)</v>
      </c>
      <c r="CG171" s="1" t="str">
        <f t="shared" si="184"/>
        <v>Mikko Mansikkamäki (2)</v>
      </c>
      <c r="CH171" s="1" t="str">
        <f t="shared" si="185"/>
        <v>Jami Kallio</v>
      </c>
      <c r="CI171" s="1">
        <f t="shared" si="186"/>
        <v>0</v>
      </c>
      <c r="CJ171" s="1" t="str">
        <f ca="1">IF(B171="","",IF(SUM(AI171:AK171)&gt;0,"+SP","")&amp;IF(CI171&gt;0,"+KK","")&amp;IF(AB171&gt;0,"+KGP1","")&amp;IF(AC171&gt;0,"+KGP2","")&amp;IF(AG171&lt;0,"-KGP1","")&amp;IF(AH171&lt;0,"-KGP2",""))</f>
        <v>+SP</v>
      </c>
    </row>
    <row r="172" spans="1:88" x14ac:dyDescent="0.25">
      <c r="A172" s="1">
        <f>IFERROR(IF(ROW(A171)=1,1,IF(1+A171&lt;=$CP$1*$CP$2,1+A171,"")),"")</f>
        <v>171</v>
      </c>
      <c r="B172" s="1">
        <f>IF($I172="","",IF(ROW(B171)=1,1,ROUNDUP(A172/$CP$2,0)))</f>
        <v>10</v>
      </c>
      <c r="C172" s="4">
        <f t="shared" si="132"/>
        <v>45732</v>
      </c>
      <c r="D172" s="4" t="str">
        <f t="shared" si="126"/>
        <v>Raision keilahalli</v>
      </c>
      <c r="E172" s="1">
        <f>IF($B172="","",COUNTIF($B$2:B172,B172))</f>
        <v>9</v>
      </c>
      <c r="F172" s="1" t="str">
        <f t="shared" si="127"/>
        <v>K2024GP10</v>
      </c>
      <c r="G172" s="1" t="str">
        <f t="shared" si="133"/>
        <v>K2024GP10_9</v>
      </c>
      <c r="H172" s="1">
        <f t="shared" si="134"/>
        <v>1</v>
      </c>
      <c r="I172" s="3" t="s">
        <v>137</v>
      </c>
      <c r="J172" s="3">
        <v>102</v>
      </c>
      <c r="K172" s="3">
        <v>124</v>
      </c>
      <c r="L172" s="1">
        <f t="shared" si="135"/>
        <v>226</v>
      </c>
      <c r="M172" s="1">
        <f t="shared" si="136"/>
        <v>1</v>
      </c>
      <c r="N172" s="1">
        <f t="shared" si="137"/>
        <v>9</v>
      </c>
      <c r="O172" s="1">
        <f t="shared" si="138"/>
        <v>226</v>
      </c>
      <c r="P172" s="1">
        <f t="shared" si="139"/>
        <v>87</v>
      </c>
      <c r="Q172" s="1">
        <f t="array" ref="Q172">IF($B172="","",IF(MAX(IF(B172=$B$2:$B$313,$L$2:$L$313))-L172=0,"",MAX(IF(B172=$B$2:$B$313,$L$2:$L$313))-L172))</f>
        <v>87</v>
      </c>
      <c r="R172" s="1">
        <f t="array" ref="R172">IF($B172="","",SUMPRODUCT(--($B$2:$B$313=B172),--(L172&lt;$L$2:$L$313))+1)</f>
        <v>9</v>
      </c>
      <c r="S172" s="1">
        <f t="shared" si="140"/>
        <v>2</v>
      </c>
      <c r="T172" s="1" cm="1">
        <f t="array" ref="T172">IF($B172="","",IF(M172=0,"",SUMPRODUCT(--($B$2:$B$313=B172),--(J172&lt;$J$2:$J$313))+1))</f>
        <v>10</v>
      </c>
      <c r="U172" s="1">
        <f t="shared" si="141"/>
        <v>-1</v>
      </c>
      <c r="V172" s="1" t="str">
        <f t="shared" si="142"/>
        <v>1009</v>
      </c>
      <c r="W172" s="1">
        <f t="shared" si="143"/>
        <v>1</v>
      </c>
      <c r="X172" s="1">
        <f t="shared" si="128"/>
        <v>0</v>
      </c>
      <c r="Y172" s="1">
        <f>IF($B172="","",MAX(_xlfn.MAXIFS($J$2:J172,$I$2:I172,$I172),_xlfn.MAXIFS($K$2:K172,$I$2:I172,$I172)))</f>
        <v>175</v>
      </c>
      <c r="Z172" s="1">
        <f t="shared" si="144"/>
        <v>166</v>
      </c>
      <c r="AA172" s="1">
        <f t="shared" si="145"/>
        <v>0</v>
      </c>
      <c r="AB172" s="1">
        <f t="shared" si="146"/>
        <v>0</v>
      </c>
      <c r="AC172" s="1">
        <f t="shared" si="147"/>
        <v>0</v>
      </c>
      <c r="AD172" s="1">
        <f>IF($B172="","",MIN(_xlfn.MINIFS($J$2:J172,$I$2:I172,$I172),_xlfn.MINIFS($K$2:K172,$I$2:I172,$I172)))</f>
        <v>102</v>
      </c>
      <c r="AE172" s="1">
        <f t="shared" si="148"/>
        <v>91</v>
      </c>
      <c r="AF172" s="1">
        <f t="shared" si="149"/>
        <v>0</v>
      </c>
      <c r="AG172" s="1">
        <f t="shared" si="150"/>
        <v>0</v>
      </c>
      <c r="AH172" s="1">
        <f t="shared" si="151"/>
        <v>0</v>
      </c>
      <c r="AI172" s="1">
        <f ca="1">IF($B172="","",IF($K172="",0,OFFSET($CO$17,R172,W172)))</f>
        <v>2</v>
      </c>
      <c r="AJ172" s="1">
        <f t="shared" ca="1" si="152"/>
        <v>0</v>
      </c>
      <c r="AK172" s="1">
        <f ca="1">IF(AJ172="","",IF(AJ172=0,0,IF(W172=1,0,SUM(OFFSET($CO$17,N172,1):OFFSET($CO$17,N172+W172-2,1))/W172)))</f>
        <v>0</v>
      </c>
      <c r="AL172" s="1">
        <f t="shared" ca="1" si="153"/>
        <v>2</v>
      </c>
      <c r="AM172" s="1">
        <f ca="1">IF($B172="","",SUMIFS($AL$2:AL172,$I$2:I172,$I172))</f>
        <v>24</v>
      </c>
      <c r="AN172" s="1">
        <f t="shared" si="154"/>
        <v>9.0001709999999999</v>
      </c>
      <c r="AO172" s="1">
        <f>IFERROR(IF($B172="","",AVERAGEIFS($L$2:L172,$I$2:I172,I172,$L$2:L172,"&lt;&gt;0")),0)</f>
        <v>270.85714285714283</v>
      </c>
      <c r="AP172" s="1">
        <f t="shared" si="155"/>
        <v>135.42857142857142</v>
      </c>
      <c r="AQ172" s="1">
        <f>IF($B172="","",COUNTIFS($R$2:R172,1,$I$2:I172,$I172))</f>
        <v>0</v>
      </c>
      <c r="AR172" s="1">
        <f t="array" aca="1" ref="AR172" ca="1">IF($B172="","",SUMPRODUCT(--($B$2:$B$313=B172),--(AM172&lt;$AM$2:$AM$313))+1)</f>
        <v>10</v>
      </c>
      <c r="AS172" s="1">
        <f t="array" ref="AS172">IF($B172="","",SUMPRODUCT(--($B$2:$B$313=B172),--(AP172&lt;$AP$2:$AP$313))+1)</f>
        <v>8</v>
      </c>
      <c r="AT172" s="1">
        <f t="array" ref="AT172">IF($B172="","",SUMPRODUCT(--($B$2:$B$313=B172),--(AQ172&lt;$AQ$2:$AQ$313))+1)</f>
        <v>8</v>
      </c>
      <c r="AU172" s="1">
        <f t="shared" si="156"/>
        <v>1.7100000000000001E-7</v>
      </c>
      <c r="AV172" s="1">
        <f t="shared" ca="1" si="157"/>
        <v>0.10080817099999999</v>
      </c>
      <c r="AW172" s="1">
        <f t="shared" ca="1" si="129"/>
        <v>0.10080817099999999</v>
      </c>
      <c r="AX172" s="1">
        <f t="shared" ca="1" si="158"/>
        <v>10</v>
      </c>
      <c r="AY172" s="8">
        <f t="shared" ca="1" si="159"/>
        <v>0.10080817099999999</v>
      </c>
      <c r="AZ172" s="1" cm="1">
        <f t="array" aca="1" ref="AZ172" ca="1">IF($B172="","",SUMPRODUCT(--($B$2:$B$313=B172),--(AY172&gt;$AY$2:$AY$313))+1)</f>
        <v>10</v>
      </c>
      <c r="BA172" s="1" t="str">
        <f t="shared" si="160"/>
        <v>K2024GP10_9_1</v>
      </c>
      <c r="BB172" s="1" t="str">
        <f t="shared" si="161"/>
        <v>K2024GP10_9_2</v>
      </c>
      <c r="BC172" s="1">
        <f t="shared" si="162"/>
        <v>0</v>
      </c>
      <c r="BD172" s="1">
        <f t="shared" si="163"/>
        <v>0</v>
      </c>
      <c r="BE172" s="1">
        <f t="shared" si="164"/>
        <v>1</v>
      </c>
      <c r="BF172" s="1">
        <f t="shared" si="165"/>
        <v>124</v>
      </c>
      <c r="BG172" s="1">
        <f t="shared" si="166"/>
        <v>102</v>
      </c>
      <c r="BH172" s="1">
        <f t="shared" si="167"/>
        <v>9</v>
      </c>
      <c r="BI172" s="1">
        <f t="shared" si="168"/>
        <v>9</v>
      </c>
      <c r="BJ172" s="1">
        <f t="shared" si="169"/>
        <v>9.0899999999999995E-2</v>
      </c>
      <c r="BK172" s="1">
        <f t="shared" si="170"/>
        <v>0</v>
      </c>
      <c r="BL172" s="1">
        <f t="shared" si="171"/>
        <v>9.8999999999999994E-5</v>
      </c>
      <c r="BM172" s="1">
        <f t="shared" si="172"/>
        <v>9.0998999999999997E-2</v>
      </c>
      <c r="BN172" s="1">
        <f t="shared" si="173"/>
        <v>0</v>
      </c>
      <c r="BO172" s="1">
        <f t="shared" si="130"/>
        <v>9</v>
      </c>
      <c r="BP172" s="1">
        <f t="shared" si="131"/>
        <v>0</v>
      </c>
      <c r="BQ172" s="1" cm="1">
        <f t="array" ref="BQ172">IF(I172="","",IF(BP172=1,"",IF(L172=0,"",IF(B172=1,"",_xlfn.XLOOKUP(1,($I$2:$I$313=$I172)*($B$2:$B$313=($B172-1)),$BO$2:$BO$313)))))</f>
        <v>9</v>
      </c>
      <c r="BR172" s="1">
        <f>IF(I172="","",IF($B172=1,_xlfn.MINIFS($BO$2:$BO$313,$B$2:$B$313,$B172),_xlfn.MINIFS(BQ$2:$BQ$313,$B$2:$B$313,$B172)))</f>
        <v>1</v>
      </c>
      <c r="BS172" s="1">
        <f t="shared" si="174"/>
        <v>2</v>
      </c>
      <c r="BT172" s="1" t="str" cm="1">
        <f t="array" ref="BT172">IF($I172="","",IF($B172=1,_xlfn.XLOOKUP(1,($B$2:$B$313=$B172)*($BO$2:$BO$313=BR172),Data!$I$2:$I$313,,0),_xlfn.XLOOKUP(1,($B$2:$B$313=$B172)*($BQ$2:$BQ$313=$BR172),$I$2:$I$313,,0)))</f>
        <v>Jami Kallio</v>
      </c>
      <c r="BU172" s="1" t="str" cm="1">
        <f t="array" ref="BU172">IF(I172="","",IF($B172=1,_xlfn.XLOOKUP(1,($B$2:$B$313=$B172)*($BO$2:$BO$313=$BS172),$I$2:$I$313,,0),_xlfn.XLOOKUP(1,($B$2:$B$313=$B172)*($BQ$2:$BQ$313=$BS172),$I$2:$I$313,,0)))</f>
        <v>Mikko Mansikkamäki</v>
      </c>
      <c r="BV172" s="1" t="str" cm="1">
        <f t="array" ref="BV172">IF($I172="","",IF($B172=1,"",IF($B172=2,_xlfn.XLOOKUP(1,($B$2:$B$313=1)*($BO$2:$BO$313=1),$I$2:$I$313,,0),_xlfn.XLOOKUP($B172-1,$B$2:$B$313,$CH$2:$CH$313,,0))))</f>
        <v>Jami Kallio</v>
      </c>
      <c r="BW172" s="1" t="str" cm="1">
        <f t="array" ref="BW172">IF($I172="","",IF($B172=1,"",IF(_xlfn.XLOOKUP(1,($B$2:$B$313=$B172)*($I$2:$I$313=$BV172),$BQ$2:$BQ$313,,0)="","NOK","OK")))</f>
        <v>OK</v>
      </c>
      <c r="BX172" s="1" t="str">
        <f t="shared" si="175"/>
        <v>Jami Kallio</v>
      </c>
      <c r="BY172" s="1" t="str">
        <f t="shared" si="176"/>
        <v>Mikko Mansikkamäki</v>
      </c>
      <c r="BZ172" s="1">
        <f t="shared" si="177"/>
        <v>145</v>
      </c>
      <c r="CA172" s="1">
        <f t="shared" si="178"/>
        <v>132</v>
      </c>
      <c r="CB172" s="1">
        <f t="shared" si="179"/>
        <v>9.8999999999999994E-5</v>
      </c>
      <c r="CC172" s="1">
        <f t="shared" si="180"/>
        <v>137</v>
      </c>
      <c r="CD172" s="1">
        <f t="shared" si="181"/>
        <v>127</v>
      </c>
      <c r="CE172" s="1">
        <f t="shared" si="182"/>
        <v>9.8999999999999994E-5</v>
      </c>
      <c r="CF172" s="1" t="str">
        <f t="shared" si="183"/>
        <v>Jami Kallio (P)</v>
      </c>
      <c r="CG172" s="1" t="str">
        <f t="shared" si="184"/>
        <v>Mikko Mansikkamäki (2)</v>
      </c>
      <c r="CH172" s="1" t="str">
        <f t="shared" si="185"/>
        <v>Jami Kallio</v>
      </c>
      <c r="CI172" s="1">
        <f t="shared" si="186"/>
        <v>0</v>
      </c>
      <c r="CJ172" s="1" t="str">
        <f ca="1">IF(B172="","",IF(SUM(AI172:AK172)&gt;0,"+SP","")&amp;IF(CI172&gt;0,"+KK","")&amp;IF(AB172&gt;0,"+KGP1","")&amp;IF(AC172&gt;0,"+KGP2","")&amp;IF(AG172&lt;0,"-KGP1","")&amp;IF(AH172&lt;0,"-KGP2",""))</f>
        <v>+SP</v>
      </c>
    </row>
    <row r="173" spans="1:88" x14ac:dyDescent="0.25">
      <c r="A173" s="1">
        <f>IFERROR(IF(ROW(A172)=1,1,IF(1+A172&lt;=$CP$1*$CP$2,1+A172,"")),"")</f>
        <v>172</v>
      </c>
      <c r="B173" s="1">
        <f>IF($I173="","",IF(ROW(B172)=1,1,ROUNDUP(A173/$CP$2,0)))</f>
        <v>10</v>
      </c>
      <c r="C173" s="4">
        <f t="shared" si="132"/>
        <v>45732</v>
      </c>
      <c r="D173" s="4" t="str">
        <f t="shared" si="126"/>
        <v>Raision keilahalli</v>
      </c>
      <c r="E173" s="1">
        <f>IF($B173="","",COUNTIF($B$2:B173,B173))</f>
        <v>10</v>
      </c>
      <c r="F173" s="1" t="str">
        <f t="shared" si="127"/>
        <v>K2024GP10</v>
      </c>
      <c r="G173" s="1" t="str">
        <f t="shared" si="133"/>
        <v>K2024GP10_10</v>
      </c>
      <c r="H173" s="1">
        <f t="shared" si="134"/>
        <v>1</v>
      </c>
      <c r="I173" s="3" t="s">
        <v>139</v>
      </c>
      <c r="J173" s="3">
        <v>112</v>
      </c>
      <c r="K173" s="3">
        <v>91</v>
      </c>
      <c r="L173" s="1">
        <f t="shared" si="135"/>
        <v>203</v>
      </c>
      <c r="M173" s="1">
        <f t="shared" si="136"/>
        <v>1</v>
      </c>
      <c r="N173" s="1">
        <f t="shared" si="137"/>
        <v>10</v>
      </c>
      <c r="O173" s="1">
        <f t="shared" si="138"/>
        <v>203</v>
      </c>
      <c r="P173" s="1">
        <f t="shared" si="139"/>
        <v>110</v>
      </c>
      <c r="Q173" s="1">
        <f t="array" ref="Q173">IF($B173="","",IF(MAX(IF(B173=$B$2:$B$313,$L$2:$L$313))-L173=0,"",MAX(IF(B173=$B$2:$B$313,$L$2:$L$313))-L173))</f>
        <v>110</v>
      </c>
      <c r="R173" s="1">
        <f t="array" ref="R173">IF($B173="","",SUMPRODUCT(--($B$2:$B$313=B173),--(L173&lt;$L$2:$L$313))+1)</f>
        <v>10</v>
      </c>
      <c r="S173" s="1">
        <f t="shared" si="140"/>
        <v>2</v>
      </c>
      <c r="T173" s="1" cm="1">
        <f t="array" ref="T173">IF($B173="","",IF(M173=0,"",SUMPRODUCT(--($B$2:$B$313=B173),--(J173&lt;$J$2:$J$313))+1))</f>
        <v>8</v>
      </c>
      <c r="U173" s="1">
        <f t="shared" si="141"/>
        <v>2</v>
      </c>
      <c r="V173" s="1" t="str">
        <f t="shared" si="142"/>
        <v>1010</v>
      </c>
      <c r="W173" s="1">
        <f t="shared" si="143"/>
        <v>1</v>
      </c>
      <c r="X173" s="1">
        <f t="shared" si="128"/>
        <v>0</v>
      </c>
      <c r="Y173" s="1">
        <f>IF($B173="","",MAX(_xlfn.MAXIFS($J$2:J173,$I$2:I173,$I173),_xlfn.MAXIFS($K$2:K173,$I$2:I173,$I173)))</f>
        <v>209</v>
      </c>
      <c r="Z173" s="1">
        <f t="shared" si="144"/>
        <v>166</v>
      </c>
      <c r="AA173" s="1">
        <f t="shared" si="145"/>
        <v>0</v>
      </c>
      <c r="AB173" s="1">
        <f t="shared" si="146"/>
        <v>0</v>
      </c>
      <c r="AC173" s="1">
        <f t="shared" si="147"/>
        <v>0</v>
      </c>
      <c r="AD173" s="1">
        <f>IF($B173="","",MIN(_xlfn.MINIFS($J$2:J173,$I$2:I173,$I173),_xlfn.MINIFS($K$2:K173,$I$2:I173,$I173)))</f>
        <v>87</v>
      </c>
      <c r="AE173" s="1">
        <f t="shared" si="148"/>
        <v>91</v>
      </c>
      <c r="AF173" s="1">
        <f t="shared" si="149"/>
        <v>0</v>
      </c>
      <c r="AG173" s="1">
        <f t="shared" si="150"/>
        <v>0</v>
      </c>
      <c r="AH173" s="1">
        <f t="shared" si="151"/>
        <v>0</v>
      </c>
      <c r="AI173" s="1">
        <f ca="1">IF($B173="","",IF($K173="",0,OFFSET($CO$17,R173,W173)))</f>
        <v>1</v>
      </c>
      <c r="AJ173" s="1">
        <f t="shared" ca="1" si="152"/>
        <v>-1</v>
      </c>
      <c r="AK173" s="1">
        <f ca="1">IF(AJ173="","",IF(AJ173=0,0,IF(W173=1,0,SUM(OFFSET($CO$17,N173,1):OFFSET($CO$17,N173+W173-2,1))/W173)))</f>
        <v>0</v>
      </c>
      <c r="AL173" s="1">
        <f t="shared" ca="1" si="153"/>
        <v>0</v>
      </c>
      <c r="AM173" s="1">
        <f ca="1">IF($B173="","",SUMIFS($AL$2:AL173,$I$2:I173,$I173))</f>
        <v>51.5</v>
      </c>
      <c r="AN173" s="1">
        <f t="shared" si="154"/>
        <v>10.000171999999999</v>
      </c>
      <c r="AO173" s="1">
        <f>IFERROR(IF($B173="","",AVERAGEIFS($L$2:L173,$I$2:I173,I173,$L$2:L173,"&lt;&gt;0")),0)</f>
        <v>289.875</v>
      </c>
      <c r="AP173" s="1">
        <f t="shared" si="155"/>
        <v>144.9375</v>
      </c>
      <c r="AQ173" s="1">
        <f>IF($B173="","",COUNTIFS($R$2:R173,1,$I$2:I173,$I173))</f>
        <v>1</v>
      </c>
      <c r="AR173" s="1">
        <f t="array" aca="1" ref="AR173" ca="1">IF($B173="","",SUMPRODUCT(--($B$2:$B$313=B173),--(AM173&lt;$AM$2:$AM$313))+1)</f>
        <v>4</v>
      </c>
      <c r="AS173" s="1">
        <f t="array" ref="AS173">IF($B173="","",SUMPRODUCT(--($B$2:$B$313=B173),--(AP173&lt;$AP$2:$AP$313))+1)</f>
        <v>4</v>
      </c>
      <c r="AT173" s="1">
        <f t="array" ref="AT173">IF($B173="","",SUMPRODUCT(--($B$2:$B$313=B173),--(AQ173&lt;$AQ$2:$AQ$313))+1)</f>
        <v>4</v>
      </c>
      <c r="AU173" s="1">
        <f t="shared" si="156"/>
        <v>1.72E-7</v>
      </c>
      <c r="AV173" s="1">
        <f t="shared" ca="1" si="157"/>
        <v>4.0404171999999995E-2</v>
      </c>
      <c r="AW173" s="1">
        <f t="shared" ca="1" si="129"/>
        <v>4.0404171999999995E-2</v>
      </c>
      <c r="AX173" s="1">
        <f t="shared" ca="1" si="158"/>
        <v>4</v>
      </c>
      <c r="AY173" s="8">
        <f t="shared" ca="1" si="159"/>
        <v>4.0404171999999995E-2</v>
      </c>
      <c r="AZ173" s="1" cm="1">
        <f t="array" aca="1" ref="AZ173" ca="1">IF($B173="","",SUMPRODUCT(--($B$2:$B$313=B173),--(AY173&gt;$AY$2:$AY$313))+1)</f>
        <v>4</v>
      </c>
      <c r="BA173" s="1" t="str">
        <f t="shared" si="160"/>
        <v>K2024GP10_10_1</v>
      </c>
      <c r="BB173" s="1" t="str">
        <f t="shared" si="161"/>
        <v>K2024GP10_10_2</v>
      </c>
      <c r="BC173" s="1">
        <f t="shared" si="162"/>
        <v>0</v>
      </c>
      <c r="BD173" s="1">
        <f t="shared" si="163"/>
        <v>0</v>
      </c>
      <c r="BE173" s="1">
        <f t="shared" si="164"/>
        <v>1</v>
      </c>
      <c r="BF173" s="1">
        <f t="shared" si="165"/>
        <v>112</v>
      </c>
      <c r="BG173" s="1">
        <f t="shared" si="166"/>
        <v>91</v>
      </c>
      <c r="BH173" s="1">
        <f t="shared" si="167"/>
        <v>10</v>
      </c>
      <c r="BI173" s="1">
        <f t="shared" si="168"/>
        <v>10</v>
      </c>
      <c r="BJ173" s="1">
        <f t="shared" si="169"/>
        <v>0.10100000000000001</v>
      </c>
      <c r="BK173" s="1">
        <f t="shared" si="170"/>
        <v>0</v>
      </c>
      <c r="BL173" s="1">
        <f t="shared" si="171"/>
        <v>9.8999999999999994E-5</v>
      </c>
      <c r="BM173" s="1">
        <f t="shared" si="172"/>
        <v>0.10109900000000001</v>
      </c>
      <c r="BN173" s="1">
        <f t="shared" si="173"/>
        <v>0</v>
      </c>
      <c r="BO173" s="1">
        <f t="shared" si="130"/>
        <v>10</v>
      </c>
      <c r="BP173" s="1">
        <f t="shared" si="131"/>
        <v>0</v>
      </c>
      <c r="BQ173" s="1" cm="1">
        <f t="array" ref="BQ173">IF(I173="","",IF(BP173=1,"",IF(L173=0,"",IF(B173=1,"",_xlfn.XLOOKUP(1,($I$2:$I$313=$I173)*($B$2:$B$313=($B173-1)),$BO$2:$BO$313)))))</f>
        <v>5</v>
      </c>
      <c r="BR173" s="1">
        <f>IF(I173="","",IF($B173=1,_xlfn.MINIFS($BO$2:$BO$313,$B$2:$B$313,$B173),_xlfn.MINIFS(BQ$2:$BQ$313,$B$2:$B$313,$B173)))</f>
        <v>1</v>
      </c>
      <c r="BS173" s="1">
        <f t="shared" si="174"/>
        <v>2</v>
      </c>
      <c r="BT173" s="1" t="str" cm="1">
        <f t="array" ref="BT173">IF($I173="","",IF($B173=1,_xlfn.XLOOKUP(1,($B$2:$B$313=$B173)*($BO$2:$BO$313=BR173),Data!$I$2:$I$313,,0),_xlfn.XLOOKUP(1,($B$2:$B$313=$B173)*($BQ$2:$BQ$313=$BR173),$I$2:$I$313,,0)))</f>
        <v>Jami Kallio</v>
      </c>
      <c r="BU173" s="1" t="str" cm="1">
        <f t="array" ref="BU173">IF(I173="","",IF($B173=1,_xlfn.XLOOKUP(1,($B$2:$B$313=$B173)*($BO$2:$BO$313=$BS173),$I$2:$I$313,,0),_xlfn.XLOOKUP(1,($B$2:$B$313=$B173)*($BQ$2:$BQ$313=$BS173),$I$2:$I$313,,0)))</f>
        <v>Mikko Mansikkamäki</v>
      </c>
      <c r="BV173" s="1" t="str" cm="1">
        <f t="array" ref="BV173">IF($I173="","",IF($B173=1,"",IF($B173=2,_xlfn.XLOOKUP(1,($B$2:$B$313=1)*($BO$2:$BO$313=1),$I$2:$I$313,,0),_xlfn.XLOOKUP($B173-1,$B$2:$B$313,$CH$2:$CH$313,,0))))</f>
        <v>Jami Kallio</v>
      </c>
      <c r="BW173" s="1" t="str" cm="1">
        <f t="array" ref="BW173">IF($I173="","",IF($B173=1,"",IF(_xlfn.XLOOKUP(1,($B$2:$B$313=$B173)*($I$2:$I$313=$BV173),$BQ$2:$BQ$313,,0)="","NOK","OK")))</f>
        <v>OK</v>
      </c>
      <c r="BX173" s="1" t="str">
        <f t="shared" si="175"/>
        <v>Jami Kallio</v>
      </c>
      <c r="BY173" s="1" t="str">
        <f t="shared" si="176"/>
        <v>Mikko Mansikkamäki</v>
      </c>
      <c r="BZ173" s="1">
        <f t="shared" si="177"/>
        <v>145</v>
      </c>
      <c r="CA173" s="1">
        <f t="shared" si="178"/>
        <v>132</v>
      </c>
      <c r="CB173" s="1">
        <f t="shared" si="179"/>
        <v>9.8999999999999994E-5</v>
      </c>
      <c r="CC173" s="1">
        <f t="shared" si="180"/>
        <v>137</v>
      </c>
      <c r="CD173" s="1">
        <f t="shared" si="181"/>
        <v>127</v>
      </c>
      <c r="CE173" s="1">
        <f t="shared" si="182"/>
        <v>9.8999999999999994E-5</v>
      </c>
      <c r="CF173" s="1" t="str">
        <f t="shared" si="183"/>
        <v>Jami Kallio (P)</v>
      </c>
      <c r="CG173" s="1" t="str">
        <f t="shared" si="184"/>
        <v>Mikko Mansikkamäki (2)</v>
      </c>
      <c r="CH173" s="1" t="str">
        <f t="shared" si="185"/>
        <v>Jami Kallio</v>
      </c>
      <c r="CI173" s="1">
        <f t="shared" si="186"/>
        <v>0</v>
      </c>
      <c r="CJ173" s="1" t="str">
        <f ca="1">IF(B173="","",IF(SUM(AI173:AK173)&gt;0,"+SP","")&amp;IF(CI173&gt;0,"+KK","")&amp;IF(AB173&gt;0,"+KGP1","")&amp;IF(AC173&gt;0,"+KGP2","")&amp;IF(AG173&lt;0,"-KGP1","")&amp;IF(AH173&lt;0,"-KGP2",""))</f>
        <v/>
      </c>
    </row>
    <row r="174" spans="1:88" x14ac:dyDescent="0.25">
      <c r="A174" s="1">
        <f>IFERROR(IF(ROW(A173)=1,1,IF(1+A173&lt;=$CP$1*$CP$2,1+A173,"")),"")</f>
        <v>173</v>
      </c>
      <c r="B174" s="1">
        <f>IF($I174="","",IF(ROW(B173)=1,1,ROUNDUP(A174/$CP$2,0)))</f>
        <v>10</v>
      </c>
      <c r="C174" s="4">
        <f t="shared" si="132"/>
        <v>45732</v>
      </c>
      <c r="D174" s="4" t="str">
        <f t="shared" si="126"/>
        <v>Raision keilahalli</v>
      </c>
      <c r="E174" s="1">
        <f>IF($B174="","",COUNTIF($B$2:B174,B174))</f>
        <v>11</v>
      </c>
      <c r="F174" s="1" t="str">
        <f t="shared" si="127"/>
        <v>K2024GP10</v>
      </c>
      <c r="G174" s="1" t="str">
        <f t="shared" si="133"/>
        <v>K2024GP10_11</v>
      </c>
      <c r="H174" s="1">
        <f t="shared" si="134"/>
        <v>1</v>
      </c>
      <c r="I174" s="3" t="s">
        <v>130</v>
      </c>
      <c r="J174" s="3"/>
      <c r="K174" s="3"/>
      <c r="L174" s="1">
        <f t="shared" si="135"/>
        <v>0</v>
      </c>
      <c r="M174" s="1">
        <f t="shared" si="136"/>
        <v>0</v>
      </c>
      <c r="N174" s="1" t="str">
        <f t="shared" si="137"/>
        <v/>
      </c>
      <c r="O174" s="1" t="str">
        <f t="shared" si="138"/>
        <v/>
      </c>
      <c r="P174" s="1" t="str">
        <f t="shared" si="139"/>
        <v/>
      </c>
      <c r="Q174" s="1">
        <f t="array" ref="Q174">IF($B174="","",IF(MAX(IF(B174=$B$2:$B$313,$L$2:$L$313))-L174=0,"",MAX(IF(B174=$B$2:$B$313,$L$2:$L$313))-L174))</f>
        <v>313</v>
      </c>
      <c r="R174" s="1">
        <f t="array" ref="R174">IF($B174="","",SUMPRODUCT(--($B$2:$B$313=B174),--(L174&lt;$L$2:$L$313))+1)</f>
        <v>11</v>
      </c>
      <c r="S174" s="1">
        <f t="shared" si="140"/>
        <v>0</v>
      </c>
      <c r="T174" s="1" t="str" cm="1">
        <f t="array" ref="T174">IF($B174="","",IF(M174=0,"",SUMPRODUCT(--($B$2:$B$313=B174),--(J174&lt;$J$2:$J$313))+1))</f>
        <v/>
      </c>
      <c r="U174" s="1" t="str">
        <f t="shared" si="141"/>
        <v/>
      </c>
      <c r="V174" s="1" t="str">
        <f t="shared" si="142"/>
        <v>1011</v>
      </c>
      <c r="W174" s="1">
        <f t="shared" si="143"/>
        <v>8</v>
      </c>
      <c r="X174" s="1">
        <f t="shared" si="128"/>
        <v>0</v>
      </c>
      <c r="Y174" s="1">
        <f>IF($B174="","",MAX(_xlfn.MAXIFS($J$2:J174,$I$2:I174,$I174),_xlfn.MAXIFS($K$2:K174,$I$2:I174,$I174)))</f>
        <v>204</v>
      </c>
      <c r="Z174" s="1">
        <f t="shared" si="144"/>
        <v>166</v>
      </c>
      <c r="AA174" s="1">
        <f t="shared" si="145"/>
        <v>0</v>
      </c>
      <c r="AB174" s="1">
        <f t="shared" si="146"/>
        <v>0</v>
      </c>
      <c r="AC174" s="1">
        <f t="shared" si="147"/>
        <v>0</v>
      </c>
      <c r="AD174" s="1">
        <f>IF($B174="","",MIN(_xlfn.MINIFS($J$2:J174,$I$2:I174,$I174),_xlfn.MINIFS($K$2:K174,$I$2:I174,$I174)))</f>
        <v>111</v>
      </c>
      <c r="AE174" s="1">
        <f t="shared" si="148"/>
        <v>91</v>
      </c>
      <c r="AF174" s="1">
        <f t="shared" si="149"/>
        <v>0</v>
      </c>
      <c r="AG174" s="1">
        <f t="shared" si="150"/>
        <v>0</v>
      </c>
      <c r="AH174" s="1">
        <f t="shared" si="151"/>
        <v>0</v>
      </c>
      <c r="AI174" s="1">
        <f ca="1">IF($B174="","",IF($K174="",0,OFFSET($CO$17,R174,W174)))</f>
        <v>0</v>
      </c>
      <c r="AJ174" s="1">
        <f t="shared" ca="1" si="152"/>
        <v>0</v>
      </c>
      <c r="AK174" s="1">
        <f ca="1">IF(AJ174="","",IF(AJ174=0,0,IF(W174=1,0,SUM(OFFSET($CO$17,N174,1):OFFSET($CO$17,N174+W174-2,1))/W174)))</f>
        <v>0</v>
      </c>
      <c r="AL174" s="1">
        <f t="shared" si="153"/>
        <v>0</v>
      </c>
      <c r="AM174" s="1">
        <f ca="1">IF($B174="","",SUMIFS($AL$2:AL174,$I$2:I174,$I174))</f>
        <v>40.5</v>
      </c>
      <c r="AN174" s="1">
        <f t="shared" si="154"/>
        <v>11.000173</v>
      </c>
      <c r="AO174" s="1">
        <f>IFERROR(IF($B174="","",AVERAGEIFS($L$2:L174,$I$2:I174,I174,$L$2:L174,"&lt;&gt;0")),0)</f>
        <v>306.5</v>
      </c>
      <c r="AP174" s="1">
        <f t="shared" si="155"/>
        <v>153.25</v>
      </c>
      <c r="AQ174" s="1">
        <f>IF($B174="","",COUNTIFS($R$2:R174,1,$I$2:I174,$I174))</f>
        <v>2</v>
      </c>
      <c r="AR174" s="1">
        <f t="array" aca="1" ref="AR174" ca="1">IF($B174="","",SUMPRODUCT(--($B$2:$B$313=B174),--(AM174&lt;$AM$2:$AM$313))+1)</f>
        <v>7</v>
      </c>
      <c r="AS174" s="1">
        <f t="array" ref="AS174">IF($B174="","",SUMPRODUCT(--($B$2:$B$313=B174),--(AP174&lt;$AP$2:$AP$313))+1)</f>
        <v>2</v>
      </c>
      <c r="AT174" s="1">
        <f t="array" ref="AT174">IF($B174="","",SUMPRODUCT(--($B$2:$B$313=B174),--(AQ174&lt;$AQ$2:$AQ$313))+1)</f>
        <v>2</v>
      </c>
      <c r="AU174" s="1">
        <f t="shared" si="156"/>
        <v>1.73E-7</v>
      </c>
      <c r="AV174" s="1">
        <f t="shared" ca="1" si="157"/>
        <v>7.020217300000002E-2</v>
      </c>
      <c r="AW174" s="1">
        <f t="shared" ca="1" si="129"/>
        <v>7.020217300000002E-2</v>
      </c>
      <c r="AX174" s="1">
        <f t="shared" ca="1" si="158"/>
        <v>7</v>
      </c>
      <c r="AY174" s="8">
        <f t="shared" ca="1" si="159"/>
        <v>7.020217300000002E-2</v>
      </c>
      <c r="AZ174" s="1" cm="1">
        <f t="array" aca="1" ref="AZ174" ca="1">IF($B174="","",SUMPRODUCT(--($B$2:$B$313=B174),--(AY174&gt;$AY$2:$AY$313))+1)</f>
        <v>7</v>
      </c>
      <c r="BA174" s="1" t="str">
        <f t="shared" si="160"/>
        <v>K2024GP10_11_1</v>
      </c>
      <c r="BB174" s="1" t="str">
        <f t="shared" si="161"/>
        <v>K2024GP10_11_2</v>
      </c>
      <c r="BC174" s="1">
        <f t="shared" si="162"/>
        <v>0</v>
      </c>
      <c r="BD174" s="1">
        <f t="shared" si="163"/>
        <v>0</v>
      </c>
      <c r="BE174" s="1">
        <f t="shared" si="164"/>
        <v>1</v>
      </c>
      <c r="BF174" s="1">
        <f t="shared" si="165"/>
        <v>0</v>
      </c>
      <c r="BG174" s="1">
        <f t="shared" si="166"/>
        <v>0</v>
      </c>
      <c r="BH174" s="1">
        <f t="shared" si="167"/>
        <v>11</v>
      </c>
      <c r="BI174" s="1">
        <f t="shared" si="168"/>
        <v>11</v>
      </c>
      <c r="BJ174" s="1">
        <f t="shared" si="169"/>
        <v>0.1111</v>
      </c>
      <c r="BK174" s="1" t="str">
        <f t="shared" si="170"/>
        <v/>
      </c>
      <c r="BL174" s="1">
        <f t="shared" si="171"/>
        <v>9.8999999999999994E-5</v>
      </c>
      <c r="BM174" s="1">
        <f t="shared" si="172"/>
        <v>0.11121640000000001</v>
      </c>
      <c r="BN174" s="1" t="str">
        <f t="shared" si="173"/>
        <v/>
      </c>
      <c r="BO174" s="1">
        <f t="shared" si="130"/>
        <v>11</v>
      </c>
      <c r="BP174" s="1">
        <f t="shared" si="131"/>
        <v>0</v>
      </c>
      <c r="BQ174" s="1" t="str" cm="1">
        <f t="array" ref="BQ174">IF(I174="","",IF(BP174=1,"",IF(L174=0,"",IF(B174=1,"",_xlfn.XLOOKUP(1,($I$2:$I$313=$I174)*($B$2:$B$313=($B174-1)),$BO$2:$BO$313)))))</f>
        <v/>
      </c>
      <c r="BR174" s="1">
        <f>IF(I174="","",IF($B174=1,_xlfn.MINIFS($BO$2:$BO$313,$B$2:$B$313,$B174),_xlfn.MINIFS(BQ$2:$BQ$313,$B$2:$B$313,$B174)))</f>
        <v>1</v>
      </c>
      <c r="BS174" s="1">
        <f t="shared" si="174"/>
        <v>2</v>
      </c>
      <c r="BT174" s="1" t="str" cm="1">
        <f t="array" ref="BT174">IF($I174="","",IF($B174=1,_xlfn.XLOOKUP(1,($B$2:$B$313=$B174)*($BO$2:$BO$313=BR174),Data!$I$2:$I$313,,0),_xlfn.XLOOKUP(1,($B$2:$B$313=$B174)*($BQ$2:$BQ$313=$BR174),$I$2:$I$313,,0)))</f>
        <v>Jami Kallio</v>
      </c>
      <c r="BU174" s="1" t="str" cm="1">
        <f t="array" ref="BU174">IF(I174="","",IF($B174=1,_xlfn.XLOOKUP(1,($B$2:$B$313=$B174)*($BO$2:$BO$313=$BS174),$I$2:$I$313,,0),_xlfn.XLOOKUP(1,($B$2:$B$313=$B174)*($BQ$2:$BQ$313=$BS174),$I$2:$I$313,,0)))</f>
        <v>Mikko Mansikkamäki</v>
      </c>
      <c r="BV174" s="1" t="str" cm="1">
        <f t="array" ref="BV174">IF($I174="","",IF($B174=1,"",IF($B174=2,_xlfn.XLOOKUP(1,($B$2:$B$313=1)*($BO$2:$BO$313=1),$I$2:$I$313,,0),_xlfn.XLOOKUP($B174-1,$B$2:$B$313,$CH$2:$CH$313,,0))))</f>
        <v>Jami Kallio</v>
      </c>
      <c r="BW174" s="1" t="str" cm="1">
        <f t="array" ref="BW174">IF($I174="","",IF($B174=1,"",IF(_xlfn.XLOOKUP(1,($B$2:$B$313=$B174)*($I$2:$I$313=$BV174),$BQ$2:$BQ$313,,0)="","NOK","OK")))</f>
        <v>OK</v>
      </c>
      <c r="BX174" s="1" t="str">
        <f t="shared" si="175"/>
        <v>Jami Kallio</v>
      </c>
      <c r="BY174" s="1" t="str">
        <f t="shared" si="176"/>
        <v>Mikko Mansikkamäki</v>
      </c>
      <c r="BZ174" s="1">
        <f t="shared" si="177"/>
        <v>145</v>
      </c>
      <c r="CA174" s="1">
        <f t="shared" si="178"/>
        <v>132</v>
      </c>
      <c r="CB174" s="1">
        <f t="shared" si="179"/>
        <v>9.8999999999999994E-5</v>
      </c>
      <c r="CC174" s="1">
        <f t="shared" si="180"/>
        <v>137</v>
      </c>
      <c r="CD174" s="1">
        <f t="shared" si="181"/>
        <v>127</v>
      </c>
      <c r="CE174" s="1">
        <f t="shared" si="182"/>
        <v>9.8999999999999994E-5</v>
      </c>
      <c r="CF174" s="1" t="str">
        <f t="shared" si="183"/>
        <v>Jami Kallio (P)</v>
      </c>
      <c r="CG174" s="1" t="str">
        <f t="shared" si="184"/>
        <v>Mikko Mansikkamäki (2)</v>
      </c>
      <c r="CH174" s="1" t="str">
        <f t="shared" si="185"/>
        <v>Jami Kallio</v>
      </c>
      <c r="CI174" s="1">
        <f t="shared" si="186"/>
        <v>0</v>
      </c>
      <c r="CJ174" s="1" t="str">
        <f ca="1">IF(B174="","",IF(SUM(AI174:AK174)&gt;0,"+SP","")&amp;IF(CI174&gt;0,"+KK","")&amp;IF(AB174&gt;0,"+KGP1","")&amp;IF(AC174&gt;0,"+KGP2","")&amp;IF(AG174&lt;0,"-KGP1","")&amp;IF(AH174&lt;0,"-KGP2",""))</f>
        <v/>
      </c>
    </row>
    <row r="175" spans="1:88" x14ac:dyDescent="0.25">
      <c r="A175" s="1">
        <f>IFERROR(IF(ROW(A174)=1,1,IF(1+A174&lt;=$CP$1*$CP$2,1+A174,"")),"")</f>
        <v>174</v>
      </c>
      <c r="B175" s="1">
        <f>IF($I175="","",IF(ROW(B174)=1,1,ROUNDUP(A175/$CP$2,0)))</f>
        <v>10</v>
      </c>
      <c r="C175" s="4">
        <f t="shared" si="132"/>
        <v>45732</v>
      </c>
      <c r="D175" s="4" t="str">
        <f t="shared" si="126"/>
        <v>Raision keilahalli</v>
      </c>
      <c r="E175" s="1">
        <f>IF($B175="","",COUNTIF($B$2:B175,B175))</f>
        <v>12</v>
      </c>
      <c r="F175" s="1" t="str">
        <f t="shared" si="127"/>
        <v>K2024GP10</v>
      </c>
      <c r="G175" s="1" t="str">
        <f t="shared" si="133"/>
        <v>K2024GP10_12</v>
      </c>
      <c r="H175" s="1">
        <f t="shared" si="134"/>
        <v>1</v>
      </c>
      <c r="I175" s="3" t="s">
        <v>128</v>
      </c>
      <c r="J175" s="3"/>
      <c r="K175" s="3"/>
      <c r="L175" s="1">
        <f t="shared" si="135"/>
        <v>0</v>
      </c>
      <c r="M175" s="1">
        <f t="shared" si="136"/>
        <v>0</v>
      </c>
      <c r="N175" s="1" t="str">
        <f t="shared" si="137"/>
        <v/>
      </c>
      <c r="O175" s="1" t="str">
        <f t="shared" si="138"/>
        <v/>
      </c>
      <c r="P175" s="1" t="str">
        <f t="shared" si="139"/>
        <v/>
      </c>
      <c r="Q175" s="1">
        <f t="array" ref="Q175">IF($B175="","",IF(MAX(IF(B175=$B$2:$B$313,$L$2:$L$313))-L175=0,"",MAX(IF(B175=$B$2:$B$313,$L$2:$L$313))-L175))</f>
        <v>313</v>
      </c>
      <c r="R175" s="1">
        <f t="array" ref="R175">IF($B175="","",SUMPRODUCT(--($B$2:$B$313=B175),--(L175&lt;$L$2:$L$313))+1)</f>
        <v>11</v>
      </c>
      <c r="S175" s="1">
        <f t="shared" si="140"/>
        <v>0</v>
      </c>
      <c r="T175" s="1" t="str" cm="1">
        <f t="array" ref="T175">IF($B175="","",IF(M175=0,"",SUMPRODUCT(--($B$2:$B$313=B175),--(J175&lt;$J$2:$J$313))+1))</f>
        <v/>
      </c>
      <c r="U175" s="1" t="str">
        <f t="shared" si="141"/>
        <v/>
      </c>
      <c r="V175" s="1" t="str">
        <f t="shared" si="142"/>
        <v>1011</v>
      </c>
      <c r="W175" s="1">
        <f t="shared" si="143"/>
        <v>8</v>
      </c>
      <c r="X175" s="1">
        <f t="shared" si="128"/>
        <v>0</v>
      </c>
      <c r="Y175" s="1">
        <f>IF($B175="","",MAX(_xlfn.MAXIFS($J$2:J175,$I$2:I175,$I175),_xlfn.MAXIFS($K$2:K175,$I$2:I175,$I175)))</f>
        <v>164</v>
      </c>
      <c r="Z175" s="1">
        <f t="shared" si="144"/>
        <v>166</v>
      </c>
      <c r="AA175" s="1">
        <f t="shared" si="145"/>
        <v>0</v>
      </c>
      <c r="AB175" s="1">
        <f t="shared" si="146"/>
        <v>0</v>
      </c>
      <c r="AC175" s="1">
        <f t="shared" si="147"/>
        <v>0</v>
      </c>
      <c r="AD175" s="1">
        <f>IF($B175="","",MIN(_xlfn.MINIFS($J$2:J175,$I$2:I175,$I175),_xlfn.MINIFS($K$2:K175,$I$2:I175,$I175)))</f>
        <v>92</v>
      </c>
      <c r="AE175" s="1">
        <f t="shared" si="148"/>
        <v>91</v>
      </c>
      <c r="AF175" s="1">
        <f t="shared" si="149"/>
        <v>0</v>
      </c>
      <c r="AG175" s="1">
        <f t="shared" si="150"/>
        <v>0</v>
      </c>
      <c r="AH175" s="1">
        <f t="shared" si="151"/>
        <v>0</v>
      </c>
      <c r="AI175" s="1">
        <f ca="1">IF($B175="","",IF($K175="",0,OFFSET($CO$17,R175,W175)))</f>
        <v>0</v>
      </c>
      <c r="AJ175" s="1">
        <f t="shared" ca="1" si="152"/>
        <v>0</v>
      </c>
      <c r="AK175" s="1">
        <f ca="1">IF(AJ175="","",IF(AJ175=0,0,IF(W175=1,0,SUM(OFFSET($CO$17,N175,1):OFFSET($CO$17,N175+W175-2,1))/W175)))</f>
        <v>0</v>
      </c>
      <c r="AL175" s="1">
        <f t="shared" si="153"/>
        <v>0</v>
      </c>
      <c r="AM175" s="1">
        <f ca="1">IF($B175="","",SUMIFS($AL$2:AL175,$I$2:I175,$I175))</f>
        <v>24</v>
      </c>
      <c r="AN175" s="1">
        <f t="shared" si="154"/>
        <v>11.000173999999999</v>
      </c>
      <c r="AO175" s="1">
        <f>IFERROR(IF($B175="","",AVERAGEIFS($L$2:L175,$I$2:I175,I175,$L$2:L175,"&lt;&gt;0")),0)</f>
        <v>248.14285714285714</v>
      </c>
      <c r="AP175" s="1">
        <f t="shared" si="155"/>
        <v>124.07142857142857</v>
      </c>
      <c r="AQ175" s="1">
        <f>IF($B175="","",COUNTIFS($R$2:R175,1,$I$2:I175,$I175))</f>
        <v>1</v>
      </c>
      <c r="AR175" s="1">
        <f t="array" aca="1" ref="AR175" ca="1">IF($B175="","",SUMPRODUCT(--($B$2:$B$313=B175),--(AM175&lt;$AM$2:$AM$313))+1)</f>
        <v>10</v>
      </c>
      <c r="AS175" s="1">
        <f t="array" ref="AS175">IF($B175="","",SUMPRODUCT(--($B$2:$B$313=B175),--(AP175&lt;$AP$2:$AP$313))+1)</f>
        <v>13</v>
      </c>
      <c r="AT175" s="1">
        <f t="array" ref="AT175">IF($B175="","",SUMPRODUCT(--($B$2:$B$313=B175),--(AQ175&lt;$AQ$2:$AQ$313))+1)</f>
        <v>4</v>
      </c>
      <c r="AU175" s="1">
        <f t="shared" si="156"/>
        <v>1.74E-7</v>
      </c>
      <c r="AV175" s="1">
        <f t="shared" ca="1" si="157"/>
        <v>0.10130417400000001</v>
      </c>
      <c r="AW175" s="1">
        <f t="shared" ca="1" si="129"/>
        <v>0.10130417400000001</v>
      </c>
      <c r="AX175" s="1">
        <f t="shared" ca="1" si="158"/>
        <v>11</v>
      </c>
      <c r="AY175" s="8">
        <f t="shared" ca="1" si="159"/>
        <v>0.10130417400000001</v>
      </c>
      <c r="AZ175" s="1" cm="1">
        <f t="array" aca="1" ref="AZ175" ca="1">IF($B175="","",SUMPRODUCT(--($B$2:$B$313=B175),--(AY175&gt;$AY$2:$AY$313))+1)</f>
        <v>11</v>
      </c>
      <c r="BA175" s="1" t="str">
        <f t="shared" si="160"/>
        <v>K2024GP10_12_1</v>
      </c>
      <c r="BB175" s="1" t="str">
        <f t="shared" si="161"/>
        <v>K2024GP10_12_2</v>
      </c>
      <c r="BC175" s="1">
        <f t="shared" si="162"/>
        <v>0</v>
      </c>
      <c r="BD175" s="1">
        <f t="shared" si="163"/>
        <v>0</v>
      </c>
      <c r="BE175" s="1">
        <f t="shared" si="164"/>
        <v>1</v>
      </c>
      <c r="BF175" s="1">
        <f t="shared" si="165"/>
        <v>0</v>
      </c>
      <c r="BG175" s="1">
        <f t="shared" si="166"/>
        <v>0</v>
      </c>
      <c r="BH175" s="1">
        <f t="shared" si="167"/>
        <v>11</v>
      </c>
      <c r="BI175" s="1">
        <f t="shared" si="168"/>
        <v>11</v>
      </c>
      <c r="BJ175" s="1">
        <f t="shared" si="169"/>
        <v>0.1111</v>
      </c>
      <c r="BK175" s="1" t="str">
        <f t="shared" si="170"/>
        <v/>
      </c>
      <c r="BL175" s="1">
        <f t="shared" si="171"/>
        <v>9.8999999999999994E-5</v>
      </c>
      <c r="BM175" s="1">
        <f t="shared" si="172"/>
        <v>0.11121650000000001</v>
      </c>
      <c r="BN175" s="1" t="str">
        <f t="shared" si="173"/>
        <v/>
      </c>
      <c r="BO175" s="1">
        <f t="shared" si="130"/>
        <v>12</v>
      </c>
      <c r="BP175" s="1">
        <f t="shared" si="131"/>
        <v>0</v>
      </c>
      <c r="BQ175" s="1" t="str" cm="1">
        <f t="array" ref="BQ175">IF(I175="","",IF(BP175=1,"",IF(L175=0,"",IF(B175=1,"",_xlfn.XLOOKUP(1,($I$2:$I$313=$I175)*($B$2:$B$313=($B175-1)),$BO$2:$BO$313)))))</f>
        <v/>
      </c>
      <c r="BR175" s="1">
        <f>IF(I175="","",IF($B175=1,_xlfn.MINIFS($BO$2:$BO$313,$B$2:$B$313,$B175),_xlfn.MINIFS(BQ$2:$BQ$313,$B$2:$B$313,$B175)))</f>
        <v>1</v>
      </c>
      <c r="BS175" s="1">
        <f t="shared" si="174"/>
        <v>2</v>
      </c>
      <c r="BT175" s="1" t="str" cm="1">
        <f t="array" ref="BT175">IF($I175="","",IF($B175=1,_xlfn.XLOOKUP(1,($B$2:$B$313=$B175)*($BO$2:$BO$313=BR175),Data!$I$2:$I$313,,0),_xlfn.XLOOKUP(1,($B$2:$B$313=$B175)*($BQ$2:$BQ$313=$BR175),$I$2:$I$313,,0)))</f>
        <v>Jami Kallio</v>
      </c>
      <c r="BU175" s="1" t="str" cm="1">
        <f t="array" ref="BU175">IF(I175="","",IF($B175=1,_xlfn.XLOOKUP(1,($B$2:$B$313=$B175)*($BO$2:$BO$313=$BS175),$I$2:$I$313,,0),_xlfn.XLOOKUP(1,($B$2:$B$313=$B175)*($BQ$2:$BQ$313=$BS175),$I$2:$I$313,,0)))</f>
        <v>Mikko Mansikkamäki</v>
      </c>
      <c r="BV175" s="1" t="str" cm="1">
        <f t="array" ref="BV175">IF($I175="","",IF($B175=1,"",IF($B175=2,_xlfn.XLOOKUP(1,($B$2:$B$313=1)*($BO$2:$BO$313=1),$I$2:$I$313,,0),_xlfn.XLOOKUP($B175-1,$B$2:$B$313,$CH$2:$CH$313,,0))))</f>
        <v>Jami Kallio</v>
      </c>
      <c r="BW175" s="1" t="str" cm="1">
        <f t="array" ref="BW175">IF($I175="","",IF($B175=1,"",IF(_xlfn.XLOOKUP(1,($B$2:$B$313=$B175)*($I$2:$I$313=$BV175),$BQ$2:$BQ$313,,0)="","NOK","OK")))</f>
        <v>OK</v>
      </c>
      <c r="BX175" s="1" t="str">
        <f t="shared" si="175"/>
        <v>Jami Kallio</v>
      </c>
      <c r="BY175" s="1" t="str">
        <f t="shared" si="176"/>
        <v>Mikko Mansikkamäki</v>
      </c>
      <c r="BZ175" s="1">
        <f t="shared" si="177"/>
        <v>145</v>
      </c>
      <c r="CA175" s="1">
        <f t="shared" si="178"/>
        <v>132</v>
      </c>
      <c r="CB175" s="1">
        <f t="shared" si="179"/>
        <v>9.8999999999999994E-5</v>
      </c>
      <c r="CC175" s="1">
        <f t="shared" si="180"/>
        <v>137</v>
      </c>
      <c r="CD175" s="1">
        <f t="shared" si="181"/>
        <v>127</v>
      </c>
      <c r="CE175" s="1">
        <f t="shared" si="182"/>
        <v>9.8999999999999994E-5</v>
      </c>
      <c r="CF175" s="1" t="str">
        <f t="shared" si="183"/>
        <v>Jami Kallio (P)</v>
      </c>
      <c r="CG175" s="1" t="str">
        <f t="shared" si="184"/>
        <v>Mikko Mansikkamäki (2)</v>
      </c>
      <c r="CH175" s="1" t="str">
        <f t="shared" si="185"/>
        <v>Jami Kallio</v>
      </c>
      <c r="CI175" s="1">
        <f t="shared" si="186"/>
        <v>0</v>
      </c>
      <c r="CJ175" s="1" t="str">
        <f ca="1">IF(B175="","",IF(SUM(AI175:AK175)&gt;0,"+SP","")&amp;IF(CI175&gt;0,"+KK","")&amp;IF(AB175&gt;0,"+KGP1","")&amp;IF(AC175&gt;0,"+KGP2","")&amp;IF(AG175&lt;0,"-KGP1","")&amp;IF(AH175&lt;0,"-KGP2",""))</f>
        <v/>
      </c>
    </row>
    <row r="176" spans="1:88" x14ac:dyDescent="0.25">
      <c r="A176" s="1">
        <f>IFERROR(IF(ROW(A175)=1,1,IF(1+A175&lt;=$CP$1*$CP$2,1+A175,"")),"")</f>
        <v>175</v>
      </c>
      <c r="B176" s="1">
        <f>IF($I176="","",IF(ROW(B175)=1,1,ROUNDUP(A176/$CP$2,0)))</f>
        <v>10</v>
      </c>
      <c r="C176" s="4">
        <f t="shared" si="132"/>
        <v>45732</v>
      </c>
      <c r="D176" s="4" t="str">
        <f t="shared" si="126"/>
        <v>Raision keilahalli</v>
      </c>
      <c r="E176" s="1">
        <f>IF($B176="","",COUNTIF($B$2:B176,B176))</f>
        <v>13</v>
      </c>
      <c r="F176" s="1" t="str">
        <f t="shared" si="127"/>
        <v>K2024GP10</v>
      </c>
      <c r="G176" s="1" t="str">
        <f t="shared" si="133"/>
        <v>K2024GP10_13</v>
      </c>
      <c r="H176" s="1">
        <f t="shared" si="134"/>
        <v>1</v>
      </c>
      <c r="I176" s="3" t="s">
        <v>117</v>
      </c>
      <c r="J176" s="3"/>
      <c r="K176" s="3"/>
      <c r="L176" s="1">
        <f t="shared" si="135"/>
        <v>0</v>
      </c>
      <c r="M176" s="1">
        <f t="shared" si="136"/>
        <v>0</v>
      </c>
      <c r="N176" s="1" t="str">
        <f t="shared" si="137"/>
        <v/>
      </c>
      <c r="O176" s="1" t="str">
        <f t="shared" si="138"/>
        <v/>
      </c>
      <c r="P176" s="1" t="str">
        <f t="shared" si="139"/>
        <v/>
      </c>
      <c r="Q176" s="1">
        <f t="array" ref="Q176">IF($B176="","",IF(MAX(IF(B176=$B$2:$B$313,$L$2:$L$313))-L176=0,"",MAX(IF(B176=$B$2:$B$313,$L$2:$L$313))-L176))</f>
        <v>313</v>
      </c>
      <c r="R176" s="1">
        <f t="array" ref="R176">IF($B176="","",SUMPRODUCT(--($B$2:$B$313=B176),--(L176&lt;$L$2:$L$313))+1)</f>
        <v>11</v>
      </c>
      <c r="S176" s="1">
        <f t="shared" si="140"/>
        <v>0</v>
      </c>
      <c r="T176" s="1" t="str" cm="1">
        <f t="array" ref="T176">IF($B176="","",IF(M176=0,"",SUMPRODUCT(--($B$2:$B$313=B176),--(J176&lt;$J$2:$J$313))+1))</f>
        <v/>
      </c>
      <c r="U176" s="1" t="str">
        <f t="shared" si="141"/>
        <v/>
      </c>
      <c r="V176" s="1" t="str">
        <f t="shared" si="142"/>
        <v>1011</v>
      </c>
      <c r="W176" s="1">
        <f t="shared" si="143"/>
        <v>8</v>
      </c>
      <c r="X176" s="1">
        <f t="shared" si="128"/>
        <v>0</v>
      </c>
      <c r="Y176" s="1">
        <f>IF($B176="","",MAX(_xlfn.MAXIFS($J$2:J176,$I$2:I176,$I176),_xlfn.MAXIFS($K$2:K176,$I$2:I176,$I176)))</f>
        <v>177</v>
      </c>
      <c r="Z176" s="1">
        <f t="shared" si="144"/>
        <v>166</v>
      </c>
      <c r="AA176" s="1">
        <f t="shared" si="145"/>
        <v>0</v>
      </c>
      <c r="AB176" s="1">
        <f t="shared" si="146"/>
        <v>0</v>
      </c>
      <c r="AC176" s="1">
        <f t="shared" si="147"/>
        <v>0</v>
      </c>
      <c r="AD176" s="1">
        <f>IF($B176="","",MIN(_xlfn.MINIFS($J$2:J176,$I$2:I176,$I176),_xlfn.MINIFS($K$2:K176,$I$2:I176,$I176)))</f>
        <v>97</v>
      </c>
      <c r="AE176" s="1">
        <f t="shared" si="148"/>
        <v>91</v>
      </c>
      <c r="AF176" s="1">
        <f t="shared" si="149"/>
        <v>0</v>
      </c>
      <c r="AG176" s="1">
        <f t="shared" si="150"/>
        <v>0</v>
      </c>
      <c r="AH176" s="1">
        <f t="shared" si="151"/>
        <v>0</v>
      </c>
      <c r="AI176" s="1">
        <f ca="1">IF($B176="","",IF($K176="",0,OFFSET($CO$17,R176,W176)))</f>
        <v>0</v>
      </c>
      <c r="AJ176" s="1">
        <f t="shared" ca="1" si="152"/>
        <v>0</v>
      </c>
      <c r="AK176" s="1">
        <f ca="1">IF(AJ176="","",IF(AJ176=0,0,IF(W176=1,0,SUM(OFFSET($CO$17,N176,1):OFFSET($CO$17,N176+W176-2,1))/W176)))</f>
        <v>0</v>
      </c>
      <c r="AL176" s="1">
        <f t="shared" si="153"/>
        <v>0</v>
      </c>
      <c r="AM176" s="1">
        <f ca="1">IF($B176="","",SUMIFS($AL$2:AL176,$I$2:I176,$I176))</f>
        <v>29</v>
      </c>
      <c r="AN176" s="1">
        <f t="shared" si="154"/>
        <v>11.000175</v>
      </c>
      <c r="AO176" s="1">
        <f>IFERROR(IF($B176="","",AVERAGEIFS($L$2:L176,$I$2:I176,I176,$L$2:L176,"&lt;&gt;0")),0)</f>
        <v>280.42857142857144</v>
      </c>
      <c r="AP176" s="1">
        <f t="shared" si="155"/>
        <v>140.21428571428572</v>
      </c>
      <c r="AQ176" s="1">
        <f>IF($B176="","",COUNTIFS($R$2:R176,1,$I$2:I176,$I176))</f>
        <v>1</v>
      </c>
      <c r="AR176" s="1">
        <f t="array" aca="1" ref="AR176" ca="1">IF($B176="","",SUMPRODUCT(--($B$2:$B$313=B176),--(AM176&lt;$AM$2:$AM$313))+1)</f>
        <v>8</v>
      </c>
      <c r="AS176" s="1">
        <f t="array" ref="AS176">IF($B176="","",SUMPRODUCT(--($B$2:$B$313=B176),--(AP176&lt;$AP$2:$AP$313))+1)</f>
        <v>6</v>
      </c>
      <c r="AT176" s="1">
        <f t="array" ref="AT176">IF($B176="","",SUMPRODUCT(--($B$2:$B$313=B176),--(AQ176&lt;$AQ$2:$AQ$313))+1)</f>
        <v>4</v>
      </c>
      <c r="AU176" s="1">
        <f t="shared" si="156"/>
        <v>1.7499999999999999E-7</v>
      </c>
      <c r="AV176" s="1">
        <f t="shared" ca="1" si="157"/>
        <v>8.0604175000000014E-2</v>
      </c>
      <c r="AW176" s="1">
        <f t="shared" ca="1" si="129"/>
        <v>8.0604175000000014E-2</v>
      </c>
      <c r="AX176" s="1">
        <f t="shared" ca="1" si="158"/>
        <v>8</v>
      </c>
      <c r="AY176" s="8">
        <f t="shared" ca="1" si="159"/>
        <v>8.0604175000000014E-2</v>
      </c>
      <c r="AZ176" s="1" cm="1">
        <f t="array" aca="1" ref="AZ176" ca="1">IF($B176="","",SUMPRODUCT(--($B$2:$B$313=B176),--(AY176&gt;$AY$2:$AY$313))+1)</f>
        <v>8</v>
      </c>
      <c r="BA176" s="1" t="str">
        <f t="shared" si="160"/>
        <v>K2024GP10_13_1</v>
      </c>
      <c r="BB176" s="1" t="str">
        <f t="shared" si="161"/>
        <v>K2024GP10_13_2</v>
      </c>
      <c r="BC176" s="1">
        <f t="shared" si="162"/>
        <v>0</v>
      </c>
      <c r="BD176" s="1">
        <f t="shared" si="163"/>
        <v>0</v>
      </c>
      <c r="BE176" s="1">
        <f t="shared" si="164"/>
        <v>1</v>
      </c>
      <c r="BF176" s="1">
        <f t="shared" si="165"/>
        <v>0</v>
      </c>
      <c r="BG176" s="1">
        <f t="shared" si="166"/>
        <v>0</v>
      </c>
      <c r="BH176" s="1">
        <f t="shared" si="167"/>
        <v>11</v>
      </c>
      <c r="BI176" s="1">
        <f t="shared" si="168"/>
        <v>11</v>
      </c>
      <c r="BJ176" s="1">
        <f t="shared" si="169"/>
        <v>0.1111</v>
      </c>
      <c r="BK176" s="1" t="str">
        <f t="shared" si="170"/>
        <v/>
      </c>
      <c r="BL176" s="1">
        <f t="shared" si="171"/>
        <v>9.8999999999999994E-5</v>
      </c>
      <c r="BM176" s="1">
        <f t="shared" si="172"/>
        <v>0.11121660000000001</v>
      </c>
      <c r="BN176" s="1" t="str">
        <f t="shared" si="173"/>
        <v/>
      </c>
      <c r="BO176" s="1">
        <f t="shared" si="130"/>
        <v>13</v>
      </c>
      <c r="BP176" s="1">
        <f t="shared" si="131"/>
        <v>0</v>
      </c>
      <c r="BQ176" s="1" t="str" cm="1">
        <f t="array" ref="BQ176">IF(I176="","",IF(BP176=1,"",IF(L176=0,"",IF(B176=1,"",_xlfn.XLOOKUP(1,($I$2:$I$313=$I176)*($B$2:$B$313=($B176-1)),$BO$2:$BO$313)))))</f>
        <v/>
      </c>
      <c r="BR176" s="1">
        <f>IF(I176="","",IF($B176=1,_xlfn.MINIFS($BO$2:$BO$313,$B$2:$B$313,$B176),_xlfn.MINIFS(BQ$2:$BQ$313,$B$2:$B$313,$B176)))</f>
        <v>1</v>
      </c>
      <c r="BS176" s="1">
        <f t="shared" si="174"/>
        <v>2</v>
      </c>
      <c r="BT176" s="1" t="str" cm="1">
        <f t="array" ref="BT176">IF($I176="","",IF($B176=1,_xlfn.XLOOKUP(1,($B$2:$B$313=$B176)*($BO$2:$BO$313=BR176),Data!$I$2:$I$313,,0),_xlfn.XLOOKUP(1,($B$2:$B$313=$B176)*($BQ$2:$BQ$313=$BR176),$I$2:$I$313,,0)))</f>
        <v>Jami Kallio</v>
      </c>
      <c r="BU176" s="1" t="str" cm="1">
        <f t="array" ref="BU176">IF(I176="","",IF($B176=1,_xlfn.XLOOKUP(1,($B$2:$B$313=$B176)*($BO$2:$BO$313=$BS176),$I$2:$I$313,,0),_xlfn.XLOOKUP(1,($B$2:$B$313=$B176)*($BQ$2:$BQ$313=$BS176),$I$2:$I$313,,0)))</f>
        <v>Mikko Mansikkamäki</v>
      </c>
      <c r="BV176" s="1" t="str" cm="1">
        <f t="array" ref="BV176">IF($I176="","",IF($B176=1,"",IF($B176=2,_xlfn.XLOOKUP(1,($B$2:$B$313=1)*($BO$2:$BO$313=1),$I$2:$I$313,,0),_xlfn.XLOOKUP($B176-1,$B$2:$B$313,$CH$2:$CH$313,,0))))</f>
        <v>Jami Kallio</v>
      </c>
      <c r="BW176" s="1" t="str" cm="1">
        <f t="array" ref="BW176">IF($I176="","",IF($B176=1,"",IF(_xlfn.XLOOKUP(1,($B$2:$B$313=$B176)*($I$2:$I$313=$BV176),$BQ$2:$BQ$313,,0)="","NOK","OK")))</f>
        <v>OK</v>
      </c>
      <c r="BX176" s="1" t="str">
        <f t="shared" si="175"/>
        <v>Jami Kallio</v>
      </c>
      <c r="BY176" s="1" t="str">
        <f t="shared" si="176"/>
        <v>Mikko Mansikkamäki</v>
      </c>
      <c r="BZ176" s="1">
        <f t="shared" si="177"/>
        <v>145</v>
      </c>
      <c r="CA176" s="1">
        <f t="shared" si="178"/>
        <v>132</v>
      </c>
      <c r="CB176" s="1">
        <f t="shared" si="179"/>
        <v>9.8999999999999994E-5</v>
      </c>
      <c r="CC176" s="1">
        <f t="shared" si="180"/>
        <v>137</v>
      </c>
      <c r="CD176" s="1">
        <f t="shared" si="181"/>
        <v>127</v>
      </c>
      <c r="CE176" s="1">
        <f t="shared" si="182"/>
        <v>9.8999999999999994E-5</v>
      </c>
      <c r="CF176" s="1" t="str">
        <f t="shared" si="183"/>
        <v>Jami Kallio (P)</v>
      </c>
      <c r="CG176" s="1" t="str">
        <f t="shared" si="184"/>
        <v>Mikko Mansikkamäki (2)</v>
      </c>
      <c r="CH176" s="1" t="str">
        <f t="shared" si="185"/>
        <v>Jami Kallio</v>
      </c>
      <c r="CI176" s="1">
        <f t="shared" si="186"/>
        <v>0</v>
      </c>
      <c r="CJ176" s="1" t="str">
        <f ca="1">IF(B176="","",IF(SUM(AI176:AK176)&gt;0,"+SP","")&amp;IF(CI176&gt;0,"+KK","")&amp;IF(AB176&gt;0,"+KGP1","")&amp;IF(AC176&gt;0,"+KGP2","")&amp;IF(AG176&lt;0,"-KGP1","")&amp;IF(AH176&lt;0,"-KGP2",""))</f>
        <v/>
      </c>
    </row>
    <row r="177" spans="1:88" x14ac:dyDescent="0.25">
      <c r="A177" s="1">
        <f>IFERROR(IF(ROW(A176)=1,1,IF(1+A176&lt;=$CP$1*$CP$2,1+A176,"")),"")</f>
        <v>176</v>
      </c>
      <c r="B177" s="1">
        <f>IF($I177="","",IF(ROW(B176)=1,1,ROUNDUP(A177/$CP$2,0)))</f>
        <v>10</v>
      </c>
      <c r="C177" s="4">
        <f t="shared" si="132"/>
        <v>45732</v>
      </c>
      <c r="D177" s="4" t="str">
        <f t="shared" si="126"/>
        <v>Raision keilahalli</v>
      </c>
      <c r="E177" s="1">
        <f>IF($B177="","",COUNTIF($B$2:B177,B177))</f>
        <v>14</v>
      </c>
      <c r="F177" s="1" t="str">
        <f t="shared" si="127"/>
        <v>K2024GP10</v>
      </c>
      <c r="G177" s="1" t="str">
        <f t="shared" si="133"/>
        <v>K2024GP10_14</v>
      </c>
      <c r="H177" s="1">
        <f t="shared" si="134"/>
        <v>1</v>
      </c>
      <c r="I177" s="3" t="s">
        <v>126</v>
      </c>
      <c r="J177" s="3"/>
      <c r="K177" s="3"/>
      <c r="L177" s="1">
        <f t="shared" si="135"/>
        <v>0</v>
      </c>
      <c r="M177" s="1">
        <f t="shared" si="136"/>
        <v>0</v>
      </c>
      <c r="N177" s="1" t="str">
        <f t="shared" si="137"/>
        <v/>
      </c>
      <c r="O177" s="1" t="str">
        <f t="shared" si="138"/>
        <v/>
      </c>
      <c r="P177" s="1" t="str">
        <f t="shared" si="139"/>
        <v/>
      </c>
      <c r="Q177" s="1">
        <f t="array" ref="Q177">IF($B177="","",IF(MAX(IF(B177=$B$2:$B$313,$L$2:$L$313))-L177=0,"",MAX(IF(B177=$B$2:$B$313,$L$2:$L$313))-L177))</f>
        <v>313</v>
      </c>
      <c r="R177" s="1">
        <f t="array" ref="R177">IF($B177="","",SUMPRODUCT(--($B$2:$B$313=B177),--(L177&lt;$L$2:$L$313))+1)</f>
        <v>11</v>
      </c>
      <c r="S177" s="1">
        <f t="shared" si="140"/>
        <v>0</v>
      </c>
      <c r="T177" s="1" t="str" cm="1">
        <f t="array" ref="T177">IF($B177="","",IF(M177=0,"",SUMPRODUCT(--($B$2:$B$313=B177),--(J177&lt;$J$2:$J$313))+1))</f>
        <v/>
      </c>
      <c r="U177" s="1" t="str">
        <f t="shared" si="141"/>
        <v/>
      </c>
      <c r="V177" s="1" t="str">
        <f t="shared" si="142"/>
        <v>1011</v>
      </c>
      <c r="W177" s="1">
        <f t="shared" si="143"/>
        <v>8</v>
      </c>
      <c r="X177" s="1">
        <f t="shared" si="128"/>
        <v>0</v>
      </c>
      <c r="Y177" s="1">
        <f>IF($B177="","",MAX(_xlfn.MAXIFS($J$2:J177,$I$2:I177,$I177),_xlfn.MAXIFS($K$2:K177,$I$2:I177,$I177)))</f>
        <v>156</v>
      </c>
      <c r="Z177" s="1">
        <f t="shared" si="144"/>
        <v>166</v>
      </c>
      <c r="AA177" s="1">
        <f t="shared" si="145"/>
        <v>0</v>
      </c>
      <c r="AB177" s="1">
        <f t="shared" si="146"/>
        <v>0</v>
      </c>
      <c r="AC177" s="1">
        <f t="shared" si="147"/>
        <v>0</v>
      </c>
      <c r="AD177" s="1">
        <f>IF($B177="","",MIN(_xlfn.MINIFS($J$2:J177,$I$2:I177,$I177),_xlfn.MINIFS($K$2:K177,$I$2:I177,$I177)))</f>
        <v>80</v>
      </c>
      <c r="AE177" s="1">
        <f t="shared" si="148"/>
        <v>91</v>
      </c>
      <c r="AF177" s="1">
        <f t="shared" si="149"/>
        <v>0</v>
      </c>
      <c r="AG177" s="1">
        <f t="shared" si="150"/>
        <v>0</v>
      </c>
      <c r="AH177" s="1">
        <f t="shared" si="151"/>
        <v>0</v>
      </c>
      <c r="AI177" s="1">
        <f ca="1">IF($B177="","",IF($K177="",0,OFFSET($CO$17,R177,W177)))</f>
        <v>0</v>
      </c>
      <c r="AJ177" s="1">
        <f t="shared" ca="1" si="152"/>
        <v>0</v>
      </c>
      <c r="AK177" s="1">
        <f ca="1">IF(AJ177="","",IF(AJ177=0,0,IF(W177=1,0,SUM(OFFSET($CO$17,N177,1):OFFSET($CO$17,N177+W177-2,1))/W177)))</f>
        <v>0</v>
      </c>
      <c r="AL177" s="1">
        <f t="shared" si="153"/>
        <v>0</v>
      </c>
      <c r="AM177" s="1">
        <f ca="1">IF($B177="","",SUMIFS($AL$2:AL177,$I$2:I177,$I177))</f>
        <v>1</v>
      </c>
      <c r="AN177" s="1">
        <f t="shared" si="154"/>
        <v>11.000176</v>
      </c>
      <c r="AO177" s="1">
        <f>IFERROR(IF($B177="","",AVERAGEIFS($L$2:L177,$I$2:I177,I177,$L$2:L177,"&lt;&gt;0")),0)</f>
        <v>235.71428571428572</v>
      </c>
      <c r="AP177" s="1">
        <f t="shared" si="155"/>
        <v>117.85714285714286</v>
      </c>
      <c r="AQ177" s="1">
        <f>IF($B177="","",COUNTIFS($R$2:R177,1,$I$2:I177,$I177))</f>
        <v>0</v>
      </c>
      <c r="AR177" s="1">
        <f t="array" aca="1" ref="AR177" ca="1">IF($B177="","",SUMPRODUCT(--($B$2:$B$313=B177),--(AM177&lt;$AM$2:$AM$313))+1)</f>
        <v>18</v>
      </c>
      <c r="AS177" s="1">
        <f t="array" ref="AS177">IF($B177="","",SUMPRODUCT(--($B$2:$B$313=B177),--(AP177&lt;$AP$2:$AP$313))+1)</f>
        <v>16</v>
      </c>
      <c r="AT177" s="1">
        <f t="array" ref="AT177">IF($B177="","",SUMPRODUCT(--($B$2:$B$313=B177),--(AQ177&lt;$AQ$2:$AQ$313))+1)</f>
        <v>8</v>
      </c>
      <c r="AU177" s="1">
        <f t="shared" si="156"/>
        <v>1.7599999999999999E-7</v>
      </c>
      <c r="AV177" s="1">
        <f t="shared" ca="1" si="157"/>
        <v>0.18160817599999998</v>
      </c>
      <c r="AW177" s="1">
        <f t="shared" ca="1" si="129"/>
        <v>0.18160817599999998</v>
      </c>
      <c r="AX177" s="1">
        <f t="shared" ca="1" si="158"/>
        <v>18</v>
      </c>
      <c r="AY177" s="8">
        <f t="shared" ca="1" si="159"/>
        <v>0.18160817599999998</v>
      </c>
      <c r="AZ177" s="1" cm="1">
        <f t="array" aca="1" ref="AZ177" ca="1">IF($B177="","",SUMPRODUCT(--($B$2:$B$313=B177),--(AY177&gt;$AY$2:$AY$313))+1)</f>
        <v>18</v>
      </c>
      <c r="BA177" s="1" t="str">
        <f t="shared" si="160"/>
        <v>K2024GP10_14_1</v>
      </c>
      <c r="BB177" s="1" t="str">
        <f t="shared" si="161"/>
        <v>K2024GP10_14_2</v>
      </c>
      <c r="BC177" s="1">
        <f t="shared" si="162"/>
        <v>0</v>
      </c>
      <c r="BD177" s="1">
        <f t="shared" si="163"/>
        <v>0</v>
      </c>
      <c r="BE177" s="1">
        <f t="shared" si="164"/>
        <v>1</v>
      </c>
      <c r="BF177" s="1">
        <f t="shared" si="165"/>
        <v>0</v>
      </c>
      <c r="BG177" s="1">
        <f t="shared" si="166"/>
        <v>0</v>
      </c>
      <c r="BH177" s="1">
        <f t="shared" si="167"/>
        <v>11</v>
      </c>
      <c r="BI177" s="1">
        <f t="shared" si="168"/>
        <v>11</v>
      </c>
      <c r="BJ177" s="1">
        <f t="shared" si="169"/>
        <v>0.1111</v>
      </c>
      <c r="BK177" s="1" t="str">
        <f t="shared" si="170"/>
        <v/>
      </c>
      <c r="BL177" s="1">
        <f t="shared" si="171"/>
        <v>9.8999999999999994E-5</v>
      </c>
      <c r="BM177" s="1">
        <f t="shared" si="172"/>
        <v>0.1112167</v>
      </c>
      <c r="BN177" s="1" t="str">
        <f t="shared" si="173"/>
        <v/>
      </c>
      <c r="BO177" s="1">
        <f t="shared" si="130"/>
        <v>14</v>
      </c>
      <c r="BP177" s="1">
        <f t="shared" si="131"/>
        <v>0</v>
      </c>
      <c r="BQ177" s="1" t="str" cm="1">
        <f t="array" ref="BQ177">IF(I177="","",IF(BP177=1,"",IF(L177=0,"",IF(B177=1,"",_xlfn.XLOOKUP(1,($I$2:$I$313=$I177)*($B$2:$B$313=($B177-1)),$BO$2:$BO$313)))))</f>
        <v/>
      </c>
      <c r="BR177" s="1">
        <f>IF(I177="","",IF($B177=1,_xlfn.MINIFS($BO$2:$BO$313,$B$2:$B$313,$B177),_xlfn.MINIFS(BQ$2:$BQ$313,$B$2:$B$313,$B177)))</f>
        <v>1</v>
      </c>
      <c r="BS177" s="1">
        <f t="shared" si="174"/>
        <v>2</v>
      </c>
      <c r="BT177" s="1" t="str" cm="1">
        <f t="array" ref="BT177">IF($I177="","",IF($B177=1,_xlfn.XLOOKUP(1,($B$2:$B$313=$B177)*($BO$2:$BO$313=BR177),Data!$I$2:$I$313,,0),_xlfn.XLOOKUP(1,($B$2:$B$313=$B177)*($BQ$2:$BQ$313=$BR177),$I$2:$I$313,,0)))</f>
        <v>Jami Kallio</v>
      </c>
      <c r="BU177" s="1" t="str" cm="1">
        <f t="array" ref="BU177">IF(I177="","",IF($B177=1,_xlfn.XLOOKUP(1,($B$2:$B$313=$B177)*($BO$2:$BO$313=$BS177),$I$2:$I$313,,0),_xlfn.XLOOKUP(1,($B$2:$B$313=$B177)*($BQ$2:$BQ$313=$BS177),$I$2:$I$313,,0)))</f>
        <v>Mikko Mansikkamäki</v>
      </c>
      <c r="BV177" s="1" t="str" cm="1">
        <f t="array" ref="BV177">IF($I177="","",IF($B177=1,"",IF($B177=2,_xlfn.XLOOKUP(1,($B$2:$B$313=1)*($BO$2:$BO$313=1),$I$2:$I$313,,0),_xlfn.XLOOKUP($B177-1,$B$2:$B$313,$CH$2:$CH$313,,0))))</f>
        <v>Jami Kallio</v>
      </c>
      <c r="BW177" s="1" t="str" cm="1">
        <f t="array" ref="BW177">IF($I177="","",IF($B177=1,"",IF(_xlfn.XLOOKUP(1,($B$2:$B$313=$B177)*($I$2:$I$313=$BV177),$BQ$2:$BQ$313,,0)="","NOK","OK")))</f>
        <v>OK</v>
      </c>
      <c r="BX177" s="1" t="str">
        <f t="shared" si="175"/>
        <v>Jami Kallio</v>
      </c>
      <c r="BY177" s="1" t="str">
        <f t="shared" si="176"/>
        <v>Mikko Mansikkamäki</v>
      </c>
      <c r="BZ177" s="1">
        <f t="shared" si="177"/>
        <v>145</v>
      </c>
      <c r="CA177" s="1">
        <f t="shared" si="178"/>
        <v>132</v>
      </c>
      <c r="CB177" s="1">
        <f t="shared" si="179"/>
        <v>9.8999999999999994E-5</v>
      </c>
      <c r="CC177" s="1">
        <f t="shared" si="180"/>
        <v>137</v>
      </c>
      <c r="CD177" s="1">
        <f t="shared" si="181"/>
        <v>127</v>
      </c>
      <c r="CE177" s="1">
        <f t="shared" si="182"/>
        <v>9.8999999999999994E-5</v>
      </c>
      <c r="CF177" s="1" t="str">
        <f t="shared" si="183"/>
        <v>Jami Kallio (P)</v>
      </c>
      <c r="CG177" s="1" t="str">
        <f t="shared" si="184"/>
        <v>Mikko Mansikkamäki (2)</v>
      </c>
      <c r="CH177" s="1" t="str">
        <f t="shared" si="185"/>
        <v>Jami Kallio</v>
      </c>
      <c r="CI177" s="1">
        <f t="shared" si="186"/>
        <v>0</v>
      </c>
      <c r="CJ177" s="1" t="str">
        <f ca="1">IF(B177="","",IF(SUM(AI177:AK177)&gt;0,"+SP","")&amp;IF(CI177&gt;0,"+KK","")&amp;IF(AB177&gt;0,"+KGP1","")&amp;IF(AC177&gt;0,"+KGP2","")&amp;IF(AG177&lt;0,"-KGP1","")&amp;IF(AH177&lt;0,"-KGP2",""))</f>
        <v/>
      </c>
    </row>
    <row r="178" spans="1:88" x14ac:dyDescent="0.25">
      <c r="A178" s="1">
        <f>IFERROR(IF(ROW(A177)=1,1,IF(1+A177&lt;=$CP$1*$CP$2,1+A177,"")),"")</f>
        <v>177</v>
      </c>
      <c r="B178" s="1">
        <f>IF($I178="","",IF(ROW(B177)=1,1,ROUNDUP(A178/$CP$2,0)))</f>
        <v>10</v>
      </c>
      <c r="C178" s="4">
        <f t="shared" si="132"/>
        <v>45732</v>
      </c>
      <c r="D178" s="4" t="str">
        <f t="shared" si="126"/>
        <v>Raision keilahalli</v>
      </c>
      <c r="E178" s="1">
        <f>IF($B178="","",COUNTIF($B$2:B178,B178))</f>
        <v>15</v>
      </c>
      <c r="F178" s="1" t="str">
        <f t="shared" si="127"/>
        <v>K2024GP10</v>
      </c>
      <c r="G178" s="1" t="str">
        <f t="shared" si="133"/>
        <v>K2024GP10_15</v>
      </c>
      <c r="H178" s="1">
        <f t="shared" si="134"/>
        <v>1</v>
      </c>
      <c r="I178" s="3" t="s">
        <v>236</v>
      </c>
      <c r="J178" s="3"/>
      <c r="K178" s="3"/>
      <c r="L178" s="1">
        <f t="shared" si="135"/>
        <v>0</v>
      </c>
      <c r="M178" s="1">
        <f t="shared" si="136"/>
        <v>0</v>
      </c>
      <c r="N178" s="1" t="str">
        <f t="shared" si="137"/>
        <v/>
      </c>
      <c r="O178" s="1" t="str">
        <f t="shared" si="138"/>
        <v/>
      </c>
      <c r="P178" s="1" t="str">
        <f t="shared" si="139"/>
        <v/>
      </c>
      <c r="Q178" s="1">
        <f t="array" ref="Q178">IF($B178="","",IF(MAX(IF(B178=$B$2:$B$313,$L$2:$L$313))-L178=0,"",MAX(IF(B178=$B$2:$B$313,$L$2:$L$313))-L178))</f>
        <v>313</v>
      </c>
      <c r="R178" s="1">
        <f t="array" ref="R178">IF($B178="","",SUMPRODUCT(--($B$2:$B$313=B178),--(L178&lt;$L$2:$L$313))+1)</f>
        <v>11</v>
      </c>
      <c r="S178" s="1">
        <f t="shared" si="140"/>
        <v>0</v>
      </c>
      <c r="T178" s="1" t="str" cm="1">
        <f t="array" ref="T178">IF($B178="","",IF(M178=0,"",SUMPRODUCT(--($B$2:$B$313=B178),--(J178&lt;$J$2:$J$313))+1))</f>
        <v/>
      </c>
      <c r="U178" s="1" t="str">
        <f t="shared" si="141"/>
        <v/>
      </c>
      <c r="V178" s="1" t="str">
        <f t="shared" si="142"/>
        <v>1011</v>
      </c>
      <c r="W178" s="1">
        <f t="shared" si="143"/>
        <v>8</v>
      </c>
      <c r="X178" s="1">
        <f t="shared" si="128"/>
        <v>0</v>
      </c>
      <c r="Y178" s="1">
        <f>IF($B178="","",MAX(_xlfn.MAXIFS($J$2:J178,$I$2:I178,$I178),_xlfn.MAXIFS($K$2:K178,$I$2:I178,$I178)))</f>
        <v>183</v>
      </c>
      <c r="Z178" s="1">
        <f t="shared" si="144"/>
        <v>166</v>
      </c>
      <c r="AA178" s="1">
        <f t="shared" si="145"/>
        <v>0</v>
      </c>
      <c r="AB178" s="1">
        <f t="shared" si="146"/>
        <v>0</v>
      </c>
      <c r="AC178" s="1">
        <f t="shared" si="147"/>
        <v>0</v>
      </c>
      <c r="AD178" s="1">
        <f>IF($B178="","",MIN(_xlfn.MINIFS($J$2:J178,$I$2:I178,$I178),_xlfn.MINIFS($K$2:K178,$I$2:I178,$I178)))</f>
        <v>73</v>
      </c>
      <c r="AE178" s="1">
        <f t="shared" si="148"/>
        <v>91</v>
      </c>
      <c r="AF178" s="1">
        <f t="shared" si="149"/>
        <v>0</v>
      </c>
      <c r="AG178" s="1">
        <f t="shared" si="150"/>
        <v>0</v>
      </c>
      <c r="AH178" s="1">
        <f t="shared" si="151"/>
        <v>0</v>
      </c>
      <c r="AI178" s="1">
        <f ca="1">IF($B178="","",IF($K178="",0,OFFSET($CO$17,R178,W178)))</f>
        <v>0</v>
      </c>
      <c r="AJ178" s="1">
        <f t="shared" ca="1" si="152"/>
        <v>0</v>
      </c>
      <c r="AK178" s="1">
        <f ca="1">IF(AJ178="","",IF(AJ178=0,0,IF(W178=1,0,SUM(OFFSET($CO$17,N178,1):OFFSET($CO$17,N178+W178-2,1))/W178)))</f>
        <v>0</v>
      </c>
      <c r="AL178" s="1">
        <f t="shared" si="153"/>
        <v>0</v>
      </c>
      <c r="AM178" s="1">
        <f ca="1">IF($B178="","",SUMIFS($AL$2:AL178,$I$2:I178,$I178))</f>
        <v>20</v>
      </c>
      <c r="AN178" s="1">
        <f t="shared" si="154"/>
        <v>11.000177000000001</v>
      </c>
      <c r="AO178" s="1">
        <f>IFERROR(IF($B178="","",AVERAGEIFS($L$2:L178,$I$2:I178,I178,$L$2:L178,"&lt;&gt;0")),0)</f>
        <v>243.75</v>
      </c>
      <c r="AP178" s="1">
        <f t="shared" si="155"/>
        <v>121.875</v>
      </c>
      <c r="AQ178" s="1">
        <f>IF($B178="","",COUNTIFS($R$2:R178,1,$I$2:I178,$I178))</f>
        <v>0</v>
      </c>
      <c r="AR178" s="1">
        <f t="array" aca="1" ref="AR178" ca="1">IF($B178="","",SUMPRODUCT(--($B$2:$B$313=B178),--(AM178&lt;$AM$2:$AM$313))+1)</f>
        <v>12</v>
      </c>
      <c r="AS178" s="1">
        <f t="array" ref="AS178">IF($B178="","",SUMPRODUCT(--($B$2:$B$313=B178),--(AP178&lt;$AP$2:$AP$313))+1)</f>
        <v>15</v>
      </c>
      <c r="AT178" s="1">
        <f t="array" ref="AT178">IF($B178="","",SUMPRODUCT(--($B$2:$B$313=B178),--(AQ178&lt;$AQ$2:$AQ$313))+1)</f>
        <v>8</v>
      </c>
      <c r="AU178" s="1">
        <f t="shared" si="156"/>
        <v>1.7700000000000001E-7</v>
      </c>
      <c r="AV178" s="1">
        <f t="shared" ca="1" si="157"/>
        <v>0.12150817699999999</v>
      </c>
      <c r="AW178" s="1">
        <f t="shared" ca="1" si="129"/>
        <v>0.12150817699999999</v>
      </c>
      <c r="AX178" s="1">
        <f t="shared" ca="1" si="158"/>
        <v>12</v>
      </c>
      <c r="AY178" s="8">
        <f t="shared" ca="1" si="159"/>
        <v>0.12150817699999999</v>
      </c>
      <c r="AZ178" s="1" cm="1">
        <f t="array" aca="1" ref="AZ178" ca="1">IF($B178="","",SUMPRODUCT(--($B$2:$B$313=B178),--(AY178&gt;$AY$2:$AY$313))+1)</f>
        <v>12</v>
      </c>
      <c r="BA178" s="1" t="str">
        <f t="shared" si="160"/>
        <v>K2024GP10_15_1</v>
      </c>
      <c r="BB178" s="1" t="str">
        <f t="shared" si="161"/>
        <v>K2024GP10_15_2</v>
      </c>
      <c r="BC178" s="1">
        <f t="shared" si="162"/>
        <v>0</v>
      </c>
      <c r="BD178" s="1">
        <f t="shared" si="163"/>
        <v>0</v>
      </c>
      <c r="BE178" s="1">
        <f t="shared" si="164"/>
        <v>1</v>
      </c>
      <c r="BF178" s="1">
        <f t="shared" si="165"/>
        <v>0</v>
      </c>
      <c r="BG178" s="1">
        <f t="shared" si="166"/>
        <v>0</v>
      </c>
      <c r="BH178" s="1">
        <f t="shared" si="167"/>
        <v>11</v>
      </c>
      <c r="BI178" s="1">
        <f t="shared" si="168"/>
        <v>11</v>
      </c>
      <c r="BJ178" s="1">
        <f t="shared" si="169"/>
        <v>0.1111</v>
      </c>
      <c r="BK178" s="1" t="str">
        <f t="shared" si="170"/>
        <v/>
      </c>
      <c r="BL178" s="1">
        <f t="shared" si="171"/>
        <v>9.8999999999999994E-5</v>
      </c>
      <c r="BM178" s="1">
        <f t="shared" si="172"/>
        <v>0.1112168</v>
      </c>
      <c r="BN178" s="1" t="str">
        <f t="shared" si="173"/>
        <v/>
      </c>
      <c r="BO178" s="1">
        <f t="shared" si="130"/>
        <v>15</v>
      </c>
      <c r="BP178" s="1">
        <f t="shared" si="131"/>
        <v>0</v>
      </c>
      <c r="BQ178" s="1" t="str" cm="1">
        <f t="array" ref="BQ178">IF(I178="","",IF(BP178=1,"",IF(L178=0,"",IF(B178=1,"",_xlfn.XLOOKUP(1,($I$2:$I$313=$I178)*($B$2:$B$313=($B178-1)),$BO$2:$BO$313)))))</f>
        <v/>
      </c>
      <c r="BR178" s="1">
        <f>IF(I178="","",IF($B178=1,_xlfn.MINIFS($BO$2:$BO$313,$B$2:$B$313,$B178),_xlfn.MINIFS(BQ$2:$BQ$313,$B$2:$B$313,$B178)))</f>
        <v>1</v>
      </c>
      <c r="BS178" s="1">
        <f t="shared" si="174"/>
        <v>2</v>
      </c>
      <c r="BT178" s="1" t="str" cm="1">
        <f t="array" ref="BT178">IF($I178="","",IF($B178=1,_xlfn.XLOOKUP(1,($B$2:$B$313=$B178)*($BO$2:$BO$313=BR178),Data!$I$2:$I$313,,0),_xlfn.XLOOKUP(1,($B$2:$B$313=$B178)*($BQ$2:$BQ$313=$BR178),$I$2:$I$313,,0)))</f>
        <v>Jami Kallio</v>
      </c>
      <c r="BU178" s="1" t="str" cm="1">
        <f t="array" ref="BU178">IF(I178="","",IF($B178=1,_xlfn.XLOOKUP(1,($B$2:$B$313=$B178)*($BO$2:$BO$313=$BS178),$I$2:$I$313,,0),_xlfn.XLOOKUP(1,($B$2:$B$313=$B178)*($BQ$2:$BQ$313=$BS178),$I$2:$I$313,,0)))</f>
        <v>Mikko Mansikkamäki</v>
      </c>
      <c r="BV178" s="1" t="str" cm="1">
        <f t="array" ref="BV178">IF($I178="","",IF($B178=1,"",IF($B178=2,_xlfn.XLOOKUP(1,($B$2:$B$313=1)*($BO$2:$BO$313=1),$I$2:$I$313,,0),_xlfn.XLOOKUP($B178-1,$B$2:$B$313,$CH$2:$CH$313,,0))))</f>
        <v>Jami Kallio</v>
      </c>
      <c r="BW178" s="1" t="str" cm="1">
        <f t="array" ref="BW178">IF($I178="","",IF($B178=1,"",IF(_xlfn.XLOOKUP(1,($B$2:$B$313=$B178)*($I$2:$I$313=$BV178),$BQ$2:$BQ$313,,0)="","NOK","OK")))</f>
        <v>OK</v>
      </c>
      <c r="BX178" s="1" t="str">
        <f t="shared" si="175"/>
        <v>Jami Kallio</v>
      </c>
      <c r="BY178" s="1" t="str">
        <f t="shared" si="176"/>
        <v>Mikko Mansikkamäki</v>
      </c>
      <c r="BZ178" s="1">
        <f t="shared" si="177"/>
        <v>145</v>
      </c>
      <c r="CA178" s="1">
        <f t="shared" si="178"/>
        <v>132</v>
      </c>
      <c r="CB178" s="1">
        <f t="shared" si="179"/>
        <v>9.8999999999999994E-5</v>
      </c>
      <c r="CC178" s="1">
        <f t="shared" si="180"/>
        <v>137</v>
      </c>
      <c r="CD178" s="1">
        <f t="shared" si="181"/>
        <v>127</v>
      </c>
      <c r="CE178" s="1">
        <f t="shared" si="182"/>
        <v>9.8999999999999994E-5</v>
      </c>
      <c r="CF178" s="1" t="str">
        <f t="shared" si="183"/>
        <v>Jami Kallio (P)</v>
      </c>
      <c r="CG178" s="1" t="str">
        <f t="shared" si="184"/>
        <v>Mikko Mansikkamäki (2)</v>
      </c>
      <c r="CH178" s="1" t="str">
        <f t="shared" si="185"/>
        <v>Jami Kallio</v>
      </c>
      <c r="CI178" s="1">
        <f t="shared" si="186"/>
        <v>0</v>
      </c>
      <c r="CJ178" s="1" t="str">
        <f ca="1">IF(B178="","",IF(SUM(AI178:AK178)&gt;0,"+SP","")&amp;IF(CI178&gt;0,"+KK","")&amp;IF(AB178&gt;0,"+KGP1","")&amp;IF(AC178&gt;0,"+KGP2","")&amp;IF(AG178&lt;0,"-KGP1","")&amp;IF(AH178&lt;0,"-KGP2",""))</f>
        <v/>
      </c>
    </row>
    <row r="179" spans="1:88" x14ac:dyDescent="0.25">
      <c r="A179" s="1">
        <f>IFERROR(IF(ROW(A178)=1,1,IF(1+A178&lt;=$CP$1*$CP$2,1+A178,"")),"")</f>
        <v>178</v>
      </c>
      <c r="B179" s="1">
        <f>IF($I179="","",IF(ROW(B178)=1,1,ROUNDUP(A179/$CP$2,0)))</f>
        <v>10</v>
      </c>
      <c r="C179" s="4">
        <f t="shared" si="132"/>
        <v>45732</v>
      </c>
      <c r="D179" s="4" t="str">
        <f t="shared" si="126"/>
        <v>Raision keilahalli</v>
      </c>
      <c r="E179" s="1">
        <f>IF($B179="","",COUNTIF($B$2:B179,B179))</f>
        <v>16</v>
      </c>
      <c r="F179" s="1" t="str">
        <f t="shared" si="127"/>
        <v>K2024GP10</v>
      </c>
      <c r="G179" s="1" t="str">
        <f t="shared" si="133"/>
        <v>K2024GP10_16</v>
      </c>
      <c r="H179" s="1">
        <f t="shared" si="134"/>
        <v>1</v>
      </c>
      <c r="I179" s="3" t="s">
        <v>132</v>
      </c>
      <c r="J179" s="3"/>
      <c r="K179" s="3"/>
      <c r="L179" s="1">
        <f t="shared" si="135"/>
        <v>0</v>
      </c>
      <c r="M179" s="1">
        <f t="shared" si="136"/>
        <v>0</v>
      </c>
      <c r="N179" s="1" t="str">
        <f t="shared" si="137"/>
        <v/>
      </c>
      <c r="O179" s="1" t="str">
        <f t="shared" si="138"/>
        <v/>
      </c>
      <c r="P179" s="1" t="str">
        <f t="shared" si="139"/>
        <v/>
      </c>
      <c r="Q179" s="1">
        <f t="array" ref="Q179">IF($B179="","",IF(MAX(IF(B179=$B$2:$B$313,$L$2:$L$313))-L179=0,"",MAX(IF(B179=$B$2:$B$313,$L$2:$L$313))-L179))</f>
        <v>313</v>
      </c>
      <c r="R179" s="1">
        <f t="array" ref="R179">IF($B179="","",SUMPRODUCT(--($B$2:$B$313=B179),--(L179&lt;$L$2:$L$313))+1)</f>
        <v>11</v>
      </c>
      <c r="S179" s="1">
        <f t="shared" si="140"/>
        <v>0</v>
      </c>
      <c r="T179" s="1" t="str" cm="1">
        <f t="array" ref="T179">IF($B179="","",IF(M179=0,"",SUMPRODUCT(--($B$2:$B$313=B179),--(J179&lt;$J$2:$J$313))+1))</f>
        <v/>
      </c>
      <c r="U179" s="1" t="str">
        <f t="shared" si="141"/>
        <v/>
      </c>
      <c r="V179" s="1" t="str">
        <f t="shared" si="142"/>
        <v>1011</v>
      </c>
      <c r="W179" s="1">
        <f t="shared" si="143"/>
        <v>8</v>
      </c>
      <c r="X179" s="1">
        <f t="shared" si="128"/>
        <v>0</v>
      </c>
      <c r="Y179" s="1">
        <f>IF($B179="","",MAX(_xlfn.MAXIFS($J$2:J179,$I$2:I179,$I179),_xlfn.MAXIFS($K$2:K179,$I$2:I179,$I179)))</f>
        <v>156</v>
      </c>
      <c r="Z179" s="1">
        <f t="shared" si="144"/>
        <v>166</v>
      </c>
      <c r="AA179" s="1">
        <f t="shared" si="145"/>
        <v>0</v>
      </c>
      <c r="AB179" s="1">
        <f t="shared" si="146"/>
        <v>0</v>
      </c>
      <c r="AC179" s="1">
        <f t="shared" si="147"/>
        <v>0</v>
      </c>
      <c r="AD179" s="1">
        <f>IF($B179="","",MIN(_xlfn.MINIFS($J$2:J179,$I$2:I179,$I179),_xlfn.MINIFS($K$2:K179,$I$2:I179,$I179)))</f>
        <v>73</v>
      </c>
      <c r="AE179" s="1">
        <f t="shared" si="148"/>
        <v>91</v>
      </c>
      <c r="AF179" s="1">
        <f t="shared" si="149"/>
        <v>0</v>
      </c>
      <c r="AG179" s="1">
        <f t="shared" si="150"/>
        <v>0</v>
      </c>
      <c r="AH179" s="1">
        <f t="shared" si="151"/>
        <v>0</v>
      </c>
      <c r="AI179" s="1">
        <f ca="1">IF($B179="","",IF($K179="",0,OFFSET($CO$17,R179,W179)))</f>
        <v>0</v>
      </c>
      <c r="AJ179" s="1">
        <f t="shared" ca="1" si="152"/>
        <v>0</v>
      </c>
      <c r="AK179" s="1">
        <f ca="1">IF(AJ179="","",IF(AJ179=0,0,IF(W179=1,0,SUM(OFFSET($CO$17,N179,1):OFFSET($CO$17,N179+W179-2,1))/W179)))</f>
        <v>0</v>
      </c>
      <c r="AL179" s="1">
        <f t="shared" si="153"/>
        <v>0</v>
      </c>
      <c r="AM179" s="1">
        <f ca="1">IF($B179="","",SUMIFS($AL$2:AL179,$I$2:I179,$I179))</f>
        <v>11</v>
      </c>
      <c r="AN179" s="1">
        <f t="shared" si="154"/>
        <v>11.000178</v>
      </c>
      <c r="AO179" s="1">
        <f>IFERROR(IF($B179="","",AVERAGEIFS($L$2:L179,$I$2:I179,I179,$L$2:L179,"&lt;&gt;0")),0)</f>
        <v>245</v>
      </c>
      <c r="AP179" s="1">
        <f t="shared" si="155"/>
        <v>122.5</v>
      </c>
      <c r="AQ179" s="1">
        <f>IF($B179="","",COUNTIFS($R$2:R179,1,$I$2:I179,$I179))</f>
        <v>0</v>
      </c>
      <c r="AR179" s="1">
        <f t="array" aca="1" ref="AR179" ca="1">IF($B179="","",SUMPRODUCT(--($B$2:$B$313=B179),--(AM179&lt;$AM$2:$AM$313))+1)</f>
        <v>15</v>
      </c>
      <c r="AS179" s="1">
        <f t="array" ref="AS179">IF($B179="","",SUMPRODUCT(--($B$2:$B$313=B179),--(AP179&lt;$AP$2:$AP$313))+1)</f>
        <v>14</v>
      </c>
      <c r="AT179" s="1">
        <f t="array" ref="AT179">IF($B179="","",SUMPRODUCT(--($B$2:$B$313=B179),--(AQ179&lt;$AQ$2:$AQ$313))+1)</f>
        <v>8</v>
      </c>
      <c r="AU179" s="1">
        <f t="shared" si="156"/>
        <v>1.7800000000000001E-7</v>
      </c>
      <c r="AV179" s="1">
        <f t="shared" ca="1" si="157"/>
        <v>0.151408178</v>
      </c>
      <c r="AW179" s="1">
        <f t="shared" ca="1" si="129"/>
        <v>0.151408178</v>
      </c>
      <c r="AX179" s="1">
        <f t="shared" ca="1" si="158"/>
        <v>15</v>
      </c>
      <c r="AY179" s="8">
        <f t="shared" ca="1" si="159"/>
        <v>0.151408178</v>
      </c>
      <c r="AZ179" s="1" cm="1">
        <f t="array" aca="1" ref="AZ179" ca="1">IF($B179="","",SUMPRODUCT(--($B$2:$B$313=B179),--(AY179&gt;$AY$2:$AY$313))+1)</f>
        <v>15</v>
      </c>
      <c r="BA179" s="1" t="str">
        <f t="shared" si="160"/>
        <v>K2024GP10_16_1</v>
      </c>
      <c r="BB179" s="1" t="str">
        <f t="shared" si="161"/>
        <v>K2024GP10_16_2</v>
      </c>
      <c r="BC179" s="1">
        <f t="shared" si="162"/>
        <v>0</v>
      </c>
      <c r="BD179" s="1">
        <f t="shared" si="163"/>
        <v>0</v>
      </c>
      <c r="BE179" s="1">
        <f t="shared" si="164"/>
        <v>1</v>
      </c>
      <c r="BF179" s="1">
        <f t="shared" si="165"/>
        <v>0</v>
      </c>
      <c r="BG179" s="1">
        <f t="shared" si="166"/>
        <v>0</v>
      </c>
      <c r="BH179" s="1">
        <f t="shared" si="167"/>
        <v>11</v>
      </c>
      <c r="BI179" s="1">
        <f t="shared" si="168"/>
        <v>11</v>
      </c>
      <c r="BJ179" s="1">
        <f t="shared" si="169"/>
        <v>0.1111</v>
      </c>
      <c r="BK179" s="1" t="str">
        <f t="shared" si="170"/>
        <v/>
      </c>
      <c r="BL179" s="1">
        <f t="shared" si="171"/>
        <v>9.8999999999999994E-5</v>
      </c>
      <c r="BM179" s="1">
        <f t="shared" si="172"/>
        <v>0.11121690000000001</v>
      </c>
      <c r="BN179" s="1" t="str">
        <f t="shared" si="173"/>
        <v/>
      </c>
      <c r="BO179" s="1">
        <f t="shared" si="130"/>
        <v>16</v>
      </c>
      <c r="BP179" s="1">
        <f t="shared" si="131"/>
        <v>0</v>
      </c>
      <c r="BQ179" s="1" t="str" cm="1">
        <f t="array" ref="BQ179">IF(I179="","",IF(BP179=1,"",IF(L179=0,"",IF(B179=1,"",_xlfn.XLOOKUP(1,($I$2:$I$313=$I179)*($B$2:$B$313=($B179-1)),$BO$2:$BO$313)))))</f>
        <v/>
      </c>
      <c r="BR179" s="1">
        <f>IF(I179="","",IF($B179=1,_xlfn.MINIFS($BO$2:$BO$313,$B$2:$B$313,$B179),_xlfn.MINIFS(BQ$2:$BQ$313,$B$2:$B$313,$B179)))</f>
        <v>1</v>
      </c>
      <c r="BS179" s="1">
        <f t="shared" si="174"/>
        <v>2</v>
      </c>
      <c r="BT179" s="1" t="str" cm="1">
        <f t="array" ref="BT179">IF($I179="","",IF($B179=1,_xlfn.XLOOKUP(1,($B$2:$B$313=$B179)*($BO$2:$BO$313=BR179),Data!$I$2:$I$313,,0),_xlfn.XLOOKUP(1,($B$2:$B$313=$B179)*($BQ$2:$BQ$313=$BR179),$I$2:$I$313,,0)))</f>
        <v>Jami Kallio</v>
      </c>
      <c r="BU179" s="1" t="str" cm="1">
        <f t="array" ref="BU179">IF(I179="","",IF($B179=1,_xlfn.XLOOKUP(1,($B$2:$B$313=$B179)*($BO$2:$BO$313=$BS179),$I$2:$I$313,,0),_xlfn.XLOOKUP(1,($B$2:$B$313=$B179)*($BQ$2:$BQ$313=$BS179),$I$2:$I$313,,0)))</f>
        <v>Mikko Mansikkamäki</v>
      </c>
      <c r="BV179" s="1" t="str" cm="1">
        <f t="array" ref="BV179">IF($I179="","",IF($B179=1,"",IF($B179=2,_xlfn.XLOOKUP(1,($B$2:$B$313=1)*($BO$2:$BO$313=1),$I$2:$I$313,,0),_xlfn.XLOOKUP($B179-1,$B$2:$B$313,$CH$2:$CH$313,,0))))</f>
        <v>Jami Kallio</v>
      </c>
      <c r="BW179" s="1" t="str" cm="1">
        <f t="array" ref="BW179">IF($I179="","",IF($B179=1,"",IF(_xlfn.XLOOKUP(1,($B$2:$B$313=$B179)*($I$2:$I$313=$BV179),$BQ$2:$BQ$313,,0)="","NOK","OK")))</f>
        <v>OK</v>
      </c>
      <c r="BX179" s="1" t="str">
        <f t="shared" si="175"/>
        <v>Jami Kallio</v>
      </c>
      <c r="BY179" s="1" t="str">
        <f t="shared" si="176"/>
        <v>Mikko Mansikkamäki</v>
      </c>
      <c r="BZ179" s="1">
        <f t="shared" si="177"/>
        <v>145</v>
      </c>
      <c r="CA179" s="1">
        <f t="shared" si="178"/>
        <v>132</v>
      </c>
      <c r="CB179" s="1">
        <f t="shared" si="179"/>
        <v>9.8999999999999994E-5</v>
      </c>
      <c r="CC179" s="1">
        <f t="shared" si="180"/>
        <v>137</v>
      </c>
      <c r="CD179" s="1">
        <f t="shared" si="181"/>
        <v>127</v>
      </c>
      <c r="CE179" s="1">
        <f t="shared" si="182"/>
        <v>9.8999999999999994E-5</v>
      </c>
      <c r="CF179" s="1" t="str">
        <f t="shared" si="183"/>
        <v>Jami Kallio (P)</v>
      </c>
      <c r="CG179" s="1" t="str">
        <f t="shared" si="184"/>
        <v>Mikko Mansikkamäki (2)</v>
      </c>
      <c r="CH179" s="1" t="str">
        <f t="shared" si="185"/>
        <v>Jami Kallio</v>
      </c>
      <c r="CI179" s="1">
        <f t="shared" si="186"/>
        <v>0</v>
      </c>
      <c r="CJ179" s="1" t="str">
        <f ca="1">IF(B179="","",IF(SUM(AI179:AK179)&gt;0,"+SP","")&amp;IF(CI179&gt;0,"+KK","")&amp;IF(AB179&gt;0,"+KGP1","")&amp;IF(AC179&gt;0,"+KGP2","")&amp;IF(AG179&lt;0,"-KGP1","")&amp;IF(AH179&lt;0,"-KGP2",""))</f>
        <v/>
      </c>
    </row>
    <row r="180" spans="1:88" x14ac:dyDescent="0.25">
      <c r="A180" s="1">
        <f>IFERROR(IF(ROW(A179)=1,1,IF(1+A179&lt;=$CP$1*$CP$2,1+A179,"")),"")</f>
        <v>179</v>
      </c>
      <c r="B180" s="1">
        <f>IF($I180="","",IF(ROW(B179)=1,1,ROUNDUP(A180/$CP$2,0)))</f>
        <v>10</v>
      </c>
      <c r="C180" s="4">
        <f t="shared" si="132"/>
        <v>45732</v>
      </c>
      <c r="D180" s="4" t="str">
        <f t="shared" si="126"/>
        <v>Raision keilahalli</v>
      </c>
      <c r="E180" s="1">
        <f>IF($B180="","",COUNTIF($B$2:B180,B180))</f>
        <v>17</v>
      </c>
      <c r="F180" s="1" t="str">
        <f t="shared" si="127"/>
        <v>K2024GP10</v>
      </c>
      <c r="G180" s="1" t="str">
        <f t="shared" si="133"/>
        <v>K2024GP10_17</v>
      </c>
      <c r="H180" s="1">
        <f t="shared" si="134"/>
        <v>1</v>
      </c>
      <c r="I180" s="3" t="s">
        <v>136</v>
      </c>
      <c r="J180" s="3"/>
      <c r="K180" s="3"/>
      <c r="L180" s="1">
        <f t="shared" si="135"/>
        <v>0</v>
      </c>
      <c r="M180" s="1">
        <f t="shared" si="136"/>
        <v>0</v>
      </c>
      <c r="N180" s="1" t="str">
        <f t="shared" si="137"/>
        <v/>
      </c>
      <c r="O180" s="1" t="str">
        <f t="shared" si="138"/>
        <v/>
      </c>
      <c r="P180" s="1" t="str">
        <f t="shared" si="139"/>
        <v/>
      </c>
      <c r="Q180" s="1">
        <f t="array" ref="Q180">IF($B180="","",IF(MAX(IF(B180=$B$2:$B$313,$L$2:$L$313))-L180=0,"",MAX(IF(B180=$B$2:$B$313,$L$2:$L$313))-L180))</f>
        <v>313</v>
      </c>
      <c r="R180" s="1">
        <f t="array" ref="R180">IF($B180="","",SUMPRODUCT(--($B$2:$B$313=B180),--(L180&lt;$L$2:$L$313))+1)</f>
        <v>11</v>
      </c>
      <c r="S180" s="1">
        <f t="shared" si="140"/>
        <v>0</v>
      </c>
      <c r="T180" s="1" t="str" cm="1">
        <f t="array" ref="T180">IF($B180="","",IF(M180=0,"",SUMPRODUCT(--($B$2:$B$313=B180),--(J180&lt;$J$2:$J$313))+1))</f>
        <v/>
      </c>
      <c r="U180" s="1" t="str">
        <f t="shared" si="141"/>
        <v/>
      </c>
      <c r="V180" s="1" t="str">
        <f t="shared" si="142"/>
        <v>1011</v>
      </c>
      <c r="W180" s="1">
        <f t="shared" si="143"/>
        <v>8</v>
      </c>
      <c r="X180" s="1">
        <f t="shared" si="128"/>
        <v>0</v>
      </c>
      <c r="Y180" s="1">
        <f>IF($B180="","",MAX(_xlfn.MAXIFS($J$2:J180,$I$2:I180,$I180),_xlfn.MAXIFS($K$2:K180,$I$2:I180,$I180)))</f>
        <v>165</v>
      </c>
      <c r="Z180" s="1">
        <f t="shared" si="144"/>
        <v>166</v>
      </c>
      <c r="AA180" s="1">
        <f t="shared" si="145"/>
        <v>0</v>
      </c>
      <c r="AB180" s="1">
        <f t="shared" si="146"/>
        <v>0</v>
      </c>
      <c r="AC180" s="1">
        <f t="shared" si="147"/>
        <v>0</v>
      </c>
      <c r="AD180" s="1">
        <f>IF($B180="","",MIN(_xlfn.MINIFS($J$2:J180,$I$2:I180,$I180),_xlfn.MINIFS($K$2:K180,$I$2:I180,$I180)))</f>
        <v>127</v>
      </c>
      <c r="AE180" s="1">
        <f t="shared" si="148"/>
        <v>91</v>
      </c>
      <c r="AF180" s="1">
        <f t="shared" si="149"/>
        <v>0</v>
      </c>
      <c r="AG180" s="1">
        <f t="shared" si="150"/>
        <v>0</v>
      </c>
      <c r="AH180" s="1">
        <f t="shared" si="151"/>
        <v>0</v>
      </c>
      <c r="AI180" s="1">
        <f ca="1">IF($B180="","",IF($K180="",0,OFFSET($CO$17,R180,W180)))</f>
        <v>0</v>
      </c>
      <c r="AJ180" s="1">
        <f t="shared" ca="1" si="152"/>
        <v>0</v>
      </c>
      <c r="AK180" s="1">
        <f ca="1">IF(AJ180="","",IF(AJ180=0,0,IF(W180=1,0,SUM(OFFSET($CO$17,N180,1):OFFSET($CO$17,N180+W180-2,1))/W180)))</f>
        <v>0</v>
      </c>
      <c r="AL180" s="1">
        <f t="shared" si="153"/>
        <v>0</v>
      </c>
      <c r="AM180" s="1">
        <f ca="1">IF($B180="","",SUMIFS($AL$2:AL180,$I$2:I180,$I180))</f>
        <v>17</v>
      </c>
      <c r="AN180" s="1">
        <f t="shared" si="154"/>
        <v>11.000178999999999</v>
      </c>
      <c r="AO180" s="1">
        <f>IFERROR(IF($B180="","",AVERAGEIFS($L$2:L180,$I$2:I180,I180,$L$2:L180,"&lt;&gt;0")),0)</f>
        <v>285</v>
      </c>
      <c r="AP180" s="1">
        <f t="shared" si="155"/>
        <v>142.5</v>
      </c>
      <c r="AQ180" s="1">
        <f>IF($B180="","",COUNTIFS($R$2:R180,1,$I$2:I180,$I180))</f>
        <v>0</v>
      </c>
      <c r="AR180" s="1">
        <f t="array" aca="1" ref="AR180" ca="1">IF($B180="","",SUMPRODUCT(--($B$2:$B$313=B180),--(AM180&lt;$AM$2:$AM$313))+1)</f>
        <v>14</v>
      </c>
      <c r="AS180" s="1">
        <f t="array" ref="AS180">IF($B180="","",SUMPRODUCT(--($B$2:$B$313=B180),--(AP180&lt;$AP$2:$AP$313))+1)</f>
        <v>5</v>
      </c>
      <c r="AT180" s="1">
        <f t="array" ref="AT180">IF($B180="","",SUMPRODUCT(--($B$2:$B$313=B180),--(AQ180&lt;$AQ$2:$AQ$313))+1)</f>
        <v>8</v>
      </c>
      <c r="AU180" s="1">
        <f t="shared" si="156"/>
        <v>1.79E-7</v>
      </c>
      <c r="AV180" s="1">
        <f t="shared" ca="1" si="157"/>
        <v>0.14050817900000001</v>
      </c>
      <c r="AW180" s="1">
        <f t="shared" ca="1" si="129"/>
        <v>0.14050817900000001</v>
      </c>
      <c r="AX180" s="1">
        <f t="shared" ca="1" si="158"/>
        <v>14</v>
      </c>
      <c r="AY180" s="8">
        <f t="shared" ca="1" si="159"/>
        <v>0.14050817900000001</v>
      </c>
      <c r="AZ180" s="1" cm="1">
        <f t="array" aca="1" ref="AZ180" ca="1">IF($B180="","",SUMPRODUCT(--($B$2:$B$313=B180),--(AY180&gt;$AY$2:$AY$313))+1)</f>
        <v>14</v>
      </c>
      <c r="BA180" s="1" t="str">
        <f t="shared" si="160"/>
        <v>K2024GP10_17_1</v>
      </c>
      <c r="BB180" s="1" t="str">
        <f t="shared" si="161"/>
        <v>K2024GP10_17_2</v>
      </c>
      <c r="BC180" s="1">
        <f t="shared" si="162"/>
        <v>0</v>
      </c>
      <c r="BD180" s="1">
        <f t="shared" si="163"/>
        <v>0</v>
      </c>
      <c r="BE180" s="1">
        <f t="shared" si="164"/>
        <v>1</v>
      </c>
      <c r="BF180" s="1">
        <f t="shared" si="165"/>
        <v>0</v>
      </c>
      <c r="BG180" s="1">
        <f t="shared" si="166"/>
        <v>0</v>
      </c>
      <c r="BH180" s="1">
        <f t="shared" si="167"/>
        <v>11</v>
      </c>
      <c r="BI180" s="1">
        <f t="shared" si="168"/>
        <v>11</v>
      </c>
      <c r="BJ180" s="1">
        <f t="shared" si="169"/>
        <v>0.1111</v>
      </c>
      <c r="BK180" s="1" t="str">
        <f t="shared" si="170"/>
        <v/>
      </c>
      <c r="BL180" s="1">
        <f t="shared" si="171"/>
        <v>9.8999999999999994E-5</v>
      </c>
      <c r="BM180" s="1">
        <f t="shared" si="172"/>
        <v>0.11121700000000001</v>
      </c>
      <c r="BN180" s="1" t="str">
        <f t="shared" si="173"/>
        <v/>
      </c>
      <c r="BO180" s="1">
        <f t="shared" si="130"/>
        <v>17</v>
      </c>
      <c r="BP180" s="1">
        <f t="shared" si="131"/>
        <v>0</v>
      </c>
      <c r="BQ180" s="1" t="str" cm="1">
        <f t="array" ref="BQ180">IF(I180="","",IF(BP180=1,"",IF(L180=0,"",IF(B180=1,"",_xlfn.XLOOKUP(1,($I$2:$I$313=$I180)*($B$2:$B$313=($B180-1)),$BO$2:$BO$313)))))</f>
        <v/>
      </c>
      <c r="BR180" s="1">
        <f>IF(I180="","",IF($B180=1,_xlfn.MINIFS($BO$2:$BO$313,$B$2:$B$313,$B180),_xlfn.MINIFS(BQ$2:$BQ$313,$B$2:$B$313,$B180)))</f>
        <v>1</v>
      </c>
      <c r="BS180" s="1">
        <f t="shared" si="174"/>
        <v>2</v>
      </c>
      <c r="BT180" s="1" t="str" cm="1">
        <f t="array" ref="BT180">IF($I180="","",IF($B180=1,_xlfn.XLOOKUP(1,($B$2:$B$313=$B180)*($BO$2:$BO$313=BR180),Data!$I$2:$I$313,,0),_xlfn.XLOOKUP(1,($B$2:$B$313=$B180)*($BQ$2:$BQ$313=$BR180),$I$2:$I$313,,0)))</f>
        <v>Jami Kallio</v>
      </c>
      <c r="BU180" s="1" t="str" cm="1">
        <f t="array" ref="BU180">IF(I180="","",IF($B180=1,_xlfn.XLOOKUP(1,($B$2:$B$313=$B180)*($BO$2:$BO$313=$BS180),$I$2:$I$313,,0),_xlfn.XLOOKUP(1,($B$2:$B$313=$B180)*($BQ$2:$BQ$313=$BS180),$I$2:$I$313,,0)))</f>
        <v>Mikko Mansikkamäki</v>
      </c>
      <c r="BV180" s="1" t="str" cm="1">
        <f t="array" ref="BV180">IF($I180="","",IF($B180=1,"",IF($B180=2,_xlfn.XLOOKUP(1,($B$2:$B$313=1)*($BO$2:$BO$313=1),$I$2:$I$313,,0),_xlfn.XLOOKUP($B180-1,$B$2:$B$313,$CH$2:$CH$313,,0))))</f>
        <v>Jami Kallio</v>
      </c>
      <c r="BW180" s="1" t="str" cm="1">
        <f t="array" ref="BW180">IF($I180="","",IF($B180=1,"",IF(_xlfn.XLOOKUP(1,($B$2:$B$313=$B180)*($I$2:$I$313=$BV180),$BQ$2:$BQ$313,,0)="","NOK","OK")))</f>
        <v>OK</v>
      </c>
      <c r="BX180" s="1" t="str">
        <f t="shared" si="175"/>
        <v>Jami Kallio</v>
      </c>
      <c r="BY180" s="1" t="str">
        <f t="shared" si="176"/>
        <v>Mikko Mansikkamäki</v>
      </c>
      <c r="BZ180" s="1">
        <f t="shared" si="177"/>
        <v>145</v>
      </c>
      <c r="CA180" s="1">
        <f t="shared" si="178"/>
        <v>132</v>
      </c>
      <c r="CB180" s="1">
        <f t="shared" si="179"/>
        <v>9.8999999999999994E-5</v>
      </c>
      <c r="CC180" s="1">
        <f t="shared" si="180"/>
        <v>137</v>
      </c>
      <c r="CD180" s="1">
        <f t="shared" si="181"/>
        <v>127</v>
      </c>
      <c r="CE180" s="1">
        <f t="shared" si="182"/>
        <v>9.8999999999999994E-5</v>
      </c>
      <c r="CF180" s="1" t="str">
        <f t="shared" si="183"/>
        <v>Jami Kallio (P)</v>
      </c>
      <c r="CG180" s="1" t="str">
        <f t="shared" si="184"/>
        <v>Mikko Mansikkamäki (2)</v>
      </c>
      <c r="CH180" s="1" t="str">
        <f t="shared" si="185"/>
        <v>Jami Kallio</v>
      </c>
      <c r="CI180" s="1">
        <f t="shared" si="186"/>
        <v>0</v>
      </c>
      <c r="CJ180" s="1" t="str">
        <f ca="1">IF(B180="","",IF(SUM(AI180:AK180)&gt;0,"+SP","")&amp;IF(CI180&gt;0,"+KK","")&amp;IF(AB180&gt;0,"+KGP1","")&amp;IF(AC180&gt;0,"+KGP2","")&amp;IF(AG180&lt;0,"-KGP1","")&amp;IF(AH180&lt;0,"-KGP2",""))</f>
        <v/>
      </c>
    </row>
    <row r="181" spans="1:88" x14ac:dyDescent="0.25">
      <c r="A181" s="1">
        <f>IFERROR(IF(ROW(A180)=1,1,IF(1+A180&lt;=$CP$1*$CP$2,1+A180,"")),"")</f>
        <v>180</v>
      </c>
      <c r="B181" s="1">
        <f>IF($I181="","",IF(ROW(B180)=1,1,ROUNDUP(A181/$CP$2,0)))</f>
        <v>10</v>
      </c>
      <c r="C181" s="4">
        <f t="shared" si="132"/>
        <v>45732</v>
      </c>
      <c r="D181" s="4" t="str">
        <f t="shared" si="126"/>
        <v>Raision keilahalli</v>
      </c>
      <c r="E181" s="1">
        <f>IF($B181="","",COUNTIF($B$2:B181,B181))</f>
        <v>18</v>
      </c>
      <c r="F181" s="1" t="str">
        <f t="shared" si="127"/>
        <v>K2024GP10</v>
      </c>
      <c r="G181" s="1" t="str">
        <f t="shared" si="133"/>
        <v>K2024GP10_18</v>
      </c>
      <c r="H181" s="1">
        <f t="shared" si="134"/>
        <v>1</v>
      </c>
      <c r="I181" s="3" t="s">
        <v>135</v>
      </c>
      <c r="J181" s="3"/>
      <c r="K181" s="3"/>
      <c r="L181" s="1">
        <f t="shared" si="135"/>
        <v>0</v>
      </c>
      <c r="M181" s="1">
        <f t="shared" si="136"/>
        <v>0</v>
      </c>
      <c r="N181" s="1" t="str">
        <f t="shared" si="137"/>
        <v/>
      </c>
      <c r="O181" s="1" t="str">
        <f t="shared" si="138"/>
        <v/>
      </c>
      <c r="P181" s="1" t="str">
        <f t="shared" si="139"/>
        <v/>
      </c>
      <c r="Q181" s="1">
        <f t="array" ref="Q181">IF($B181="","",IF(MAX(IF(B181=$B$2:$B$313,$L$2:$L$313))-L181=0,"",MAX(IF(B181=$B$2:$B$313,$L$2:$L$313))-L181))</f>
        <v>313</v>
      </c>
      <c r="R181" s="1">
        <f t="array" ref="R181">IF($B181="","",SUMPRODUCT(--($B$2:$B$313=B181),--(L181&lt;$L$2:$L$313))+1)</f>
        <v>11</v>
      </c>
      <c r="S181" s="1">
        <f t="shared" si="140"/>
        <v>0</v>
      </c>
      <c r="T181" s="1" t="str" cm="1">
        <f t="array" ref="T181">IF($B181="","",IF(M181=0,"",SUMPRODUCT(--($B$2:$B$313=B181),--(J181&lt;$J$2:$J$313))+1))</f>
        <v/>
      </c>
      <c r="U181" s="1" t="str">
        <f t="shared" si="141"/>
        <v/>
      </c>
      <c r="V181" s="1" t="str">
        <f t="shared" si="142"/>
        <v>1011</v>
      </c>
      <c r="W181" s="1">
        <f t="shared" si="143"/>
        <v>8</v>
      </c>
      <c r="X181" s="1">
        <f t="shared" si="128"/>
        <v>0</v>
      </c>
      <c r="Y181" s="1">
        <f>IF($B181="","",MAX(_xlfn.MAXIFS($J$2:J181,$I$2:I181,$I181),_xlfn.MAXIFS($K$2:K181,$I$2:I181,$I181)))</f>
        <v>129</v>
      </c>
      <c r="Z181" s="1">
        <f t="shared" si="144"/>
        <v>166</v>
      </c>
      <c r="AA181" s="1">
        <f t="shared" si="145"/>
        <v>0</v>
      </c>
      <c r="AB181" s="1">
        <f t="shared" si="146"/>
        <v>0</v>
      </c>
      <c r="AC181" s="1">
        <f t="shared" si="147"/>
        <v>0</v>
      </c>
      <c r="AD181" s="1">
        <f>IF($B181="","",MIN(_xlfn.MINIFS($J$2:J181,$I$2:I181,$I181),_xlfn.MINIFS($K$2:K181,$I$2:I181,$I181)))</f>
        <v>84</v>
      </c>
      <c r="AE181" s="1">
        <f t="shared" si="148"/>
        <v>91</v>
      </c>
      <c r="AF181" s="1">
        <f t="shared" si="149"/>
        <v>0</v>
      </c>
      <c r="AG181" s="1">
        <f t="shared" si="150"/>
        <v>0</v>
      </c>
      <c r="AH181" s="1">
        <f t="shared" si="151"/>
        <v>0</v>
      </c>
      <c r="AI181" s="1">
        <f ca="1">IF($B181="","",IF($K181="",0,OFFSET($CO$17,R181,W181)))</f>
        <v>0</v>
      </c>
      <c r="AJ181" s="1">
        <f t="shared" ca="1" si="152"/>
        <v>0</v>
      </c>
      <c r="AK181" s="1">
        <f ca="1">IF(AJ181="","",IF(AJ181=0,0,IF(W181=1,0,SUM(OFFSET($CO$17,N181,1):OFFSET($CO$17,N181+W181-2,1))/W181)))</f>
        <v>0</v>
      </c>
      <c r="AL181" s="1">
        <f t="shared" si="153"/>
        <v>0</v>
      </c>
      <c r="AM181" s="1">
        <f ca="1">IF($B181="","",SUMIFS($AL$2:AL181,$I$2:I181,$I181))</f>
        <v>5</v>
      </c>
      <c r="AN181" s="1">
        <f t="shared" si="154"/>
        <v>11.00018</v>
      </c>
      <c r="AO181" s="1">
        <f>IFERROR(IF($B181="","",AVERAGEIFS($L$2:L181,$I$2:I181,I181,$L$2:L181,"&lt;&gt;0")),0)</f>
        <v>208.66666666666666</v>
      </c>
      <c r="AP181" s="1">
        <f t="shared" si="155"/>
        <v>104.33333333333333</v>
      </c>
      <c r="AQ181" s="1">
        <f>IF($B181="","",COUNTIFS($R$2:R181,1,$I$2:I181,$I181))</f>
        <v>0</v>
      </c>
      <c r="AR181" s="1">
        <f t="array" aca="1" ref="AR181" ca="1">IF($B181="","",SUMPRODUCT(--($B$2:$B$313=B181),--(AM181&lt;$AM$2:$AM$313))+1)</f>
        <v>17</v>
      </c>
      <c r="AS181" s="1">
        <f t="array" ref="AS181">IF($B181="","",SUMPRODUCT(--($B$2:$B$313=B181),--(AP181&lt;$AP$2:$AP$313))+1)</f>
        <v>18</v>
      </c>
      <c r="AT181" s="1">
        <f t="array" ref="AT181">IF($B181="","",SUMPRODUCT(--($B$2:$B$313=B181),--(AQ181&lt;$AQ$2:$AQ$313))+1)</f>
        <v>8</v>
      </c>
      <c r="AU181" s="1">
        <f t="shared" si="156"/>
        <v>1.8E-7</v>
      </c>
      <c r="AV181" s="1">
        <f t="shared" ca="1" si="157"/>
        <v>0.17180818</v>
      </c>
      <c r="AW181" s="1">
        <f t="shared" ca="1" si="129"/>
        <v>0.17180818</v>
      </c>
      <c r="AX181" s="1">
        <f t="shared" ca="1" si="158"/>
        <v>17</v>
      </c>
      <c r="AY181" s="8">
        <f t="shared" ca="1" si="159"/>
        <v>0.17180818</v>
      </c>
      <c r="AZ181" s="1" cm="1">
        <f t="array" aca="1" ref="AZ181" ca="1">IF($B181="","",SUMPRODUCT(--($B$2:$B$313=B181),--(AY181&gt;$AY$2:$AY$313))+1)</f>
        <v>17</v>
      </c>
      <c r="BA181" s="1" t="str">
        <f t="shared" si="160"/>
        <v>K2024GP10_18_1</v>
      </c>
      <c r="BB181" s="1" t="str">
        <f t="shared" si="161"/>
        <v>K2024GP10_18_2</v>
      </c>
      <c r="BC181" s="1">
        <f t="shared" si="162"/>
        <v>0</v>
      </c>
      <c r="BD181" s="1">
        <f t="shared" si="163"/>
        <v>0</v>
      </c>
      <c r="BE181" s="1">
        <f t="shared" si="164"/>
        <v>1</v>
      </c>
      <c r="BF181" s="1">
        <f t="shared" si="165"/>
        <v>0</v>
      </c>
      <c r="BG181" s="1">
        <f t="shared" si="166"/>
        <v>0</v>
      </c>
      <c r="BH181" s="1">
        <f t="shared" si="167"/>
        <v>11</v>
      </c>
      <c r="BI181" s="1">
        <f t="shared" si="168"/>
        <v>11</v>
      </c>
      <c r="BJ181" s="1">
        <f t="shared" si="169"/>
        <v>0.1111</v>
      </c>
      <c r="BK181" s="1" t="str">
        <f t="shared" si="170"/>
        <v/>
      </c>
      <c r="BL181" s="1">
        <f t="shared" si="171"/>
        <v>9.8999999999999994E-5</v>
      </c>
      <c r="BM181" s="1">
        <f t="shared" si="172"/>
        <v>0.1112171</v>
      </c>
      <c r="BN181" s="1" t="str">
        <f t="shared" si="173"/>
        <v/>
      </c>
      <c r="BO181" s="1">
        <f t="shared" si="130"/>
        <v>18</v>
      </c>
      <c r="BP181" s="1">
        <f t="shared" si="131"/>
        <v>0</v>
      </c>
      <c r="BQ181" s="1" t="str" cm="1">
        <f t="array" ref="BQ181">IF(I181="","",IF(BP181=1,"",IF(L181=0,"",IF(B181=1,"",_xlfn.XLOOKUP(1,($I$2:$I$313=$I181)*($B$2:$B$313=($B181-1)),$BO$2:$BO$313)))))</f>
        <v/>
      </c>
      <c r="BR181" s="1">
        <f>IF(I181="","",IF($B181=1,_xlfn.MINIFS($BO$2:$BO$313,$B$2:$B$313,$B181),_xlfn.MINIFS(BQ$2:$BQ$313,$B$2:$B$313,$B181)))</f>
        <v>1</v>
      </c>
      <c r="BS181" s="1">
        <f t="shared" si="174"/>
        <v>2</v>
      </c>
      <c r="BT181" s="1" t="str" cm="1">
        <f t="array" ref="BT181">IF($I181="","",IF($B181=1,_xlfn.XLOOKUP(1,($B$2:$B$313=$B181)*($BO$2:$BO$313=BR181),Data!$I$2:$I$313,,0),_xlfn.XLOOKUP(1,($B$2:$B$313=$B181)*($BQ$2:$BQ$313=$BR181),$I$2:$I$313,,0)))</f>
        <v>Jami Kallio</v>
      </c>
      <c r="BU181" s="1" t="str" cm="1">
        <f t="array" ref="BU181">IF(I181="","",IF($B181=1,_xlfn.XLOOKUP(1,($B$2:$B$313=$B181)*($BO$2:$BO$313=$BS181),$I$2:$I$313,,0),_xlfn.XLOOKUP(1,($B$2:$B$313=$B181)*($BQ$2:$BQ$313=$BS181),$I$2:$I$313,,0)))</f>
        <v>Mikko Mansikkamäki</v>
      </c>
      <c r="BV181" s="1" t="str" cm="1">
        <f t="array" ref="BV181">IF($I181="","",IF($B181=1,"",IF($B181=2,_xlfn.XLOOKUP(1,($B$2:$B$313=1)*($BO$2:$BO$313=1),$I$2:$I$313,,0),_xlfn.XLOOKUP($B181-1,$B$2:$B$313,$CH$2:$CH$313,,0))))</f>
        <v>Jami Kallio</v>
      </c>
      <c r="BW181" s="1" t="str" cm="1">
        <f t="array" ref="BW181">IF($I181="","",IF($B181=1,"",IF(_xlfn.XLOOKUP(1,($B$2:$B$313=$B181)*($I$2:$I$313=$BV181),$BQ$2:$BQ$313,,0)="","NOK","OK")))</f>
        <v>OK</v>
      </c>
      <c r="BX181" s="1" t="str">
        <f t="shared" si="175"/>
        <v>Jami Kallio</v>
      </c>
      <c r="BY181" s="1" t="str">
        <f t="shared" si="176"/>
        <v>Mikko Mansikkamäki</v>
      </c>
      <c r="BZ181" s="1">
        <f t="shared" si="177"/>
        <v>145</v>
      </c>
      <c r="CA181" s="1">
        <f t="shared" si="178"/>
        <v>132</v>
      </c>
      <c r="CB181" s="1">
        <f t="shared" si="179"/>
        <v>9.8999999999999994E-5</v>
      </c>
      <c r="CC181" s="1">
        <f t="shared" si="180"/>
        <v>137</v>
      </c>
      <c r="CD181" s="1">
        <f t="shared" si="181"/>
        <v>127</v>
      </c>
      <c r="CE181" s="1">
        <f t="shared" si="182"/>
        <v>9.8999999999999994E-5</v>
      </c>
      <c r="CF181" s="1" t="str">
        <f t="shared" si="183"/>
        <v>Jami Kallio (P)</v>
      </c>
      <c r="CG181" s="1" t="str">
        <f t="shared" si="184"/>
        <v>Mikko Mansikkamäki (2)</v>
      </c>
      <c r="CH181" s="1" t="str">
        <f t="shared" si="185"/>
        <v>Jami Kallio</v>
      </c>
      <c r="CI181" s="1">
        <f t="shared" si="186"/>
        <v>0</v>
      </c>
      <c r="CJ181" s="1" t="str">
        <f ca="1">IF(B181="","",IF(SUM(AI181:AK181)&gt;0,"+SP","")&amp;IF(CI181&gt;0,"+KK","")&amp;IF(AB181&gt;0,"+KGP1","")&amp;IF(AC181&gt;0,"+KGP2","")&amp;IF(AG181&lt;0,"-KGP1","")&amp;IF(AH181&lt;0,"-KGP2",""))</f>
        <v/>
      </c>
    </row>
    <row r="182" spans="1:88" x14ac:dyDescent="0.25">
      <c r="A182" s="1">
        <f>IFERROR(IF(ROW(A181)=1,1,IF(1+A181&lt;=$CP$1*$CP$2,1+A181,"")),"")</f>
        <v>181</v>
      </c>
      <c r="B182" s="1" t="str">
        <f>IF($I182="","",IF(ROW(B181)=1,1,ROUNDUP(A182/$CP$2,0)))</f>
        <v/>
      </c>
      <c r="C182" s="4" t="str">
        <f t="shared" si="132"/>
        <v/>
      </c>
      <c r="D182" s="4" t="str">
        <f t="shared" si="126"/>
        <v/>
      </c>
      <c r="E182" s="1" t="str">
        <f>IF($B182="","",COUNTIF($B$2:B182,B182))</f>
        <v/>
      </c>
      <c r="F182" s="1" t="str">
        <f t="shared" si="127"/>
        <v/>
      </c>
      <c r="G182" s="1" t="str">
        <f t="shared" si="133"/>
        <v/>
      </c>
      <c r="H182" s="1">
        <f t="shared" si="134"/>
        <v>0</v>
      </c>
      <c r="I182" s="3"/>
      <c r="J182" s="3"/>
      <c r="K182" s="3"/>
      <c r="L182" s="1" t="str">
        <f t="shared" si="135"/>
        <v/>
      </c>
      <c r="M182" s="1" t="str">
        <f t="shared" si="136"/>
        <v/>
      </c>
      <c r="N182" s="1" t="str">
        <f t="shared" si="137"/>
        <v/>
      </c>
      <c r="O182" s="1" t="str">
        <f t="shared" si="138"/>
        <v/>
      </c>
      <c r="P182" s="1" t="str">
        <f t="shared" si="139"/>
        <v/>
      </c>
      <c r="Q182" s="1" t="str">
        <f t="array" ref="Q182">IF($B182="","",IF(MAX(IF(B182=$B$2:$B$313,$L$2:$L$313))-L182=0,"",MAX(IF(B182=$B$2:$B$313,$L$2:$L$313))-L182))</f>
        <v/>
      </c>
      <c r="R182" s="1" t="str">
        <f t="array" ref="R182">IF($B182="","",SUMPRODUCT(--($B$2:$B$313=B182),--(L182&lt;$L$2:$L$313))+1)</f>
        <v/>
      </c>
      <c r="S182" s="1" t="str">
        <f t="shared" si="140"/>
        <v/>
      </c>
      <c r="T182" s="1" t="str" cm="1">
        <f t="array" ref="T182">IF($B182="","",IF(M182=0,"",SUMPRODUCT(--($B$2:$B$313=B182),--(J182&lt;$J$2:$J$313))+1))</f>
        <v/>
      </c>
      <c r="U182" s="1" t="str">
        <f t="shared" si="141"/>
        <v/>
      </c>
      <c r="V182" s="1" t="str">
        <f t="shared" si="142"/>
        <v/>
      </c>
      <c r="W182" s="1" t="str">
        <f t="shared" si="143"/>
        <v/>
      </c>
      <c r="X182" s="1" t="str">
        <f t="shared" si="128"/>
        <v/>
      </c>
      <c r="Y182" s="1" t="str">
        <f>IF($B182="","",MAX(_xlfn.MAXIFS($J$2:J182,$I$2:I182,$I182),_xlfn.MAXIFS($K$2:K182,$I$2:I182,$I182)))</f>
        <v/>
      </c>
      <c r="Z182" s="1" t="str">
        <f t="shared" si="144"/>
        <v/>
      </c>
      <c r="AA182" s="1" t="str">
        <f t="shared" si="145"/>
        <v/>
      </c>
      <c r="AB182" s="1" t="str">
        <f t="shared" si="146"/>
        <v/>
      </c>
      <c r="AC182" s="1" t="str">
        <f t="shared" si="147"/>
        <v/>
      </c>
      <c r="AD182" s="1" t="str">
        <f>IF($B182="","",MIN(_xlfn.MINIFS($J$2:J182,$I$2:I182,$I182),_xlfn.MINIFS($K$2:K182,$I$2:I182,$I182)))</f>
        <v/>
      </c>
      <c r="AE182" s="1" t="str">
        <f t="shared" si="148"/>
        <v/>
      </c>
      <c r="AF182" s="1" t="str">
        <f t="shared" si="149"/>
        <v/>
      </c>
      <c r="AG182" s="1" t="str">
        <f t="shared" si="150"/>
        <v/>
      </c>
      <c r="AH182" s="1" t="str">
        <f t="shared" si="151"/>
        <v/>
      </c>
      <c r="AI182" s="1" t="str">
        <f ca="1">IF($B182="","",IF($K182="",0,OFFSET($CO$17,R182,W182)))</f>
        <v/>
      </c>
      <c r="AJ182" s="1" t="str">
        <f t="shared" ca="1" si="152"/>
        <v/>
      </c>
      <c r="AK182" s="1" t="str">
        <f ca="1">IF(AJ182="","",IF(AJ182=0,0,IF(W182=1,0,SUM(OFFSET($CO$17,N182,1):OFFSET($CO$17,N182+W182-2,1))/W182)))</f>
        <v/>
      </c>
      <c r="AL182" s="1" t="str">
        <f t="shared" si="153"/>
        <v/>
      </c>
      <c r="AM182" s="1" t="str">
        <f>IF($B182="","",SUMIFS($AL$2:AL182,$I$2:I182,$I182))</f>
        <v/>
      </c>
      <c r="AN182" s="1" t="str">
        <f t="shared" si="154"/>
        <v/>
      </c>
      <c r="AO182" s="1" t="str">
        <f>IFERROR(IF($B182="","",AVERAGEIFS($L$2:L182,$I$2:I182,I182,$L$2:L182,"&lt;&gt;0")),0)</f>
        <v/>
      </c>
      <c r="AP182" s="1" t="str">
        <f t="shared" si="155"/>
        <v/>
      </c>
      <c r="AQ182" s="1" t="str">
        <f>IF($B182="","",COUNTIFS($R$2:R182,1,$I$2:I182,$I182))</f>
        <v/>
      </c>
      <c r="AR182" s="1" t="str">
        <f t="array" ref="AR182">IF($B182="","",SUMPRODUCT(--($B$2:$B$313=B182),--(AM182&lt;$AM$2:$AM$313))+1)</f>
        <v/>
      </c>
      <c r="AS182" s="1" t="str">
        <f t="array" ref="AS182">IF($B182="","",SUMPRODUCT(--($B$2:$B$313=B182),--(AP182&lt;$AP$2:$AP$313))+1)</f>
        <v/>
      </c>
      <c r="AT182" s="1" t="str">
        <f t="array" ref="AT182">IF($B182="","",SUMPRODUCT(--($B$2:$B$313=B182),--(AQ182&lt;$AQ$2:$AQ$313))+1)</f>
        <v/>
      </c>
      <c r="AU182" s="1" t="str">
        <f t="shared" si="156"/>
        <v/>
      </c>
      <c r="AV182" s="1" t="str">
        <f t="shared" si="157"/>
        <v/>
      </c>
      <c r="AW182" s="1" t="str">
        <f t="shared" si="129"/>
        <v/>
      </c>
      <c r="AX182" s="1" t="str">
        <f t="shared" si="158"/>
        <v/>
      </c>
      <c r="AY182" s="8" t="str">
        <f t="shared" si="159"/>
        <v/>
      </c>
      <c r="AZ182" s="1" t="str" cm="1">
        <f t="array" ref="AZ182">IF($B182="","",SUMPRODUCT(--($B$2:$B$313=B182),--(AY182&gt;$AY$2:$AY$313))+1)</f>
        <v/>
      </c>
      <c r="BA182" s="1" t="str">
        <f t="shared" si="160"/>
        <v/>
      </c>
      <c r="BB182" s="1" t="str">
        <f t="shared" si="161"/>
        <v/>
      </c>
      <c r="BC182" s="1" t="str">
        <f t="shared" si="162"/>
        <v/>
      </c>
      <c r="BD182" s="1" t="str">
        <f t="shared" si="163"/>
        <v/>
      </c>
      <c r="BE182" s="1" t="str">
        <f t="shared" si="164"/>
        <v/>
      </c>
      <c r="BF182" s="1" t="str">
        <f t="shared" si="165"/>
        <v/>
      </c>
      <c r="BG182" s="1" t="str">
        <f t="shared" si="166"/>
        <v/>
      </c>
      <c r="BH182" s="1" t="str">
        <f t="shared" si="167"/>
        <v/>
      </c>
      <c r="BI182" s="1" t="str">
        <f t="shared" si="168"/>
        <v/>
      </c>
      <c r="BJ182" s="1" t="str">
        <f t="shared" si="169"/>
        <v/>
      </c>
      <c r="BK182" s="1" t="str">
        <f t="shared" si="170"/>
        <v/>
      </c>
      <c r="BL182" s="1" t="str">
        <f t="shared" si="171"/>
        <v/>
      </c>
      <c r="BM182" s="1" t="str">
        <f t="shared" si="172"/>
        <v/>
      </c>
      <c r="BN182" s="1" t="str">
        <f t="shared" si="173"/>
        <v/>
      </c>
      <c r="BO182" s="1" t="str">
        <f t="shared" si="130"/>
        <v/>
      </c>
      <c r="BP182" s="1" t="str">
        <f t="shared" si="131"/>
        <v/>
      </c>
      <c r="BQ182" s="1" t="str" cm="1">
        <f t="array" ref="BQ182">IF(I182="","",IF(BP182=1,"",IF(L182=0,"",IF(B182=1,"",_xlfn.XLOOKUP(1,($I$2:$I$313=$I182)*($B$2:$B$313=($B182-1)),$BO$2:$BO$313)))))</f>
        <v/>
      </c>
      <c r="BR182" s="1" t="str">
        <f>IF(I182="","",IF($B182=1,_xlfn.MINIFS($BO$2:$BO$313,$B$2:$B$313,$B182),_xlfn.MINIFS(BQ$2:$BQ$313,$B$2:$B$313,$B182)))</f>
        <v/>
      </c>
      <c r="BS182" s="1" t="str">
        <f t="shared" si="174"/>
        <v/>
      </c>
      <c r="BT182" s="1" t="str" cm="1">
        <f t="array" ref="BT182">IF($I182="","",IF($B182=1,_xlfn.XLOOKUP(1,($B$2:$B$313=$B182)*($BO$2:$BO$313=BR182),Data!$I$2:$I$313,,0),_xlfn.XLOOKUP(1,($B$2:$B$313=$B182)*($BQ$2:$BQ$313=$BR182),$I$2:$I$313,,0)))</f>
        <v/>
      </c>
      <c r="BU182" s="1" t="str" cm="1">
        <f t="array" ref="BU182">IF(I182="","",IF($B182=1,_xlfn.XLOOKUP(1,($B$2:$B$313=$B182)*($BO$2:$BO$313=$BS182),$I$2:$I$313,,0),_xlfn.XLOOKUP(1,($B$2:$B$313=$B182)*($BQ$2:$BQ$313=$BS182),$I$2:$I$313,,0)))</f>
        <v/>
      </c>
      <c r="BV182" s="1" t="str" cm="1">
        <f t="array" ref="BV182">IF($I182="","",IF($B182=1,"",IF($B182=2,_xlfn.XLOOKUP(1,($B$2:$B$313=1)*($BO$2:$BO$313=1),$I$2:$I$313,,0),_xlfn.XLOOKUP($B182-1,$B$2:$B$313,$CH$2:$CH$313,,0))))</f>
        <v/>
      </c>
      <c r="BW182" s="1" t="str" cm="1">
        <f t="array" ref="BW182">IF($I182="","",IF($B182=1,"",IF(_xlfn.XLOOKUP(1,($B$2:$B$313=$B182)*($I$2:$I$313=$BV182),$BQ$2:$BQ$313,,0)="","NOK","OK")))</f>
        <v/>
      </c>
      <c r="BX182" s="1" t="str">
        <f t="shared" si="175"/>
        <v/>
      </c>
      <c r="BY182" s="1" t="str">
        <f t="shared" si="176"/>
        <v/>
      </c>
      <c r="BZ182" s="1" t="str">
        <f t="shared" si="177"/>
        <v/>
      </c>
      <c r="CA182" s="1" t="str">
        <f t="shared" si="178"/>
        <v/>
      </c>
      <c r="CB182" s="1" t="str">
        <f t="shared" si="179"/>
        <v/>
      </c>
      <c r="CC182" s="1" t="str">
        <f t="shared" si="180"/>
        <v/>
      </c>
      <c r="CD182" s="1" t="str">
        <f t="shared" si="181"/>
        <v/>
      </c>
      <c r="CE182" s="1" t="str">
        <f t="shared" si="182"/>
        <v/>
      </c>
      <c r="CF182" s="1" t="str">
        <f t="shared" si="183"/>
        <v/>
      </c>
      <c r="CG182" s="1" t="str">
        <f t="shared" si="184"/>
        <v/>
      </c>
      <c r="CH182" s="1" t="str">
        <f t="shared" si="185"/>
        <v/>
      </c>
      <c r="CI182" s="1" t="str">
        <f t="shared" si="186"/>
        <v/>
      </c>
      <c r="CJ182" s="1" t="str">
        <f>IF(B182="","",IF(SUM(AI182:AK182)&gt;0,"+SP","")&amp;IF(CI182&gt;0,"+KK","")&amp;IF(AB182&gt;0,"+KGP1","")&amp;IF(AC182&gt;0,"+KGP2","")&amp;IF(AG182&lt;0,"-KGP1","")&amp;IF(AH182&lt;0,"-KGP2",""))</f>
        <v/>
      </c>
    </row>
    <row r="183" spans="1:88" x14ac:dyDescent="0.25">
      <c r="A183" s="1">
        <f>IFERROR(IF(ROW(A182)=1,1,IF(1+A182&lt;=$CP$1*$CP$2,1+A182,"")),"")</f>
        <v>182</v>
      </c>
      <c r="B183" s="1" t="str">
        <f>IF($I183="","",IF(ROW(B182)=1,1,ROUNDUP(A183/$CP$2,0)))</f>
        <v/>
      </c>
      <c r="C183" s="4" t="str">
        <f t="shared" si="132"/>
        <v/>
      </c>
      <c r="D183" s="4" t="str">
        <f t="shared" si="126"/>
        <v/>
      </c>
      <c r="E183" s="1" t="str">
        <f>IF($B183="","",COUNTIF($B$2:B183,B183))</f>
        <v/>
      </c>
      <c r="F183" s="1" t="str">
        <f t="shared" si="127"/>
        <v/>
      </c>
      <c r="G183" s="1" t="str">
        <f t="shared" si="133"/>
        <v/>
      </c>
      <c r="H183" s="1">
        <f t="shared" si="134"/>
        <v>0</v>
      </c>
      <c r="I183" s="3"/>
      <c r="J183" s="3"/>
      <c r="K183" s="3"/>
      <c r="L183" s="1" t="str">
        <f t="shared" si="135"/>
        <v/>
      </c>
      <c r="M183" s="1" t="str">
        <f t="shared" si="136"/>
        <v/>
      </c>
      <c r="N183" s="1" t="str">
        <f t="shared" si="137"/>
        <v/>
      </c>
      <c r="O183" s="1" t="str">
        <f t="shared" si="138"/>
        <v/>
      </c>
      <c r="P183" s="1" t="str">
        <f t="shared" si="139"/>
        <v/>
      </c>
      <c r="Q183" s="1" t="str">
        <f t="array" ref="Q183">IF($B183="","",IF(MAX(IF(B183=$B$2:$B$313,$L$2:$L$313))-L183=0,"",MAX(IF(B183=$B$2:$B$313,$L$2:$L$313))-L183))</f>
        <v/>
      </c>
      <c r="R183" s="1" t="str">
        <f t="array" ref="R183">IF($B183="","",SUMPRODUCT(--($B$2:$B$313=B183),--(L183&lt;$L$2:$L$313))+1)</f>
        <v/>
      </c>
      <c r="S183" s="1" t="str">
        <f t="shared" si="140"/>
        <v/>
      </c>
      <c r="T183" s="1" t="str" cm="1">
        <f t="array" ref="T183">IF($B183="","",IF(M183=0,"",SUMPRODUCT(--($B$2:$B$313=B183),--(J183&lt;$J$2:$J$313))+1))</f>
        <v/>
      </c>
      <c r="U183" s="1" t="str">
        <f t="shared" si="141"/>
        <v/>
      </c>
      <c r="V183" s="1" t="str">
        <f t="shared" si="142"/>
        <v/>
      </c>
      <c r="W183" s="1" t="str">
        <f t="shared" si="143"/>
        <v/>
      </c>
      <c r="X183" s="1" t="str">
        <f t="shared" si="128"/>
        <v/>
      </c>
      <c r="Y183" s="1" t="str">
        <f>IF($B183="","",MAX(_xlfn.MAXIFS($J$2:J183,$I$2:I183,$I183),_xlfn.MAXIFS($K$2:K183,$I$2:I183,$I183)))</f>
        <v/>
      </c>
      <c r="Z183" s="1" t="str">
        <f t="shared" si="144"/>
        <v/>
      </c>
      <c r="AA183" s="1" t="str">
        <f t="shared" si="145"/>
        <v/>
      </c>
      <c r="AB183" s="1" t="str">
        <f t="shared" si="146"/>
        <v/>
      </c>
      <c r="AC183" s="1" t="str">
        <f t="shared" si="147"/>
        <v/>
      </c>
      <c r="AD183" s="1" t="str">
        <f>IF($B183="","",MIN(_xlfn.MINIFS($J$2:J183,$I$2:I183,$I183),_xlfn.MINIFS($K$2:K183,$I$2:I183,$I183)))</f>
        <v/>
      </c>
      <c r="AE183" s="1" t="str">
        <f t="shared" si="148"/>
        <v/>
      </c>
      <c r="AF183" s="1" t="str">
        <f t="shared" si="149"/>
        <v/>
      </c>
      <c r="AG183" s="1" t="str">
        <f t="shared" si="150"/>
        <v/>
      </c>
      <c r="AH183" s="1" t="str">
        <f t="shared" si="151"/>
        <v/>
      </c>
      <c r="AI183" s="1" t="str">
        <f ca="1">IF($B183="","",IF($K183="",0,OFFSET($CO$17,R183,W183)))</f>
        <v/>
      </c>
      <c r="AJ183" s="1" t="str">
        <f t="shared" ca="1" si="152"/>
        <v/>
      </c>
      <c r="AK183" s="1" t="str">
        <f ca="1">IF(AJ183="","",IF(AJ183=0,0,IF(W183=1,0,SUM(OFFSET($CO$17,N183,1):OFFSET($CO$17,N183+W183-2,1))/W183)))</f>
        <v/>
      </c>
      <c r="AL183" s="1" t="str">
        <f t="shared" si="153"/>
        <v/>
      </c>
      <c r="AM183" s="1" t="str">
        <f>IF($B183="","",SUMIFS($AL$2:AL183,$I$2:I183,$I183))</f>
        <v/>
      </c>
      <c r="AN183" s="1" t="str">
        <f t="shared" si="154"/>
        <v/>
      </c>
      <c r="AO183" s="1" t="str">
        <f>IFERROR(IF($B183="","",AVERAGEIFS($L$2:L183,$I$2:I183,I183,$L$2:L183,"&lt;&gt;0")),0)</f>
        <v/>
      </c>
      <c r="AP183" s="1" t="str">
        <f t="shared" si="155"/>
        <v/>
      </c>
      <c r="AQ183" s="1" t="str">
        <f>IF($B183="","",COUNTIFS($R$2:R183,1,$I$2:I183,$I183))</f>
        <v/>
      </c>
      <c r="AR183" s="1" t="str">
        <f t="array" ref="AR183">IF($B183="","",SUMPRODUCT(--($B$2:$B$313=B183),--(AM183&lt;$AM$2:$AM$313))+1)</f>
        <v/>
      </c>
      <c r="AS183" s="1" t="str">
        <f t="array" ref="AS183">IF($B183="","",SUMPRODUCT(--($B$2:$B$313=B183),--(AP183&lt;$AP$2:$AP$313))+1)</f>
        <v/>
      </c>
      <c r="AT183" s="1" t="str">
        <f t="array" ref="AT183">IF($B183="","",SUMPRODUCT(--($B$2:$B$313=B183),--(AQ183&lt;$AQ$2:$AQ$313))+1)</f>
        <v/>
      </c>
      <c r="AU183" s="1" t="str">
        <f t="shared" si="156"/>
        <v/>
      </c>
      <c r="AV183" s="1" t="str">
        <f t="shared" si="157"/>
        <v/>
      </c>
      <c r="AW183" s="1" t="str">
        <f t="shared" si="129"/>
        <v/>
      </c>
      <c r="AX183" s="1" t="str">
        <f t="shared" si="158"/>
        <v/>
      </c>
      <c r="AY183" s="8" t="str">
        <f t="shared" si="159"/>
        <v/>
      </c>
      <c r="AZ183" s="1" t="str" cm="1">
        <f t="array" ref="AZ183">IF($B183="","",SUMPRODUCT(--($B$2:$B$313=B183),--(AY183&gt;$AY$2:$AY$313))+1)</f>
        <v/>
      </c>
      <c r="BA183" s="1" t="str">
        <f t="shared" si="160"/>
        <v/>
      </c>
      <c r="BB183" s="1" t="str">
        <f t="shared" si="161"/>
        <v/>
      </c>
      <c r="BC183" s="1" t="str">
        <f t="shared" si="162"/>
        <v/>
      </c>
      <c r="BD183" s="1" t="str">
        <f t="shared" si="163"/>
        <v/>
      </c>
      <c r="BE183" s="1" t="str">
        <f t="shared" si="164"/>
        <v/>
      </c>
      <c r="BF183" s="1" t="str">
        <f t="shared" si="165"/>
        <v/>
      </c>
      <c r="BG183" s="1" t="str">
        <f t="shared" si="166"/>
        <v/>
      </c>
      <c r="BH183" s="1" t="str">
        <f t="shared" si="167"/>
        <v/>
      </c>
      <c r="BI183" s="1" t="str">
        <f t="shared" si="168"/>
        <v/>
      </c>
      <c r="BJ183" s="1" t="str">
        <f t="shared" si="169"/>
        <v/>
      </c>
      <c r="BK183" s="1" t="str">
        <f t="shared" si="170"/>
        <v/>
      </c>
      <c r="BL183" s="1" t="str">
        <f t="shared" si="171"/>
        <v/>
      </c>
      <c r="BM183" s="1" t="str">
        <f t="shared" si="172"/>
        <v/>
      </c>
      <c r="BN183" s="1" t="str">
        <f t="shared" si="173"/>
        <v/>
      </c>
      <c r="BO183" s="1" t="str">
        <f t="shared" si="130"/>
        <v/>
      </c>
      <c r="BP183" s="1" t="str">
        <f t="shared" si="131"/>
        <v/>
      </c>
      <c r="BQ183" s="1" t="str" cm="1">
        <f t="array" ref="BQ183">IF(I183="","",IF(BP183=1,"",IF(L183=0,"",IF(B183=1,"",_xlfn.XLOOKUP(1,($I$2:$I$313=$I183)*($B$2:$B$313=($B183-1)),$BO$2:$BO$313)))))</f>
        <v/>
      </c>
      <c r="BR183" s="1" t="str">
        <f>IF(I183="","",IF($B183=1,_xlfn.MINIFS($BO$2:$BO$313,$B$2:$B$313,$B183),_xlfn.MINIFS(BQ$2:$BQ$313,$B$2:$B$313,$B183)))</f>
        <v/>
      </c>
      <c r="BS183" s="1" t="str">
        <f t="shared" si="174"/>
        <v/>
      </c>
      <c r="BT183" s="1" t="str" cm="1">
        <f t="array" ref="BT183">IF($I183="","",IF($B183=1,_xlfn.XLOOKUP(1,($B$2:$B$313=$B183)*($BO$2:$BO$313=BR183),Data!$I$2:$I$313,,0),_xlfn.XLOOKUP(1,($B$2:$B$313=$B183)*($BQ$2:$BQ$313=$BR183),$I$2:$I$313,,0)))</f>
        <v/>
      </c>
      <c r="BU183" s="1" t="str" cm="1">
        <f t="array" ref="BU183">IF(I183="","",IF($B183=1,_xlfn.XLOOKUP(1,($B$2:$B$313=$B183)*($BO$2:$BO$313=$BS183),$I$2:$I$313,,0),_xlfn.XLOOKUP(1,($B$2:$B$313=$B183)*($BQ$2:$BQ$313=$BS183),$I$2:$I$313,,0)))</f>
        <v/>
      </c>
      <c r="BV183" s="1" t="str" cm="1">
        <f t="array" ref="BV183">IF($I183="","",IF($B183=1,"",IF($B183=2,_xlfn.XLOOKUP(1,($B$2:$B$313=1)*($BO$2:$BO$313=1),$I$2:$I$313,,0),_xlfn.XLOOKUP($B183-1,$B$2:$B$313,$CH$2:$CH$313,,0))))</f>
        <v/>
      </c>
      <c r="BW183" s="1" t="str" cm="1">
        <f t="array" ref="BW183">IF($I183="","",IF($B183=1,"",IF(_xlfn.XLOOKUP(1,($B$2:$B$313=$B183)*($I$2:$I$313=$BV183),$BQ$2:$BQ$313,,0)="","NOK","OK")))</f>
        <v/>
      </c>
      <c r="BX183" s="1" t="str">
        <f t="shared" si="175"/>
        <v/>
      </c>
      <c r="BY183" s="1" t="str">
        <f t="shared" si="176"/>
        <v/>
      </c>
      <c r="BZ183" s="1" t="str">
        <f t="shared" si="177"/>
        <v/>
      </c>
      <c r="CA183" s="1" t="str">
        <f t="shared" si="178"/>
        <v/>
      </c>
      <c r="CB183" s="1" t="str">
        <f t="shared" si="179"/>
        <v/>
      </c>
      <c r="CC183" s="1" t="str">
        <f t="shared" si="180"/>
        <v/>
      </c>
      <c r="CD183" s="1" t="str">
        <f t="shared" si="181"/>
        <v/>
      </c>
      <c r="CE183" s="1" t="str">
        <f t="shared" si="182"/>
        <v/>
      </c>
      <c r="CF183" s="1" t="str">
        <f t="shared" si="183"/>
        <v/>
      </c>
      <c r="CG183" s="1" t="str">
        <f t="shared" si="184"/>
        <v/>
      </c>
      <c r="CH183" s="1" t="str">
        <f t="shared" si="185"/>
        <v/>
      </c>
      <c r="CI183" s="1" t="str">
        <f t="shared" si="186"/>
        <v/>
      </c>
      <c r="CJ183" s="1" t="str">
        <f>IF(B183="","",IF(SUM(AI183:AK183)&gt;0,"+SP","")&amp;IF(CI183&gt;0,"+KK","")&amp;IF(AB183&gt;0,"+KGP1","")&amp;IF(AC183&gt;0,"+KGP2","")&amp;IF(AG183&lt;0,"-KGP1","")&amp;IF(AH183&lt;0,"-KGP2",""))</f>
        <v/>
      </c>
    </row>
    <row r="184" spans="1:88" x14ac:dyDescent="0.25">
      <c r="A184" s="1">
        <f>IFERROR(IF(ROW(A183)=1,1,IF(1+A183&lt;=$CP$1*$CP$2,1+A183,"")),"")</f>
        <v>183</v>
      </c>
      <c r="B184" s="1" t="str">
        <f>IF($I184="","",IF(ROW(B183)=1,1,ROUNDUP(A184/$CP$2,0)))</f>
        <v/>
      </c>
      <c r="C184" s="4" t="str">
        <f t="shared" si="132"/>
        <v/>
      </c>
      <c r="D184" s="4" t="str">
        <f t="shared" si="126"/>
        <v/>
      </c>
      <c r="E184" s="1" t="str">
        <f>IF($B184="","",COUNTIF($B$2:B184,B184))</f>
        <v/>
      </c>
      <c r="F184" s="1" t="str">
        <f t="shared" si="127"/>
        <v/>
      </c>
      <c r="G184" s="1" t="str">
        <f t="shared" si="133"/>
        <v/>
      </c>
      <c r="H184" s="1">
        <f t="shared" si="134"/>
        <v>0</v>
      </c>
      <c r="I184" s="3"/>
      <c r="J184" s="3"/>
      <c r="K184" s="3"/>
      <c r="L184" s="1" t="str">
        <f t="shared" si="135"/>
        <v/>
      </c>
      <c r="M184" s="1" t="str">
        <f t="shared" si="136"/>
        <v/>
      </c>
      <c r="N184" s="1" t="str">
        <f t="shared" si="137"/>
        <v/>
      </c>
      <c r="O184" s="1" t="str">
        <f t="shared" si="138"/>
        <v/>
      </c>
      <c r="P184" s="1" t="str">
        <f t="shared" si="139"/>
        <v/>
      </c>
      <c r="Q184" s="1" t="str">
        <f t="array" ref="Q184">IF($B184="","",IF(MAX(IF(B184=$B$2:$B$313,$L$2:$L$313))-L184=0,"",MAX(IF(B184=$B$2:$B$313,$L$2:$L$313))-L184))</f>
        <v/>
      </c>
      <c r="R184" s="1" t="str">
        <f t="array" ref="R184">IF($B184="","",SUMPRODUCT(--($B$2:$B$313=B184),--(L184&lt;$L$2:$L$313))+1)</f>
        <v/>
      </c>
      <c r="S184" s="1" t="str">
        <f t="shared" si="140"/>
        <v/>
      </c>
      <c r="T184" s="1" t="str" cm="1">
        <f t="array" ref="T184">IF($B184="","",IF(M184=0,"",SUMPRODUCT(--($B$2:$B$313=B184),--(J184&lt;$J$2:$J$313))+1))</f>
        <v/>
      </c>
      <c r="U184" s="1" t="str">
        <f t="shared" si="141"/>
        <v/>
      </c>
      <c r="V184" s="1" t="str">
        <f t="shared" si="142"/>
        <v/>
      </c>
      <c r="W184" s="1" t="str">
        <f t="shared" si="143"/>
        <v/>
      </c>
      <c r="X184" s="1" t="str">
        <f t="shared" si="128"/>
        <v/>
      </c>
      <c r="Y184" s="1" t="str">
        <f>IF($B184="","",MAX(_xlfn.MAXIFS($J$2:J184,$I$2:I184,$I184),_xlfn.MAXIFS($K$2:K184,$I$2:I184,$I184)))</f>
        <v/>
      </c>
      <c r="Z184" s="1" t="str">
        <f t="shared" si="144"/>
        <v/>
      </c>
      <c r="AA184" s="1" t="str">
        <f t="shared" si="145"/>
        <v/>
      </c>
      <c r="AB184" s="1" t="str">
        <f t="shared" si="146"/>
        <v/>
      </c>
      <c r="AC184" s="1" t="str">
        <f t="shared" si="147"/>
        <v/>
      </c>
      <c r="AD184" s="1" t="str">
        <f>IF($B184="","",MIN(_xlfn.MINIFS($J$2:J184,$I$2:I184,$I184),_xlfn.MINIFS($K$2:K184,$I$2:I184,$I184)))</f>
        <v/>
      </c>
      <c r="AE184" s="1" t="str">
        <f t="shared" si="148"/>
        <v/>
      </c>
      <c r="AF184" s="1" t="str">
        <f t="shared" si="149"/>
        <v/>
      </c>
      <c r="AG184" s="1" t="str">
        <f t="shared" si="150"/>
        <v/>
      </c>
      <c r="AH184" s="1" t="str">
        <f t="shared" si="151"/>
        <v/>
      </c>
      <c r="AI184" s="1" t="str">
        <f ca="1">IF($B184="","",IF($K184="",0,OFFSET($CO$17,R184,W184)))</f>
        <v/>
      </c>
      <c r="AJ184" s="1" t="str">
        <f t="shared" ca="1" si="152"/>
        <v/>
      </c>
      <c r="AK184" s="1" t="str">
        <f ca="1">IF(AJ184="","",IF(AJ184=0,0,IF(W184=1,0,SUM(OFFSET($CO$17,N184,1):OFFSET($CO$17,N184+W184-2,1))/W184)))</f>
        <v/>
      </c>
      <c r="AL184" s="1" t="str">
        <f t="shared" si="153"/>
        <v/>
      </c>
      <c r="AM184" s="1" t="str">
        <f>IF($B184="","",SUMIFS($AL$2:AL184,$I$2:I184,$I184))</f>
        <v/>
      </c>
      <c r="AN184" s="1" t="str">
        <f t="shared" si="154"/>
        <v/>
      </c>
      <c r="AO184" s="1" t="str">
        <f>IFERROR(IF($B184="","",AVERAGEIFS($L$2:L184,$I$2:I184,I184,$L$2:L184,"&lt;&gt;0")),0)</f>
        <v/>
      </c>
      <c r="AP184" s="1" t="str">
        <f t="shared" si="155"/>
        <v/>
      </c>
      <c r="AQ184" s="1" t="str">
        <f>IF($B184="","",COUNTIFS($R$2:R184,1,$I$2:I184,$I184))</f>
        <v/>
      </c>
      <c r="AR184" s="1" t="str">
        <f t="array" ref="AR184">IF($B184="","",SUMPRODUCT(--($B$2:$B$313=B184),--(AM184&lt;$AM$2:$AM$313))+1)</f>
        <v/>
      </c>
      <c r="AS184" s="1" t="str">
        <f t="array" ref="AS184">IF($B184="","",SUMPRODUCT(--($B$2:$B$313=B184),--(AP184&lt;$AP$2:$AP$313))+1)</f>
        <v/>
      </c>
      <c r="AT184" s="1" t="str">
        <f t="array" ref="AT184">IF($B184="","",SUMPRODUCT(--($B$2:$B$313=B184),--(AQ184&lt;$AQ$2:$AQ$313))+1)</f>
        <v/>
      </c>
      <c r="AU184" s="1" t="str">
        <f t="shared" si="156"/>
        <v/>
      </c>
      <c r="AV184" s="1" t="str">
        <f t="shared" si="157"/>
        <v/>
      </c>
      <c r="AW184" s="1" t="str">
        <f t="shared" si="129"/>
        <v/>
      </c>
      <c r="AX184" s="1" t="str">
        <f t="shared" si="158"/>
        <v/>
      </c>
      <c r="AY184" s="8" t="str">
        <f t="shared" si="159"/>
        <v/>
      </c>
      <c r="AZ184" s="1" t="str" cm="1">
        <f t="array" ref="AZ184">IF($B184="","",SUMPRODUCT(--($B$2:$B$313=B184),--(AY184&gt;$AY$2:$AY$313))+1)</f>
        <v/>
      </c>
      <c r="BA184" s="1" t="str">
        <f t="shared" si="160"/>
        <v/>
      </c>
      <c r="BB184" s="1" t="str">
        <f t="shared" si="161"/>
        <v/>
      </c>
      <c r="BC184" s="1" t="str">
        <f t="shared" si="162"/>
        <v/>
      </c>
      <c r="BD184" s="1" t="str">
        <f t="shared" si="163"/>
        <v/>
      </c>
      <c r="BE184" s="1" t="str">
        <f t="shared" si="164"/>
        <v/>
      </c>
      <c r="BF184" s="1" t="str">
        <f t="shared" si="165"/>
        <v/>
      </c>
      <c r="BG184" s="1" t="str">
        <f t="shared" si="166"/>
        <v/>
      </c>
      <c r="BH184" s="1" t="str">
        <f t="shared" si="167"/>
        <v/>
      </c>
      <c r="BI184" s="1" t="str">
        <f t="shared" si="168"/>
        <v/>
      </c>
      <c r="BJ184" s="1" t="str">
        <f t="shared" si="169"/>
        <v/>
      </c>
      <c r="BK184" s="1" t="str">
        <f t="shared" si="170"/>
        <v/>
      </c>
      <c r="BL184" s="1" t="str">
        <f t="shared" si="171"/>
        <v/>
      </c>
      <c r="BM184" s="1" t="str">
        <f t="shared" si="172"/>
        <v/>
      </c>
      <c r="BN184" s="1" t="str">
        <f t="shared" si="173"/>
        <v/>
      </c>
      <c r="BO184" s="1" t="str">
        <f t="shared" si="130"/>
        <v/>
      </c>
      <c r="BP184" s="1" t="str">
        <f t="shared" si="131"/>
        <v/>
      </c>
      <c r="BQ184" s="1" t="str" cm="1">
        <f t="array" ref="BQ184">IF(I184="","",IF(BP184=1,"",IF(L184=0,"",IF(B184=1,"",_xlfn.XLOOKUP(1,($I$2:$I$313=$I184)*($B$2:$B$313=($B184-1)),$BO$2:$BO$313)))))</f>
        <v/>
      </c>
      <c r="BR184" s="1" t="str">
        <f>IF(I184="","",IF($B184=1,_xlfn.MINIFS($BO$2:$BO$313,$B$2:$B$313,$B184),_xlfn.MINIFS(BQ$2:$BQ$313,$B$2:$B$313,$B184)))</f>
        <v/>
      </c>
      <c r="BS184" s="1" t="str">
        <f t="shared" si="174"/>
        <v/>
      </c>
      <c r="BT184" s="1" t="str" cm="1">
        <f t="array" ref="BT184">IF($I184="","",IF($B184=1,_xlfn.XLOOKUP(1,($B$2:$B$313=$B184)*($BO$2:$BO$313=BR184),Data!$I$2:$I$313,,0),_xlfn.XLOOKUP(1,($B$2:$B$313=$B184)*($BQ$2:$BQ$313=$BR184),$I$2:$I$313,,0)))</f>
        <v/>
      </c>
      <c r="BU184" s="1" t="str" cm="1">
        <f t="array" ref="BU184">IF(I184="","",IF($B184=1,_xlfn.XLOOKUP(1,($B$2:$B$313=$B184)*($BO$2:$BO$313=$BS184),$I$2:$I$313,,0),_xlfn.XLOOKUP(1,($B$2:$B$313=$B184)*($BQ$2:$BQ$313=$BS184),$I$2:$I$313,,0)))</f>
        <v/>
      </c>
      <c r="BV184" s="1" t="str" cm="1">
        <f t="array" ref="BV184">IF($I184="","",IF($B184=1,"",IF($B184=2,_xlfn.XLOOKUP(1,($B$2:$B$313=1)*($BO$2:$BO$313=1),$I$2:$I$313,,0),_xlfn.XLOOKUP($B184-1,$B$2:$B$313,$CH$2:$CH$313,,0))))</f>
        <v/>
      </c>
      <c r="BW184" s="1" t="str" cm="1">
        <f t="array" ref="BW184">IF($I184="","",IF($B184=1,"",IF(_xlfn.XLOOKUP(1,($B$2:$B$313=$B184)*($I$2:$I$313=$BV184),$BQ$2:$BQ$313,,0)="","NOK","OK")))</f>
        <v/>
      </c>
      <c r="BX184" s="1" t="str">
        <f t="shared" si="175"/>
        <v/>
      </c>
      <c r="BY184" s="1" t="str">
        <f t="shared" si="176"/>
        <v/>
      </c>
      <c r="BZ184" s="1" t="str">
        <f t="shared" si="177"/>
        <v/>
      </c>
      <c r="CA184" s="1" t="str">
        <f t="shared" si="178"/>
        <v/>
      </c>
      <c r="CB184" s="1" t="str">
        <f t="shared" si="179"/>
        <v/>
      </c>
      <c r="CC184" s="1" t="str">
        <f t="shared" si="180"/>
        <v/>
      </c>
      <c r="CD184" s="1" t="str">
        <f t="shared" si="181"/>
        <v/>
      </c>
      <c r="CE184" s="1" t="str">
        <f t="shared" si="182"/>
        <v/>
      </c>
      <c r="CF184" s="1" t="str">
        <f t="shared" si="183"/>
        <v/>
      </c>
      <c r="CG184" s="1" t="str">
        <f t="shared" si="184"/>
        <v/>
      </c>
      <c r="CH184" s="1" t="str">
        <f t="shared" si="185"/>
        <v/>
      </c>
      <c r="CI184" s="1" t="str">
        <f t="shared" si="186"/>
        <v/>
      </c>
      <c r="CJ184" s="1" t="str">
        <f>IF(B184="","",IF(SUM(AI184:AK184)&gt;0,"+SP","")&amp;IF(CI184&gt;0,"+KK","")&amp;IF(AB184&gt;0,"+KGP1","")&amp;IF(AC184&gt;0,"+KGP2","")&amp;IF(AG184&lt;0,"-KGP1","")&amp;IF(AH184&lt;0,"-KGP2",""))</f>
        <v/>
      </c>
    </row>
    <row r="185" spans="1:88" x14ac:dyDescent="0.25">
      <c r="A185" s="1">
        <f>IFERROR(IF(ROW(A184)=1,1,IF(1+A184&lt;=$CP$1*$CP$2,1+A184,"")),"")</f>
        <v>184</v>
      </c>
      <c r="B185" s="1" t="str">
        <f>IF($I185="","",IF(ROW(B184)=1,1,ROUNDUP(A185/$CP$2,0)))</f>
        <v/>
      </c>
      <c r="C185" s="4" t="str">
        <f t="shared" si="132"/>
        <v/>
      </c>
      <c r="D185" s="4" t="str">
        <f t="shared" si="126"/>
        <v/>
      </c>
      <c r="E185" s="1" t="str">
        <f>IF($B185="","",COUNTIF($B$2:B185,B185))</f>
        <v/>
      </c>
      <c r="F185" s="1" t="str">
        <f t="shared" si="127"/>
        <v/>
      </c>
      <c r="G185" s="1" t="str">
        <f t="shared" si="133"/>
        <v/>
      </c>
      <c r="H185" s="1">
        <f t="shared" si="134"/>
        <v>0</v>
      </c>
      <c r="I185" s="3"/>
      <c r="J185" s="3"/>
      <c r="K185" s="3"/>
      <c r="L185" s="1" t="str">
        <f t="shared" si="135"/>
        <v/>
      </c>
      <c r="M185" s="1" t="str">
        <f t="shared" si="136"/>
        <v/>
      </c>
      <c r="N185" s="1" t="str">
        <f t="shared" si="137"/>
        <v/>
      </c>
      <c r="O185" s="1" t="str">
        <f t="shared" si="138"/>
        <v/>
      </c>
      <c r="P185" s="1" t="str">
        <f t="shared" si="139"/>
        <v/>
      </c>
      <c r="Q185" s="1" t="str">
        <f t="array" ref="Q185">IF($B185="","",IF(MAX(IF(B185=$B$2:$B$313,$L$2:$L$313))-L185=0,"",MAX(IF(B185=$B$2:$B$313,$L$2:$L$313))-L185))</f>
        <v/>
      </c>
      <c r="R185" s="1" t="str">
        <f t="array" ref="R185">IF($B185="","",SUMPRODUCT(--($B$2:$B$313=B185),--(L185&lt;$L$2:$L$313))+1)</f>
        <v/>
      </c>
      <c r="S185" s="1" t="str">
        <f t="shared" si="140"/>
        <v/>
      </c>
      <c r="T185" s="1" t="str" cm="1">
        <f t="array" ref="T185">IF($B185="","",IF(M185=0,"",SUMPRODUCT(--($B$2:$B$313=B185),--(J185&lt;$J$2:$J$313))+1))</f>
        <v/>
      </c>
      <c r="U185" s="1" t="str">
        <f t="shared" si="141"/>
        <v/>
      </c>
      <c r="V185" s="1" t="str">
        <f t="shared" si="142"/>
        <v/>
      </c>
      <c r="W185" s="1" t="str">
        <f t="shared" si="143"/>
        <v/>
      </c>
      <c r="X185" s="1" t="str">
        <f t="shared" si="128"/>
        <v/>
      </c>
      <c r="Y185" s="1" t="str">
        <f>IF($B185="","",MAX(_xlfn.MAXIFS($J$2:J185,$I$2:I185,$I185),_xlfn.MAXIFS($K$2:K185,$I$2:I185,$I185)))</f>
        <v/>
      </c>
      <c r="Z185" s="1" t="str">
        <f t="shared" si="144"/>
        <v/>
      </c>
      <c r="AA185" s="1" t="str">
        <f t="shared" si="145"/>
        <v/>
      </c>
      <c r="AB185" s="1" t="str">
        <f t="shared" si="146"/>
        <v/>
      </c>
      <c r="AC185" s="1" t="str">
        <f t="shared" si="147"/>
        <v/>
      </c>
      <c r="AD185" s="1" t="str">
        <f>IF($B185="","",MIN(_xlfn.MINIFS($J$2:J185,$I$2:I185,$I185),_xlfn.MINIFS($K$2:K185,$I$2:I185,$I185)))</f>
        <v/>
      </c>
      <c r="AE185" s="1" t="str">
        <f t="shared" si="148"/>
        <v/>
      </c>
      <c r="AF185" s="1" t="str">
        <f t="shared" si="149"/>
        <v/>
      </c>
      <c r="AG185" s="1" t="str">
        <f t="shared" si="150"/>
        <v/>
      </c>
      <c r="AH185" s="1" t="str">
        <f t="shared" si="151"/>
        <v/>
      </c>
      <c r="AI185" s="1" t="str">
        <f ca="1">IF($B185="","",IF($K185="",0,OFFSET($CO$17,R185,W185)))</f>
        <v/>
      </c>
      <c r="AJ185" s="1" t="str">
        <f t="shared" ca="1" si="152"/>
        <v/>
      </c>
      <c r="AK185" s="1" t="str">
        <f ca="1">IF(AJ185="","",IF(AJ185=0,0,IF(W185=1,0,SUM(OFFSET($CO$17,N185,1):OFFSET($CO$17,N185+W185-2,1))/W185)))</f>
        <v/>
      </c>
      <c r="AL185" s="1" t="str">
        <f t="shared" si="153"/>
        <v/>
      </c>
      <c r="AM185" s="1" t="str">
        <f>IF($B185="","",SUMIFS($AL$2:AL185,$I$2:I185,$I185))</f>
        <v/>
      </c>
      <c r="AN185" s="1" t="str">
        <f t="shared" si="154"/>
        <v/>
      </c>
      <c r="AO185" s="1" t="str">
        <f>IFERROR(IF($B185="","",AVERAGEIFS($L$2:L185,$I$2:I185,I185,$L$2:L185,"&lt;&gt;0")),0)</f>
        <v/>
      </c>
      <c r="AP185" s="1" t="str">
        <f t="shared" si="155"/>
        <v/>
      </c>
      <c r="AQ185" s="1" t="str">
        <f>IF($B185="","",COUNTIFS($R$2:R185,1,$I$2:I185,$I185))</f>
        <v/>
      </c>
      <c r="AR185" s="1" t="str">
        <f t="array" ref="AR185">IF($B185="","",SUMPRODUCT(--($B$2:$B$313=B185),--(AM185&lt;$AM$2:$AM$313))+1)</f>
        <v/>
      </c>
      <c r="AS185" s="1" t="str">
        <f t="array" ref="AS185">IF($B185="","",SUMPRODUCT(--($B$2:$B$313=B185),--(AP185&lt;$AP$2:$AP$313))+1)</f>
        <v/>
      </c>
      <c r="AT185" s="1" t="str">
        <f t="array" ref="AT185">IF($B185="","",SUMPRODUCT(--($B$2:$B$313=B185),--(AQ185&lt;$AQ$2:$AQ$313))+1)</f>
        <v/>
      </c>
      <c r="AU185" s="1" t="str">
        <f t="shared" si="156"/>
        <v/>
      </c>
      <c r="AV185" s="1" t="str">
        <f t="shared" si="157"/>
        <v/>
      </c>
      <c r="AW185" s="1" t="str">
        <f t="shared" si="129"/>
        <v/>
      </c>
      <c r="AX185" s="1" t="str">
        <f t="shared" si="158"/>
        <v/>
      </c>
      <c r="AY185" s="8" t="str">
        <f t="shared" si="159"/>
        <v/>
      </c>
      <c r="AZ185" s="1" t="str" cm="1">
        <f t="array" ref="AZ185">IF($B185="","",SUMPRODUCT(--($B$2:$B$313=B185),--(AY185&gt;$AY$2:$AY$313))+1)</f>
        <v/>
      </c>
      <c r="BA185" s="1" t="str">
        <f t="shared" si="160"/>
        <v/>
      </c>
      <c r="BB185" s="1" t="str">
        <f t="shared" si="161"/>
        <v/>
      </c>
      <c r="BC185" s="1" t="str">
        <f t="shared" si="162"/>
        <v/>
      </c>
      <c r="BD185" s="1" t="str">
        <f t="shared" si="163"/>
        <v/>
      </c>
      <c r="BE185" s="1" t="str">
        <f t="shared" si="164"/>
        <v/>
      </c>
      <c r="BF185" s="1" t="str">
        <f t="shared" si="165"/>
        <v/>
      </c>
      <c r="BG185" s="1" t="str">
        <f t="shared" si="166"/>
        <v/>
      </c>
      <c r="BH185" s="1" t="str">
        <f t="shared" si="167"/>
        <v/>
      </c>
      <c r="BI185" s="1" t="str">
        <f t="shared" si="168"/>
        <v/>
      </c>
      <c r="BJ185" s="1" t="str">
        <f t="shared" si="169"/>
        <v/>
      </c>
      <c r="BK185" s="1" t="str">
        <f t="shared" si="170"/>
        <v/>
      </c>
      <c r="BL185" s="1" t="str">
        <f t="shared" si="171"/>
        <v/>
      </c>
      <c r="BM185" s="1" t="str">
        <f t="shared" si="172"/>
        <v/>
      </c>
      <c r="BN185" s="1" t="str">
        <f t="shared" si="173"/>
        <v/>
      </c>
      <c r="BO185" s="1" t="str">
        <f t="shared" si="130"/>
        <v/>
      </c>
      <c r="BP185" s="1" t="str">
        <f t="shared" si="131"/>
        <v/>
      </c>
      <c r="BQ185" s="1" t="str" cm="1">
        <f t="array" ref="BQ185">IF(I185="","",IF(BP185=1,"",IF(L185=0,"",IF(B185=1,"",_xlfn.XLOOKUP(1,($I$2:$I$313=$I185)*($B$2:$B$313=($B185-1)),$BO$2:$BO$313)))))</f>
        <v/>
      </c>
      <c r="BR185" s="1" t="str">
        <f>IF(I185="","",IF($B185=1,_xlfn.MINIFS($BO$2:$BO$313,$B$2:$B$313,$B185),_xlfn.MINIFS(BQ$2:$BQ$313,$B$2:$B$313,$B185)))</f>
        <v/>
      </c>
      <c r="BS185" s="1" t="str">
        <f t="shared" si="174"/>
        <v/>
      </c>
      <c r="BT185" s="1" t="str" cm="1">
        <f t="array" ref="BT185">IF($I185="","",IF($B185=1,_xlfn.XLOOKUP(1,($B$2:$B$313=$B185)*($BO$2:$BO$313=BR185),Data!$I$2:$I$313,,0),_xlfn.XLOOKUP(1,($B$2:$B$313=$B185)*($BQ$2:$BQ$313=$BR185),$I$2:$I$313,,0)))</f>
        <v/>
      </c>
      <c r="BU185" s="1" t="str" cm="1">
        <f t="array" ref="BU185">IF(I185="","",IF($B185=1,_xlfn.XLOOKUP(1,($B$2:$B$313=$B185)*($BO$2:$BO$313=$BS185),$I$2:$I$313,,0),_xlfn.XLOOKUP(1,($B$2:$B$313=$B185)*($BQ$2:$BQ$313=$BS185),$I$2:$I$313,,0)))</f>
        <v/>
      </c>
      <c r="BV185" s="1" t="str" cm="1">
        <f t="array" ref="BV185">IF($I185="","",IF($B185=1,"",IF($B185=2,_xlfn.XLOOKUP(1,($B$2:$B$313=1)*($BO$2:$BO$313=1),$I$2:$I$313,,0),_xlfn.XLOOKUP($B185-1,$B$2:$B$313,$CH$2:$CH$313,,0))))</f>
        <v/>
      </c>
      <c r="BW185" s="1" t="str" cm="1">
        <f t="array" ref="BW185">IF($I185="","",IF($B185=1,"",IF(_xlfn.XLOOKUP(1,($B$2:$B$313=$B185)*($I$2:$I$313=$BV185),$BQ$2:$BQ$313,,0)="","NOK","OK")))</f>
        <v/>
      </c>
      <c r="BX185" s="1" t="str">
        <f t="shared" si="175"/>
        <v/>
      </c>
      <c r="BY185" s="1" t="str">
        <f t="shared" si="176"/>
        <v/>
      </c>
      <c r="BZ185" s="1" t="str">
        <f t="shared" si="177"/>
        <v/>
      </c>
      <c r="CA185" s="1" t="str">
        <f t="shared" si="178"/>
        <v/>
      </c>
      <c r="CB185" s="1" t="str">
        <f t="shared" si="179"/>
        <v/>
      </c>
      <c r="CC185" s="1" t="str">
        <f t="shared" si="180"/>
        <v/>
      </c>
      <c r="CD185" s="1" t="str">
        <f t="shared" si="181"/>
        <v/>
      </c>
      <c r="CE185" s="1" t="str">
        <f t="shared" si="182"/>
        <v/>
      </c>
      <c r="CF185" s="1" t="str">
        <f t="shared" si="183"/>
        <v/>
      </c>
      <c r="CG185" s="1" t="str">
        <f t="shared" si="184"/>
        <v/>
      </c>
      <c r="CH185" s="1" t="str">
        <f t="shared" si="185"/>
        <v/>
      </c>
      <c r="CI185" s="1" t="str">
        <f t="shared" si="186"/>
        <v/>
      </c>
      <c r="CJ185" s="1" t="str">
        <f>IF(B185="","",IF(SUM(AI185:AK185)&gt;0,"+SP","")&amp;IF(CI185&gt;0,"+KK","")&amp;IF(AB185&gt;0,"+KGP1","")&amp;IF(AC185&gt;0,"+KGP2","")&amp;IF(AG185&lt;0,"-KGP1","")&amp;IF(AH185&lt;0,"-KGP2",""))</f>
        <v/>
      </c>
    </row>
    <row r="186" spans="1:88" x14ac:dyDescent="0.25">
      <c r="A186" s="1">
        <f>IFERROR(IF(ROW(A185)=1,1,IF(1+A185&lt;=$CP$1*$CP$2,1+A185,"")),"")</f>
        <v>185</v>
      </c>
      <c r="B186" s="1" t="str">
        <f>IF($I186="","",IF(ROW(B185)=1,1,ROUNDUP(A186/$CP$2,0)))</f>
        <v/>
      </c>
      <c r="C186" s="4" t="str">
        <f t="shared" si="132"/>
        <v/>
      </c>
      <c r="D186" s="4" t="str">
        <f t="shared" si="126"/>
        <v/>
      </c>
      <c r="E186" s="1" t="str">
        <f>IF($B186="","",COUNTIF($B$2:B186,B186))</f>
        <v/>
      </c>
      <c r="F186" s="1" t="str">
        <f t="shared" si="127"/>
        <v/>
      </c>
      <c r="G186" s="1" t="str">
        <f t="shared" si="133"/>
        <v/>
      </c>
      <c r="H186" s="1">
        <f t="shared" si="134"/>
        <v>0</v>
      </c>
      <c r="I186" s="3"/>
      <c r="J186" s="3"/>
      <c r="K186" s="3"/>
      <c r="L186" s="1" t="str">
        <f t="shared" si="135"/>
        <v/>
      </c>
      <c r="M186" s="1" t="str">
        <f t="shared" si="136"/>
        <v/>
      </c>
      <c r="N186" s="1" t="str">
        <f t="shared" si="137"/>
        <v/>
      </c>
      <c r="O186" s="1" t="str">
        <f t="shared" si="138"/>
        <v/>
      </c>
      <c r="P186" s="1" t="str">
        <f t="shared" si="139"/>
        <v/>
      </c>
      <c r="Q186" s="1" t="str">
        <f t="array" ref="Q186">IF($B186="","",IF(MAX(IF(B186=$B$2:$B$313,$L$2:$L$313))-L186=0,"",MAX(IF(B186=$B$2:$B$313,$L$2:$L$313))-L186))</f>
        <v/>
      </c>
      <c r="R186" s="1" t="str">
        <f t="array" ref="R186">IF($B186="","",SUMPRODUCT(--($B$2:$B$313=B186),--(L186&lt;$L$2:$L$313))+1)</f>
        <v/>
      </c>
      <c r="S186" s="1" t="str">
        <f t="shared" si="140"/>
        <v/>
      </c>
      <c r="T186" s="1" t="str" cm="1">
        <f t="array" ref="T186">IF($B186="","",IF(M186=0,"",SUMPRODUCT(--($B$2:$B$313=B186),--(J186&lt;$J$2:$J$313))+1))</f>
        <v/>
      </c>
      <c r="U186" s="1" t="str">
        <f t="shared" si="141"/>
        <v/>
      </c>
      <c r="V186" s="1" t="str">
        <f t="shared" si="142"/>
        <v/>
      </c>
      <c r="W186" s="1" t="str">
        <f t="shared" si="143"/>
        <v/>
      </c>
      <c r="X186" s="1" t="str">
        <f t="shared" si="128"/>
        <v/>
      </c>
      <c r="Y186" s="1" t="str">
        <f>IF($B186="","",MAX(_xlfn.MAXIFS($J$2:J186,$I$2:I186,$I186),_xlfn.MAXIFS($K$2:K186,$I$2:I186,$I186)))</f>
        <v/>
      </c>
      <c r="Z186" s="1" t="str">
        <f t="shared" si="144"/>
        <v/>
      </c>
      <c r="AA186" s="1" t="str">
        <f t="shared" si="145"/>
        <v/>
      </c>
      <c r="AB186" s="1" t="str">
        <f t="shared" si="146"/>
        <v/>
      </c>
      <c r="AC186" s="1" t="str">
        <f t="shared" si="147"/>
        <v/>
      </c>
      <c r="AD186" s="1" t="str">
        <f>IF($B186="","",MIN(_xlfn.MINIFS($J$2:J186,$I$2:I186,$I186),_xlfn.MINIFS($K$2:K186,$I$2:I186,$I186)))</f>
        <v/>
      </c>
      <c r="AE186" s="1" t="str">
        <f t="shared" si="148"/>
        <v/>
      </c>
      <c r="AF186" s="1" t="str">
        <f t="shared" si="149"/>
        <v/>
      </c>
      <c r="AG186" s="1" t="str">
        <f t="shared" si="150"/>
        <v/>
      </c>
      <c r="AH186" s="1" t="str">
        <f t="shared" si="151"/>
        <v/>
      </c>
      <c r="AI186" s="1" t="str">
        <f ca="1">IF($B186="","",IF($K186="",0,OFFSET($CO$17,R186,W186)))</f>
        <v/>
      </c>
      <c r="AJ186" s="1" t="str">
        <f t="shared" ca="1" si="152"/>
        <v/>
      </c>
      <c r="AK186" s="1" t="str">
        <f ca="1">IF(AJ186="","",IF(AJ186=0,0,IF(W186=1,0,SUM(OFFSET($CO$17,N186,1):OFFSET($CO$17,N186+W186-2,1))/W186)))</f>
        <v/>
      </c>
      <c r="AL186" s="1" t="str">
        <f t="shared" si="153"/>
        <v/>
      </c>
      <c r="AM186" s="1" t="str">
        <f>IF($B186="","",SUMIFS($AL$2:AL186,$I$2:I186,$I186))</f>
        <v/>
      </c>
      <c r="AN186" s="1" t="str">
        <f t="shared" si="154"/>
        <v/>
      </c>
      <c r="AO186" s="1" t="str">
        <f>IFERROR(IF($B186="","",AVERAGEIFS($L$2:L186,$I$2:I186,I186,$L$2:L186,"&lt;&gt;0")),0)</f>
        <v/>
      </c>
      <c r="AP186" s="1" t="str">
        <f t="shared" si="155"/>
        <v/>
      </c>
      <c r="AQ186" s="1" t="str">
        <f>IF($B186="","",COUNTIFS($R$2:R186,1,$I$2:I186,$I186))</f>
        <v/>
      </c>
      <c r="AR186" s="1" t="str">
        <f t="array" ref="AR186">IF($B186="","",SUMPRODUCT(--($B$2:$B$313=B186),--(AM186&lt;$AM$2:$AM$313))+1)</f>
        <v/>
      </c>
      <c r="AS186" s="1" t="str">
        <f t="array" ref="AS186">IF($B186="","",SUMPRODUCT(--($B$2:$B$313=B186),--(AP186&lt;$AP$2:$AP$313))+1)</f>
        <v/>
      </c>
      <c r="AT186" s="1" t="str">
        <f t="array" ref="AT186">IF($B186="","",SUMPRODUCT(--($B$2:$B$313=B186),--(AQ186&lt;$AQ$2:$AQ$313))+1)</f>
        <v/>
      </c>
      <c r="AU186" s="1" t="str">
        <f t="shared" si="156"/>
        <v/>
      </c>
      <c r="AV186" s="1" t="str">
        <f t="shared" si="157"/>
        <v/>
      </c>
      <c r="AW186" s="1" t="str">
        <f t="shared" si="129"/>
        <v/>
      </c>
      <c r="AX186" s="1" t="str">
        <f t="shared" si="158"/>
        <v/>
      </c>
      <c r="AY186" s="8" t="str">
        <f t="shared" si="159"/>
        <v/>
      </c>
      <c r="AZ186" s="1" t="str" cm="1">
        <f t="array" ref="AZ186">IF($B186="","",SUMPRODUCT(--($B$2:$B$313=B186),--(AY186&gt;$AY$2:$AY$313))+1)</f>
        <v/>
      </c>
      <c r="BA186" s="1" t="str">
        <f t="shared" si="160"/>
        <v/>
      </c>
      <c r="BB186" s="1" t="str">
        <f t="shared" si="161"/>
        <v/>
      </c>
      <c r="BC186" s="1" t="str">
        <f t="shared" si="162"/>
        <v/>
      </c>
      <c r="BD186" s="1" t="str">
        <f t="shared" si="163"/>
        <v/>
      </c>
      <c r="BE186" s="1" t="str">
        <f t="shared" si="164"/>
        <v/>
      </c>
      <c r="BF186" s="1" t="str">
        <f t="shared" si="165"/>
        <v/>
      </c>
      <c r="BG186" s="1" t="str">
        <f t="shared" si="166"/>
        <v/>
      </c>
      <c r="BH186" s="1" t="str">
        <f t="shared" si="167"/>
        <v/>
      </c>
      <c r="BI186" s="1" t="str">
        <f t="shared" si="168"/>
        <v/>
      </c>
      <c r="BJ186" s="1" t="str">
        <f t="shared" si="169"/>
        <v/>
      </c>
      <c r="BK186" s="1" t="str">
        <f t="shared" si="170"/>
        <v/>
      </c>
      <c r="BL186" s="1" t="str">
        <f t="shared" si="171"/>
        <v/>
      </c>
      <c r="BM186" s="1" t="str">
        <f t="shared" si="172"/>
        <v/>
      </c>
      <c r="BN186" s="1" t="str">
        <f t="shared" si="173"/>
        <v/>
      </c>
      <c r="BO186" s="1" t="str">
        <f t="shared" si="130"/>
        <v/>
      </c>
      <c r="BP186" s="1" t="str">
        <f t="shared" si="131"/>
        <v/>
      </c>
      <c r="BQ186" s="1" t="str" cm="1">
        <f t="array" ref="BQ186">IF(I186="","",IF(BP186=1,"",IF(L186=0,"",IF(B186=1,"",_xlfn.XLOOKUP(1,($I$2:$I$313=$I186)*($B$2:$B$313=($B186-1)),$BO$2:$BO$313)))))</f>
        <v/>
      </c>
      <c r="BR186" s="1" t="str">
        <f>IF(I186="","",IF($B186=1,_xlfn.MINIFS($BO$2:$BO$313,$B$2:$B$313,$B186),_xlfn.MINIFS(BQ$2:$BQ$313,$B$2:$B$313,$B186)))</f>
        <v/>
      </c>
      <c r="BS186" s="1" t="str">
        <f t="shared" si="174"/>
        <v/>
      </c>
      <c r="BT186" s="1" t="str" cm="1">
        <f t="array" ref="BT186">IF($I186="","",IF($B186=1,_xlfn.XLOOKUP(1,($B$2:$B$313=$B186)*($BO$2:$BO$313=BR186),Data!$I$2:$I$313,,0),_xlfn.XLOOKUP(1,($B$2:$B$313=$B186)*($BQ$2:$BQ$313=$BR186),$I$2:$I$313,,0)))</f>
        <v/>
      </c>
      <c r="BU186" s="1" t="str" cm="1">
        <f t="array" ref="BU186">IF(I186="","",IF($B186=1,_xlfn.XLOOKUP(1,($B$2:$B$313=$B186)*($BO$2:$BO$313=$BS186),$I$2:$I$313,,0),_xlfn.XLOOKUP(1,($B$2:$B$313=$B186)*($BQ$2:$BQ$313=$BS186),$I$2:$I$313,,0)))</f>
        <v/>
      </c>
      <c r="BV186" s="1" t="str" cm="1">
        <f t="array" ref="BV186">IF($I186="","",IF($B186=1,"",IF($B186=2,_xlfn.XLOOKUP(1,($B$2:$B$313=1)*($BO$2:$BO$313=1),$I$2:$I$313,,0),_xlfn.XLOOKUP($B186-1,$B$2:$B$313,$CH$2:$CH$313,,0))))</f>
        <v/>
      </c>
      <c r="BW186" s="1" t="str" cm="1">
        <f t="array" ref="BW186">IF($I186="","",IF($B186=1,"",IF(_xlfn.XLOOKUP(1,($B$2:$B$313=$B186)*($I$2:$I$313=$BV186),$BQ$2:$BQ$313,,0)="","NOK","OK")))</f>
        <v/>
      </c>
      <c r="BX186" s="1" t="str">
        <f t="shared" si="175"/>
        <v/>
      </c>
      <c r="BY186" s="1" t="str">
        <f t="shared" si="176"/>
        <v/>
      </c>
      <c r="BZ186" s="1" t="str">
        <f t="shared" si="177"/>
        <v/>
      </c>
      <c r="CA186" s="1" t="str">
        <f t="shared" si="178"/>
        <v/>
      </c>
      <c r="CB186" s="1" t="str">
        <f t="shared" si="179"/>
        <v/>
      </c>
      <c r="CC186" s="1" t="str">
        <f t="shared" si="180"/>
        <v/>
      </c>
      <c r="CD186" s="1" t="str">
        <f t="shared" si="181"/>
        <v/>
      </c>
      <c r="CE186" s="1" t="str">
        <f t="shared" si="182"/>
        <v/>
      </c>
      <c r="CF186" s="1" t="str">
        <f t="shared" si="183"/>
        <v/>
      </c>
      <c r="CG186" s="1" t="str">
        <f t="shared" si="184"/>
        <v/>
      </c>
      <c r="CH186" s="1" t="str">
        <f t="shared" si="185"/>
        <v/>
      </c>
      <c r="CI186" s="1" t="str">
        <f t="shared" si="186"/>
        <v/>
      </c>
      <c r="CJ186" s="1" t="str">
        <f>IF(B186="","",IF(SUM(AI186:AK186)&gt;0,"+SP","")&amp;IF(CI186&gt;0,"+KK","")&amp;IF(AB186&gt;0,"+KGP1","")&amp;IF(AC186&gt;0,"+KGP2","")&amp;IF(AG186&lt;0,"-KGP1","")&amp;IF(AH186&lt;0,"-KGP2",""))</f>
        <v/>
      </c>
    </row>
    <row r="187" spans="1:88" x14ac:dyDescent="0.25">
      <c r="A187" s="1">
        <f>IFERROR(IF(ROW(A186)=1,1,IF(1+A186&lt;=$CP$1*$CP$2,1+A186,"")),"")</f>
        <v>186</v>
      </c>
      <c r="B187" s="1" t="str">
        <f>IF($I187="","",IF(ROW(B186)=1,1,ROUNDUP(A187/$CP$2,0)))</f>
        <v/>
      </c>
      <c r="C187" s="4" t="str">
        <f t="shared" si="132"/>
        <v/>
      </c>
      <c r="D187" s="4" t="str">
        <f t="shared" si="126"/>
        <v/>
      </c>
      <c r="E187" s="1" t="str">
        <f>IF($B187="","",COUNTIF($B$2:B187,B187))</f>
        <v/>
      </c>
      <c r="F187" s="1" t="str">
        <f t="shared" si="127"/>
        <v/>
      </c>
      <c r="G187" s="1" t="str">
        <f t="shared" si="133"/>
        <v/>
      </c>
      <c r="H187" s="1">
        <f t="shared" si="134"/>
        <v>0</v>
      </c>
      <c r="I187" s="3"/>
      <c r="J187" s="3"/>
      <c r="K187" s="3"/>
      <c r="L187" s="1" t="str">
        <f t="shared" si="135"/>
        <v/>
      </c>
      <c r="M187" s="1" t="str">
        <f t="shared" si="136"/>
        <v/>
      </c>
      <c r="N187" s="1" t="str">
        <f t="shared" si="137"/>
        <v/>
      </c>
      <c r="O187" s="1" t="str">
        <f t="shared" si="138"/>
        <v/>
      </c>
      <c r="P187" s="1" t="str">
        <f t="shared" si="139"/>
        <v/>
      </c>
      <c r="Q187" s="1" t="str">
        <f t="array" ref="Q187">IF($B187="","",IF(MAX(IF(B187=$B$2:$B$313,$L$2:$L$313))-L187=0,"",MAX(IF(B187=$B$2:$B$313,$L$2:$L$313))-L187))</f>
        <v/>
      </c>
      <c r="R187" s="1" t="str">
        <f t="array" ref="R187">IF($B187="","",SUMPRODUCT(--($B$2:$B$313=B187),--(L187&lt;$L$2:$L$313))+1)</f>
        <v/>
      </c>
      <c r="S187" s="1" t="str">
        <f t="shared" si="140"/>
        <v/>
      </c>
      <c r="T187" s="1" t="str" cm="1">
        <f t="array" ref="T187">IF($B187="","",IF(M187=0,"",SUMPRODUCT(--($B$2:$B$313=B187),--(J187&lt;$J$2:$J$313))+1))</f>
        <v/>
      </c>
      <c r="U187" s="1" t="str">
        <f t="shared" si="141"/>
        <v/>
      </c>
      <c r="V187" s="1" t="str">
        <f t="shared" si="142"/>
        <v/>
      </c>
      <c r="W187" s="1" t="str">
        <f t="shared" si="143"/>
        <v/>
      </c>
      <c r="X187" s="1" t="str">
        <f t="shared" si="128"/>
        <v/>
      </c>
      <c r="Y187" s="1" t="str">
        <f>IF($B187="","",MAX(_xlfn.MAXIFS($J$2:J187,$I$2:I187,$I187),_xlfn.MAXIFS($K$2:K187,$I$2:I187,$I187)))</f>
        <v/>
      </c>
      <c r="Z187" s="1" t="str">
        <f t="shared" si="144"/>
        <v/>
      </c>
      <c r="AA187" s="1" t="str">
        <f t="shared" si="145"/>
        <v/>
      </c>
      <c r="AB187" s="1" t="str">
        <f t="shared" si="146"/>
        <v/>
      </c>
      <c r="AC187" s="1" t="str">
        <f t="shared" si="147"/>
        <v/>
      </c>
      <c r="AD187" s="1" t="str">
        <f>IF($B187="","",MIN(_xlfn.MINIFS($J$2:J187,$I$2:I187,$I187),_xlfn.MINIFS($K$2:K187,$I$2:I187,$I187)))</f>
        <v/>
      </c>
      <c r="AE187" s="1" t="str">
        <f t="shared" si="148"/>
        <v/>
      </c>
      <c r="AF187" s="1" t="str">
        <f t="shared" si="149"/>
        <v/>
      </c>
      <c r="AG187" s="1" t="str">
        <f t="shared" si="150"/>
        <v/>
      </c>
      <c r="AH187" s="1" t="str">
        <f t="shared" si="151"/>
        <v/>
      </c>
      <c r="AI187" s="1" t="str">
        <f ca="1">IF($B187="","",IF($K187="",0,OFFSET($CO$17,R187,W187)))</f>
        <v/>
      </c>
      <c r="AJ187" s="1" t="str">
        <f t="shared" ca="1" si="152"/>
        <v/>
      </c>
      <c r="AK187" s="1" t="str">
        <f ca="1">IF(AJ187="","",IF(AJ187=0,0,IF(W187=1,0,SUM(OFFSET($CO$17,N187,1):OFFSET($CO$17,N187+W187-2,1))/W187)))</f>
        <v/>
      </c>
      <c r="AL187" s="1" t="str">
        <f t="shared" si="153"/>
        <v/>
      </c>
      <c r="AM187" s="1" t="str">
        <f>IF($B187="","",SUMIFS($AL$2:AL187,$I$2:I187,$I187))</f>
        <v/>
      </c>
      <c r="AN187" s="1" t="str">
        <f t="shared" si="154"/>
        <v/>
      </c>
      <c r="AO187" s="1" t="str">
        <f>IFERROR(IF($B187="","",AVERAGEIFS($L$2:L187,$I$2:I187,I187,$L$2:L187,"&lt;&gt;0")),0)</f>
        <v/>
      </c>
      <c r="AP187" s="1" t="str">
        <f t="shared" si="155"/>
        <v/>
      </c>
      <c r="AQ187" s="1" t="str">
        <f>IF($B187="","",COUNTIFS($R$2:R187,1,$I$2:I187,$I187))</f>
        <v/>
      </c>
      <c r="AR187" s="1" t="str">
        <f t="array" ref="AR187">IF($B187="","",SUMPRODUCT(--($B$2:$B$313=B187),--(AM187&lt;$AM$2:$AM$313))+1)</f>
        <v/>
      </c>
      <c r="AS187" s="1" t="str">
        <f t="array" ref="AS187">IF($B187="","",SUMPRODUCT(--($B$2:$B$313=B187),--(AP187&lt;$AP$2:$AP$313))+1)</f>
        <v/>
      </c>
      <c r="AT187" s="1" t="str">
        <f t="array" ref="AT187">IF($B187="","",SUMPRODUCT(--($B$2:$B$313=B187),--(AQ187&lt;$AQ$2:$AQ$313))+1)</f>
        <v/>
      </c>
      <c r="AU187" s="1" t="str">
        <f t="shared" si="156"/>
        <v/>
      </c>
      <c r="AV187" s="1" t="str">
        <f t="shared" si="157"/>
        <v/>
      </c>
      <c r="AW187" s="1" t="str">
        <f t="shared" si="129"/>
        <v/>
      </c>
      <c r="AX187" s="1" t="str">
        <f t="shared" si="158"/>
        <v/>
      </c>
      <c r="AY187" s="8" t="str">
        <f t="shared" si="159"/>
        <v/>
      </c>
      <c r="AZ187" s="1" t="str" cm="1">
        <f t="array" ref="AZ187">IF($B187="","",SUMPRODUCT(--($B$2:$B$313=B187),--(AY187&gt;$AY$2:$AY$313))+1)</f>
        <v/>
      </c>
      <c r="BA187" s="1" t="str">
        <f t="shared" si="160"/>
        <v/>
      </c>
      <c r="BB187" s="1" t="str">
        <f t="shared" si="161"/>
        <v/>
      </c>
      <c r="BC187" s="1" t="str">
        <f t="shared" si="162"/>
        <v/>
      </c>
      <c r="BD187" s="1" t="str">
        <f t="shared" si="163"/>
        <v/>
      </c>
      <c r="BE187" s="1" t="str">
        <f t="shared" si="164"/>
        <v/>
      </c>
      <c r="BF187" s="1" t="str">
        <f t="shared" si="165"/>
        <v/>
      </c>
      <c r="BG187" s="1" t="str">
        <f t="shared" si="166"/>
        <v/>
      </c>
      <c r="BH187" s="1" t="str">
        <f t="shared" si="167"/>
        <v/>
      </c>
      <c r="BI187" s="1" t="str">
        <f t="shared" si="168"/>
        <v/>
      </c>
      <c r="BJ187" s="1" t="str">
        <f t="shared" si="169"/>
        <v/>
      </c>
      <c r="BK187" s="1" t="str">
        <f t="shared" si="170"/>
        <v/>
      </c>
      <c r="BL187" s="1" t="str">
        <f t="shared" si="171"/>
        <v/>
      </c>
      <c r="BM187" s="1" t="str">
        <f t="shared" si="172"/>
        <v/>
      </c>
      <c r="BN187" s="1" t="str">
        <f t="shared" si="173"/>
        <v/>
      </c>
      <c r="BO187" s="1" t="str">
        <f t="shared" si="130"/>
        <v/>
      </c>
      <c r="BP187" s="1" t="str">
        <f t="shared" si="131"/>
        <v/>
      </c>
      <c r="BQ187" s="1" t="str" cm="1">
        <f t="array" ref="BQ187">IF(I187="","",IF(BP187=1,"",IF(L187=0,"",IF(B187=1,"",_xlfn.XLOOKUP(1,($I$2:$I$313=$I187)*($B$2:$B$313=($B187-1)),$BO$2:$BO$313)))))</f>
        <v/>
      </c>
      <c r="BR187" s="1" t="str">
        <f>IF(I187="","",IF($B187=1,_xlfn.MINIFS($BO$2:$BO$313,$B$2:$B$313,$B187),_xlfn.MINIFS(BQ$2:$BQ$313,$B$2:$B$313,$B187)))</f>
        <v/>
      </c>
      <c r="BS187" s="1" t="str">
        <f t="shared" si="174"/>
        <v/>
      </c>
      <c r="BT187" s="1" t="str" cm="1">
        <f t="array" ref="BT187">IF($I187="","",IF($B187=1,_xlfn.XLOOKUP(1,($B$2:$B$313=$B187)*($BO$2:$BO$313=BR187),Data!$I$2:$I$313,,0),_xlfn.XLOOKUP(1,($B$2:$B$313=$B187)*($BQ$2:$BQ$313=$BR187),$I$2:$I$313,,0)))</f>
        <v/>
      </c>
      <c r="BU187" s="1" t="str" cm="1">
        <f t="array" ref="BU187">IF(I187="","",IF($B187=1,_xlfn.XLOOKUP(1,($B$2:$B$313=$B187)*($BO$2:$BO$313=$BS187),$I$2:$I$313,,0),_xlfn.XLOOKUP(1,($B$2:$B$313=$B187)*($BQ$2:$BQ$313=$BS187),$I$2:$I$313,,0)))</f>
        <v/>
      </c>
      <c r="BV187" s="1" t="str" cm="1">
        <f t="array" ref="BV187">IF($I187="","",IF($B187=1,"",IF($B187=2,_xlfn.XLOOKUP(1,($B$2:$B$313=1)*($BO$2:$BO$313=1),$I$2:$I$313,,0),_xlfn.XLOOKUP($B187-1,$B$2:$B$313,$CH$2:$CH$313,,0))))</f>
        <v/>
      </c>
      <c r="BW187" s="1" t="str" cm="1">
        <f t="array" ref="BW187">IF($I187="","",IF($B187=1,"",IF(_xlfn.XLOOKUP(1,($B$2:$B$313=$B187)*($I$2:$I$313=$BV187),$BQ$2:$BQ$313,,0)="","NOK","OK")))</f>
        <v/>
      </c>
      <c r="BX187" s="1" t="str">
        <f t="shared" si="175"/>
        <v/>
      </c>
      <c r="BY187" s="1" t="str">
        <f t="shared" si="176"/>
        <v/>
      </c>
      <c r="BZ187" s="1" t="str">
        <f t="shared" si="177"/>
        <v/>
      </c>
      <c r="CA187" s="1" t="str">
        <f t="shared" si="178"/>
        <v/>
      </c>
      <c r="CB187" s="1" t="str">
        <f t="shared" si="179"/>
        <v/>
      </c>
      <c r="CC187" s="1" t="str">
        <f t="shared" si="180"/>
        <v/>
      </c>
      <c r="CD187" s="1" t="str">
        <f t="shared" si="181"/>
        <v/>
      </c>
      <c r="CE187" s="1" t="str">
        <f t="shared" si="182"/>
        <v/>
      </c>
      <c r="CF187" s="1" t="str">
        <f t="shared" si="183"/>
        <v/>
      </c>
      <c r="CG187" s="1" t="str">
        <f t="shared" si="184"/>
        <v/>
      </c>
      <c r="CH187" s="1" t="str">
        <f t="shared" si="185"/>
        <v/>
      </c>
      <c r="CI187" s="1" t="str">
        <f t="shared" si="186"/>
        <v/>
      </c>
      <c r="CJ187" s="1" t="str">
        <f>IF(B187="","",IF(SUM(AI187:AK187)&gt;0,"+SP","")&amp;IF(CI187&gt;0,"+KK","")&amp;IF(AB187&gt;0,"+KGP1","")&amp;IF(AC187&gt;0,"+KGP2","")&amp;IF(AG187&lt;0,"-KGP1","")&amp;IF(AH187&lt;0,"-KGP2",""))</f>
        <v/>
      </c>
    </row>
    <row r="188" spans="1:88" x14ac:dyDescent="0.25">
      <c r="A188" s="1">
        <f>IFERROR(IF(ROW(A187)=1,1,IF(1+A187&lt;=$CP$1*$CP$2,1+A187,"")),"")</f>
        <v>187</v>
      </c>
      <c r="B188" s="1" t="str">
        <f>IF($I188="","",IF(ROW(B187)=1,1,ROUNDUP(A188/$CP$2,0)))</f>
        <v/>
      </c>
      <c r="C188" s="4" t="str">
        <f t="shared" si="132"/>
        <v/>
      </c>
      <c r="D188" s="4" t="str">
        <f t="shared" si="126"/>
        <v/>
      </c>
      <c r="E188" s="1" t="str">
        <f>IF($B188="","",COUNTIF($B$2:B188,B188))</f>
        <v/>
      </c>
      <c r="F188" s="1" t="str">
        <f t="shared" si="127"/>
        <v/>
      </c>
      <c r="G188" s="1" t="str">
        <f t="shared" si="133"/>
        <v/>
      </c>
      <c r="H188" s="1">
        <f t="shared" si="134"/>
        <v>0</v>
      </c>
      <c r="I188" s="3"/>
      <c r="J188" s="3"/>
      <c r="K188" s="3"/>
      <c r="L188" s="1" t="str">
        <f t="shared" si="135"/>
        <v/>
      </c>
      <c r="M188" s="1" t="str">
        <f t="shared" si="136"/>
        <v/>
      </c>
      <c r="N188" s="1" t="str">
        <f t="shared" si="137"/>
        <v/>
      </c>
      <c r="O188" s="1" t="str">
        <f t="shared" si="138"/>
        <v/>
      </c>
      <c r="P188" s="1" t="str">
        <f t="shared" si="139"/>
        <v/>
      </c>
      <c r="Q188" s="1" t="str">
        <f t="array" ref="Q188">IF($B188="","",IF(MAX(IF(B188=$B$2:$B$313,$L$2:$L$313))-L188=0,"",MAX(IF(B188=$B$2:$B$313,$L$2:$L$313))-L188))</f>
        <v/>
      </c>
      <c r="R188" s="1" t="str">
        <f t="array" ref="R188">IF($B188="","",SUMPRODUCT(--($B$2:$B$313=B188),--(L188&lt;$L$2:$L$313))+1)</f>
        <v/>
      </c>
      <c r="S188" s="1" t="str">
        <f t="shared" si="140"/>
        <v/>
      </c>
      <c r="T188" s="1" t="str" cm="1">
        <f t="array" ref="T188">IF($B188="","",IF(M188=0,"",SUMPRODUCT(--($B$2:$B$313=B188),--(J188&lt;$J$2:$J$313))+1))</f>
        <v/>
      </c>
      <c r="U188" s="1" t="str">
        <f t="shared" si="141"/>
        <v/>
      </c>
      <c r="V188" s="1" t="str">
        <f t="shared" si="142"/>
        <v/>
      </c>
      <c r="W188" s="1" t="str">
        <f t="shared" si="143"/>
        <v/>
      </c>
      <c r="X188" s="1" t="str">
        <f t="shared" si="128"/>
        <v/>
      </c>
      <c r="Y188" s="1" t="str">
        <f>IF($B188="","",MAX(_xlfn.MAXIFS($J$2:J188,$I$2:I188,$I188),_xlfn.MAXIFS($K$2:K188,$I$2:I188,$I188)))</f>
        <v/>
      </c>
      <c r="Z188" s="1" t="str">
        <f t="shared" si="144"/>
        <v/>
      </c>
      <c r="AA188" s="1" t="str">
        <f t="shared" si="145"/>
        <v/>
      </c>
      <c r="AB188" s="1" t="str">
        <f t="shared" si="146"/>
        <v/>
      </c>
      <c r="AC188" s="1" t="str">
        <f t="shared" si="147"/>
        <v/>
      </c>
      <c r="AD188" s="1" t="str">
        <f>IF($B188="","",MIN(_xlfn.MINIFS($J$2:J188,$I$2:I188,$I188),_xlfn.MINIFS($K$2:K188,$I$2:I188,$I188)))</f>
        <v/>
      </c>
      <c r="AE188" s="1" t="str">
        <f t="shared" si="148"/>
        <v/>
      </c>
      <c r="AF188" s="1" t="str">
        <f t="shared" si="149"/>
        <v/>
      </c>
      <c r="AG188" s="1" t="str">
        <f t="shared" si="150"/>
        <v/>
      </c>
      <c r="AH188" s="1" t="str">
        <f t="shared" si="151"/>
        <v/>
      </c>
      <c r="AI188" s="1" t="str">
        <f ca="1">IF($B188="","",IF($K188="",0,OFFSET($CO$17,R188,W188)))</f>
        <v/>
      </c>
      <c r="AJ188" s="1" t="str">
        <f t="shared" ca="1" si="152"/>
        <v/>
      </c>
      <c r="AK188" s="1" t="str">
        <f ca="1">IF(AJ188="","",IF(AJ188=0,0,IF(W188=1,0,SUM(OFFSET($CO$17,N188,1):OFFSET($CO$17,N188+W188-2,1))/W188)))</f>
        <v/>
      </c>
      <c r="AL188" s="1" t="str">
        <f t="shared" si="153"/>
        <v/>
      </c>
      <c r="AM188" s="1" t="str">
        <f>IF($B188="","",SUMIFS($AL$2:AL188,$I$2:I188,$I188))</f>
        <v/>
      </c>
      <c r="AN188" s="1" t="str">
        <f t="shared" si="154"/>
        <v/>
      </c>
      <c r="AO188" s="1" t="str">
        <f>IFERROR(IF($B188="","",AVERAGEIFS($L$2:L188,$I$2:I188,I188,$L$2:L188,"&lt;&gt;0")),0)</f>
        <v/>
      </c>
      <c r="AP188" s="1" t="str">
        <f t="shared" si="155"/>
        <v/>
      </c>
      <c r="AQ188" s="1" t="str">
        <f>IF($B188="","",COUNTIFS($R$2:R188,1,$I$2:I188,$I188))</f>
        <v/>
      </c>
      <c r="AR188" s="1" t="str">
        <f t="array" ref="AR188">IF($B188="","",SUMPRODUCT(--($B$2:$B$313=B188),--(AM188&lt;$AM$2:$AM$313))+1)</f>
        <v/>
      </c>
      <c r="AS188" s="1" t="str">
        <f t="array" ref="AS188">IF($B188="","",SUMPRODUCT(--($B$2:$B$313=B188),--(AP188&lt;$AP$2:$AP$313))+1)</f>
        <v/>
      </c>
      <c r="AT188" s="1" t="str">
        <f t="array" ref="AT188">IF($B188="","",SUMPRODUCT(--($B$2:$B$313=B188),--(AQ188&lt;$AQ$2:$AQ$313))+1)</f>
        <v/>
      </c>
      <c r="AU188" s="1" t="str">
        <f t="shared" si="156"/>
        <v/>
      </c>
      <c r="AV188" s="1" t="str">
        <f t="shared" si="157"/>
        <v/>
      </c>
      <c r="AW188" s="1" t="str">
        <f t="shared" si="129"/>
        <v/>
      </c>
      <c r="AX188" s="1" t="str">
        <f t="shared" si="158"/>
        <v/>
      </c>
      <c r="AY188" s="8" t="str">
        <f t="shared" si="159"/>
        <v/>
      </c>
      <c r="AZ188" s="1" t="str" cm="1">
        <f t="array" ref="AZ188">IF($B188="","",SUMPRODUCT(--($B$2:$B$313=B188),--(AY188&gt;$AY$2:$AY$313))+1)</f>
        <v/>
      </c>
      <c r="BA188" s="1" t="str">
        <f t="shared" si="160"/>
        <v/>
      </c>
      <c r="BB188" s="1" t="str">
        <f t="shared" si="161"/>
        <v/>
      </c>
      <c r="BC188" s="1" t="str">
        <f t="shared" si="162"/>
        <v/>
      </c>
      <c r="BD188" s="1" t="str">
        <f t="shared" si="163"/>
        <v/>
      </c>
      <c r="BE188" s="1" t="str">
        <f t="shared" si="164"/>
        <v/>
      </c>
      <c r="BF188" s="1" t="str">
        <f t="shared" si="165"/>
        <v/>
      </c>
      <c r="BG188" s="1" t="str">
        <f t="shared" si="166"/>
        <v/>
      </c>
      <c r="BH188" s="1" t="str">
        <f t="shared" si="167"/>
        <v/>
      </c>
      <c r="BI188" s="1" t="str">
        <f t="shared" si="168"/>
        <v/>
      </c>
      <c r="BJ188" s="1" t="str">
        <f t="shared" si="169"/>
        <v/>
      </c>
      <c r="BK188" s="1" t="str">
        <f t="shared" si="170"/>
        <v/>
      </c>
      <c r="BL188" s="1" t="str">
        <f t="shared" si="171"/>
        <v/>
      </c>
      <c r="BM188" s="1" t="str">
        <f t="shared" si="172"/>
        <v/>
      </c>
      <c r="BN188" s="1" t="str">
        <f t="shared" si="173"/>
        <v/>
      </c>
      <c r="BO188" s="1" t="str">
        <f t="shared" si="130"/>
        <v/>
      </c>
      <c r="BP188" s="1" t="str">
        <f t="shared" si="131"/>
        <v/>
      </c>
      <c r="BQ188" s="1" t="str" cm="1">
        <f t="array" ref="BQ188">IF(I188="","",IF(BP188=1,"",IF(L188=0,"",IF(B188=1,"",_xlfn.XLOOKUP(1,($I$2:$I$313=$I188)*($B$2:$B$313=($B188-1)),$BO$2:$BO$313)))))</f>
        <v/>
      </c>
      <c r="BR188" s="1" t="str">
        <f>IF(I188="","",IF($B188=1,_xlfn.MINIFS($BO$2:$BO$313,$B$2:$B$313,$B188),_xlfn.MINIFS(BQ$2:$BQ$313,$B$2:$B$313,$B188)))</f>
        <v/>
      </c>
      <c r="BS188" s="1" t="str">
        <f t="shared" si="174"/>
        <v/>
      </c>
      <c r="BT188" s="1" t="str" cm="1">
        <f t="array" ref="BT188">IF($I188="","",IF($B188=1,_xlfn.XLOOKUP(1,($B$2:$B$313=$B188)*($BO$2:$BO$313=BR188),Data!$I$2:$I$313,,0),_xlfn.XLOOKUP(1,($B$2:$B$313=$B188)*($BQ$2:$BQ$313=$BR188),$I$2:$I$313,,0)))</f>
        <v/>
      </c>
      <c r="BU188" s="1" t="str" cm="1">
        <f t="array" ref="BU188">IF(I188="","",IF($B188=1,_xlfn.XLOOKUP(1,($B$2:$B$313=$B188)*($BO$2:$BO$313=$BS188),$I$2:$I$313,,0),_xlfn.XLOOKUP(1,($B$2:$B$313=$B188)*($BQ$2:$BQ$313=$BS188),$I$2:$I$313,,0)))</f>
        <v/>
      </c>
      <c r="BV188" s="1" t="str" cm="1">
        <f t="array" ref="BV188">IF($I188="","",IF($B188=1,"",IF($B188=2,_xlfn.XLOOKUP(1,($B$2:$B$313=1)*($BO$2:$BO$313=1),$I$2:$I$313,,0),_xlfn.XLOOKUP($B188-1,$B$2:$B$313,$CH$2:$CH$313,,0))))</f>
        <v/>
      </c>
      <c r="BW188" s="1" t="str" cm="1">
        <f t="array" ref="BW188">IF($I188="","",IF($B188=1,"",IF(_xlfn.XLOOKUP(1,($B$2:$B$313=$B188)*($I$2:$I$313=$BV188),$BQ$2:$BQ$313,,0)="","NOK","OK")))</f>
        <v/>
      </c>
      <c r="BX188" s="1" t="str">
        <f t="shared" si="175"/>
        <v/>
      </c>
      <c r="BY188" s="1" t="str">
        <f t="shared" si="176"/>
        <v/>
      </c>
      <c r="BZ188" s="1" t="str">
        <f t="shared" si="177"/>
        <v/>
      </c>
      <c r="CA188" s="1" t="str">
        <f t="shared" si="178"/>
        <v/>
      </c>
      <c r="CB188" s="1" t="str">
        <f t="shared" si="179"/>
        <v/>
      </c>
      <c r="CC188" s="1" t="str">
        <f t="shared" si="180"/>
        <v/>
      </c>
      <c r="CD188" s="1" t="str">
        <f t="shared" si="181"/>
        <v/>
      </c>
      <c r="CE188" s="1" t="str">
        <f t="shared" si="182"/>
        <v/>
      </c>
      <c r="CF188" s="1" t="str">
        <f t="shared" si="183"/>
        <v/>
      </c>
      <c r="CG188" s="1" t="str">
        <f t="shared" si="184"/>
        <v/>
      </c>
      <c r="CH188" s="1" t="str">
        <f t="shared" si="185"/>
        <v/>
      </c>
      <c r="CI188" s="1" t="str">
        <f t="shared" si="186"/>
        <v/>
      </c>
      <c r="CJ188" s="1" t="str">
        <f>IF(B188="","",IF(SUM(AI188:AK188)&gt;0,"+SP","")&amp;IF(CI188&gt;0,"+KK","")&amp;IF(AB188&gt;0,"+KGP1","")&amp;IF(AC188&gt;0,"+KGP2","")&amp;IF(AG188&lt;0,"-KGP1","")&amp;IF(AH188&lt;0,"-KGP2",""))</f>
        <v/>
      </c>
    </row>
    <row r="189" spans="1:88" x14ac:dyDescent="0.25">
      <c r="A189" s="1">
        <f>IFERROR(IF(ROW(A188)=1,1,IF(1+A188&lt;=$CP$1*$CP$2,1+A188,"")),"")</f>
        <v>188</v>
      </c>
      <c r="B189" s="1" t="str">
        <f>IF($I189="","",IF(ROW(B188)=1,1,ROUNDUP(A189/$CP$2,0)))</f>
        <v/>
      </c>
      <c r="C189" s="4" t="str">
        <f t="shared" si="132"/>
        <v/>
      </c>
      <c r="D189" s="4" t="str">
        <f t="shared" si="126"/>
        <v/>
      </c>
      <c r="E189" s="1" t="str">
        <f>IF($B189="","",COUNTIF($B$2:B189,B189))</f>
        <v/>
      </c>
      <c r="F189" s="1" t="str">
        <f t="shared" si="127"/>
        <v/>
      </c>
      <c r="G189" s="1" t="str">
        <f t="shared" si="133"/>
        <v/>
      </c>
      <c r="H189" s="1">
        <f t="shared" si="134"/>
        <v>0</v>
      </c>
      <c r="I189" s="3"/>
      <c r="J189" s="3"/>
      <c r="K189" s="3"/>
      <c r="L189" s="1" t="str">
        <f t="shared" si="135"/>
        <v/>
      </c>
      <c r="M189" s="1" t="str">
        <f t="shared" si="136"/>
        <v/>
      </c>
      <c r="N189" s="1" t="str">
        <f t="shared" si="137"/>
        <v/>
      </c>
      <c r="O189" s="1" t="str">
        <f t="shared" si="138"/>
        <v/>
      </c>
      <c r="P189" s="1" t="str">
        <f t="shared" si="139"/>
        <v/>
      </c>
      <c r="Q189" s="1" t="str">
        <f t="array" ref="Q189">IF($B189="","",IF(MAX(IF(B189=$B$2:$B$313,$L$2:$L$313))-L189=0,"",MAX(IF(B189=$B$2:$B$313,$L$2:$L$313))-L189))</f>
        <v/>
      </c>
      <c r="R189" s="1" t="str">
        <f t="array" ref="R189">IF($B189="","",SUMPRODUCT(--($B$2:$B$313=B189),--(L189&lt;$L$2:$L$313))+1)</f>
        <v/>
      </c>
      <c r="S189" s="1" t="str">
        <f t="shared" si="140"/>
        <v/>
      </c>
      <c r="T189" s="1" t="str" cm="1">
        <f t="array" ref="T189">IF($B189="","",IF(M189=0,"",SUMPRODUCT(--($B$2:$B$313=B189),--(J189&lt;$J$2:$J$313))+1))</f>
        <v/>
      </c>
      <c r="U189" s="1" t="str">
        <f t="shared" si="141"/>
        <v/>
      </c>
      <c r="V189" s="1" t="str">
        <f t="shared" si="142"/>
        <v/>
      </c>
      <c r="W189" s="1" t="str">
        <f t="shared" si="143"/>
        <v/>
      </c>
      <c r="X189" s="1" t="str">
        <f t="shared" si="128"/>
        <v/>
      </c>
      <c r="Y189" s="1" t="str">
        <f>IF($B189="","",MAX(_xlfn.MAXIFS($J$2:J189,$I$2:I189,$I189),_xlfn.MAXIFS($K$2:K189,$I$2:I189,$I189)))</f>
        <v/>
      </c>
      <c r="Z189" s="1" t="str">
        <f t="shared" si="144"/>
        <v/>
      </c>
      <c r="AA189" s="1" t="str">
        <f t="shared" si="145"/>
        <v/>
      </c>
      <c r="AB189" s="1" t="str">
        <f t="shared" si="146"/>
        <v/>
      </c>
      <c r="AC189" s="1" t="str">
        <f t="shared" si="147"/>
        <v/>
      </c>
      <c r="AD189" s="1" t="str">
        <f>IF($B189="","",MIN(_xlfn.MINIFS($J$2:J189,$I$2:I189,$I189),_xlfn.MINIFS($K$2:K189,$I$2:I189,$I189)))</f>
        <v/>
      </c>
      <c r="AE189" s="1" t="str">
        <f t="shared" si="148"/>
        <v/>
      </c>
      <c r="AF189" s="1" t="str">
        <f t="shared" si="149"/>
        <v/>
      </c>
      <c r="AG189" s="1" t="str">
        <f t="shared" si="150"/>
        <v/>
      </c>
      <c r="AH189" s="1" t="str">
        <f t="shared" si="151"/>
        <v/>
      </c>
      <c r="AI189" s="1" t="str">
        <f ca="1">IF($B189="","",IF($K189="",0,OFFSET($CO$17,R189,W189)))</f>
        <v/>
      </c>
      <c r="AJ189" s="1" t="str">
        <f t="shared" ca="1" si="152"/>
        <v/>
      </c>
      <c r="AK189" s="1" t="str">
        <f ca="1">IF(AJ189="","",IF(AJ189=0,0,IF(W189=1,0,SUM(OFFSET($CO$17,N189,1):OFFSET($CO$17,N189+W189-2,1))/W189)))</f>
        <v/>
      </c>
      <c r="AL189" s="1" t="str">
        <f t="shared" si="153"/>
        <v/>
      </c>
      <c r="AM189" s="1" t="str">
        <f>IF($B189="","",SUMIFS($AL$2:AL189,$I$2:I189,$I189))</f>
        <v/>
      </c>
      <c r="AN189" s="1" t="str">
        <f t="shared" si="154"/>
        <v/>
      </c>
      <c r="AO189" s="1" t="str">
        <f>IFERROR(IF($B189="","",AVERAGEIFS($L$2:L189,$I$2:I189,I189,$L$2:L189,"&lt;&gt;0")),0)</f>
        <v/>
      </c>
      <c r="AP189" s="1" t="str">
        <f t="shared" si="155"/>
        <v/>
      </c>
      <c r="AQ189" s="1" t="str">
        <f>IF($B189="","",COUNTIFS($R$2:R189,1,$I$2:I189,$I189))</f>
        <v/>
      </c>
      <c r="AR189" s="1" t="str">
        <f t="array" ref="AR189">IF($B189="","",SUMPRODUCT(--($B$2:$B$313=B189),--(AM189&lt;$AM$2:$AM$313))+1)</f>
        <v/>
      </c>
      <c r="AS189" s="1" t="str">
        <f t="array" ref="AS189">IF($B189="","",SUMPRODUCT(--($B$2:$B$313=B189),--(AP189&lt;$AP$2:$AP$313))+1)</f>
        <v/>
      </c>
      <c r="AT189" s="1" t="str">
        <f t="array" ref="AT189">IF($B189="","",SUMPRODUCT(--($B$2:$B$313=B189),--(AQ189&lt;$AQ$2:$AQ$313))+1)</f>
        <v/>
      </c>
      <c r="AU189" s="1" t="str">
        <f t="shared" si="156"/>
        <v/>
      </c>
      <c r="AV189" s="1" t="str">
        <f t="shared" si="157"/>
        <v/>
      </c>
      <c r="AW189" s="1" t="str">
        <f t="shared" si="129"/>
        <v/>
      </c>
      <c r="AX189" s="1" t="str">
        <f t="shared" si="158"/>
        <v/>
      </c>
      <c r="AY189" s="8" t="str">
        <f t="shared" si="159"/>
        <v/>
      </c>
      <c r="AZ189" s="1" t="str" cm="1">
        <f t="array" ref="AZ189">IF($B189="","",SUMPRODUCT(--($B$2:$B$313=B189),--(AY189&gt;$AY$2:$AY$313))+1)</f>
        <v/>
      </c>
      <c r="BA189" s="1" t="str">
        <f t="shared" si="160"/>
        <v/>
      </c>
      <c r="BB189" s="1" t="str">
        <f t="shared" si="161"/>
        <v/>
      </c>
      <c r="BC189" s="1" t="str">
        <f t="shared" si="162"/>
        <v/>
      </c>
      <c r="BD189" s="1" t="str">
        <f t="shared" si="163"/>
        <v/>
      </c>
      <c r="BE189" s="1" t="str">
        <f t="shared" si="164"/>
        <v/>
      </c>
      <c r="BF189" s="1" t="str">
        <f t="shared" si="165"/>
        <v/>
      </c>
      <c r="BG189" s="1" t="str">
        <f t="shared" si="166"/>
        <v/>
      </c>
      <c r="BH189" s="1" t="str">
        <f t="shared" si="167"/>
        <v/>
      </c>
      <c r="BI189" s="1" t="str">
        <f t="shared" si="168"/>
        <v/>
      </c>
      <c r="BJ189" s="1" t="str">
        <f t="shared" si="169"/>
        <v/>
      </c>
      <c r="BK189" s="1" t="str">
        <f t="shared" si="170"/>
        <v/>
      </c>
      <c r="BL189" s="1" t="str">
        <f t="shared" si="171"/>
        <v/>
      </c>
      <c r="BM189" s="1" t="str">
        <f t="shared" si="172"/>
        <v/>
      </c>
      <c r="BN189" s="1" t="str">
        <f t="shared" si="173"/>
        <v/>
      </c>
      <c r="BO189" s="1" t="str">
        <f t="shared" si="130"/>
        <v/>
      </c>
      <c r="BP189" s="1" t="str">
        <f t="shared" si="131"/>
        <v/>
      </c>
      <c r="BQ189" s="1" t="str" cm="1">
        <f t="array" ref="BQ189">IF(I189="","",IF(BP189=1,"",IF(L189=0,"",IF(B189=1,"",_xlfn.XLOOKUP(1,($I$2:$I$313=$I189)*($B$2:$B$313=($B189-1)),$BO$2:$BO$313)))))</f>
        <v/>
      </c>
      <c r="BR189" s="1" t="str">
        <f>IF(I189="","",IF($B189=1,_xlfn.MINIFS($BO$2:$BO$313,$B$2:$B$313,$B189),_xlfn.MINIFS(BQ$2:$BQ$313,$B$2:$B$313,$B189)))</f>
        <v/>
      </c>
      <c r="BS189" s="1" t="str">
        <f t="shared" si="174"/>
        <v/>
      </c>
      <c r="BT189" s="1" t="str" cm="1">
        <f t="array" ref="BT189">IF($I189="","",IF($B189=1,_xlfn.XLOOKUP(1,($B$2:$B$313=$B189)*($BO$2:$BO$313=BR189),Data!$I$2:$I$313,,0),_xlfn.XLOOKUP(1,($B$2:$B$313=$B189)*($BQ$2:$BQ$313=$BR189),$I$2:$I$313,,0)))</f>
        <v/>
      </c>
      <c r="BU189" s="1" t="str" cm="1">
        <f t="array" ref="BU189">IF(I189="","",IF($B189=1,_xlfn.XLOOKUP(1,($B$2:$B$313=$B189)*($BO$2:$BO$313=$BS189),$I$2:$I$313,,0),_xlfn.XLOOKUP(1,($B$2:$B$313=$B189)*($BQ$2:$BQ$313=$BS189),$I$2:$I$313,,0)))</f>
        <v/>
      </c>
      <c r="BV189" s="1" t="str" cm="1">
        <f t="array" ref="BV189">IF($I189="","",IF($B189=1,"",IF($B189=2,_xlfn.XLOOKUP(1,($B$2:$B$313=1)*($BO$2:$BO$313=1),$I$2:$I$313,,0),_xlfn.XLOOKUP($B189-1,$B$2:$B$313,$CH$2:$CH$313,,0))))</f>
        <v/>
      </c>
      <c r="BW189" s="1" t="str" cm="1">
        <f t="array" ref="BW189">IF($I189="","",IF($B189=1,"",IF(_xlfn.XLOOKUP(1,($B$2:$B$313=$B189)*($I$2:$I$313=$BV189),$BQ$2:$BQ$313,,0)="","NOK","OK")))</f>
        <v/>
      </c>
      <c r="BX189" s="1" t="str">
        <f t="shared" si="175"/>
        <v/>
      </c>
      <c r="BY189" s="1" t="str">
        <f t="shared" si="176"/>
        <v/>
      </c>
      <c r="BZ189" s="1" t="str">
        <f t="shared" si="177"/>
        <v/>
      </c>
      <c r="CA189" s="1" t="str">
        <f t="shared" si="178"/>
        <v/>
      </c>
      <c r="CB189" s="1" t="str">
        <f t="shared" si="179"/>
        <v/>
      </c>
      <c r="CC189" s="1" t="str">
        <f t="shared" si="180"/>
        <v/>
      </c>
      <c r="CD189" s="1" t="str">
        <f t="shared" si="181"/>
        <v/>
      </c>
      <c r="CE189" s="1" t="str">
        <f t="shared" si="182"/>
        <v/>
      </c>
      <c r="CF189" s="1" t="str">
        <f t="shared" si="183"/>
        <v/>
      </c>
      <c r="CG189" s="1" t="str">
        <f t="shared" si="184"/>
        <v/>
      </c>
      <c r="CH189" s="1" t="str">
        <f t="shared" si="185"/>
        <v/>
      </c>
      <c r="CI189" s="1" t="str">
        <f t="shared" si="186"/>
        <v/>
      </c>
      <c r="CJ189" s="1" t="str">
        <f>IF(B189="","",IF(SUM(AI189:AK189)&gt;0,"+SP","")&amp;IF(CI189&gt;0,"+KK","")&amp;IF(AB189&gt;0,"+KGP1","")&amp;IF(AC189&gt;0,"+KGP2","")&amp;IF(AG189&lt;0,"-KGP1","")&amp;IF(AH189&lt;0,"-KGP2",""))</f>
        <v/>
      </c>
    </row>
    <row r="190" spans="1:88" x14ac:dyDescent="0.25">
      <c r="A190" s="1">
        <f>IFERROR(IF(ROW(A189)=1,1,IF(1+A189&lt;=$CP$1*$CP$2,1+A189,"")),"")</f>
        <v>189</v>
      </c>
      <c r="B190" s="1" t="str">
        <f>IF($I190="","",IF(ROW(B189)=1,1,ROUNDUP(A190/$CP$2,0)))</f>
        <v/>
      </c>
      <c r="C190" s="4" t="str">
        <f t="shared" si="132"/>
        <v/>
      </c>
      <c r="D190" s="4" t="str">
        <f t="shared" si="126"/>
        <v/>
      </c>
      <c r="E190" s="1" t="str">
        <f>IF($B190="","",COUNTIF($B$2:B190,B190))</f>
        <v/>
      </c>
      <c r="F190" s="1" t="str">
        <f t="shared" si="127"/>
        <v/>
      </c>
      <c r="G190" s="1" t="str">
        <f t="shared" si="133"/>
        <v/>
      </c>
      <c r="H190" s="1">
        <f t="shared" si="134"/>
        <v>0</v>
      </c>
      <c r="I190" s="3"/>
      <c r="J190" s="3"/>
      <c r="K190" s="3"/>
      <c r="L190" s="1" t="str">
        <f t="shared" si="135"/>
        <v/>
      </c>
      <c r="M190" s="1" t="str">
        <f t="shared" si="136"/>
        <v/>
      </c>
      <c r="N190" s="1" t="str">
        <f t="shared" si="137"/>
        <v/>
      </c>
      <c r="O190" s="1" t="str">
        <f t="shared" si="138"/>
        <v/>
      </c>
      <c r="P190" s="1" t="str">
        <f t="shared" si="139"/>
        <v/>
      </c>
      <c r="Q190" s="1" t="str">
        <f t="array" ref="Q190">IF($B190="","",IF(MAX(IF(B190=$B$2:$B$313,$L$2:$L$313))-L190=0,"",MAX(IF(B190=$B$2:$B$313,$L$2:$L$313))-L190))</f>
        <v/>
      </c>
      <c r="R190" s="1" t="str">
        <f t="array" ref="R190">IF($B190="","",SUMPRODUCT(--($B$2:$B$313=B190),--(L190&lt;$L$2:$L$313))+1)</f>
        <v/>
      </c>
      <c r="S190" s="1" t="str">
        <f t="shared" si="140"/>
        <v/>
      </c>
      <c r="T190" s="1" t="str" cm="1">
        <f t="array" ref="T190">IF($B190="","",IF(M190=0,"",SUMPRODUCT(--($B$2:$B$313=B190),--(J190&lt;$J$2:$J$313))+1))</f>
        <v/>
      </c>
      <c r="U190" s="1" t="str">
        <f t="shared" si="141"/>
        <v/>
      </c>
      <c r="V190" s="1" t="str">
        <f t="shared" si="142"/>
        <v/>
      </c>
      <c r="W190" s="1" t="str">
        <f t="shared" si="143"/>
        <v/>
      </c>
      <c r="X190" s="1" t="str">
        <f t="shared" si="128"/>
        <v/>
      </c>
      <c r="Y190" s="1" t="str">
        <f>IF($B190="","",MAX(_xlfn.MAXIFS($J$2:J190,$I$2:I190,$I190),_xlfn.MAXIFS($K$2:K190,$I$2:I190,$I190)))</f>
        <v/>
      </c>
      <c r="Z190" s="1" t="str">
        <f t="shared" si="144"/>
        <v/>
      </c>
      <c r="AA190" s="1" t="str">
        <f t="shared" si="145"/>
        <v/>
      </c>
      <c r="AB190" s="1" t="str">
        <f t="shared" si="146"/>
        <v/>
      </c>
      <c r="AC190" s="1" t="str">
        <f t="shared" si="147"/>
        <v/>
      </c>
      <c r="AD190" s="1" t="str">
        <f>IF($B190="","",MIN(_xlfn.MINIFS($J$2:J190,$I$2:I190,$I190),_xlfn.MINIFS($K$2:K190,$I$2:I190,$I190)))</f>
        <v/>
      </c>
      <c r="AE190" s="1" t="str">
        <f t="shared" si="148"/>
        <v/>
      </c>
      <c r="AF190" s="1" t="str">
        <f t="shared" si="149"/>
        <v/>
      </c>
      <c r="AG190" s="1" t="str">
        <f t="shared" si="150"/>
        <v/>
      </c>
      <c r="AH190" s="1" t="str">
        <f t="shared" si="151"/>
        <v/>
      </c>
      <c r="AI190" s="1" t="str">
        <f ca="1">IF($B190="","",IF($K190="",0,OFFSET($CO$17,R190,W190)))</f>
        <v/>
      </c>
      <c r="AJ190" s="1" t="str">
        <f t="shared" ca="1" si="152"/>
        <v/>
      </c>
      <c r="AK190" s="1" t="str">
        <f ca="1">IF(AJ190="","",IF(AJ190=0,0,IF(W190=1,0,SUM(OFFSET($CO$17,N190,1):OFFSET($CO$17,N190+W190-2,1))/W190)))</f>
        <v/>
      </c>
      <c r="AL190" s="1" t="str">
        <f t="shared" si="153"/>
        <v/>
      </c>
      <c r="AM190" s="1" t="str">
        <f>IF($B190="","",SUMIFS($AL$2:AL190,$I$2:I190,$I190))</f>
        <v/>
      </c>
      <c r="AN190" s="1" t="str">
        <f t="shared" si="154"/>
        <v/>
      </c>
      <c r="AO190" s="1" t="str">
        <f>IFERROR(IF($B190="","",AVERAGEIFS($L$2:L190,$I$2:I190,I190,$L$2:L190,"&lt;&gt;0")),0)</f>
        <v/>
      </c>
      <c r="AP190" s="1" t="str">
        <f t="shared" si="155"/>
        <v/>
      </c>
      <c r="AQ190" s="1" t="str">
        <f>IF($B190="","",COUNTIFS($R$2:R190,1,$I$2:I190,$I190))</f>
        <v/>
      </c>
      <c r="AR190" s="1" t="str">
        <f t="array" ref="AR190">IF($B190="","",SUMPRODUCT(--($B$2:$B$313=B190),--(AM190&lt;$AM$2:$AM$313))+1)</f>
        <v/>
      </c>
      <c r="AS190" s="1" t="str">
        <f t="array" ref="AS190">IF($B190="","",SUMPRODUCT(--($B$2:$B$313=B190),--(AP190&lt;$AP$2:$AP$313))+1)</f>
        <v/>
      </c>
      <c r="AT190" s="1" t="str">
        <f t="array" ref="AT190">IF($B190="","",SUMPRODUCT(--($B$2:$B$313=B190),--(AQ190&lt;$AQ$2:$AQ$313))+1)</f>
        <v/>
      </c>
      <c r="AU190" s="1" t="str">
        <f t="shared" si="156"/>
        <v/>
      </c>
      <c r="AV190" s="1" t="str">
        <f t="shared" si="157"/>
        <v/>
      </c>
      <c r="AW190" s="1" t="str">
        <f t="shared" si="129"/>
        <v/>
      </c>
      <c r="AX190" s="1" t="str">
        <f t="shared" si="158"/>
        <v/>
      </c>
      <c r="AY190" s="8" t="str">
        <f t="shared" si="159"/>
        <v/>
      </c>
      <c r="AZ190" s="1" t="str" cm="1">
        <f t="array" ref="AZ190">IF($B190="","",SUMPRODUCT(--($B$2:$B$313=B190),--(AY190&gt;$AY$2:$AY$313))+1)</f>
        <v/>
      </c>
      <c r="BA190" s="1" t="str">
        <f t="shared" si="160"/>
        <v/>
      </c>
      <c r="BB190" s="1" t="str">
        <f t="shared" si="161"/>
        <v/>
      </c>
      <c r="BC190" s="1" t="str">
        <f t="shared" si="162"/>
        <v/>
      </c>
      <c r="BD190" s="1" t="str">
        <f t="shared" si="163"/>
        <v/>
      </c>
      <c r="BE190" s="1" t="str">
        <f t="shared" si="164"/>
        <v/>
      </c>
      <c r="BF190" s="1" t="str">
        <f t="shared" si="165"/>
        <v/>
      </c>
      <c r="BG190" s="1" t="str">
        <f t="shared" si="166"/>
        <v/>
      </c>
      <c r="BH190" s="1" t="str">
        <f t="shared" si="167"/>
        <v/>
      </c>
      <c r="BI190" s="1" t="str">
        <f t="shared" si="168"/>
        <v/>
      </c>
      <c r="BJ190" s="1" t="str">
        <f t="shared" si="169"/>
        <v/>
      </c>
      <c r="BK190" s="1" t="str">
        <f t="shared" si="170"/>
        <v/>
      </c>
      <c r="BL190" s="1" t="str">
        <f t="shared" si="171"/>
        <v/>
      </c>
      <c r="BM190" s="1" t="str">
        <f t="shared" si="172"/>
        <v/>
      </c>
      <c r="BN190" s="1" t="str">
        <f t="shared" si="173"/>
        <v/>
      </c>
      <c r="BO190" s="1" t="str">
        <f t="shared" si="130"/>
        <v/>
      </c>
      <c r="BP190" s="1" t="str">
        <f t="shared" si="131"/>
        <v/>
      </c>
      <c r="BQ190" s="1" t="str" cm="1">
        <f t="array" ref="BQ190">IF(I190="","",IF(BP190=1,"",IF(L190=0,"",IF(B190=1,"",_xlfn.XLOOKUP(1,($I$2:$I$313=$I190)*($B$2:$B$313=($B190-1)),$BO$2:$BO$313)))))</f>
        <v/>
      </c>
      <c r="BR190" s="1" t="str">
        <f>IF(I190="","",IF($B190=1,_xlfn.MINIFS($BO$2:$BO$313,$B$2:$B$313,$B190),_xlfn.MINIFS(BQ$2:$BQ$313,$B$2:$B$313,$B190)))</f>
        <v/>
      </c>
      <c r="BS190" s="1" t="str">
        <f t="shared" si="174"/>
        <v/>
      </c>
      <c r="BT190" s="1" t="str" cm="1">
        <f t="array" ref="BT190">IF($I190="","",IF($B190=1,_xlfn.XLOOKUP(1,($B$2:$B$313=$B190)*($BO$2:$BO$313=BR190),Data!$I$2:$I$313,,0),_xlfn.XLOOKUP(1,($B$2:$B$313=$B190)*($BQ$2:$BQ$313=$BR190),$I$2:$I$313,,0)))</f>
        <v/>
      </c>
      <c r="BU190" s="1" t="str" cm="1">
        <f t="array" ref="BU190">IF(I190="","",IF($B190=1,_xlfn.XLOOKUP(1,($B$2:$B$313=$B190)*($BO$2:$BO$313=$BS190),$I$2:$I$313,,0),_xlfn.XLOOKUP(1,($B$2:$B$313=$B190)*($BQ$2:$BQ$313=$BS190),$I$2:$I$313,,0)))</f>
        <v/>
      </c>
      <c r="BV190" s="1" t="str" cm="1">
        <f t="array" ref="BV190">IF($I190="","",IF($B190=1,"",IF($B190=2,_xlfn.XLOOKUP(1,($B$2:$B$313=1)*($BO$2:$BO$313=1),$I$2:$I$313,,0),_xlfn.XLOOKUP($B190-1,$B$2:$B$313,$CH$2:$CH$313,,0))))</f>
        <v/>
      </c>
      <c r="BW190" s="1" t="str" cm="1">
        <f t="array" ref="BW190">IF($I190="","",IF($B190=1,"",IF(_xlfn.XLOOKUP(1,($B$2:$B$313=$B190)*($I$2:$I$313=$BV190),$BQ$2:$BQ$313,,0)="","NOK","OK")))</f>
        <v/>
      </c>
      <c r="BX190" s="1" t="str">
        <f t="shared" si="175"/>
        <v/>
      </c>
      <c r="BY190" s="1" t="str">
        <f t="shared" si="176"/>
        <v/>
      </c>
      <c r="BZ190" s="1" t="str">
        <f t="shared" si="177"/>
        <v/>
      </c>
      <c r="CA190" s="1" t="str">
        <f t="shared" si="178"/>
        <v/>
      </c>
      <c r="CB190" s="1" t="str">
        <f t="shared" si="179"/>
        <v/>
      </c>
      <c r="CC190" s="1" t="str">
        <f t="shared" si="180"/>
        <v/>
      </c>
      <c r="CD190" s="1" t="str">
        <f t="shared" si="181"/>
        <v/>
      </c>
      <c r="CE190" s="1" t="str">
        <f t="shared" si="182"/>
        <v/>
      </c>
      <c r="CF190" s="1" t="str">
        <f t="shared" si="183"/>
        <v/>
      </c>
      <c r="CG190" s="1" t="str">
        <f t="shared" si="184"/>
        <v/>
      </c>
      <c r="CH190" s="1" t="str">
        <f t="shared" si="185"/>
        <v/>
      </c>
      <c r="CI190" s="1" t="str">
        <f t="shared" si="186"/>
        <v/>
      </c>
      <c r="CJ190" s="1" t="str">
        <f>IF(B190="","",IF(SUM(AI190:AK190)&gt;0,"+SP","")&amp;IF(CI190&gt;0,"+KK","")&amp;IF(AB190&gt;0,"+KGP1","")&amp;IF(AC190&gt;0,"+KGP2","")&amp;IF(AG190&lt;0,"-KGP1","")&amp;IF(AH190&lt;0,"-KGP2",""))</f>
        <v/>
      </c>
    </row>
    <row r="191" spans="1:88" x14ac:dyDescent="0.25">
      <c r="A191" s="1">
        <f>IFERROR(IF(ROW(A190)=1,1,IF(1+A190&lt;=$CP$1*$CP$2,1+A190,"")),"")</f>
        <v>190</v>
      </c>
      <c r="B191" s="1" t="str">
        <f>IF($I191="","",IF(ROW(B190)=1,1,ROUNDUP(A191/$CP$2,0)))</f>
        <v/>
      </c>
      <c r="C191" s="4" t="str">
        <f t="shared" si="132"/>
        <v/>
      </c>
      <c r="D191" s="4" t="str">
        <f t="shared" si="126"/>
        <v/>
      </c>
      <c r="E191" s="1" t="str">
        <f>IF($B191="","",COUNTIF($B$2:B191,B191))</f>
        <v/>
      </c>
      <c r="F191" s="1" t="str">
        <f t="shared" si="127"/>
        <v/>
      </c>
      <c r="G191" s="1" t="str">
        <f t="shared" si="133"/>
        <v/>
      </c>
      <c r="H191" s="1">
        <f t="shared" si="134"/>
        <v>0</v>
      </c>
      <c r="I191" s="3"/>
      <c r="J191" s="3"/>
      <c r="K191" s="3"/>
      <c r="L191" s="1" t="str">
        <f t="shared" si="135"/>
        <v/>
      </c>
      <c r="M191" s="1" t="str">
        <f t="shared" si="136"/>
        <v/>
      </c>
      <c r="N191" s="1" t="str">
        <f t="shared" si="137"/>
        <v/>
      </c>
      <c r="O191" s="1" t="str">
        <f t="shared" si="138"/>
        <v/>
      </c>
      <c r="P191" s="1" t="str">
        <f t="shared" si="139"/>
        <v/>
      </c>
      <c r="Q191" s="1" t="str">
        <f t="array" ref="Q191">IF($B191="","",IF(MAX(IF(B191=$B$2:$B$313,$L$2:$L$313))-L191=0,"",MAX(IF(B191=$B$2:$B$313,$L$2:$L$313))-L191))</f>
        <v/>
      </c>
      <c r="R191" s="1" t="str">
        <f t="array" ref="R191">IF($B191="","",SUMPRODUCT(--($B$2:$B$313=B191),--(L191&lt;$L$2:$L$313))+1)</f>
        <v/>
      </c>
      <c r="S191" s="1" t="str">
        <f t="shared" si="140"/>
        <v/>
      </c>
      <c r="T191" s="1" t="str" cm="1">
        <f t="array" ref="T191">IF($B191="","",IF(M191=0,"",SUMPRODUCT(--($B$2:$B$313=B191),--(J191&lt;$J$2:$J$313))+1))</f>
        <v/>
      </c>
      <c r="U191" s="1" t="str">
        <f t="shared" si="141"/>
        <v/>
      </c>
      <c r="V191" s="1" t="str">
        <f t="shared" si="142"/>
        <v/>
      </c>
      <c r="W191" s="1" t="str">
        <f t="shared" si="143"/>
        <v/>
      </c>
      <c r="X191" s="1" t="str">
        <f t="shared" si="128"/>
        <v/>
      </c>
      <c r="Y191" s="1" t="str">
        <f>IF($B191="","",MAX(_xlfn.MAXIFS($J$2:J191,$I$2:I191,$I191),_xlfn.MAXIFS($K$2:K191,$I$2:I191,$I191)))</f>
        <v/>
      </c>
      <c r="Z191" s="1" t="str">
        <f t="shared" si="144"/>
        <v/>
      </c>
      <c r="AA191" s="1" t="str">
        <f t="shared" si="145"/>
        <v/>
      </c>
      <c r="AB191" s="1" t="str">
        <f t="shared" si="146"/>
        <v/>
      </c>
      <c r="AC191" s="1" t="str">
        <f t="shared" si="147"/>
        <v/>
      </c>
      <c r="AD191" s="1" t="str">
        <f>IF($B191="","",MIN(_xlfn.MINIFS($J$2:J191,$I$2:I191,$I191),_xlfn.MINIFS($K$2:K191,$I$2:I191,$I191)))</f>
        <v/>
      </c>
      <c r="AE191" s="1" t="str">
        <f t="shared" si="148"/>
        <v/>
      </c>
      <c r="AF191" s="1" t="str">
        <f t="shared" si="149"/>
        <v/>
      </c>
      <c r="AG191" s="1" t="str">
        <f t="shared" si="150"/>
        <v/>
      </c>
      <c r="AH191" s="1" t="str">
        <f t="shared" si="151"/>
        <v/>
      </c>
      <c r="AI191" s="1" t="str">
        <f ca="1">IF($B191="","",IF($K191="",0,OFFSET($CO$17,R191,W191)))</f>
        <v/>
      </c>
      <c r="AJ191" s="1" t="str">
        <f t="shared" ca="1" si="152"/>
        <v/>
      </c>
      <c r="AK191" s="1" t="str">
        <f ca="1">IF(AJ191="","",IF(AJ191=0,0,IF(W191=1,0,SUM(OFFSET($CO$17,N191,1):OFFSET($CO$17,N191+W191-2,1))/W191)))</f>
        <v/>
      </c>
      <c r="AL191" s="1" t="str">
        <f t="shared" si="153"/>
        <v/>
      </c>
      <c r="AM191" s="1" t="str">
        <f>IF($B191="","",SUMIFS($AL$2:AL191,$I$2:I191,$I191))</f>
        <v/>
      </c>
      <c r="AN191" s="1" t="str">
        <f t="shared" si="154"/>
        <v/>
      </c>
      <c r="AO191" s="1" t="str">
        <f>IFERROR(IF($B191="","",AVERAGEIFS($L$2:L191,$I$2:I191,I191,$L$2:L191,"&lt;&gt;0")),0)</f>
        <v/>
      </c>
      <c r="AP191" s="1" t="str">
        <f t="shared" si="155"/>
        <v/>
      </c>
      <c r="AQ191" s="1" t="str">
        <f>IF($B191="","",COUNTIFS($R$2:R191,1,$I$2:I191,$I191))</f>
        <v/>
      </c>
      <c r="AR191" s="1" t="str">
        <f t="array" ref="AR191">IF($B191="","",SUMPRODUCT(--($B$2:$B$313=B191),--(AM191&lt;$AM$2:$AM$313))+1)</f>
        <v/>
      </c>
      <c r="AS191" s="1" t="str">
        <f t="array" ref="AS191">IF($B191="","",SUMPRODUCT(--($B$2:$B$313=B191),--(AP191&lt;$AP$2:$AP$313))+1)</f>
        <v/>
      </c>
      <c r="AT191" s="1" t="str">
        <f t="array" ref="AT191">IF($B191="","",SUMPRODUCT(--($B$2:$B$313=B191),--(AQ191&lt;$AQ$2:$AQ$313))+1)</f>
        <v/>
      </c>
      <c r="AU191" s="1" t="str">
        <f t="shared" si="156"/>
        <v/>
      </c>
      <c r="AV191" s="1" t="str">
        <f t="shared" si="157"/>
        <v/>
      </c>
      <c r="AW191" s="1" t="str">
        <f t="shared" si="129"/>
        <v/>
      </c>
      <c r="AX191" s="1" t="str">
        <f t="shared" si="158"/>
        <v/>
      </c>
      <c r="AY191" s="8" t="str">
        <f t="shared" si="159"/>
        <v/>
      </c>
      <c r="AZ191" s="1" t="str" cm="1">
        <f t="array" ref="AZ191">IF($B191="","",SUMPRODUCT(--($B$2:$B$313=B191),--(AY191&gt;$AY$2:$AY$313))+1)</f>
        <v/>
      </c>
      <c r="BA191" s="1" t="str">
        <f t="shared" si="160"/>
        <v/>
      </c>
      <c r="BB191" s="1" t="str">
        <f t="shared" si="161"/>
        <v/>
      </c>
      <c r="BC191" s="1" t="str">
        <f t="shared" si="162"/>
        <v/>
      </c>
      <c r="BD191" s="1" t="str">
        <f t="shared" si="163"/>
        <v/>
      </c>
      <c r="BE191" s="1" t="str">
        <f t="shared" si="164"/>
        <v/>
      </c>
      <c r="BF191" s="1" t="str">
        <f t="shared" si="165"/>
        <v/>
      </c>
      <c r="BG191" s="1" t="str">
        <f t="shared" si="166"/>
        <v/>
      </c>
      <c r="BH191" s="1" t="str">
        <f t="shared" si="167"/>
        <v/>
      </c>
      <c r="BI191" s="1" t="str">
        <f t="shared" si="168"/>
        <v/>
      </c>
      <c r="BJ191" s="1" t="str">
        <f t="shared" si="169"/>
        <v/>
      </c>
      <c r="BK191" s="1" t="str">
        <f t="shared" si="170"/>
        <v/>
      </c>
      <c r="BL191" s="1" t="str">
        <f t="shared" si="171"/>
        <v/>
      </c>
      <c r="BM191" s="1" t="str">
        <f t="shared" si="172"/>
        <v/>
      </c>
      <c r="BN191" s="1" t="str">
        <f t="shared" si="173"/>
        <v/>
      </c>
      <c r="BO191" s="1" t="str">
        <f t="shared" si="130"/>
        <v/>
      </c>
      <c r="BP191" s="1" t="str">
        <f t="shared" si="131"/>
        <v/>
      </c>
      <c r="BQ191" s="1" t="str" cm="1">
        <f t="array" ref="BQ191">IF(I191="","",IF(BP191=1,"",IF(L191=0,"",IF(B191=1,"",_xlfn.XLOOKUP(1,($I$2:$I$313=$I191)*($B$2:$B$313=($B191-1)),$BO$2:$BO$313)))))</f>
        <v/>
      </c>
      <c r="BR191" s="1" t="str">
        <f>IF(I191="","",IF($B191=1,_xlfn.MINIFS($BO$2:$BO$313,$B$2:$B$313,$B191),_xlfn.MINIFS(BQ$2:$BQ$313,$B$2:$B$313,$B191)))</f>
        <v/>
      </c>
      <c r="BS191" s="1" t="str">
        <f t="shared" si="174"/>
        <v/>
      </c>
      <c r="BT191" s="1" t="str" cm="1">
        <f t="array" ref="BT191">IF($I191="","",IF($B191=1,_xlfn.XLOOKUP(1,($B$2:$B$313=$B191)*($BO$2:$BO$313=BR191),Data!$I$2:$I$313,,0),_xlfn.XLOOKUP(1,($B$2:$B$313=$B191)*($BQ$2:$BQ$313=$BR191),$I$2:$I$313,,0)))</f>
        <v/>
      </c>
      <c r="BU191" s="1" t="str" cm="1">
        <f t="array" ref="BU191">IF(I191="","",IF($B191=1,_xlfn.XLOOKUP(1,($B$2:$B$313=$B191)*($BO$2:$BO$313=$BS191),$I$2:$I$313,,0),_xlfn.XLOOKUP(1,($B$2:$B$313=$B191)*($BQ$2:$BQ$313=$BS191),$I$2:$I$313,,0)))</f>
        <v/>
      </c>
      <c r="BV191" s="1" t="str" cm="1">
        <f t="array" ref="BV191">IF($I191="","",IF($B191=1,"",IF($B191=2,_xlfn.XLOOKUP(1,($B$2:$B$313=1)*($BO$2:$BO$313=1),$I$2:$I$313,,0),_xlfn.XLOOKUP($B191-1,$B$2:$B$313,$CH$2:$CH$313,,0))))</f>
        <v/>
      </c>
      <c r="BW191" s="1" t="str" cm="1">
        <f t="array" ref="BW191">IF($I191="","",IF($B191=1,"",IF(_xlfn.XLOOKUP(1,($B$2:$B$313=$B191)*($I$2:$I$313=$BV191),$BQ$2:$BQ$313,,0)="","NOK","OK")))</f>
        <v/>
      </c>
      <c r="BX191" s="1" t="str">
        <f t="shared" si="175"/>
        <v/>
      </c>
      <c r="BY191" s="1" t="str">
        <f t="shared" si="176"/>
        <v/>
      </c>
      <c r="BZ191" s="1" t="str">
        <f t="shared" si="177"/>
        <v/>
      </c>
      <c r="CA191" s="1" t="str">
        <f t="shared" si="178"/>
        <v/>
      </c>
      <c r="CB191" s="1" t="str">
        <f t="shared" si="179"/>
        <v/>
      </c>
      <c r="CC191" s="1" t="str">
        <f t="shared" si="180"/>
        <v/>
      </c>
      <c r="CD191" s="1" t="str">
        <f t="shared" si="181"/>
        <v/>
      </c>
      <c r="CE191" s="1" t="str">
        <f t="shared" si="182"/>
        <v/>
      </c>
      <c r="CF191" s="1" t="str">
        <f t="shared" si="183"/>
        <v/>
      </c>
      <c r="CG191" s="1" t="str">
        <f t="shared" si="184"/>
        <v/>
      </c>
      <c r="CH191" s="1" t="str">
        <f t="shared" si="185"/>
        <v/>
      </c>
      <c r="CI191" s="1" t="str">
        <f t="shared" si="186"/>
        <v/>
      </c>
      <c r="CJ191" s="1" t="str">
        <f>IF(B191="","",IF(SUM(AI191:AK191)&gt;0,"+SP","")&amp;IF(CI191&gt;0,"+KK","")&amp;IF(AB191&gt;0,"+KGP1","")&amp;IF(AC191&gt;0,"+KGP2","")&amp;IF(AG191&lt;0,"-KGP1","")&amp;IF(AH191&lt;0,"-KGP2",""))</f>
        <v/>
      </c>
    </row>
    <row r="192" spans="1:88" x14ac:dyDescent="0.25">
      <c r="A192" s="1">
        <f>IFERROR(IF(ROW(A191)=1,1,IF(1+A191&lt;=$CP$1*$CP$2,1+A191,"")),"")</f>
        <v>191</v>
      </c>
      <c r="B192" s="1" t="str">
        <f>IF($I192="","",IF(ROW(B191)=1,1,ROUNDUP(A192/$CP$2,0)))</f>
        <v/>
      </c>
      <c r="C192" s="4" t="str">
        <f t="shared" si="132"/>
        <v/>
      </c>
      <c r="D192" s="4" t="str">
        <f t="shared" si="126"/>
        <v/>
      </c>
      <c r="E192" s="1" t="str">
        <f>IF($B192="","",COUNTIF($B$2:B192,B192))</f>
        <v/>
      </c>
      <c r="F192" s="1" t="str">
        <f t="shared" si="127"/>
        <v/>
      </c>
      <c r="G192" s="1" t="str">
        <f t="shared" si="133"/>
        <v/>
      </c>
      <c r="H192" s="1">
        <f t="shared" si="134"/>
        <v>0</v>
      </c>
      <c r="I192" s="3"/>
      <c r="J192" s="3"/>
      <c r="K192" s="3"/>
      <c r="L192" s="1" t="str">
        <f t="shared" si="135"/>
        <v/>
      </c>
      <c r="M192" s="1" t="str">
        <f t="shared" si="136"/>
        <v/>
      </c>
      <c r="N192" s="1" t="str">
        <f t="shared" si="137"/>
        <v/>
      </c>
      <c r="O192" s="1" t="str">
        <f t="shared" si="138"/>
        <v/>
      </c>
      <c r="P192" s="1" t="str">
        <f t="shared" si="139"/>
        <v/>
      </c>
      <c r="Q192" s="1" t="str">
        <f t="array" ref="Q192">IF($B192="","",IF(MAX(IF(B192=$B$2:$B$313,$L$2:$L$313))-L192=0,"",MAX(IF(B192=$B$2:$B$313,$L$2:$L$313))-L192))</f>
        <v/>
      </c>
      <c r="R192" s="1" t="str">
        <f t="array" ref="R192">IF($B192="","",SUMPRODUCT(--($B$2:$B$313=B192),--(L192&lt;$L$2:$L$313))+1)</f>
        <v/>
      </c>
      <c r="S192" s="1" t="str">
        <f t="shared" si="140"/>
        <v/>
      </c>
      <c r="T192" s="1" t="str" cm="1">
        <f t="array" ref="T192">IF($B192="","",IF(M192=0,"",SUMPRODUCT(--($B$2:$B$313=B192),--(J192&lt;$J$2:$J$313))+1))</f>
        <v/>
      </c>
      <c r="U192" s="1" t="str">
        <f t="shared" si="141"/>
        <v/>
      </c>
      <c r="V192" s="1" t="str">
        <f t="shared" si="142"/>
        <v/>
      </c>
      <c r="W192" s="1" t="str">
        <f t="shared" si="143"/>
        <v/>
      </c>
      <c r="X192" s="1" t="str">
        <f t="shared" si="128"/>
        <v/>
      </c>
      <c r="Y192" s="1" t="str">
        <f>IF($B192="","",MAX(_xlfn.MAXIFS($J$2:J192,$I$2:I192,$I192),_xlfn.MAXIFS($K$2:K192,$I$2:I192,$I192)))</f>
        <v/>
      </c>
      <c r="Z192" s="1" t="str">
        <f t="shared" si="144"/>
        <v/>
      </c>
      <c r="AA192" s="1" t="str">
        <f t="shared" si="145"/>
        <v/>
      </c>
      <c r="AB192" s="1" t="str">
        <f t="shared" si="146"/>
        <v/>
      </c>
      <c r="AC192" s="1" t="str">
        <f t="shared" si="147"/>
        <v/>
      </c>
      <c r="AD192" s="1" t="str">
        <f>IF($B192="","",MIN(_xlfn.MINIFS($J$2:J192,$I$2:I192,$I192),_xlfn.MINIFS($K$2:K192,$I$2:I192,$I192)))</f>
        <v/>
      </c>
      <c r="AE192" s="1" t="str">
        <f t="shared" si="148"/>
        <v/>
      </c>
      <c r="AF192" s="1" t="str">
        <f t="shared" si="149"/>
        <v/>
      </c>
      <c r="AG192" s="1" t="str">
        <f t="shared" si="150"/>
        <v/>
      </c>
      <c r="AH192" s="1" t="str">
        <f t="shared" si="151"/>
        <v/>
      </c>
      <c r="AI192" s="1" t="str">
        <f ca="1">IF($B192="","",IF($K192="",0,OFFSET($CO$17,R192,W192)))</f>
        <v/>
      </c>
      <c r="AJ192" s="1" t="str">
        <f t="shared" ca="1" si="152"/>
        <v/>
      </c>
      <c r="AK192" s="1" t="str">
        <f ca="1">IF(AJ192="","",IF(AJ192=0,0,IF(W192=1,0,SUM(OFFSET($CO$17,N192,1):OFFSET($CO$17,N192+W192-2,1))/W192)))</f>
        <v/>
      </c>
      <c r="AL192" s="1" t="str">
        <f t="shared" si="153"/>
        <v/>
      </c>
      <c r="AM192" s="1" t="str">
        <f>IF($B192="","",SUMIFS($AL$2:AL192,$I$2:I192,$I192))</f>
        <v/>
      </c>
      <c r="AN192" s="1" t="str">
        <f t="shared" si="154"/>
        <v/>
      </c>
      <c r="AO192" s="1" t="str">
        <f>IFERROR(IF($B192="","",AVERAGEIFS($L$2:L192,$I$2:I192,I192,$L$2:L192,"&lt;&gt;0")),0)</f>
        <v/>
      </c>
      <c r="AP192" s="1" t="str">
        <f t="shared" si="155"/>
        <v/>
      </c>
      <c r="AQ192" s="1" t="str">
        <f>IF($B192="","",COUNTIFS($R$2:R192,1,$I$2:I192,$I192))</f>
        <v/>
      </c>
      <c r="AR192" s="1" t="str">
        <f t="array" ref="AR192">IF($B192="","",SUMPRODUCT(--($B$2:$B$313=B192),--(AM192&lt;$AM$2:$AM$313))+1)</f>
        <v/>
      </c>
      <c r="AS192" s="1" t="str">
        <f t="array" ref="AS192">IF($B192="","",SUMPRODUCT(--($B$2:$B$313=B192),--(AP192&lt;$AP$2:$AP$313))+1)</f>
        <v/>
      </c>
      <c r="AT192" s="1" t="str">
        <f t="array" ref="AT192">IF($B192="","",SUMPRODUCT(--($B$2:$B$313=B192),--(AQ192&lt;$AQ$2:$AQ$313))+1)</f>
        <v/>
      </c>
      <c r="AU192" s="1" t="str">
        <f t="shared" si="156"/>
        <v/>
      </c>
      <c r="AV192" s="1" t="str">
        <f t="shared" si="157"/>
        <v/>
      </c>
      <c r="AW192" s="1" t="str">
        <f t="shared" si="129"/>
        <v/>
      </c>
      <c r="AX192" s="1" t="str">
        <f t="shared" si="158"/>
        <v/>
      </c>
      <c r="AY192" s="8" t="str">
        <f t="shared" si="159"/>
        <v/>
      </c>
      <c r="AZ192" s="1" t="str" cm="1">
        <f t="array" ref="AZ192">IF($B192="","",SUMPRODUCT(--($B$2:$B$313=B192),--(AY192&gt;$AY$2:$AY$313))+1)</f>
        <v/>
      </c>
      <c r="BA192" s="1" t="str">
        <f t="shared" si="160"/>
        <v/>
      </c>
      <c r="BB192" s="1" t="str">
        <f t="shared" si="161"/>
        <v/>
      </c>
      <c r="BC192" s="1" t="str">
        <f t="shared" si="162"/>
        <v/>
      </c>
      <c r="BD192" s="1" t="str">
        <f t="shared" si="163"/>
        <v/>
      </c>
      <c r="BE192" s="1" t="str">
        <f t="shared" si="164"/>
        <v/>
      </c>
      <c r="BF192" s="1" t="str">
        <f t="shared" si="165"/>
        <v/>
      </c>
      <c r="BG192" s="1" t="str">
        <f t="shared" si="166"/>
        <v/>
      </c>
      <c r="BH192" s="1" t="str">
        <f t="shared" si="167"/>
        <v/>
      </c>
      <c r="BI192" s="1" t="str">
        <f t="shared" si="168"/>
        <v/>
      </c>
      <c r="BJ192" s="1" t="str">
        <f t="shared" si="169"/>
        <v/>
      </c>
      <c r="BK192" s="1" t="str">
        <f t="shared" si="170"/>
        <v/>
      </c>
      <c r="BL192" s="1" t="str">
        <f t="shared" si="171"/>
        <v/>
      </c>
      <c r="BM192" s="1" t="str">
        <f t="shared" si="172"/>
        <v/>
      </c>
      <c r="BN192" s="1" t="str">
        <f t="shared" si="173"/>
        <v/>
      </c>
      <c r="BO192" s="1" t="str">
        <f t="shared" si="130"/>
        <v/>
      </c>
      <c r="BP192" s="1" t="str">
        <f t="shared" si="131"/>
        <v/>
      </c>
      <c r="BQ192" s="1" t="str" cm="1">
        <f t="array" ref="BQ192">IF(I192="","",IF(BP192=1,"",IF(L192=0,"",IF(B192=1,"",_xlfn.XLOOKUP(1,($I$2:$I$313=$I192)*($B$2:$B$313=($B192-1)),$BO$2:$BO$313)))))</f>
        <v/>
      </c>
      <c r="BR192" s="1" t="str">
        <f>IF(I192="","",IF($B192=1,_xlfn.MINIFS($BO$2:$BO$313,$B$2:$B$313,$B192),_xlfn.MINIFS(BQ$2:$BQ$313,$B$2:$B$313,$B192)))</f>
        <v/>
      </c>
      <c r="BS192" s="1" t="str">
        <f t="shared" si="174"/>
        <v/>
      </c>
      <c r="BT192" s="1" t="str" cm="1">
        <f t="array" ref="BT192">IF($I192="","",IF($B192=1,_xlfn.XLOOKUP(1,($B$2:$B$313=$B192)*($BO$2:$BO$313=BR192),Data!$I$2:$I$313,,0),_xlfn.XLOOKUP(1,($B$2:$B$313=$B192)*($BQ$2:$BQ$313=$BR192),$I$2:$I$313,,0)))</f>
        <v/>
      </c>
      <c r="BU192" s="1" t="str" cm="1">
        <f t="array" ref="BU192">IF(I192="","",IF($B192=1,_xlfn.XLOOKUP(1,($B$2:$B$313=$B192)*($BO$2:$BO$313=$BS192),$I$2:$I$313,,0),_xlfn.XLOOKUP(1,($B$2:$B$313=$B192)*($BQ$2:$BQ$313=$BS192),$I$2:$I$313,,0)))</f>
        <v/>
      </c>
      <c r="BV192" s="1" t="str" cm="1">
        <f t="array" ref="BV192">IF($I192="","",IF($B192=1,"",IF($B192=2,_xlfn.XLOOKUP(1,($B$2:$B$313=1)*($BO$2:$BO$313=1),$I$2:$I$313,,0),_xlfn.XLOOKUP($B192-1,$B$2:$B$313,$CH$2:$CH$313,,0))))</f>
        <v/>
      </c>
      <c r="BW192" s="1" t="str" cm="1">
        <f t="array" ref="BW192">IF($I192="","",IF($B192=1,"",IF(_xlfn.XLOOKUP(1,($B$2:$B$313=$B192)*($I$2:$I$313=$BV192),$BQ$2:$BQ$313,,0)="","NOK","OK")))</f>
        <v/>
      </c>
      <c r="BX192" s="1" t="str">
        <f t="shared" si="175"/>
        <v/>
      </c>
      <c r="BY192" s="1" t="str">
        <f t="shared" si="176"/>
        <v/>
      </c>
      <c r="BZ192" s="1" t="str">
        <f t="shared" si="177"/>
        <v/>
      </c>
      <c r="CA192" s="1" t="str">
        <f t="shared" si="178"/>
        <v/>
      </c>
      <c r="CB192" s="1" t="str">
        <f t="shared" si="179"/>
        <v/>
      </c>
      <c r="CC192" s="1" t="str">
        <f t="shared" si="180"/>
        <v/>
      </c>
      <c r="CD192" s="1" t="str">
        <f t="shared" si="181"/>
        <v/>
      </c>
      <c r="CE192" s="1" t="str">
        <f t="shared" si="182"/>
        <v/>
      </c>
      <c r="CF192" s="1" t="str">
        <f t="shared" si="183"/>
        <v/>
      </c>
      <c r="CG192" s="1" t="str">
        <f t="shared" si="184"/>
        <v/>
      </c>
      <c r="CH192" s="1" t="str">
        <f t="shared" si="185"/>
        <v/>
      </c>
      <c r="CI192" s="1" t="str">
        <f t="shared" si="186"/>
        <v/>
      </c>
      <c r="CJ192" s="1" t="str">
        <f>IF(B192="","",IF(SUM(AI192:AK192)&gt;0,"+SP","")&amp;IF(CI192&gt;0,"+KK","")&amp;IF(AB192&gt;0,"+KGP1","")&amp;IF(AC192&gt;0,"+KGP2","")&amp;IF(AG192&lt;0,"-KGP1","")&amp;IF(AH192&lt;0,"-KGP2",""))</f>
        <v/>
      </c>
    </row>
    <row r="193" spans="1:88" x14ac:dyDescent="0.25">
      <c r="A193" s="1">
        <f>IFERROR(IF(ROW(A192)=1,1,IF(1+A192&lt;=$CP$1*$CP$2,1+A192,"")),"")</f>
        <v>192</v>
      </c>
      <c r="B193" s="1" t="str">
        <f>IF($I193="","",IF(ROW(B192)=1,1,ROUNDUP(A193/$CP$2,0)))</f>
        <v/>
      </c>
      <c r="C193" s="4" t="str">
        <f t="shared" si="132"/>
        <v/>
      </c>
      <c r="D193" s="4" t="str">
        <f t="shared" si="126"/>
        <v/>
      </c>
      <c r="E193" s="1" t="str">
        <f>IF($B193="","",COUNTIF($B$2:B193,B193))</f>
        <v/>
      </c>
      <c r="F193" s="1" t="str">
        <f t="shared" si="127"/>
        <v/>
      </c>
      <c r="G193" s="1" t="str">
        <f t="shared" si="133"/>
        <v/>
      </c>
      <c r="H193" s="1">
        <f t="shared" si="134"/>
        <v>0</v>
      </c>
      <c r="I193" s="3"/>
      <c r="J193" s="3"/>
      <c r="K193" s="3"/>
      <c r="L193" s="1" t="str">
        <f t="shared" si="135"/>
        <v/>
      </c>
      <c r="M193" s="1" t="str">
        <f t="shared" si="136"/>
        <v/>
      </c>
      <c r="N193" s="1" t="str">
        <f t="shared" si="137"/>
        <v/>
      </c>
      <c r="O193" s="1" t="str">
        <f t="shared" si="138"/>
        <v/>
      </c>
      <c r="P193" s="1" t="str">
        <f t="shared" si="139"/>
        <v/>
      </c>
      <c r="Q193" s="1" t="str">
        <f t="array" ref="Q193">IF($B193="","",IF(MAX(IF(B193=$B$2:$B$313,$L$2:$L$313))-L193=0,"",MAX(IF(B193=$B$2:$B$313,$L$2:$L$313))-L193))</f>
        <v/>
      </c>
      <c r="R193" s="1" t="str">
        <f t="array" ref="R193">IF($B193="","",SUMPRODUCT(--($B$2:$B$313=B193),--(L193&lt;$L$2:$L$313))+1)</f>
        <v/>
      </c>
      <c r="S193" s="1" t="str">
        <f t="shared" si="140"/>
        <v/>
      </c>
      <c r="T193" s="1" t="str" cm="1">
        <f t="array" ref="T193">IF($B193="","",IF(M193=0,"",SUMPRODUCT(--($B$2:$B$313=B193),--(J193&lt;$J$2:$J$313))+1))</f>
        <v/>
      </c>
      <c r="U193" s="1" t="str">
        <f t="shared" si="141"/>
        <v/>
      </c>
      <c r="V193" s="1" t="str">
        <f t="shared" si="142"/>
        <v/>
      </c>
      <c r="W193" s="1" t="str">
        <f t="shared" si="143"/>
        <v/>
      </c>
      <c r="X193" s="1" t="str">
        <f t="shared" si="128"/>
        <v/>
      </c>
      <c r="Y193" s="1" t="str">
        <f>IF($B193="","",MAX(_xlfn.MAXIFS($J$2:J193,$I$2:I193,$I193),_xlfn.MAXIFS($K$2:K193,$I$2:I193,$I193)))</f>
        <v/>
      </c>
      <c r="Z193" s="1" t="str">
        <f t="shared" si="144"/>
        <v/>
      </c>
      <c r="AA193" s="1" t="str">
        <f t="shared" si="145"/>
        <v/>
      </c>
      <c r="AB193" s="1" t="str">
        <f t="shared" si="146"/>
        <v/>
      </c>
      <c r="AC193" s="1" t="str">
        <f t="shared" si="147"/>
        <v/>
      </c>
      <c r="AD193" s="1" t="str">
        <f>IF($B193="","",MIN(_xlfn.MINIFS($J$2:J193,$I$2:I193,$I193),_xlfn.MINIFS($K$2:K193,$I$2:I193,$I193)))</f>
        <v/>
      </c>
      <c r="AE193" s="1" t="str">
        <f t="shared" si="148"/>
        <v/>
      </c>
      <c r="AF193" s="1" t="str">
        <f t="shared" si="149"/>
        <v/>
      </c>
      <c r="AG193" s="1" t="str">
        <f t="shared" si="150"/>
        <v/>
      </c>
      <c r="AH193" s="1" t="str">
        <f t="shared" si="151"/>
        <v/>
      </c>
      <c r="AI193" s="1" t="str">
        <f ca="1">IF($B193="","",IF($K193="",0,OFFSET($CO$17,R193,W193)))</f>
        <v/>
      </c>
      <c r="AJ193" s="1" t="str">
        <f t="shared" ca="1" si="152"/>
        <v/>
      </c>
      <c r="AK193" s="1" t="str">
        <f ca="1">IF(AJ193="","",IF(AJ193=0,0,IF(W193=1,0,SUM(OFFSET($CO$17,N193,1):OFFSET($CO$17,N193+W193-2,1))/W193)))</f>
        <v/>
      </c>
      <c r="AL193" s="1" t="str">
        <f t="shared" si="153"/>
        <v/>
      </c>
      <c r="AM193" s="1" t="str">
        <f>IF($B193="","",SUMIFS($AL$2:AL193,$I$2:I193,$I193))</f>
        <v/>
      </c>
      <c r="AN193" s="1" t="str">
        <f t="shared" si="154"/>
        <v/>
      </c>
      <c r="AO193" s="1" t="str">
        <f>IFERROR(IF($B193="","",AVERAGEIFS($L$2:L193,$I$2:I193,I193,$L$2:L193,"&lt;&gt;0")),0)</f>
        <v/>
      </c>
      <c r="AP193" s="1" t="str">
        <f t="shared" si="155"/>
        <v/>
      </c>
      <c r="AQ193" s="1" t="str">
        <f>IF($B193="","",COUNTIFS($R$2:R193,1,$I$2:I193,$I193))</f>
        <v/>
      </c>
      <c r="AR193" s="1" t="str">
        <f t="array" ref="AR193">IF($B193="","",SUMPRODUCT(--($B$2:$B$313=B193),--(AM193&lt;$AM$2:$AM$313))+1)</f>
        <v/>
      </c>
      <c r="AS193" s="1" t="str">
        <f t="array" ref="AS193">IF($B193="","",SUMPRODUCT(--($B$2:$B$313=B193),--(AP193&lt;$AP$2:$AP$313))+1)</f>
        <v/>
      </c>
      <c r="AT193" s="1" t="str">
        <f t="array" ref="AT193">IF($B193="","",SUMPRODUCT(--($B$2:$B$313=B193),--(AQ193&lt;$AQ$2:$AQ$313))+1)</f>
        <v/>
      </c>
      <c r="AU193" s="1" t="str">
        <f t="shared" si="156"/>
        <v/>
      </c>
      <c r="AV193" s="1" t="str">
        <f t="shared" si="157"/>
        <v/>
      </c>
      <c r="AW193" s="1" t="str">
        <f t="shared" si="129"/>
        <v/>
      </c>
      <c r="AX193" s="1" t="str">
        <f t="shared" si="158"/>
        <v/>
      </c>
      <c r="AY193" s="8" t="str">
        <f t="shared" si="159"/>
        <v/>
      </c>
      <c r="AZ193" s="1" t="str" cm="1">
        <f t="array" ref="AZ193">IF($B193="","",SUMPRODUCT(--($B$2:$B$313=B193),--(AY193&gt;$AY$2:$AY$313))+1)</f>
        <v/>
      </c>
      <c r="BA193" s="1" t="str">
        <f t="shared" si="160"/>
        <v/>
      </c>
      <c r="BB193" s="1" t="str">
        <f t="shared" si="161"/>
        <v/>
      </c>
      <c r="BC193" s="1" t="str">
        <f t="shared" si="162"/>
        <v/>
      </c>
      <c r="BD193" s="1" t="str">
        <f t="shared" si="163"/>
        <v/>
      </c>
      <c r="BE193" s="1" t="str">
        <f t="shared" si="164"/>
        <v/>
      </c>
      <c r="BF193" s="1" t="str">
        <f t="shared" si="165"/>
        <v/>
      </c>
      <c r="BG193" s="1" t="str">
        <f t="shared" si="166"/>
        <v/>
      </c>
      <c r="BH193" s="1" t="str">
        <f t="shared" si="167"/>
        <v/>
      </c>
      <c r="BI193" s="1" t="str">
        <f t="shared" si="168"/>
        <v/>
      </c>
      <c r="BJ193" s="1" t="str">
        <f t="shared" si="169"/>
        <v/>
      </c>
      <c r="BK193" s="1" t="str">
        <f t="shared" si="170"/>
        <v/>
      </c>
      <c r="BL193" s="1" t="str">
        <f t="shared" si="171"/>
        <v/>
      </c>
      <c r="BM193" s="1" t="str">
        <f t="shared" si="172"/>
        <v/>
      </c>
      <c r="BN193" s="1" t="str">
        <f t="shared" si="173"/>
        <v/>
      </c>
      <c r="BO193" s="1" t="str">
        <f t="shared" si="130"/>
        <v/>
      </c>
      <c r="BP193" s="1" t="str">
        <f t="shared" si="131"/>
        <v/>
      </c>
      <c r="BQ193" s="1" t="str" cm="1">
        <f t="array" ref="BQ193">IF(I193="","",IF(BP193=1,"",IF(L193=0,"",IF(B193=1,"",_xlfn.XLOOKUP(1,($I$2:$I$313=$I193)*($B$2:$B$313=($B193-1)),$BO$2:$BO$313)))))</f>
        <v/>
      </c>
      <c r="BR193" s="1" t="str">
        <f>IF(I193="","",IF($B193=1,_xlfn.MINIFS($BO$2:$BO$313,$B$2:$B$313,$B193),_xlfn.MINIFS(BQ$2:$BQ$313,$B$2:$B$313,$B193)))</f>
        <v/>
      </c>
      <c r="BS193" s="1" t="str">
        <f t="shared" si="174"/>
        <v/>
      </c>
      <c r="BT193" s="1" t="str" cm="1">
        <f t="array" ref="BT193">IF($I193="","",IF($B193=1,_xlfn.XLOOKUP(1,($B$2:$B$313=$B193)*($BO$2:$BO$313=BR193),Data!$I$2:$I$313,,0),_xlfn.XLOOKUP(1,($B$2:$B$313=$B193)*($BQ$2:$BQ$313=$BR193),$I$2:$I$313,,0)))</f>
        <v/>
      </c>
      <c r="BU193" s="1" t="str" cm="1">
        <f t="array" ref="BU193">IF(I193="","",IF($B193=1,_xlfn.XLOOKUP(1,($B$2:$B$313=$B193)*($BO$2:$BO$313=$BS193),$I$2:$I$313,,0),_xlfn.XLOOKUP(1,($B$2:$B$313=$B193)*($BQ$2:$BQ$313=$BS193),$I$2:$I$313,,0)))</f>
        <v/>
      </c>
      <c r="BV193" s="1" t="str" cm="1">
        <f t="array" ref="BV193">IF($I193="","",IF($B193=1,"",IF($B193=2,_xlfn.XLOOKUP(1,($B$2:$B$313=1)*($BO$2:$BO$313=1),$I$2:$I$313,,0),_xlfn.XLOOKUP($B193-1,$B$2:$B$313,$CH$2:$CH$313,,0))))</f>
        <v/>
      </c>
      <c r="BW193" s="1" t="str" cm="1">
        <f t="array" ref="BW193">IF($I193="","",IF($B193=1,"",IF(_xlfn.XLOOKUP(1,($B$2:$B$313=$B193)*($I$2:$I$313=$BV193),$BQ$2:$BQ$313,,0)="","NOK","OK")))</f>
        <v/>
      </c>
      <c r="BX193" s="1" t="str">
        <f t="shared" si="175"/>
        <v/>
      </c>
      <c r="BY193" s="1" t="str">
        <f t="shared" si="176"/>
        <v/>
      </c>
      <c r="BZ193" s="1" t="str">
        <f t="shared" si="177"/>
        <v/>
      </c>
      <c r="CA193" s="1" t="str">
        <f t="shared" si="178"/>
        <v/>
      </c>
      <c r="CB193" s="1" t="str">
        <f t="shared" si="179"/>
        <v/>
      </c>
      <c r="CC193" s="1" t="str">
        <f t="shared" si="180"/>
        <v/>
      </c>
      <c r="CD193" s="1" t="str">
        <f t="shared" si="181"/>
        <v/>
      </c>
      <c r="CE193" s="1" t="str">
        <f t="shared" si="182"/>
        <v/>
      </c>
      <c r="CF193" s="1" t="str">
        <f t="shared" si="183"/>
        <v/>
      </c>
      <c r="CG193" s="1" t="str">
        <f t="shared" si="184"/>
        <v/>
      </c>
      <c r="CH193" s="1" t="str">
        <f t="shared" si="185"/>
        <v/>
      </c>
      <c r="CI193" s="1" t="str">
        <f t="shared" si="186"/>
        <v/>
      </c>
      <c r="CJ193" s="1" t="str">
        <f>IF(B193="","",IF(SUM(AI193:AK193)&gt;0,"+SP","")&amp;IF(CI193&gt;0,"+KK","")&amp;IF(AB193&gt;0,"+KGP1","")&amp;IF(AC193&gt;0,"+KGP2","")&amp;IF(AG193&lt;0,"-KGP1","")&amp;IF(AH193&lt;0,"-KGP2",""))</f>
        <v/>
      </c>
    </row>
    <row r="194" spans="1:88" x14ac:dyDescent="0.25">
      <c r="A194" s="1">
        <f>IFERROR(IF(ROW(A193)=1,1,IF(1+A193&lt;=$CP$1*$CP$2,1+A193,"")),"")</f>
        <v>193</v>
      </c>
      <c r="B194" s="1" t="str">
        <f>IF($I194="","",IF(ROW(B193)=1,1,ROUNDUP(A194/$CP$2,0)))</f>
        <v/>
      </c>
      <c r="C194" s="4" t="str">
        <f t="shared" si="132"/>
        <v/>
      </c>
      <c r="D194" s="4" t="str">
        <f t="shared" ref="D194:D257" si="187">IF($B194="","",VLOOKUP($B194,kilpailukalenteri,4))</f>
        <v/>
      </c>
      <c r="E194" s="1" t="str">
        <f>IF($B194="","",COUNTIF($B$2:B194,B194))</f>
        <v/>
      </c>
      <c r="F194" s="1" t="str">
        <f t="shared" ref="F194:F257" si="188">IF($B194="","","K"&amp;kausi_id_nro&amp;"GP"&amp;IF(B194&lt;10,0,"")&amp;B194)</f>
        <v/>
      </c>
      <c r="G194" s="1" t="str">
        <f t="shared" si="133"/>
        <v/>
      </c>
      <c r="H194" s="1">
        <f t="shared" si="134"/>
        <v>0</v>
      </c>
      <c r="I194" s="3"/>
      <c r="J194" s="3"/>
      <c r="K194" s="3"/>
      <c r="L194" s="1" t="str">
        <f t="shared" si="135"/>
        <v/>
      </c>
      <c r="M194" s="1" t="str">
        <f t="shared" si="136"/>
        <v/>
      </c>
      <c r="N194" s="1" t="str">
        <f t="shared" si="137"/>
        <v/>
      </c>
      <c r="O194" s="1" t="str">
        <f t="shared" si="138"/>
        <v/>
      </c>
      <c r="P194" s="1" t="str">
        <f t="shared" si="139"/>
        <v/>
      </c>
      <c r="Q194" s="1" t="str">
        <f t="array" ref="Q194">IF($B194="","",IF(MAX(IF(B194=$B$2:$B$313,$L$2:$L$313))-L194=0,"",MAX(IF(B194=$B$2:$B$313,$L$2:$L$313))-L194))</f>
        <v/>
      </c>
      <c r="R194" s="1" t="str">
        <f t="array" ref="R194">IF($B194="","",SUMPRODUCT(--($B$2:$B$313=B194),--(L194&lt;$L$2:$L$313))+1)</f>
        <v/>
      </c>
      <c r="S194" s="1" t="str">
        <f t="shared" si="140"/>
        <v/>
      </c>
      <c r="T194" s="1" t="str" cm="1">
        <f t="array" ref="T194">IF($B194="","",IF(M194=0,"",SUMPRODUCT(--($B$2:$B$313=B194),--(J194&lt;$J$2:$J$313))+1))</f>
        <v/>
      </c>
      <c r="U194" s="1" t="str">
        <f t="shared" si="141"/>
        <v/>
      </c>
      <c r="V194" s="1" t="str">
        <f t="shared" si="142"/>
        <v/>
      </c>
      <c r="W194" s="1" t="str">
        <f t="shared" si="143"/>
        <v/>
      </c>
      <c r="X194" s="1" t="str">
        <f t="shared" ref="X194:X257" si="189">IF($B194="","",IF(RIGHT(VLOOKUP(B194,kilpailukalenteri,4),1)="*",1,0))</f>
        <v/>
      </c>
      <c r="Y194" s="1" t="str">
        <f>IF($B194="","",MAX(_xlfn.MAXIFS($J$2:J194,$I$2:I194,$I194),_xlfn.MAXIFS($K$2:K194,$I$2:I194,$I194)))</f>
        <v/>
      </c>
      <c r="Z194" s="1" t="str">
        <f t="shared" si="144"/>
        <v/>
      </c>
      <c r="AA194" s="1" t="str">
        <f t="shared" si="145"/>
        <v/>
      </c>
      <c r="AB194" s="1" t="str">
        <f t="shared" si="146"/>
        <v/>
      </c>
      <c r="AC194" s="1" t="str">
        <f t="shared" si="147"/>
        <v/>
      </c>
      <c r="AD194" s="1" t="str">
        <f>IF($B194="","",MIN(_xlfn.MINIFS($J$2:J194,$I$2:I194,$I194),_xlfn.MINIFS($K$2:K194,$I$2:I194,$I194)))</f>
        <v/>
      </c>
      <c r="AE194" s="1" t="str">
        <f t="shared" si="148"/>
        <v/>
      </c>
      <c r="AF194" s="1" t="str">
        <f t="shared" si="149"/>
        <v/>
      </c>
      <c r="AG194" s="1" t="str">
        <f t="shared" si="150"/>
        <v/>
      </c>
      <c r="AH194" s="1" t="str">
        <f t="shared" si="151"/>
        <v/>
      </c>
      <c r="AI194" s="1" t="str">
        <f ca="1">IF($B194="","",IF($K194="",0,OFFSET($CO$17,R194,W194)))</f>
        <v/>
      </c>
      <c r="AJ194" s="1" t="str">
        <f t="shared" ca="1" si="152"/>
        <v/>
      </c>
      <c r="AK194" s="1" t="str">
        <f ca="1">IF(AJ194="","",IF(AJ194=0,0,IF(W194=1,0,SUM(OFFSET($CO$17,N194,1):OFFSET($CO$17,N194+W194-2,1))/W194)))</f>
        <v/>
      </c>
      <c r="AL194" s="1" t="str">
        <f t="shared" si="153"/>
        <v/>
      </c>
      <c r="AM194" s="1" t="str">
        <f>IF($B194="","",SUMIFS($AL$2:AL194,$I$2:I194,$I194))</f>
        <v/>
      </c>
      <c r="AN194" s="1" t="str">
        <f t="shared" si="154"/>
        <v/>
      </c>
      <c r="AO194" s="1" t="str">
        <f>IFERROR(IF($B194="","",AVERAGEIFS($L$2:L194,$I$2:I194,I194,$L$2:L194,"&lt;&gt;0")),0)</f>
        <v/>
      </c>
      <c r="AP194" s="1" t="str">
        <f t="shared" si="155"/>
        <v/>
      </c>
      <c r="AQ194" s="1" t="str">
        <f>IF($B194="","",COUNTIFS($R$2:R194,1,$I$2:I194,$I194))</f>
        <v/>
      </c>
      <c r="AR194" s="1" t="str">
        <f t="array" ref="AR194">IF($B194="","",SUMPRODUCT(--($B$2:$B$313=B194),--(AM194&lt;$AM$2:$AM$313))+1)</f>
        <v/>
      </c>
      <c r="AS194" s="1" t="str">
        <f t="array" ref="AS194">IF($B194="","",SUMPRODUCT(--($B$2:$B$313=B194),--(AP194&lt;$AP$2:$AP$313))+1)</f>
        <v/>
      </c>
      <c r="AT194" s="1" t="str">
        <f t="array" ref="AT194">IF($B194="","",SUMPRODUCT(--($B$2:$B$313=B194),--(AQ194&lt;$AQ$2:$AQ$313))+1)</f>
        <v/>
      </c>
      <c r="AU194" s="1" t="str">
        <f t="shared" si="156"/>
        <v/>
      </c>
      <c r="AV194" s="1" t="str">
        <f t="shared" si="157"/>
        <v/>
      </c>
      <c r="AW194" s="1" t="str">
        <f t="shared" ref="AW194:AW257" si="190">IF($B194="","",IF($B194=keilatut,$AV194,""))</f>
        <v/>
      </c>
      <c r="AX194" s="1" t="str">
        <f t="shared" si="158"/>
        <v/>
      </c>
      <c r="AY194" s="8" t="str">
        <f t="shared" si="159"/>
        <v/>
      </c>
      <c r="AZ194" s="1" t="str" cm="1">
        <f t="array" ref="AZ194">IF($B194="","",SUMPRODUCT(--($B$2:$B$313=B194),--(AY194&gt;$AY$2:$AY$313))+1)</f>
        <v/>
      </c>
      <c r="BA194" s="1" t="str">
        <f t="shared" si="160"/>
        <v/>
      </c>
      <c r="BB194" s="1" t="str">
        <f t="shared" si="161"/>
        <v/>
      </c>
      <c r="BC194" s="1" t="str">
        <f t="shared" si="162"/>
        <v/>
      </c>
      <c r="BD194" s="1" t="str">
        <f t="shared" si="163"/>
        <v/>
      </c>
      <c r="BE194" s="1" t="str">
        <f t="shared" si="164"/>
        <v/>
      </c>
      <c r="BF194" s="1" t="str">
        <f t="shared" si="165"/>
        <v/>
      </c>
      <c r="BG194" s="1" t="str">
        <f t="shared" si="166"/>
        <v/>
      </c>
      <c r="BH194" s="1" t="str">
        <f t="shared" si="167"/>
        <v/>
      </c>
      <c r="BI194" s="1" t="str">
        <f t="shared" si="168"/>
        <v/>
      </c>
      <c r="BJ194" s="1" t="str">
        <f t="shared" si="169"/>
        <v/>
      </c>
      <c r="BK194" s="1" t="str">
        <f t="shared" si="170"/>
        <v/>
      </c>
      <c r="BL194" s="1" t="str">
        <f t="shared" si="171"/>
        <v/>
      </c>
      <c r="BM194" s="1" t="str">
        <f t="shared" si="172"/>
        <v/>
      </c>
      <c r="BN194" s="1" t="str">
        <f t="shared" si="173"/>
        <v/>
      </c>
      <c r="BO194" s="1" t="str">
        <f t="shared" ref="BO194:BO257" si="191">IF(I194="","",COUNTIFS($B$2:$B$313,$B194,$BM$2:$BM$313,"&lt;"&amp;BM194)+1)</f>
        <v/>
      </c>
      <c r="BP194" s="1" t="str">
        <f t="shared" ref="BP194:BP258" si="192">IF(I194="","",0)</f>
        <v/>
      </c>
      <c r="BQ194" s="1" t="str" cm="1">
        <f t="array" ref="BQ194">IF(I194="","",IF(BP194=1,"",IF(L194=0,"",IF(B194=1,"",_xlfn.XLOOKUP(1,($I$2:$I$313=$I194)*($B$2:$B$313=($B194-1)),$BO$2:$BO$313)))))</f>
        <v/>
      </c>
      <c r="BR194" s="1" t="str">
        <f>IF(I194="","",IF($B194=1,_xlfn.MINIFS($BO$2:$BO$313,$B$2:$B$313,$B194),_xlfn.MINIFS(BQ$2:$BQ$313,$B$2:$B$313,$B194)))</f>
        <v/>
      </c>
      <c r="BS194" s="1" t="str">
        <f t="shared" si="174"/>
        <v/>
      </c>
      <c r="BT194" s="1" t="str" cm="1">
        <f t="array" ref="BT194">IF($I194="","",IF($B194=1,_xlfn.XLOOKUP(1,($B$2:$B$313=$B194)*($BO$2:$BO$313=BR194),Data!$I$2:$I$313,,0),_xlfn.XLOOKUP(1,($B$2:$B$313=$B194)*($BQ$2:$BQ$313=$BR194),$I$2:$I$313,,0)))</f>
        <v/>
      </c>
      <c r="BU194" s="1" t="str" cm="1">
        <f t="array" ref="BU194">IF(I194="","",IF($B194=1,_xlfn.XLOOKUP(1,($B$2:$B$313=$B194)*($BO$2:$BO$313=$BS194),$I$2:$I$313,,0),_xlfn.XLOOKUP(1,($B$2:$B$313=$B194)*($BQ$2:$BQ$313=$BS194),$I$2:$I$313,,0)))</f>
        <v/>
      </c>
      <c r="BV194" s="1" t="str" cm="1">
        <f t="array" ref="BV194">IF($I194="","",IF($B194=1,"",IF($B194=2,_xlfn.XLOOKUP(1,($B$2:$B$313=1)*($BO$2:$BO$313=1),$I$2:$I$313,,0),_xlfn.XLOOKUP($B194-1,$B$2:$B$313,$CH$2:$CH$313,,0))))</f>
        <v/>
      </c>
      <c r="BW194" s="1" t="str" cm="1">
        <f t="array" ref="BW194">IF($I194="","",IF($B194=1,"",IF(_xlfn.XLOOKUP(1,($B$2:$B$313=$B194)*($I$2:$I$313=$BV194),$BQ$2:$BQ$313,,0)="","NOK","OK")))</f>
        <v/>
      </c>
      <c r="BX194" s="1" t="str">
        <f t="shared" si="175"/>
        <v/>
      </c>
      <c r="BY194" s="1" t="str">
        <f t="shared" si="176"/>
        <v/>
      </c>
      <c r="BZ194" s="1" t="str">
        <f t="shared" si="177"/>
        <v/>
      </c>
      <c r="CA194" s="1" t="str">
        <f t="shared" si="178"/>
        <v/>
      </c>
      <c r="CB194" s="1" t="str">
        <f t="shared" si="179"/>
        <v/>
      </c>
      <c r="CC194" s="1" t="str">
        <f t="shared" si="180"/>
        <v/>
      </c>
      <c r="CD194" s="1" t="str">
        <f t="shared" si="181"/>
        <v/>
      </c>
      <c r="CE194" s="1" t="str">
        <f t="shared" si="182"/>
        <v/>
      </c>
      <c r="CF194" s="1" t="str">
        <f t="shared" si="183"/>
        <v/>
      </c>
      <c r="CG194" s="1" t="str">
        <f t="shared" si="184"/>
        <v/>
      </c>
      <c r="CH194" s="1" t="str">
        <f t="shared" si="185"/>
        <v/>
      </c>
      <c r="CI194" s="1" t="str">
        <f t="shared" si="186"/>
        <v/>
      </c>
      <c r="CJ194" s="1" t="str">
        <f>IF(B194="","",IF(SUM(AI194:AK194)&gt;0,"+SP","")&amp;IF(CI194&gt;0,"+KK","")&amp;IF(AB194&gt;0,"+KGP1","")&amp;IF(AC194&gt;0,"+KGP2","")&amp;IF(AG194&lt;0,"-KGP1","")&amp;IF(AH194&lt;0,"-KGP2",""))</f>
        <v/>
      </c>
    </row>
    <row r="195" spans="1:88" x14ac:dyDescent="0.25">
      <c r="A195" s="1">
        <f>IFERROR(IF(ROW(A194)=1,1,IF(1+A194&lt;=$CP$1*$CP$2,1+A194,"")),"")</f>
        <v>194</v>
      </c>
      <c r="B195" s="1" t="str">
        <f>IF($I195="","",IF(ROW(B194)=1,1,ROUNDUP(A195/$CP$2,0)))</f>
        <v/>
      </c>
      <c r="C195" s="4" t="str">
        <f t="shared" ref="C195:C258" si="193">IF(B195="","",VLOOKUP($B195,kilpailukalenteri,2))</f>
        <v/>
      </c>
      <c r="D195" s="4" t="str">
        <f t="shared" si="187"/>
        <v/>
      </c>
      <c r="E195" s="1" t="str">
        <f>IF($B195="","",COUNTIF($B$2:B195,B195))</f>
        <v/>
      </c>
      <c r="F195" s="1" t="str">
        <f t="shared" si="188"/>
        <v/>
      </c>
      <c r="G195" s="1" t="str">
        <f t="shared" ref="G195:G258" si="194">IF(F195="","",F195&amp;"_"&amp;E195)</f>
        <v/>
      </c>
      <c r="H195" s="1">
        <f t="shared" ref="H195:H258" si="195">COUNTIFS($I$2:$I$313,I195,$B$2:$B$313,B195)</f>
        <v>0</v>
      </c>
      <c r="I195" s="3"/>
      <c r="J195" s="3"/>
      <c r="K195" s="3"/>
      <c r="L195" s="1" t="str">
        <f t="shared" ref="L195:L258" si="196">IF($B195="","",J195+K195)</f>
        <v/>
      </c>
      <c r="M195" s="1" t="str">
        <f t="shared" ref="M195:M258" si="197">IF($B195="","",IF($K195="",0,1))</f>
        <v/>
      </c>
      <c r="N195" s="1" t="str">
        <f t="shared" ref="N195:N258" si="198">IF(B195="","",IF(M195=0,"",R195))</f>
        <v/>
      </c>
      <c r="O195" s="1" t="str">
        <f t="shared" ref="O195:O258" si="199">IF(B195="","",IF(M195=0,"",L195))</f>
        <v/>
      </c>
      <c r="P195" s="1" t="str">
        <f t="shared" ref="P195:P258" si="200">IF(B195="","",IF(M195=0,"",Q195))</f>
        <v/>
      </c>
      <c r="Q195" s="1" t="str">
        <f t="array" ref="Q195">IF($B195="","",IF(MAX(IF(B195=$B$2:$B$313,$L$2:$L$313))-L195=0,"",MAX(IF(B195=$B$2:$B$313,$L$2:$L$313))-L195))</f>
        <v/>
      </c>
      <c r="R195" s="1" t="str">
        <f t="array" ref="R195">IF($B195="","",SUMPRODUCT(--($B$2:$B$313=B195),--(L195&lt;$L$2:$L$313))+1)</f>
        <v/>
      </c>
      <c r="S195" s="1" t="str">
        <f t="shared" ref="S195:S258" si="201">IF(B195="","",2*M195)</f>
        <v/>
      </c>
      <c r="T195" s="1" t="str" cm="1">
        <f t="array" ref="T195">IF($B195="","",IF(M195=0,"",SUMPRODUCT(--($B$2:$B$313=B195),--(J195&lt;$J$2:$J$313))+1))</f>
        <v/>
      </c>
      <c r="U195" s="1" t="str">
        <f t="shared" ref="U195:U258" si="202">IF(T195="","",N195-T195)</f>
        <v/>
      </c>
      <c r="V195" s="1" t="str">
        <f t="shared" ref="V195:V258" si="203">IF($B195="","",IF(B195&lt;10,0,"")&amp;B195&amp;IF(R195&lt;10,0,"")&amp;R195)</f>
        <v/>
      </c>
      <c r="W195" s="1" t="str">
        <f t="shared" ref="W195:W258" si="204">IF($B195="","",COUNTIFS($L$2:$L$313,L195,$B$2:$B$313,B195))</f>
        <v/>
      </c>
      <c r="X195" s="1" t="str">
        <f t="shared" si="189"/>
        <v/>
      </c>
      <c r="Y195" s="1" t="str">
        <f>IF($B195="","",MAX(_xlfn.MAXIFS($J$2:J195,$I$2:I195,$I195),_xlfn.MAXIFS($K$2:K195,$I$2:I195,$I195)))</f>
        <v/>
      </c>
      <c r="Z195" s="1" t="str">
        <f t="shared" ref="Z195:Z258" si="205">IF($B195="","",MAX(_xlfn.MAXIFS($J$2:$J$313,$B$2:$B$313,$B195),_xlfn.MAXIFS($K$2:$K$313,$B$2:$B$313,$B195)))</f>
        <v/>
      </c>
      <c r="AA195" s="1" t="str">
        <f t="shared" ref="AA195:AA258" si="206">IF($B195="","",IF($X195=0,0,IF(MAX($J195:$K195)&gt;=$Z195,1,0)))</f>
        <v/>
      </c>
      <c r="AB195" s="1" t="str">
        <f t="shared" ref="AB195:AB258" si="207">IF($B195="","",IF($AA195=0,0,1/SUMIFS($AA$2:$AA$313,$B$2:$B$313,$B195)))</f>
        <v/>
      </c>
      <c r="AC195" s="1" t="str">
        <f t="shared" ref="AC195:AC258" si="208">IF($B195="","",IF(MAX($J195:$K195)&gt;=$Y195,1,0)*$X195*$BE195)</f>
        <v/>
      </c>
      <c r="AD195" s="1" t="str">
        <f>IF($B195="","",MIN(_xlfn.MINIFS($J$2:J195,$I$2:I195,$I195),_xlfn.MINIFS($K$2:K195,$I$2:I195,$I195)))</f>
        <v/>
      </c>
      <c r="AE195" s="1" t="str">
        <f t="shared" ref="AE195:AE258" si="209">IF($B195="","",MIN(_xlfn.MINIFS($J$2:$J$313,$B$2:$B$313,$B195),_xlfn.MINIFS($K$2:$K$313,$B$2:$B$313,$B195)))</f>
        <v/>
      </c>
      <c r="AF195" s="1" t="str">
        <f t="shared" ref="AF195:AF258" si="210">IF($B195="","",IF(M195=0,0,IF($X195=0,0,IF(MIN($J195:$K195)&lt;=$AE195,1,0))))</f>
        <v/>
      </c>
      <c r="AG195" s="1" t="str">
        <f t="shared" ref="AG195:AG258" si="211">IF($B195="","",IF($AF195=0,0,-1/SUMIFS($AF$2:$AF$313,$B$2:$B$313,$B195)))</f>
        <v/>
      </c>
      <c r="AH195" s="1" t="str">
        <f t="shared" ref="AH195:AH258" si="212">IF($B195="","",IF(M195=0,0,IF(MIN($J195:$K195)&lt;=$AD195,-1,0)*$X195*$BE195))</f>
        <v/>
      </c>
      <c r="AI195" s="1" t="str">
        <f ca="1">IF($B195="","",IF($K195="",0,OFFSET($CO$17,R195,W195)))</f>
        <v/>
      </c>
      <c r="AJ195" s="1" t="str">
        <f t="shared" ref="AJ195:AJ258" ca="1" si="213">IF(AI195="","",IF(N195=_xlfn.MAXIFS($N$2:$N$313,$B$2:$B$313,$B195),-AI195,0))</f>
        <v/>
      </c>
      <c r="AK195" s="1" t="str">
        <f ca="1">IF(AJ195="","",IF(AJ195=0,0,IF(W195=1,0,SUM(OFFSET($CO$17,N195,1):OFFSET($CO$17,N195+W195-2,1))/W195)))</f>
        <v/>
      </c>
      <c r="AL195" s="1" t="str">
        <f t="shared" ref="AL195:AL258" si="214">IF($B195="","",IF($K195="",0,SUM(AI195:AK195)+SUM(AB195:AC195)+SUM(AG195:AH195)+CI195))</f>
        <v/>
      </c>
      <c r="AM195" s="1" t="str">
        <f>IF($B195="","",SUMIFS($AL$2:AL195,$I$2:I195,$I195))</f>
        <v/>
      </c>
      <c r="AN195" s="1" t="str">
        <f t="shared" ref="AN195:AN258" si="215">IF($B195="","",$R195+$A195/1000000)</f>
        <v/>
      </c>
      <c r="AO195" s="1" t="str">
        <f>IFERROR(IF($B195="","",AVERAGEIFS($L$2:L195,$I$2:I195,I195,$L$2:L195,"&lt;&gt;0")),0)</f>
        <v/>
      </c>
      <c r="AP195" s="1" t="str">
        <f t="shared" ref="AP195:AP258" si="216">IF($B195="","",AO195/2)</f>
        <v/>
      </c>
      <c r="AQ195" s="1" t="str">
        <f>IF($B195="","",COUNTIFS($R$2:R195,1,$I$2:I195,$I195))</f>
        <v/>
      </c>
      <c r="AR195" s="1" t="str">
        <f t="array" ref="AR195">IF($B195="","",SUMPRODUCT(--($B$2:$B$313=B195),--(AM195&lt;$AM$2:$AM$313))+1)</f>
        <v/>
      </c>
      <c r="AS195" s="1" t="str">
        <f t="array" ref="AS195">IF($B195="","",SUMPRODUCT(--($B$2:$B$313=B195),--(AP195&lt;$AP$2:$AP$313))+1)</f>
        <v/>
      </c>
      <c r="AT195" s="1" t="str">
        <f t="array" ref="AT195">IF($B195="","",SUMPRODUCT(--($B$2:$B$313=B195),--(AQ195&lt;$AQ$2:$AQ$313))+1)</f>
        <v/>
      </c>
      <c r="AU195" s="1" t="str">
        <f t="shared" ref="AU195:AU258" si="217">IF($B195="","",$A195/1000000000)</f>
        <v/>
      </c>
      <c r="AV195" s="1" t="str">
        <f t="shared" ref="AV195:AV258" si="218">IF($B195="","",AR195/100+AS195/10000+AT195/1000000+AU195)</f>
        <v/>
      </c>
      <c r="AW195" s="1" t="str">
        <f t="shared" si="190"/>
        <v/>
      </c>
      <c r="AX195" s="1" t="str">
        <f t="shared" ref="AX195:AX258" si="219">IF($AW195="","",_xlfn.RANK.EQ($AW195,$AW$2:$AW$313,1))</f>
        <v/>
      </c>
      <c r="AY195" s="8" t="str">
        <f t="shared" ref="AY195:AY258" si="220">IF($B195="","",AR195/100+AS195/10000+AT195/1000000+AU195)</f>
        <v/>
      </c>
      <c r="AZ195" s="1" t="str" cm="1">
        <f t="array" ref="AZ195">IF($B195="","",SUMPRODUCT(--($B$2:$B$313=B195),--(AY195&gt;$AY$2:$AY$313))+1)</f>
        <v/>
      </c>
      <c r="BA195" s="1" t="str">
        <f t="shared" ref="BA195:BA258" si="221">IF(G195="","",G195&amp;"_"&amp;1)</f>
        <v/>
      </c>
      <c r="BB195" s="1" t="str">
        <f t="shared" ref="BB195:BB258" si="222">IF(G195="","",G195&amp;"_"&amp;2)</f>
        <v/>
      </c>
      <c r="BC195" s="1" t="str">
        <f t="shared" ref="BC195:BC258" si="223">IF(B195="","",IF(N195=1,1,0))</f>
        <v/>
      </c>
      <c r="BD195" s="1" t="str">
        <f t="shared" ref="BD195:BD258" si="224">IF(B195="","",IF(N195&lt;=3,1,0))</f>
        <v/>
      </c>
      <c r="BE195" s="1" t="str">
        <f t="shared" ref="BE195:BE258" si="225">IF(I195="","",IF(AND(COUNTIFS($A$2:$A$313,"&lt;"&amp;A195,$I$2:$I$313,$I195,$M$2:$M$313,1)=0,X195=1),0,1))</f>
        <v/>
      </c>
      <c r="BF195" s="1" t="str">
        <f t="shared" ref="BF195:BF258" si="226">IF(I195="","",MAX(J195:K195))</f>
        <v/>
      </c>
      <c r="BG195" s="1" t="str">
        <f t="shared" ref="BG195:BG258" si="227">IF(I195="","",MIN(J195:K195))</f>
        <v/>
      </c>
      <c r="BH195" s="1" t="str">
        <f t="shared" ref="BH195:BH258" si="228">IF(I195="","",COUNTIFS($B$2:$B$313,$B195,BF$2:BF$313,"&gt;"&amp;BF195)+1)</f>
        <v/>
      </c>
      <c r="BI195" s="1" t="str">
        <f t="shared" ref="BI195:BI258" si="229">IF(I195="","",COUNTIFS($B$2:$B$313,$B195,BG$2:BG$313,"&gt;"&amp;BG195)+1)</f>
        <v/>
      </c>
      <c r="BJ195" s="1" t="str">
        <f t="shared" ref="BJ195:BJ258" si="230">IF(I195="","",BH195/100+BI195/10000)</f>
        <v/>
      </c>
      <c r="BK195" s="1" t="str">
        <f t="shared" ref="BK195:BK258" si="231">IF(I195="","",IF(L195=0,"",COUNTIFS($B$2:$B$313,B195,$BJ$2:$BJ$313,BJ195)-1))</f>
        <v/>
      </c>
      <c r="BL195" s="1" t="str">
        <f t="shared" ref="BL195:BL258" si="232">IF(I195="","",0.000099)</f>
        <v/>
      </c>
      <c r="BM195" s="1" t="str">
        <f t="shared" ref="BM195:BM258" si="233">IF(I195="","",BH195/100+BI195/10000+BL195+IF(L195=0,ROW()/10000000,0))</f>
        <v/>
      </c>
      <c r="BN195" s="1" t="str">
        <f t="shared" ref="BN195:BN258" si="234">IF(I195="","",IF(L195=0,"",COUNTIFS($B$2:$B$313,B195,$BM$2:$BM$313,BM195)-1))</f>
        <v/>
      </c>
      <c r="BO195" s="1" t="str">
        <f t="shared" si="191"/>
        <v/>
      </c>
      <c r="BP195" s="1" t="str">
        <f t="shared" si="192"/>
        <v/>
      </c>
      <c r="BQ195" s="1" t="str" cm="1">
        <f t="array" ref="BQ195">IF(I195="","",IF(BP195=1,"",IF(L195=0,"",IF(B195=1,"",_xlfn.XLOOKUP(1,($I$2:$I$313=$I195)*($B$2:$B$313=($B195-1)),$BO$2:$BO$313)))))</f>
        <v/>
      </c>
      <c r="BR195" s="1" t="str">
        <f>IF(I195="","",IF($B195=1,_xlfn.MINIFS($BO$2:$BO$313,$B$2:$B$313,$B195),_xlfn.MINIFS(BQ$2:$BQ$313,$B$2:$B$313,$B195)))</f>
        <v/>
      </c>
      <c r="BS195" s="1" t="str">
        <f t="shared" ref="BS195:BS258" si="235">IF($I195="","",IF($B195=1,_xlfn.MINIFS($BO$2:$BO$313,$B$2:$B$313,$B195,$BO$2:$BO$313,"&lt;&gt;"&amp;$BR195),_xlfn.MINIFS($BQ$2:$BQ$313,$B$2:$B$313,$B195,$BQ$2:$BQ$313,"&lt;&gt;"&amp;$BR195)))</f>
        <v/>
      </c>
      <c r="BT195" s="1" t="str" cm="1">
        <f t="array" ref="BT195">IF($I195="","",IF($B195=1,_xlfn.XLOOKUP(1,($B$2:$B$313=$B195)*($BO$2:$BO$313=BR195),Data!$I$2:$I$313,,0),_xlfn.XLOOKUP(1,($B$2:$B$313=$B195)*($BQ$2:$BQ$313=$BR195),$I$2:$I$313,,0)))</f>
        <v/>
      </c>
      <c r="BU195" s="1" t="str" cm="1">
        <f t="array" ref="BU195">IF(I195="","",IF($B195=1,_xlfn.XLOOKUP(1,($B$2:$B$313=$B195)*($BO$2:$BO$313=$BS195),$I$2:$I$313,,0),_xlfn.XLOOKUP(1,($B$2:$B$313=$B195)*($BQ$2:$BQ$313=$BS195),$I$2:$I$313,,0)))</f>
        <v/>
      </c>
      <c r="BV195" s="1" t="str" cm="1">
        <f t="array" ref="BV195">IF($I195="","",IF($B195=1,"",IF($B195=2,_xlfn.XLOOKUP(1,($B$2:$B$313=1)*($BO$2:$BO$313=1),$I$2:$I$313,,0),_xlfn.XLOOKUP($B195-1,$B$2:$B$313,$CH$2:$CH$313,,0))))</f>
        <v/>
      </c>
      <c r="BW195" s="1" t="str" cm="1">
        <f t="array" ref="BW195">IF($I195="","",IF($B195=1,"",IF(_xlfn.XLOOKUP(1,($B$2:$B$313=$B195)*($I$2:$I$313=$BV195),$BQ$2:$BQ$313,,0)="","NOK","OK")))</f>
        <v/>
      </c>
      <c r="BX195" s="1" t="str">
        <f t="shared" ref="BX195:BX258" si="236">IF(I195="","",IF($B195=1,"",IF(BW195="OK",BV195,IF(OR(BV195=BT195,BV195=BU195),BV195,BT195))))</f>
        <v/>
      </c>
      <c r="BY195" s="1" t="str">
        <f t="shared" ref="BY195:BY258" si="237">IF($I195="","",IF($B195=1,"",IF(BX195=BT195,BU195,BT195)))</f>
        <v/>
      </c>
      <c r="BZ195" s="1" t="str">
        <f t="shared" ref="BZ195:BZ258" si="238">IF($I195="","",IF($B195=1,"",SUMIFS($BF$2:$BF$313,$B$2:$B$313,$B195,$I$2:$I$313,$BX195)))</f>
        <v/>
      </c>
      <c r="CA195" s="1" t="str">
        <f t="shared" ref="CA195:CA258" si="239">IF($I195="","",IF($B195=1,"",SUMIFS($BG$2:$BG$313,$B$2:$B$313,$B195,$I$2:$I$313,$BX195)))</f>
        <v/>
      </c>
      <c r="CB195" s="1" t="str">
        <f t="shared" ref="CB195:CB258" si="240">IF($I195="","",IF($B195=1,"",SUMIFS($BL$2:$BL$313,$B$2:$B$313,$B195,$I$2:$I$313,$BX195)))</f>
        <v/>
      </c>
      <c r="CC195" s="1" t="str">
        <f t="shared" ref="CC195:CC258" si="241">IF($I195="","",IF($B195=1,"",SUMIFS($BF$2:$BF$313,$B$2:$B$313,$B195,$I$2:$I$313,$BY195)))</f>
        <v/>
      </c>
      <c r="CD195" s="1" t="str">
        <f t="shared" ref="CD195:CD258" si="242">IF($I195="","",IF($B195=1,"",SUMIFS($BG$2:$BG$313,$B$2:$B$313,$B195,$I$2:$I$313,$BY195)))</f>
        <v/>
      </c>
      <c r="CE195" s="1" t="str">
        <f t="shared" ref="CE195:CE258" si="243">IF($I195="","",IF($B195=1,"",SUMIFS($BL$2:$BL$313,$B$2:$B$313,$B195,$I$2:$I$313,$BY195)))</f>
        <v/>
      </c>
      <c r="CF195" s="1" t="str">
        <f t="shared" ref="CF195:CF258" si="244">IF(I195="","",BX195&amp;IF(B195=1,"",IF(BX195=BV195," (P)"," ("&amp;BR195&amp;")")))</f>
        <v/>
      </c>
      <c r="CG195" s="1" t="str">
        <f t="shared" ref="CG195:CG258" si="245">IF(I195="","",IF(B195=1,"",BY195&amp;" ("&amp;IF(BY195=BT195,BR195,BS195)&amp;")"))</f>
        <v/>
      </c>
      <c r="CH195" s="1" t="str">
        <f t="shared" ref="CH195:CH258" si="246">IF($I195="","",IF($B195=1,BT195,IF(BZ195=CC195,IF(CA195=CD195,IF(CB195&lt;CE195,BX195,BY195),IF(CA195&gt;CD195,BX195,BY195)),IF(BZ195&gt;CC195,BX195,BY195))))</f>
        <v/>
      </c>
      <c r="CI195" s="1" t="str">
        <f t="shared" ref="CI195:CI258" si="247">IF($I195="","",IF(I195=CH195,1,0))</f>
        <v/>
      </c>
      <c r="CJ195" s="1" t="str">
        <f>IF(B195="","",IF(SUM(AI195:AK195)&gt;0,"+SP","")&amp;IF(CI195&gt;0,"+KK","")&amp;IF(AB195&gt;0,"+KGP1","")&amp;IF(AC195&gt;0,"+KGP2","")&amp;IF(AG195&lt;0,"-KGP1","")&amp;IF(AH195&lt;0,"-KGP2",""))</f>
        <v/>
      </c>
    </row>
    <row r="196" spans="1:88" x14ac:dyDescent="0.25">
      <c r="A196" s="1">
        <f>IFERROR(IF(ROW(A195)=1,1,IF(1+A195&lt;=$CP$1*$CP$2,1+A195,"")),"")</f>
        <v>195</v>
      </c>
      <c r="B196" s="1" t="str">
        <f>IF($I196="","",IF(ROW(B195)=1,1,ROUNDUP(A196/$CP$2,0)))</f>
        <v/>
      </c>
      <c r="C196" s="4" t="str">
        <f t="shared" si="193"/>
        <v/>
      </c>
      <c r="D196" s="4" t="str">
        <f t="shared" si="187"/>
        <v/>
      </c>
      <c r="E196" s="1" t="str">
        <f>IF($B196="","",COUNTIF($B$2:B196,B196))</f>
        <v/>
      </c>
      <c r="F196" s="1" t="str">
        <f t="shared" si="188"/>
        <v/>
      </c>
      <c r="G196" s="1" t="str">
        <f t="shared" si="194"/>
        <v/>
      </c>
      <c r="H196" s="1">
        <f t="shared" si="195"/>
        <v>0</v>
      </c>
      <c r="I196" s="3"/>
      <c r="J196" s="3"/>
      <c r="K196" s="3"/>
      <c r="L196" s="1" t="str">
        <f t="shared" si="196"/>
        <v/>
      </c>
      <c r="M196" s="1" t="str">
        <f t="shared" si="197"/>
        <v/>
      </c>
      <c r="N196" s="1" t="str">
        <f t="shared" si="198"/>
        <v/>
      </c>
      <c r="O196" s="1" t="str">
        <f t="shared" si="199"/>
        <v/>
      </c>
      <c r="P196" s="1" t="str">
        <f t="shared" si="200"/>
        <v/>
      </c>
      <c r="Q196" s="1" t="str">
        <f t="array" ref="Q196">IF($B196="","",IF(MAX(IF(B196=$B$2:$B$313,$L$2:$L$313))-L196=0,"",MAX(IF(B196=$B$2:$B$313,$L$2:$L$313))-L196))</f>
        <v/>
      </c>
      <c r="R196" s="1" t="str">
        <f t="array" ref="R196">IF($B196="","",SUMPRODUCT(--($B$2:$B$313=B196),--(L196&lt;$L$2:$L$313))+1)</f>
        <v/>
      </c>
      <c r="S196" s="1" t="str">
        <f t="shared" si="201"/>
        <v/>
      </c>
      <c r="T196" s="1" t="str" cm="1">
        <f t="array" ref="T196">IF($B196="","",IF(M196=0,"",SUMPRODUCT(--($B$2:$B$313=B196),--(J196&lt;$J$2:$J$313))+1))</f>
        <v/>
      </c>
      <c r="U196" s="1" t="str">
        <f t="shared" si="202"/>
        <v/>
      </c>
      <c r="V196" s="1" t="str">
        <f t="shared" si="203"/>
        <v/>
      </c>
      <c r="W196" s="1" t="str">
        <f t="shared" si="204"/>
        <v/>
      </c>
      <c r="X196" s="1" t="str">
        <f t="shared" si="189"/>
        <v/>
      </c>
      <c r="Y196" s="1" t="str">
        <f>IF($B196="","",MAX(_xlfn.MAXIFS($J$2:J196,$I$2:I196,$I196),_xlfn.MAXIFS($K$2:K196,$I$2:I196,$I196)))</f>
        <v/>
      </c>
      <c r="Z196" s="1" t="str">
        <f t="shared" si="205"/>
        <v/>
      </c>
      <c r="AA196" s="1" t="str">
        <f t="shared" si="206"/>
        <v/>
      </c>
      <c r="AB196" s="1" t="str">
        <f t="shared" si="207"/>
        <v/>
      </c>
      <c r="AC196" s="1" t="str">
        <f t="shared" si="208"/>
        <v/>
      </c>
      <c r="AD196" s="1" t="str">
        <f>IF($B196="","",MIN(_xlfn.MINIFS($J$2:J196,$I$2:I196,$I196),_xlfn.MINIFS($K$2:K196,$I$2:I196,$I196)))</f>
        <v/>
      </c>
      <c r="AE196" s="1" t="str">
        <f t="shared" si="209"/>
        <v/>
      </c>
      <c r="AF196" s="1" t="str">
        <f t="shared" si="210"/>
        <v/>
      </c>
      <c r="AG196" s="1" t="str">
        <f t="shared" si="211"/>
        <v/>
      </c>
      <c r="AH196" s="1" t="str">
        <f t="shared" si="212"/>
        <v/>
      </c>
      <c r="AI196" s="1" t="str">
        <f ca="1">IF($B196="","",IF($K196="",0,OFFSET($CO$17,R196,W196)))</f>
        <v/>
      </c>
      <c r="AJ196" s="1" t="str">
        <f t="shared" ca="1" si="213"/>
        <v/>
      </c>
      <c r="AK196" s="1" t="str">
        <f ca="1">IF(AJ196="","",IF(AJ196=0,0,IF(W196=1,0,SUM(OFFSET($CO$17,N196,1):OFFSET($CO$17,N196+W196-2,1))/W196)))</f>
        <v/>
      </c>
      <c r="AL196" s="1" t="str">
        <f t="shared" si="214"/>
        <v/>
      </c>
      <c r="AM196" s="1" t="str">
        <f>IF($B196="","",SUMIFS($AL$2:AL196,$I$2:I196,$I196))</f>
        <v/>
      </c>
      <c r="AN196" s="1" t="str">
        <f t="shared" si="215"/>
        <v/>
      </c>
      <c r="AO196" s="1" t="str">
        <f>IFERROR(IF($B196="","",AVERAGEIFS($L$2:L196,$I$2:I196,I196,$L$2:L196,"&lt;&gt;0")),0)</f>
        <v/>
      </c>
      <c r="AP196" s="1" t="str">
        <f t="shared" si="216"/>
        <v/>
      </c>
      <c r="AQ196" s="1" t="str">
        <f>IF($B196="","",COUNTIFS($R$2:R196,1,$I$2:I196,$I196))</f>
        <v/>
      </c>
      <c r="AR196" s="1" t="str">
        <f t="array" ref="AR196">IF($B196="","",SUMPRODUCT(--($B$2:$B$313=B196),--(AM196&lt;$AM$2:$AM$313))+1)</f>
        <v/>
      </c>
      <c r="AS196" s="1" t="str">
        <f t="array" ref="AS196">IF($B196="","",SUMPRODUCT(--($B$2:$B$313=B196),--(AP196&lt;$AP$2:$AP$313))+1)</f>
        <v/>
      </c>
      <c r="AT196" s="1" t="str">
        <f t="array" ref="AT196">IF($B196="","",SUMPRODUCT(--($B$2:$B$313=B196),--(AQ196&lt;$AQ$2:$AQ$313))+1)</f>
        <v/>
      </c>
      <c r="AU196" s="1" t="str">
        <f t="shared" si="217"/>
        <v/>
      </c>
      <c r="AV196" s="1" t="str">
        <f t="shared" si="218"/>
        <v/>
      </c>
      <c r="AW196" s="1" t="str">
        <f t="shared" si="190"/>
        <v/>
      </c>
      <c r="AX196" s="1" t="str">
        <f t="shared" si="219"/>
        <v/>
      </c>
      <c r="AY196" s="8" t="str">
        <f t="shared" si="220"/>
        <v/>
      </c>
      <c r="AZ196" s="1" t="str" cm="1">
        <f t="array" ref="AZ196">IF($B196="","",SUMPRODUCT(--($B$2:$B$313=B196),--(AY196&gt;$AY$2:$AY$313))+1)</f>
        <v/>
      </c>
      <c r="BA196" s="1" t="str">
        <f t="shared" si="221"/>
        <v/>
      </c>
      <c r="BB196" s="1" t="str">
        <f t="shared" si="222"/>
        <v/>
      </c>
      <c r="BC196" s="1" t="str">
        <f t="shared" si="223"/>
        <v/>
      </c>
      <c r="BD196" s="1" t="str">
        <f t="shared" si="224"/>
        <v/>
      </c>
      <c r="BE196" s="1" t="str">
        <f t="shared" si="225"/>
        <v/>
      </c>
      <c r="BF196" s="1" t="str">
        <f t="shared" si="226"/>
        <v/>
      </c>
      <c r="BG196" s="1" t="str">
        <f t="shared" si="227"/>
        <v/>
      </c>
      <c r="BH196" s="1" t="str">
        <f t="shared" si="228"/>
        <v/>
      </c>
      <c r="BI196" s="1" t="str">
        <f t="shared" si="229"/>
        <v/>
      </c>
      <c r="BJ196" s="1" t="str">
        <f t="shared" si="230"/>
        <v/>
      </c>
      <c r="BK196" s="1" t="str">
        <f t="shared" si="231"/>
        <v/>
      </c>
      <c r="BL196" s="1" t="str">
        <f t="shared" si="232"/>
        <v/>
      </c>
      <c r="BM196" s="1" t="str">
        <f t="shared" si="233"/>
        <v/>
      </c>
      <c r="BN196" s="1" t="str">
        <f t="shared" si="234"/>
        <v/>
      </c>
      <c r="BO196" s="1" t="str">
        <f t="shared" si="191"/>
        <v/>
      </c>
      <c r="BP196" s="1" t="str">
        <f t="shared" si="192"/>
        <v/>
      </c>
      <c r="BQ196" s="1" t="str" cm="1">
        <f t="array" ref="BQ196">IF(I196="","",IF(BP196=1,"",IF(L196=0,"",IF(B196=1,"",_xlfn.XLOOKUP(1,($I$2:$I$313=$I196)*($B$2:$B$313=($B196-1)),$BO$2:$BO$313)))))</f>
        <v/>
      </c>
      <c r="BR196" s="1" t="str">
        <f>IF(I196="","",IF($B196=1,_xlfn.MINIFS($BO$2:$BO$313,$B$2:$B$313,$B196),_xlfn.MINIFS(BQ$2:$BQ$313,$B$2:$B$313,$B196)))</f>
        <v/>
      </c>
      <c r="BS196" s="1" t="str">
        <f t="shared" si="235"/>
        <v/>
      </c>
      <c r="BT196" s="1" t="str" cm="1">
        <f t="array" ref="BT196">IF($I196="","",IF($B196=1,_xlfn.XLOOKUP(1,($B$2:$B$313=$B196)*($BO$2:$BO$313=BR196),Data!$I$2:$I$313,,0),_xlfn.XLOOKUP(1,($B$2:$B$313=$B196)*($BQ$2:$BQ$313=$BR196),$I$2:$I$313,,0)))</f>
        <v/>
      </c>
      <c r="BU196" s="1" t="str" cm="1">
        <f t="array" ref="BU196">IF(I196="","",IF($B196=1,_xlfn.XLOOKUP(1,($B$2:$B$313=$B196)*($BO$2:$BO$313=$BS196),$I$2:$I$313,,0),_xlfn.XLOOKUP(1,($B$2:$B$313=$B196)*($BQ$2:$BQ$313=$BS196),$I$2:$I$313,,0)))</f>
        <v/>
      </c>
      <c r="BV196" s="1" t="str" cm="1">
        <f t="array" ref="BV196">IF($I196="","",IF($B196=1,"",IF($B196=2,_xlfn.XLOOKUP(1,($B$2:$B$313=1)*($BO$2:$BO$313=1),$I$2:$I$313,,0),_xlfn.XLOOKUP($B196-1,$B$2:$B$313,$CH$2:$CH$313,,0))))</f>
        <v/>
      </c>
      <c r="BW196" s="1" t="str" cm="1">
        <f t="array" ref="BW196">IF($I196="","",IF($B196=1,"",IF(_xlfn.XLOOKUP(1,($B$2:$B$313=$B196)*($I$2:$I$313=$BV196),$BQ$2:$BQ$313,,0)="","NOK","OK")))</f>
        <v/>
      </c>
      <c r="BX196" s="1" t="str">
        <f t="shared" si="236"/>
        <v/>
      </c>
      <c r="BY196" s="1" t="str">
        <f t="shared" si="237"/>
        <v/>
      </c>
      <c r="BZ196" s="1" t="str">
        <f t="shared" si="238"/>
        <v/>
      </c>
      <c r="CA196" s="1" t="str">
        <f t="shared" si="239"/>
        <v/>
      </c>
      <c r="CB196" s="1" t="str">
        <f t="shared" si="240"/>
        <v/>
      </c>
      <c r="CC196" s="1" t="str">
        <f t="shared" si="241"/>
        <v/>
      </c>
      <c r="CD196" s="1" t="str">
        <f t="shared" si="242"/>
        <v/>
      </c>
      <c r="CE196" s="1" t="str">
        <f t="shared" si="243"/>
        <v/>
      </c>
      <c r="CF196" s="1" t="str">
        <f t="shared" si="244"/>
        <v/>
      </c>
      <c r="CG196" s="1" t="str">
        <f t="shared" si="245"/>
        <v/>
      </c>
      <c r="CH196" s="1" t="str">
        <f t="shared" si="246"/>
        <v/>
      </c>
      <c r="CI196" s="1" t="str">
        <f t="shared" si="247"/>
        <v/>
      </c>
      <c r="CJ196" s="1" t="str">
        <f>IF(B196="","",IF(SUM(AI196:AK196)&gt;0,"+SP","")&amp;IF(CI196&gt;0,"+KK","")&amp;IF(AB196&gt;0,"+KGP1","")&amp;IF(AC196&gt;0,"+KGP2","")&amp;IF(AG196&lt;0,"-KGP1","")&amp;IF(AH196&lt;0,"-KGP2",""))</f>
        <v/>
      </c>
    </row>
    <row r="197" spans="1:88" x14ac:dyDescent="0.25">
      <c r="A197" s="1">
        <f>IFERROR(IF(ROW(A196)=1,1,IF(1+A196&lt;=$CP$1*$CP$2,1+A196,"")),"")</f>
        <v>196</v>
      </c>
      <c r="B197" s="1" t="str">
        <f>IF($I197="","",IF(ROW(B196)=1,1,ROUNDUP(A197/$CP$2,0)))</f>
        <v/>
      </c>
      <c r="C197" s="4" t="str">
        <f t="shared" si="193"/>
        <v/>
      </c>
      <c r="D197" s="4" t="str">
        <f t="shared" si="187"/>
        <v/>
      </c>
      <c r="E197" s="1" t="str">
        <f>IF($B197="","",COUNTIF($B$2:B197,B197))</f>
        <v/>
      </c>
      <c r="F197" s="1" t="str">
        <f t="shared" si="188"/>
        <v/>
      </c>
      <c r="G197" s="1" t="str">
        <f t="shared" si="194"/>
        <v/>
      </c>
      <c r="H197" s="1">
        <f t="shared" si="195"/>
        <v>0</v>
      </c>
      <c r="I197" s="3"/>
      <c r="J197" s="3"/>
      <c r="K197" s="3"/>
      <c r="L197" s="1" t="str">
        <f t="shared" si="196"/>
        <v/>
      </c>
      <c r="M197" s="1" t="str">
        <f t="shared" si="197"/>
        <v/>
      </c>
      <c r="N197" s="1" t="str">
        <f t="shared" si="198"/>
        <v/>
      </c>
      <c r="O197" s="1" t="str">
        <f t="shared" si="199"/>
        <v/>
      </c>
      <c r="P197" s="1" t="str">
        <f t="shared" si="200"/>
        <v/>
      </c>
      <c r="Q197" s="1" t="str">
        <f t="array" ref="Q197">IF($B197="","",IF(MAX(IF(B197=$B$2:$B$313,$L$2:$L$313))-L197=0,"",MAX(IF(B197=$B$2:$B$313,$L$2:$L$313))-L197))</f>
        <v/>
      </c>
      <c r="R197" s="1" t="str">
        <f t="array" ref="R197">IF($B197="","",SUMPRODUCT(--($B$2:$B$313=B197),--(L197&lt;$L$2:$L$313))+1)</f>
        <v/>
      </c>
      <c r="S197" s="1" t="str">
        <f t="shared" si="201"/>
        <v/>
      </c>
      <c r="T197" s="1" t="str" cm="1">
        <f t="array" ref="T197">IF($B197="","",IF(M197=0,"",SUMPRODUCT(--($B$2:$B$313=B197),--(J197&lt;$J$2:$J$313))+1))</f>
        <v/>
      </c>
      <c r="U197" s="1" t="str">
        <f t="shared" si="202"/>
        <v/>
      </c>
      <c r="V197" s="1" t="str">
        <f t="shared" si="203"/>
        <v/>
      </c>
      <c r="W197" s="1" t="str">
        <f t="shared" si="204"/>
        <v/>
      </c>
      <c r="X197" s="1" t="str">
        <f t="shared" si="189"/>
        <v/>
      </c>
      <c r="Y197" s="1" t="str">
        <f>IF($B197="","",MAX(_xlfn.MAXIFS($J$2:J197,$I$2:I197,$I197),_xlfn.MAXIFS($K$2:K197,$I$2:I197,$I197)))</f>
        <v/>
      </c>
      <c r="Z197" s="1" t="str">
        <f t="shared" si="205"/>
        <v/>
      </c>
      <c r="AA197" s="1" t="str">
        <f t="shared" si="206"/>
        <v/>
      </c>
      <c r="AB197" s="1" t="str">
        <f t="shared" si="207"/>
        <v/>
      </c>
      <c r="AC197" s="1" t="str">
        <f t="shared" si="208"/>
        <v/>
      </c>
      <c r="AD197" s="1" t="str">
        <f>IF($B197="","",MIN(_xlfn.MINIFS($J$2:J197,$I$2:I197,$I197),_xlfn.MINIFS($K$2:K197,$I$2:I197,$I197)))</f>
        <v/>
      </c>
      <c r="AE197" s="1" t="str">
        <f t="shared" si="209"/>
        <v/>
      </c>
      <c r="AF197" s="1" t="str">
        <f t="shared" si="210"/>
        <v/>
      </c>
      <c r="AG197" s="1" t="str">
        <f t="shared" si="211"/>
        <v/>
      </c>
      <c r="AH197" s="1" t="str">
        <f t="shared" si="212"/>
        <v/>
      </c>
      <c r="AI197" s="1" t="str">
        <f ca="1">IF($B197="","",IF($K197="",0,OFFSET($CO$17,R197,W197)))</f>
        <v/>
      </c>
      <c r="AJ197" s="1" t="str">
        <f t="shared" ca="1" si="213"/>
        <v/>
      </c>
      <c r="AK197" s="1" t="str">
        <f ca="1">IF(AJ197="","",IF(AJ197=0,0,IF(W197=1,0,SUM(OFFSET($CO$17,N197,1):OFFSET($CO$17,N197+W197-2,1))/W197)))</f>
        <v/>
      </c>
      <c r="AL197" s="1" t="str">
        <f t="shared" si="214"/>
        <v/>
      </c>
      <c r="AM197" s="1" t="str">
        <f>IF($B197="","",SUMIFS($AL$2:AL197,$I$2:I197,$I197))</f>
        <v/>
      </c>
      <c r="AN197" s="1" t="str">
        <f t="shared" si="215"/>
        <v/>
      </c>
      <c r="AO197" s="1" t="str">
        <f>IFERROR(IF($B197="","",AVERAGEIFS($L$2:L197,$I$2:I197,I197,$L$2:L197,"&lt;&gt;0")),0)</f>
        <v/>
      </c>
      <c r="AP197" s="1" t="str">
        <f t="shared" si="216"/>
        <v/>
      </c>
      <c r="AQ197" s="1" t="str">
        <f>IF($B197="","",COUNTIFS($R$2:R197,1,$I$2:I197,$I197))</f>
        <v/>
      </c>
      <c r="AR197" s="1" t="str">
        <f t="array" ref="AR197">IF($B197="","",SUMPRODUCT(--($B$2:$B$313=B197),--(AM197&lt;$AM$2:$AM$313))+1)</f>
        <v/>
      </c>
      <c r="AS197" s="1" t="str">
        <f t="array" ref="AS197">IF($B197="","",SUMPRODUCT(--($B$2:$B$313=B197),--(AP197&lt;$AP$2:$AP$313))+1)</f>
        <v/>
      </c>
      <c r="AT197" s="1" t="str">
        <f t="array" ref="AT197">IF($B197="","",SUMPRODUCT(--($B$2:$B$313=B197),--(AQ197&lt;$AQ$2:$AQ$313))+1)</f>
        <v/>
      </c>
      <c r="AU197" s="1" t="str">
        <f t="shared" si="217"/>
        <v/>
      </c>
      <c r="AV197" s="1" t="str">
        <f t="shared" si="218"/>
        <v/>
      </c>
      <c r="AW197" s="1" t="str">
        <f t="shared" si="190"/>
        <v/>
      </c>
      <c r="AX197" s="1" t="str">
        <f t="shared" si="219"/>
        <v/>
      </c>
      <c r="AY197" s="8" t="str">
        <f t="shared" si="220"/>
        <v/>
      </c>
      <c r="AZ197" s="1" t="str" cm="1">
        <f t="array" ref="AZ197">IF($B197="","",SUMPRODUCT(--($B$2:$B$313=B197),--(AY197&gt;$AY$2:$AY$313))+1)</f>
        <v/>
      </c>
      <c r="BA197" s="1" t="str">
        <f t="shared" si="221"/>
        <v/>
      </c>
      <c r="BB197" s="1" t="str">
        <f t="shared" si="222"/>
        <v/>
      </c>
      <c r="BC197" s="1" t="str">
        <f t="shared" si="223"/>
        <v/>
      </c>
      <c r="BD197" s="1" t="str">
        <f t="shared" si="224"/>
        <v/>
      </c>
      <c r="BE197" s="1" t="str">
        <f t="shared" si="225"/>
        <v/>
      </c>
      <c r="BF197" s="1" t="str">
        <f t="shared" si="226"/>
        <v/>
      </c>
      <c r="BG197" s="1" t="str">
        <f t="shared" si="227"/>
        <v/>
      </c>
      <c r="BH197" s="1" t="str">
        <f t="shared" si="228"/>
        <v/>
      </c>
      <c r="BI197" s="1" t="str">
        <f t="shared" si="229"/>
        <v/>
      </c>
      <c r="BJ197" s="1" t="str">
        <f t="shared" si="230"/>
        <v/>
      </c>
      <c r="BK197" s="1" t="str">
        <f t="shared" si="231"/>
        <v/>
      </c>
      <c r="BL197" s="1" t="str">
        <f t="shared" si="232"/>
        <v/>
      </c>
      <c r="BM197" s="1" t="str">
        <f t="shared" si="233"/>
        <v/>
      </c>
      <c r="BN197" s="1" t="str">
        <f t="shared" si="234"/>
        <v/>
      </c>
      <c r="BO197" s="1" t="str">
        <f t="shared" si="191"/>
        <v/>
      </c>
      <c r="BP197" s="1" t="str">
        <f t="shared" si="192"/>
        <v/>
      </c>
      <c r="BQ197" s="1" t="str" cm="1">
        <f t="array" ref="BQ197">IF(I197="","",IF(BP197=1,"",IF(L197=0,"",IF(B197=1,"",_xlfn.XLOOKUP(1,($I$2:$I$313=$I197)*($B$2:$B$313=($B197-1)),$BO$2:$BO$313)))))</f>
        <v/>
      </c>
      <c r="BR197" s="1" t="str">
        <f>IF(I197="","",IF($B197=1,_xlfn.MINIFS($BO$2:$BO$313,$B$2:$B$313,$B197),_xlfn.MINIFS(BQ$2:$BQ$313,$B$2:$B$313,$B197)))</f>
        <v/>
      </c>
      <c r="BS197" s="1" t="str">
        <f t="shared" si="235"/>
        <v/>
      </c>
      <c r="BT197" s="1" t="str" cm="1">
        <f t="array" ref="BT197">IF($I197="","",IF($B197=1,_xlfn.XLOOKUP(1,($B$2:$B$313=$B197)*($BO$2:$BO$313=BR197),Data!$I$2:$I$313,,0),_xlfn.XLOOKUP(1,($B$2:$B$313=$B197)*($BQ$2:$BQ$313=$BR197),$I$2:$I$313,,0)))</f>
        <v/>
      </c>
      <c r="BU197" s="1" t="str" cm="1">
        <f t="array" ref="BU197">IF(I197="","",IF($B197=1,_xlfn.XLOOKUP(1,($B$2:$B$313=$B197)*($BO$2:$BO$313=$BS197),$I$2:$I$313,,0),_xlfn.XLOOKUP(1,($B$2:$B$313=$B197)*($BQ$2:$BQ$313=$BS197),$I$2:$I$313,,0)))</f>
        <v/>
      </c>
      <c r="BV197" s="1" t="str" cm="1">
        <f t="array" ref="BV197">IF($I197="","",IF($B197=1,"",IF($B197=2,_xlfn.XLOOKUP(1,($B$2:$B$313=1)*($BO$2:$BO$313=1),$I$2:$I$313,,0),_xlfn.XLOOKUP($B197-1,$B$2:$B$313,$CH$2:$CH$313,,0))))</f>
        <v/>
      </c>
      <c r="BW197" s="1" t="str" cm="1">
        <f t="array" ref="BW197">IF($I197="","",IF($B197=1,"",IF(_xlfn.XLOOKUP(1,($B$2:$B$313=$B197)*($I$2:$I$313=$BV197),$BQ$2:$BQ$313,,0)="","NOK","OK")))</f>
        <v/>
      </c>
      <c r="BX197" s="1" t="str">
        <f t="shared" si="236"/>
        <v/>
      </c>
      <c r="BY197" s="1" t="str">
        <f t="shared" si="237"/>
        <v/>
      </c>
      <c r="BZ197" s="1" t="str">
        <f t="shared" si="238"/>
        <v/>
      </c>
      <c r="CA197" s="1" t="str">
        <f t="shared" si="239"/>
        <v/>
      </c>
      <c r="CB197" s="1" t="str">
        <f t="shared" si="240"/>
        <v/>
      </c>
      <c r="CC197" s="1" t="str">
        <f t="shared" si="241"/>
        <v/>
      </c>
      <c r="CD197" s="1" t="str">
        <f t="shared" si="242"/>
        <v/>
      </c>
      <c r="CE197" s="1" t="str">
        <f t="shared" si="243"/>
        <v/>
      </c>
      <c r="CF197" s="1" t="str">
        <f t="shared" si="244"/>
        <v/>
      </c>
      <c r="CG197" s="1" t="str">
        <f t="shared" si="245"/>
        <v/>
      </c>
      <c r="CH197" s="1" t="str">
        <f t="shared" si="246"/>
        <v/>
      </c>
      <c r="CI197" s="1" t="str">
        <f t="shared" si="247"/>
        <v/>
      </c>
      <c r="CJ197" s="1" t="str">
        <f>IF(B197="","",IF(SUM(AI197:AK197)&gt;0,"+SP","")&amp;IF(CI197&gt;0,"+KK","")&amp;IF(AB197&gt;0,"+KGP1","")&amp;IF(AC197&gt;0,"+KGP2","")&amp;IF(AG197&lt;0,"-KGP1","")&amp;IF(AH197&lt;0,"-KGP2",""))</f>
        <v/>
      </c>
    </row>
    <row r="198" spans="1:88" x14ac:dyDescent="0.25">
      <c r="A198" s="1">
        <f>IFERROR(IF(ROW(A197)=1,1,IF(1+A197&lt;=$CP$1*$CP$2,1+A197,"")),"")</f>
        <v>197</v>
      </c>
      <c r="B198" s="1" t="str">
        <f>IF($I198="","",IF(ROW(B197)=1,1,ROUNDUP(A198/$CP$2,0)))</f>
        <v/>
      </c>
      <c r="C198" s="4" t="str">
        <f t="shared" si="193"/>
        <v/>
      </c>
      <c r="D198" s="4" t="str">
        <f t="shared" si="187"/>
        <v/>
      </c>
      <c r="E198" s="1" t="str">
        <f>IF($B198="","",COUNTIF($B$2:B198,B198))</f>
        <v/>
      </c>
      <c r="F198" s="1" t="str">
        <f t="shared" si="188"/>
        <v/>
      </c>
      <c r="G198" s="1" t="str">
        <f t="shared" si="194"/>
        <v/>
      </c>
      <c r="H198" s="1">
        <f t="shared" si="195"/>
        <v>0</v>
      </c>
      <c r="I198" s="3"/>
      <c r="J198" s="3"/>
      <c r="K198" s="3"/>
      <c r="L198" s="1" t="str">
        <f t="shared" si="196"/>
        <v/>
      </c>
      <c r="M198" s="1" t="str">
        <f t="shared" si="197"/>
        <v/>
      </c>
      <c r="N198" s="1" t="str">
        <f t="shared" si="198"/>
        <v/>
      </c>
      <c r="O198" s="1" t="str">
        <f t="shared" si="199"/>
        <v/>
      </c>
      <c r="P198" s="1" t="str">
        <f t="shared" si="200"/>
        <v/>
      </c>
      <c r="Q198" s="1" t="str">
        <f t="array" ref="Q198">IF($B198="","",IF(MAX(IF(B198=$B$2:$B$313,$L$2:$L$313))-L198=0,"",MAX(IF(B198=$B$2:$B$313,$L$2:$L$313))-L198))</f>
        <v/>
      </c>
      <c r="R198" s="1" t="str">
        <f t="array" ref="R198">IF($B198="","",SUMPRODUCT(--($B$2:$B$313=B198),--(L198&lt;$L$2:$L$313))+1)</f>
        <v/>
      </c>
      <c r="S198" s="1" t="str">
        <f t="shared" si="201"/>
        <v/>
      </c>
      <c r="T198" s="1" t="str" cm="1">
        <f t="array" ref="T198">IF($B198="","",IF(M198=0,"",SUMPRODUCT(--($B$2:$B$313=B198),--(J198&lt;$J$2:$J$313))+1))</f>
        <v/>
      </c>
      <c r="U198" s="1" t="str">
        <f t="shared" si="202"/>
        <v/>
      </c>
      <c r="V198" s="1" t="str">
        <f t="shared" si="203"/>
        <v/>
      </c>
      <c r="W198" s="1" t="str">
        <f t="shared" si="204"/>
        <v/>
      </c>
      <c r="X198" s="1" t="str">
        <f t="shared" si="189"/>
        <v/>
      </c>
      <c r="Y198" s="1" t="str">
        <f>IF($B198="","",MAX(_xlfn.MAXIFS($J$2:J198,$I$2:I198,$I198),_xlfn.MAXIFS($K$2:K198,$I$2:I198,$I198)))</f>
        <v/>
      </c>
      <c r="Z198" s="1" t="str">
        <f t="shared" si="205"/>
        <v/>
      </c>
      <c r="AA198" s="1" t="str">
        <f t="shared" si="206"/>
        <v/>
      </c>
      <c r="AB198" s="1" t="str">
        <f t="shared" si="207"/>
        <v/>
      </c>
      <c r="AC198" s="1" t="str">
        <f t="shared" si="208"/>
        <v/>
      </c>
      <c r="AD198" s="1" t="str">
        <f>IF($B198="","",MIN(_xlfn.MINIFS($J$2:J198,$I$2:I198,$I198),_xlfn.MINIFS($K$2:K198,$I$2:I198,$I198)))</f>
        <v/>
      </c>
      <c r="AE198" s="1" t="str">
        <f t="shared" si="209"/>
        <v/>
      </c>
      <c r="AF198" s="1" t="str">
        <f t="shared" si="210"/>
        <v/>
      </c>
      <c r="AG198" s="1" t="str">
        <f t="shared" si="211"/>
        <v/>
      </c>
      <c r="AH198" s="1" t="str">
        <f t="shared" si="212"/>
        <v/>
      </c>
      <c r="AI198" s="1" t="str">
        <f ca="1">IF($B198="","",IF($K198="",0,OFFSET($CO$17,R198,W198)))</f>
        <v/>
      </c>
      <c r="AJ198" s="1" t="str">
        <f t="shared" ca="1" si="213"/>
        <v/>
      </c>
      <c r="AK198" s="1" t="str">
        <f ca="1">IF(AJ198="","",IF(AJ198=0,0,IF(W198=1,0,SUM(OFFSET($CO$17,N198,1):OFFSET($CO$17,N198+W198-2,1))/W198)))</f>
        <v/>
      </c>
      <c r="AL198" s="1" t="str">
        <f t="shared" si="214"/>
        <v/>
      </c>
      <c r="AM198" s="1" t="str">
        <f>IF($B198="","",SUMIFS($AL$2:AL198,$I$2:I198,$I198))</f>
        <v/>
      </c>
      <c r="AN198" s="1" t="str">
        <f t="shared" si="215"/>
        <v/>
      </c>
      <c r="AO198" s="1" t="str">
        <f>IFERROR(IF($B198="","",AVERAGEIFS($L$2:L198,$I$2:I198,I198,$L$2:L198,"&lt;&gt;0")),0)</f>
        <v/>
      </c>
      <c r="AP198" s="1" t="str">
        <f t="shared" si="216"/>
        <v/>
      </c>
      <c r="AQ198" s="1" t="str">
        <f>IF($B198="","",COUNTIFS($R$2:R198,1,$I$2:I198,$I198))</f>
        <v/>
      </c>
      <c r="AR198" s="1" t="str">
        <f t="array" ref="AR198">IF($B198="","",SUMPRODUCT(--($B$2:$B$313=B198),--(AM198&lt;$AM$2:$AM$313))+1)</f>
        <v/>
      </c>
      <c r="AS198" s="1" t="str">
        <f t="array" ref="AS198">IF($B198="","",SUMPRODUCT(--($B$2:$B$313=B198),--(AP198&lt;$AP$2:$AP$313))+1)</f>
        <v/>
      </c>
      <c r="AT198" s="1" t="str">
        <f t="array" ref="AT198">IF($B198="","",SUMPRODUCT(--($B$2:$B$313=B198),--(AQ198&lt;$AQ$2:$AQ$313))+1)</f>
        <v/>
      </c>
      <c r="AU198" s="1" t="str">
        <f t="shared" si="217"/>
        <v/>
      </c>
      <c r="AV198" s="1" t="str">
        <f t="shared" si="218"/>
        <v/>
      </c>
      <c r="AW198" s="1" t="str">
        <f t="shared" si="190"/>
        <v/>
      </c>
      <c r="AX198" s="1" t="str">
        <f t="shared" si="219"/>
        <v/>
      </c>
      <c r="AY198" s="8" t="str">
        <f t="shared" si="220"/>
        <v/>
      </c>
      <c r="AZ198" s="1" t="str" cm="1">
        <f t="array" ref="AZ198">IF($B198="","",SUMPRODUCT(--($B$2:$B$313=B198),--(AY198&gt;$AY$2:$AY$313))+1)</f>
        <v/>
      </c>
      <c r="BA198" s="1" t="str">
        <f t="shared" si="221"/>
        <v/>
      </c>
      <c r="BB198" s="1" t="str">
        <f t="shared" si="222"/>
        <v/>
      </c>
      <c r="BC198" s="1" t="str">
        <f t="shared" si="223"/>
        <v/>
      </c>
      <c r="BD198" s="1" t="str">
        <f t="shared" si="224"/>
        <v/>
      </c>
      <c r="BE198" s="1" t="str">
        <f t="shared" si="225"/>
        <v/>
      </c>
      <c r="BF198" s="1" t="str">
        <f t="shared" si="226"/>
        <v/>
      </c>
      <c r="BG198" s="1" t="str">
        <f t="shared" si="227"/>
        <v/>
      </c>
      <c r="BH198" s="1" t="str">
        <f t="shared" si="228"/>
        <v/>
      </c>
      <c r="BI198" s="1" t="str">
        <f t="shared" si="229"/>
        <v/>
      </c>
      <c r="BJ198" s="1" t="str">
        <f t="shared" si="230"/>
        <v/>
      </c>
      <c r="BK198" s="1" t="str">
        <f t="shared" si="231"/>
        <v/>
      </c>
      <c r="BL198" s="1" t="str">
        <f t="shared" si="232"/>
        <v/>
      </c>
      <c r="BM198" s="1" t="str">
        <f t="shared" si="233"/>
        <v/>
      </c>
      <c r="BN198" s="1" t="str">
        <f t="shared" si="234"/>
        <v/>
      </c>
      <c r="BO198" s="1" t="str">
        <f t="shared" si="191"/>
        <v/>
      </c>
      <c r="BP198" s="1" t="str">
        <f t="shared" si="192"/>
        <v/>
      </c>
      <c r="BQ198" s="1" t="str" cm="1">
        <f t="array" ref="BQ198">IF(I198="","",IF(BP198=1,"",IF(L198=0,"",IF(B198=1,"",_xlfn.XLOOKUP(1,($I$2:$I$313=$I198)*($B$2:$B$313=($B198-1)),$BO$2:$BO$313)))))</f>
        <v/>
      </c>
      <c r="BR198" s="1" t="str">
        <f>IF(I198="","",IF($B198=1,_xlfn.MINIFS($BO$2:$BO$313,$B$2:$B$313,$B198),_xlfn.MINIFS(BQ$2:$BQ$313,$B$2:$B$313,$B198)))</f>
        <v/>
      </c>
      <c r="BS198" s="1" t="str">
        <f t="shared" si="235"/>
        <v/>
      </c>
      <c r="BT198" s="1" t="str" cm="1">
        <f t="array" ref="BT198">IF($I198="","",IF($B198=1,_xlfn.XLOOKUP(1,($B$2:$B$313=$B198)*($BO$2:$BO$313=BR198),Data!$I$2:$I$313,,0),_xlfn.XLOOKUP(1,($B$2:$B$313=$B198)*($BQ$2:$BQ$313=$BR198),$I$2:$I$313,,0)))</f>
        <v/>
      </c>
      <c r="BU198" s="1" t="str" cm="1">
        <f t="array" ref="BU198">IF(I198="","",IF($B198=1,_xlfn.XLOOKUP(1,($B$2:$B$313=$B198)*($BO$2:$BO$313=$BS198),$I$2:$I$313,,0),_xlfn.XLOOKUP(1,($B$2:$B$313=$B198)*($BQ$2:$BQ$313=$BS198),$I$2:$I$313,,0)))</f>
        <v/>
      </c>
      <c r="BV198" s="1" t="str" cm="1">
        <f t="array" ref="BV198">IF($I198="","",IF($B198=1,"",IF($B198=2,_xlfn.XLOOKUP(1,($B$2:$B$313=1)*($BO$2:$BO$313=1),$I$2:$I$313,,0),_xlfn.XLOOKUP($B198-1,$B$2:$B$313,$CH$2:$CH$313,,0))))</f>
        <v/>
      </c>
      <c r="BW198" s="1" t="str" cm="1">
        <f t="array" ref="BW198">IF($I198="","",IF($B198=1,"",IF(_xlfn.XLOOKUP(1,($B$2:$B$313=$B198)*($I$2:$I$313=$BV198),$BQ$2:$BQ$313,,0)="","NOK","OK")))</f>
        <v/>
      </c>
      <c r="BX198" s="1" t="str">
        <f t="shared" si="236"/>
        <v/>
      </c>
      <c r="BY198" s="1" t="str">
        <f t="shared" si="237"/>
        <v/>
      </c>
      <c r="BZ198" s="1" t="str">
        <f t="shared" si="238"/>
        <v/>
      </c>
      <c r="CA198" s="1" t="str">
        <f t="shared" si="239"/>
        <v/>
      </c>
      <c r="CB198" s="1" t="str">
        <f t="shared" si="240"/>
        <v/>
      </c>
      <c r="CC198" s="1" t="str">
        <f t="shared" si="241"/>
        <v/>
      </c>
      <c r="CD198" s="1" t="str">
        <f t="shared" si="242"/>
        <v/>
      </c>
      <c r="CE198" s="1" t="str">
        <f t="shared" si="243"/>
        <v/>
      </c>
      <c r="CF198" s="1" t="str">
        <f t="shared" si="244"/>
        <v/>
      </c>
      <c r="CG198" s="1" t="str">
        <f t="shared" si="245"/>
        <v/>
      </c>
      <c r="CH198" s="1" t="str">
        <f t="shared" si="246"/>
        <v/>
      </c>
      <c r="CI198" s="1" t="str">
        <f t="shared" si="247"/>
        <v/>
      </c>
      <c r="CJ198" s="1" t="str">
        <f>IF(B198="","",IF(SUM(AI198:AK198)&gt;0,"+SP","")&amp;IF(CI198&gt;0,"+KK","")&amp;IF(AB198&gt;0,"+KGP1","")&amp;IF(AC198&gt;0,"+KGP2","")&amp;IF(AG198&lt;0,"-KGP1","")&amp;IF(AH198&lt;0,"-KGP2",""))</f>
        <v/>
      </c>
    </row>
    <row r="199" spans="1:88" x14ac:dyDescent="0.25">
      <c r="A199" s="1">
        <f>IFERROR(IF(ROW(A198)=1,1,IF(1+A198&lt;=$CP$1*$CP$2,1+A198,"")),"")</f>
        <v>198</v>
      </c>
      <c r="B199" s="1" t="str">
        <f>IF($I199="","",IF(ROW(B198)=1,1,ROUNDUP(A199/$CP$2,0)))</f>
        <v/>
      </c>
      <c r="C199" s="4" t="str">
        <f t="shared" si="193"/>
        <v/>
      </c>
      <c r="D199" s="4" t="str">
        <f t="shared" si="187"/>
        <v/>
      </c>
      <c r="E199" s="1" t="str">
        <f>IF($B199="","",COUNTIF($B$2:B199,B199))</f>
        <v/>
      </c>
      <c r="F199" s="1" t="str">
        <f t="shared" si="188"/>
        <v/>
      </c>
      <c r="G199" s="1" t="str">
        <f t="shared" si="194"/>
        <v/>
      </c>
      <c r="H199" s="1">
        <f t="shared" si="195"/>
        <v>0</v>
      </c>
      <c r="I199" s="3"/>
      <c r="J199" s="3"/>
      <c r="K199" s="3"/>
      <c r="L199" s="1" t="str">
        <f t="shared" si="196"/>
        <v/>
      </c>
      <c r="M199" s="1" t="str">
        <f t="shared" si="197"/>
        <v/>
      </c>
      <c r="N199" s="1" t="str">
        <f t="shared" si="198"/>
        <v/>
      </c>
      <c r="O199" s="1" t="str">
        <f t="shared" si="199"/>
        <v/>
      </c>
      <c r="P199" s="1" t="str">
        <f t="shared" si="200"/>
        <v/>
      </c>
      <c r="Q199" s="1" t="str">
        <f t="array" ref="Q199">IF($B199="","",IF(MAX(IF(B199=$B$2:$B$313,$L$2:$L$313))-L199=0,"",MAX(IF(B199=$B$2:$B$313,$L$2:$L$313))-L199))</f>
        <v/>
      </c>
      <c r="R199" s="1" t="str">
        <f t="array" ref="R199">IF($B199="","",SUMPRODUCT(--($B$2:$B$313=B199),--(L199&lt;$L$2:$L$313))+1)</f>
        <v/>
      </c>
      <c r="S199" s="1" t="str">
        <f t="shared" si="201"/>
        <v/>
      </c>
      <c r="T199" s="1" t="str" cm="1">
        <f t="array" ref="T199">IF($B199="","",IF(M199=0,"",SUMPRODUCT(--($B$2:$B$313=B199),--(J199&lt;$J$2:$J$313))+1))</f>
        <v/>
      </c>
      <c r="U199" s="1" t="str">
        <f t="shared" si="202"/>
        <v/>
      </c>
      <c r="V199" s="1" t="str">
        <f t="shared" si="203"/>
        <v/>
      </c>
      <c r="W199" s="1" t="str">
        <f t="shared" si="204"/>
        <v/>
      </c>
      <c r="X199" s="1" t="str">
        <f t="shared" si="189"/>
        <v/>
      </c>
      <c r="Y199" s="1" t="str">
        <f>IF($B199="","",MAX(_xlfn.MAXIFS($J$2:J199,$I$2:I199,$I199),_xlfn.MAXIFS($K$2:K199,$I$2:I199,$I199)))</f>
        <v/>
      </c>
      <c r="Z199" s="1" t="str">
        <f t="shared" si="205"/>
        <v/>
      </c>
      <c r="AA199" s="1" t="str">
        <f t="shared" si="206"/>
        <v/>
      </c>
      <c r="AB199" s="1" t="str">
        <f t="shared" si="207"/>
        <v/>
      </c>
      <c r="AC199" s="1" t="str">
        <f t="shared" si="208"/>
        <v/>
      </c>
      <c r="AD199" s="1" t="str">
        <f>IF($B199="","",MIN(_xlfn.MINIFS($J$2:J199,$I$2:I199,$I199),_xlfn.MINIFS($K$2:K199,$I$2:I199,$I199)))</f>
        <v/>
      </c>
      <c r="AE199" s="1" t="str">
        <f t="shared" si="209"/>
        <v/>
      </c>
      <c r="AF199" s="1" t="str">
        <f t="shared" si="210"/>
        <v/>
      </c>
      <c r="AG199" s="1" t="str">
        <f t="shared" si="211"/>
        <v/>
      </c>
      <c r="AH199" s="1" t="str">
        <f t="shared" si="212"/>
        <v/>
      </c>
      <c r="AI199" s="1" t="str">
        <f ca="1">IF($B199="","",IF($K199="",0,OFFSET($CO$17,R199,W199)))</f>
        <v/>
      </c>
      <c r="AJ199" s="1" t="str">
        <f t="shared" ca="1" si="213"/>
        <v/>
      </c>
      <c r="AK199" s="1" t="str">
        <f ca="1">IF(AJ199="","",IF(AJ199=0,0,IF(W199=1,0,SUM(OFFSET($CO$17,N199,1):OFFSET($CO$17,N199+W199-2,1))/W199)))</f>
        <v/>
      </c>
      <c r="AL199" s="1" t="str">
        <f t="shared" si="214"/>
        <v/>
      </c>
      <c r="AM199" s="1" t="str">
        <f>IF($B199="","",SUMIFS($AL$2:AL199,$I$2:I199,$I199))</f>
        <v/>
      </c>
      <c r="AN199" s="1" t="str">
        <f t="shared" si="215"/>
        <v/>
      </c>
      <c r="AO199" s="1" t="str">
        <f>IFERROR(IF($B199="","",AVERAGEIFS($L$2:L199,$I$2:I199,I199,$L$2:L199,"&lt;&gt;0")),0)</f>
        <v/>
      </c>
      <c r="AP199" s="1" t="str">
        <f t="shared" si="216"/>
        <v/>
      </c>
      <c r="AQ199" s="1" t="str">
        <f>IF($B199="","",COUNTIFS($R$2:R199,1,$I$2:I199,$I199))</f>
        <v/>
      </c>
      <c r="AR199" s="1" t="str">
        <f t="array" ref="AR199">IF($B199="","",SUMPRODUCT(--($B$2:$B$313=B199),--(AM199&lt;$AM$2:$AM$313))+1)</f>
        <v/>
      </c>
      <c r="AS199" s="1" t="str">
        <f t="array" ref="AS199">IF($B199="","",SUMPRODUCT(--($B$2:$B$313=B199),--(AP199&lt;$AP$2:$AP$313))+1)</f>
        <v/>
      </c>
      <c r="AT199" s="1" t="str">
        <f t="array" ref="AT199">IF($B199="","",SUMPRODUCT(--($B$2:$B$313=B199),--(AQ199&lt;$AQ$2:$AQ$313))+1)</f>
        <v/>
      </c>
      <c r="AU199" s="1" t="str">
        <f t="shared" si="217"/>
        <v/>
      </c>
      <c r="AV199" s="1" t="str">
        <f t="shared" si="218"/>
        <v/>
      </c>
      <c r="AW199" s="1" t="str">
        <f t="shared" si="190"/>
        <v/>
      </c>
      <c r="AX199" s="1" t="str">
        <f t="shared" si="219"/>
        <v/>
      </c>
      <c r="AY199" s="8" t="str">
        <f t="shared" si="220"/>
        <v/>
      </c>
      <c r="AZ199" s="1" t="str" cm="1">
        <f t="array" ref="AZ199">IF($B199="","",SUMPRODUCT(--($B$2:$B$313=B199),--(AY199&gt;$AY$2:$AY$313))+1)</f>
        <v/>
      </c>
      <c r="BA199" s="1" t="str">
        <f t="shared" si="221"/>
        <v/>
      </c>
      <c r="BB199" s="1" t="str">
        <f t="shared" si="222"/>
        <v/>
      </c>
      <c r="BC199" s="1" t="str">
        <f t="shared" si="223"/>
        <v/>
      </c>
      <c r="BD199" s="1" t="str">
        <f t="shared" si="224"/>
        <v/>
      </c>
      <c r="BE199" s="1" t="str">
        <f t="shared" si="225"/>
        <v/>
      </c>
      <c r="BF199" s="1" t="str">
        <f t="shared" si="226"/>
        <v/>
      </c>
      <c r="BG199" s="1" t="str">
        <f t="shared" si="227"/>
        <v/>
      </c>
      <c r="BH199" s="1" t="str">
        <f t="shared" si="228"/>
        <v/>
      </c>
      <c r="BI199" s="1" t="str">
        <f t="shared" si="229"/>
        <v/>
      </c>
      <c r="BJ199" s="1" t="str">
        <f t="shared" si="230"/>
        <v/>
      </c>
      <c r="BK199" s="1" t="str">
        <f t="shared" si="231"/>
        <v/>
      </c>
      <c r="BL199" s="1" t="str">
        <f t="shared" si="232"/>
        <v/>
      </c>
      <c r="BM199" s="1" t="str">
        <f t="shared" si="233"/>
        <v/>
      </c>
      <c r="BN199" s="1" t="str">
        <f t="shared" si="234"/>
        <v/>
      </c>
      <c r="BO199" s="1" t="str">
        <f t="shared" si="191"/>
        <v/>
      </c>
      <c r="BP199" s="1" t="str">
        <f t="shared" si="192"/>
        <v/>
      </c>
      <c r="BQ199" s="1" t="str" cm="1">
        <f t="array" ref="BQ199">IF(I199="","",IF(BP199=1,"",IF(L199=0,"",IF(B199=1,"",_xlfn.XLOOKUP(1,($I$2:$I$313=$I199)*($B$2:$B$313=($B199-1)),$BO$2:$BO$313)))))</f>
        <v/>
      </c>
      <c r="BR199" s="1" t="str">
        <f>IF(I199="","",IF($B199=1,_xlfn.MINIFS($BO$2:$BO$313,$B$2:$B$313,$B199),_xlfn.MINIFS(BQ$2:$BQ$313,$B$2:$B$313,$B199)))</f>
        <v/>
      </c>
      <c r="BS199" s="1" t="str">
        <f t="shared" si="235"/>
        <v/>
      </c>
      <c r="BT199" s="1" t="str" cm="1">
        <f t="array" ref="BT199">IF($I199="","",IF($B199=1,_xlfn.XLOOKUP(1,($B$2:$B$313=$B199)*($BO$2:$BO$313=BR199),Data!$I$2:$I$313,,0),_xlfn.XLOOKUP(1,($B$2:$B$313=$B199)*($BQ$2:$BQ$313=$BR199),$I$2:$I$313,,0)))</f>
        <v/>
      </c>
      <c r="BU199" s="1" t="str" cm="1">
        <f t="array" ref="BU199">IF(I199="","",IF($B199=1,_xlfn.XLOOKUP(1,($B$2:$B$313=$B199)*($BO$2:$BO$313=$BS199),$I$2:$I$313,,0),_xlfn.XLOOKUP(1,($B$2:$B$313=$B199)*($BQ$2:$BQ$313=$BS199),$I$2:$I$313,,0)))</f>
        <v/>
      </c>
      <c r="BV199" s="1" t="str" cm="1">
        <f t="array" ref="BV199">IF($I199="","",IF($B199=1,"",IF($B199=2,_xlfn.XLOOKUP(1,($B$2:$B$313=1)*($BO$2:$BO$313=1),$I$2:$I$313,,0),_xlfn.XLOOKUP($B199-1,$B$2:$B$313,$CH$2:$CH$313,,0))))</f>
        <v/>
      </c>
      <c r="BW199" s="1" t="str" cm="1">
        <f t="array" ref="BW199">IF($I199="","",IF($B199=1,"",IF(_xlfn.XLOOKUP(1,($B$2:$B$313=$B199)*($I$2:$I$313=$BV199),$BQ$2:$BQ$313,,0)="","NOK","OK")))</f>
        <v/>
      </c>
      <c r="BX199" s="1" t="str">
        <f t="shared" si="236"/>
        <v/>
      </c>
      <c r="BY199" s="1" t="str">
        <f t="shared" si="237"/>
        <v/>
      </c>
      <c r="BZ199" s="1" t="str">
        <f t="shared" si="238"/>
        <v/>
      </c>
      <c r="CA199" s="1" t="str">
        <f t="shared" si="239"/>
        <v/>
      </c>
      <c r="CB199" s="1" t="str">
        <f t="shared" si="240"/>
        <v/>
      </c>
      <c r="CC199" s="1" t="str">
        <f t="shared" si="241"/>
        <v/>
      </c>
      <c r="CD199" s="1" t="str">
        <f t="shared" si="242"/>
        <v/>
      </c>
      <c r="CE199" s="1" t="str">
        <f t="shared" si="243"/>
        <v/>
      </c>
      <c r="CF199" s="1" t="str">
        <f t="shared" si="244"/>
        <v/>
      </c>
      <c r="CG199" s="1" t="str">
        <f t="shared" si="245"/>
        <v/>
      </c>
      <c r="CH199" s="1" t="str">
        <f t="shared" si="246"/>
        <v/>
      </c>
      <c r="CI199" s="1" t="str">
        <f t="shared" si="247"/>
        <v/>
      </c>
      <c r="CJ199" s="1" t="str">
        <f>IF(B199="","",IF(SUM(AI199:AK199)&gt;0,"+SP","")&amp;IF(CI199&gt;0,"+KK","")&amp;IF(AB199&gt;0,"+KGP1","")&amp;IF(AC199&gt;0,"+KGP2","")&amp;IF(AG199&lt;0,"-KGP1","")&amp;IF(AH199&lt;0,"-KGP2",""))</f>
        <v/>
      </c>
    </row>
    <row r="200" spans="1:88" x14ac:dyDescent="0.25">
      <c r="A200" s="1">
        <f>IFERROR(IF(ROW(A199)=1,1,IF(1+A199&lt;=$CP$1*$CP$2,1+A199,"")),"")</f>
        <v>199</v>
      </c>
      <c r="B200" s="1" t="str">
        <f>IF($I200="","",IF(ROW(B199)=1,1,ROUNDUP(A200/$CP$2,0)))</f>
        <v/>
      </c>
      <c r="C200" s="4" t="str">
        <f t="shared" si="193"/>
        <v/>
      </c>
      <c r="D200" s="4" t="str">
        <f t="shared" si="187"/>
        <v/>
      </c>
      <c r="E200" s="1" t="str">
        <f>IF($B200="","",COUNTIF($B$2:B200,B200))</f>
        <v/>
      </c>
      <c r="F200" s="1" t="str">
        <f t="shared" si="188"/>
        <v/>
      </c>
      <c r="G200" s="1" t="str">
        <f t="shared" si="194"/>
        <v/>
      </c>
      <c r="H200" s="1">
        <f t="shared" si="195"/>
        <v>0</v>
      </c>
      <c r="I200" s="3"/>
      <c r="J200" s="3"/>
      <c r="K200" s="3"/>
      <c r="L200" s="1" t="str">
        <f t="shared" si="196"/>
        <v/>
      </c>
      <c r="M200" s="1" t="str">
        <f t="shared" si="197"/>
        <v/>
      </c>
      <c r="N200" s="1" t="str">
        <f t="shared" si="198"/>
        <v/>
      </c>
      <c r="O200" s="1" t="str">
        <f t="shared" si="199"/>
        <v/>
      </c>
      <c r="P200" s="1" t="str">
        <f t="shared" si="200"/>
        <v/>
      </c>
      <c r="Q200" s="1" t="str">
        <f t="array" ref="Q200">IF($B200="","",IF(MAX(IF(B200=$B$2:$B$313,$L$2:$L$313))-L200=0,"",MAX(IF(B200=$B$2:$B$313,$L$2:$L$313))-L200))</f>
        <v/>
      </c>
      <c r="R200" s="1" t="str">
        <f t="array" ref="R200">IF($B200="","",SUMPRODUCT(--($B$2:$B$313=B200),--(L200&lt;$L$2:$L$313))+1)</f>
        <v/>
      </c>
      <c r="S200" s="1" t="str">
        <f t="shared" si="201"/>
        <v/>
      </c>
      <c r="T200" s="1" t="str" cm="1">
        <f t="array" ref="T200">IF($B200="","",IF(M200=0,"",SUMPRODUCT(--($B$2:$B$313=B200),--(J200&lt;$J$2:$J$313))+1))</f>
        <v/>
      </c>
      <c r="U200" s="1" t="str">
        <f t="shared" si="202"/>
        <v/>
      </c>
      <c r="V200" s="1" t="str">
        <f t="shared" si="203"/>
        <v/>
      </c>
      <c r="W200" s="1" t="str">
        <f t="shared" si="204"/>
        <v/>
      </c>
      <c r="X200" s="1" t="str">
        <f t="shared" si="189"/>
        <v/>
      </c>
      <c r="Y200" s="1" t="str">
        <f>IF($B200="","",MAX(_xlfn.MAXIFS($J$2:J200,$I$2:I200,$I200),_xlfn.MAXIFS($K$2:K200,$I$2:I200,$I200)))</f>
        <v/>
      </c>
      <c r="Z200" s="1" t="str">
        <f t="shared" si="205"/>
        <v/>
      </c>
      <c r="AA200" s="1" t="str">
        <f t="shared" si="206"/>
        <v/>
      </c>
      <c r="AB200" s="1" t="str">
        <f t="shared" si="207"/>
        <v/>
      </c>
      <c r="AC200" s="1" t="str">
        <f t="shared" si="208"/>
        <v/>
      </c>
      <c r="AD200" s="1" t="str">
        <f>IF($B200="","",MIN(_xlfn.MINIFS($J$2:J200,$I$2:I200,$I200),_xlfn.MINIFS($K$2:K200,$I$2:I200,$I200)))</f>
        <v/>
      </c>
      <c r="AE200" s="1" t="str">
        <f t="shared" si="209"/>
        <v/>
      </c>
      <c r="AF200" s="1" t="str">
        <f t="shared" si="210"/>
        <v/>
      </c>
      <c r="AG200" s="1" t="str">
        <f t="shared" si="211"/>
        <v/>
      </c>
      <c r="AH200" s="1" t="str">
        <f t="shared" si="212"/>
        <v/>
      </c>
      <c r="AI200" s="1" t="str">
        <f ca="1">IF($B200="","",IF($K200="",0,OFFSET($CO$17,R200,W200)))</f>
        <v/>
      </c>
      <c r="AJ200" s="1" t="str">
        <f t="shared" ca="1" si="213"/>
        <v/>
      </c>
      <c r="AK200" s="1" t="str">
        <f ca="1">IF(AJ200="","",IF(AJ200=0,0,IF(W200=1,0,SUM(OFFSET($CO$17,N200,1):OFFSET($CO$17,N200+W200-2,1))/W200)))</f>
        <v/>
      </c>
      <c r="AL200" s="1" t="str">
        <f t="shared" si="214"/>
        <v/>
      </c>
      <c r="AM200" s="1" t="str">
        <f>IF($B200="","",SUMIFS($AL$2:AL200,$I$2:I200,$I200))</f>
        <v/>
      </c>
      <c r="AN200" s="1" t="str">
        <f t="shared" si="215"/>
        <v/>
      </c>
      <c r="AO200" s="1" t="str">
        <f>IFERROR(IF($B200="","",AVERAGEIFS($L$2:L200,$I$2:I200,I200,$L$2:L200,"&lt;&gt;0")),0)</f>
        <v/>
      </c>
      <c r="AP200" s="1" t="str">
        <f t="shared" si="216"/>
        <v/>
      </c>
      <c r="AQ200" s="1" t="str">
        <f>IF($B200="","",COUNTIFS($R$2:R200,1,$I$2:I200,$I200))</f>
        <v/>
      </c>
      <c r="AR200" s="1" t="str">
        <f t="array" ref="AR200">IF($B200="","",SUMPRODUCT(--($B$2:$B$313=B200),--(AM200&lt;$AM$2:$AM$313))+1)</f>
        <v/>
      </c>
      <c r="AS200" s="1" t="str">
        <f t="array" ref="AS200">IF($B200="","",SUMPRODUCT(--($B$2:$B$313=B200),--(AP200&lt;$AP$2:$AP$313))+1)</f>
        <v/>
      </c>
      <c r="AT200" s="1" t="str">
        <f t="array" ref="AT200">IF($B200="","",SUMPRODUCT(--($B$2:$B$313=B200),--(AQ200&lt;$AQ$2:$AQ$313))+1)</f>
        <v/>
      </c>
      <c r="AU200" s="1" t="str">
        <f t="shared" si="217"/>
        <v/>
      </c>
      <c r="AV200" s="1" t="str">
        <f t="shared" si="218"/>
        <v/>
      </c>
      <c r="AW200" s="1" t="str">
        <f t="shared" si="190"/>
        <v/>
      </c>
      <c r="AX200" s="1" t="str">
        <f t="shared" si="219"/>
        <v/>
      </c>
      <c r="AY200" s="8" t="str">
        <f t="shared" si="220"/>
        <v/>
      </c>
      <c r="AZ200" s="1" t="str" cm="1">
        <f t="array" ref="AZ200">IF($B200="","",SUMPRODUCT(--($B$2:$B$313=B200),--(AY200&gt;$AY$2:$AY$313))+1)</f>
        <v/>
      </c>
      <c r="BA200" s="1" t="str">
        <f t="shared" si="221"/>
        <v/>
      </c>
      <c r="BB200" s="1" t="str">
        <f t="shared" si="222"/>
        <v/>
      </c>
      <c r="BC200" s="1" t="str">
        <f t="shared" si="223"/>
        <v/>
      </c>
      <c r="BD200" s="1" t="str">
        <f t="shared" si="224"/>
        <v/>
      </c>
      <c r="BE200" s="1" t="str">
        <f t="shared" si="225"/>
        <v/>
      </c>
      <c r="BF200" s="1" t="str">
        <f t="shared" si="226"/>
        <v/>
      </c>
      <c r="BG200" s="1" t="str">
        <f t="shared" si="227"/>
        <v/>
      </c>
      <c r="BH200" s="1" t="str">
        <f t="shared" si="228"/>
        <v/>
      </c>
      <c r="BI200" s="1" t="str">
        <f t="shared" si="229"/>
        <v/>
      </c>
      <c r="BJ200" s="1" t="str">
        <f t="shared" si="230"/>
        <v/>
      </c>
      <c r="BK200" s="1" t="str">
        <f t="shared" si="231"/>
        <v/>
      </c>
      <c r="BL200" s="1" t="str">
        <f t="shared" si="232"/>
        <v/>
      </c>
      <c r="BM200" s="1" t="str">
        <f t="shared" si="233"/>
        <v/>
      </c>
      <c r="BN200" s="1" t="str">
        <f t="shared" si="234"/>
        <v/>
      </c>
      <c r="BO200" s="1" t="str">
        <f t="shared" si="191"/>
        <v/>
      </c>
      <c r="BP200" s="1" t="str">
        <f t="shared" si="192"/>
        <v/>
      </c>
      <c r="BQ200" s="1" t="str" cm="1">
        <f t="array" ref="BQ200">IF(I200="","",IF(BP200=1,"",IF(L200=0,"",IF(B200=1,"",_xlfn.XLOOKUP(1,($I$2:$I$313=$I200)*($B$2:$B$313=($B200-1)),$BO$2:$BO$313)))))</f>
        <v/>
      </c>
      <c r="BR200" s="1" t="str">
        <f>IF(I200="","",IF($B200=1,_xlfn.MINIFS($BO$2:$BO$313,$B$2:$B$313,$B200),_xlfn.MINIFS(BQ$2:$BQ$313,$B$2:$B$313,$B200)))</f>
        <v/>
      </c>
      <c r="BS200" s="1" t="str">
        <f t="shared" si="235"/>
        <v/>
      </c>
      <c r="BT200" s="1" t="str" cm="1">
        <f t="array" ref="BT200">IF($I200="","",IF($B200=1,_xlfn.XLOOKUP(1,($B$2:$B$313=$B200)*($BO$2:$BO$313=BR200),Data!$I$2:$I$313,,0),_xlfn.XLOOKUP(1,($B$2:$B$313=$B200)*($BQ$2:$BQ$313=$BR200),$I$2:$I$313,,0)))</f>
        <v/>
      </c>
      <c r="BU200" s="1" t="str" cm="1">
        <f t="array" ref="BU200">IF(I200="","",IF($B200=1,_xlfn.XLOOKUP(1,($B$2:$B$313=$B200)*($BO$2:$BO$313=$BS200),$I$2:$I$313,,0),_xlfn.XLOOKUP(1,($B$2:$B$313=$B200)*($BQ$2:$BQ$313=$BS200),$I$2:$I$313,,0)))</f>
        <v/>
      </c>
      <c r="BV200" s="1" t="str" cm="1">
        <f t="array" ref="BV200">IF($I200="","",IF($B200=1,"",IF($B200=2,_xlfn.XLOOKUP(1,($B$2:$B$313=1)*($BO$2:$BO$313=1),$I$2:$I$313,,0),_xlfn.XLOOKUP($B200-1,$B$2:$B$313,$CH$2:$CH$313,,0))))</f>
        <v/>
      </c>
      <c r="BW200" s="1" t="str" cm="1">
        <f t="array" ref="BW200">IF($I200="","",IF($B200=1,"",IF(_xlfn.XLOOKUP(1,($B$2:$B$313=$B200)*($I$2:$I$313=$BV200),$BQ$2:$BQ$313,,0)="","NOK","OK")))</f>
        <v/>
      </c>
      <c r="BX200" s="1" t="str">
        <f t="shared" si="236"/>
        <v/>
      </c>
      <c r="BY200" s="1" t="str">
        <f t="shared" si="237"/>
        <v/>
      </c>
      <c r="BZ200" s="1" t="str">
        <f t="shared" si="238"/>
        <v/>
      </c>
      <c r="CA200" s="1" t="str">
        <f t="shared" si="239"/>
        <v/>
      </c>
      <c r="CB200" s="1" t="str">
        <f t="shared" si="240"/>
        <v/>
      </c>
      <c r="CC200" s="1" t="str">
        <f t="shared" si="241"/>
        <v/>
      </c>
      <c r="CD200" s="1" t="str">
        <f t="shared" si="242"/>
        <v/>
      </c>
      <c r="CE200" s="1" t="str">
        <f t="shared" si="243"/>
        <v/>
      </c>
      <c r="CF200" s="1" t="str">
        <f t="shared" si="244"/>
        <v/>
      </c>
      <c r="CG200" s="1" t="str">
        <f t="shared" si="245"/>
        <v/>
      </c>
      <c r="CH200" s="1" t="str">
        <f t="shared" si="246"/>
        <v/>
      </c>
      <c r="CI200" s="1" t="str">
        <f t="shared" si="247"/>
        <v/>
      </c>
      <c r="CJ200" s="1" t="str">
        <f>IF(B200="","",IF(SUM(AI200:AK200)&gt;0,"+SP","")&amp;IF(CI200&gt;0,"+KK","")&amp;IF(AB200&gt;0,"+KGP1","")&amp;IF(AC200&gt;0,"+KGP2","")&amp;IF(AG200&lt;0,"-KGP1","")&amp;IF(AH200&lt;0,"-KGP2",""))</f>
        <v/>
      </c>
    </row>
    <row r="201" spans="1:88" x14ac:dyDescent="0.25">
      <c r="A201" s="1">
        <f>IFERROR(IF(ROW(A200)=1,1,IF(1+A200&lt;=$CP$1*$CP$2,1+A200,"")),"")</f>
        <v>200</v>
      </c>
      <c r="B201" s="1" t="str">
        <f>IF($I201="","",IF(ROW(B200)=1,1,ROUNDUP(A201/$CP$2,0)))</f>
        <v/>
      </c>
      <c r="C201" s="4" t="str">
        <f t="shared" si="193"/>
        <v/>
      </c>
      <c r="D201" s="4" t="str">
        <f t="shared" si="187"/>
        <v/>
      </c>
      <c r="E201" s="1" t="str">
        <f>IF($B201="","",COUNTIF($B$2:B201,B201))</f>
        <v/>
      </c>
      <c r="F201" s="1" t="str">
        <f t="shared" si="188"/>
        <v/>
      </c>
      <c r="G201" s="1" t="str">
        <f t="shared" si="194"/>
        <v/>
      </c>
      <c r="H201" s="1">
        <f t="shared" si="195"/>
        <v>0</v>
      </c>
      <c r="I201" s="3"/>
      <c r="J201" s="3"/>
      <c r="K201" s="3"/>
      <c r="L201" s="1" t="str">
        <f t="shared" si="196"/>
        <v/>
      </c>
      <c r="M201" s="1" t="str">
        <f t="shared" si="197"/>
        <v/>
      </c>
      <c r="N201" s="1" t="str">
        <f t="shared" si="198"/>
        <v/>
      </c>
      <c r="O201" s="1" t="str">
        <f t="shared" si="199"/>
        <v/>
      </c>
      <c r="P201" s="1" t="str">
        <f t="shared" si="200"/>
        <v/>
      </c>
      <c r="Q201" s="1" t="str">
        <f t="array" ref="Q201">IF($B201="","",IF(MAX(IF(B201=$B$2:$B$313,$L$2:$L$313))-L201=0,"",MAX(IF(B201=$B$2:$B$313,$L$2:$L$313))-L201))</f>
        <v/>
      </c>
      <c r="R201" s="1" t="str">
        <f t="array" ref="R201">IF($B201="","",SUMPRODUCT(--($B$2:$B$313=B201),--(L201&lt;$L$2:$L$313))+1)</f>
        <v/>
      </c>
      <c r="S201" s="1" t="str">
        <f t="shared" si="201"/>
        <v/>
      </c>
      <c r="T201" s="1" t="str" cm="1">
        <f t="array" ref="T201">IF($B201="","",IF(M201=0,"",SUMPRODUCT(--($B$2:$B$313=B201),--(J201&lt;$J$2:$J$313))+1))</f>
        <v/>
      </c>
      <c r="U201" s="1" t="str">
        <f t="shared" si="202"/>
        <v/>
      </c>
      <c r="V201" s="1" t="str">
        <f t="shared" si="203"/>
        <v/>
      </c>
      <c r="W201" s="1" t="str">
        <f t="shared" si="204"/>
        <v/>
      </c>
      <c r="X201" s="1" t="str">
        <f t="shared" si="189"/>
        <v/>
      </c>
      <c r="Y201" s="1" t="str">
        <f>IF($B201="","",MAX(_xlfn.MAXIFS($J$2:J201,$I$2:I201,$I201),_xlfn.MAXIFS($K$2:K201,$I$2:I201,$I201)))</f>
        <v/>
      </c>
      <c r="Z201" s="1" t="str">
        <f t="shared" si="205"/>
        <v/>
      </c>
      <c r="AA201" s="1" t="str">
        <f t="shared" si="206"/>
        <v/>
      </c>
      <c r="AB201" s="1" t="str">
        <f t="shared" si="207"/>
        <v/>
      </c>
      <c r="AC201" s="1" t="str">
        <f t="shared" si="208"/>
        <v/>
      </c>
      <c r="AD201" s="1" t="str">
        <f>IF($B201="","",MIN(_xlfn.MINIFS($J$2:J201,$I$2:I201,$I201),_xlfn.MINIFS($K$2:K201,$I$2:I201,$I201)))</f>
        <v/>
      </c>
      <c r="AE201" s="1" t="str">
        <f t="shared" si="209"/>
        <v/>
      </c>
      <c r="AF201" s="1" t="str">
        <f t="shared" si="210"/>
        <v/>
      </c>
      <c r="AG201" s="1" t="str">
        <f t="shared" si="211"/>
        <v/>
      </c>
      <c r="AH201" s="1" t="str">
        <f t="shared" si="212"/>
        <v/>
      </c>
      <c r="AI201" s="1" t="str">
        <f ca="1">IF($B201="","",IF($K201="",0,OFFSET($CO$17,R201,W201)))</f>
        <v/>
      </c>
      <c r="AJ201" s="1" t="str">
        <f t="shared" ca="1" si="213"/>
        <v/>
      </c>
      <c r="AK201" s="1" t="str">
        <f ca="1">IF(AJ201="","",IF(AJ201=0,0,IF(W201=1,0,SUM(OFFSET($CO$17,N201,1):OFFSET($CO$17,N201+W201-2,1))/W201)))</f>
        <v/>
      </c>
      <c r="AL201" s="1" t="str">
        <f t="shared" si="214"/>
        <v/>
      </c>
      <c r="AM201" s="1" t="str">
        <f>IF($B201="","",SUMIFS($AL$2:AL201,$I$2:I201,$I201))</f>
        <v/>
      </c>
      <c r="AN201" s="1" t="str">
        <f t="shared" si="215"/>
        <v/>
      </c>
      <c r="AO201" s="1" t="str">
        <f>IFERROR(IF($B201="","",AVERAGEIFS($L$2:L201,$I$2:I201,I201,$L$2:L201,"&lt;&gt;0")),0)</f>
        <v/>
      </c>
      <c r="AP201" s="1" t="str">
        <f t="shared" si="216"/>
        <v/>
      </c>
      <c r="AQ201" s="1" t="str">
        <f>IF($B201="","",COUNTIFS($R$2:R201,1,$I$2:I201,$I201))</f>
        <v/>
      </c>
      <c r="AR201" s="1" t="str">
        <f t="array" ref="AR201">IF($B201="","",SUMPRODUCT(--($B$2:$B$313=B201),--(AM201&lt;$AM$2:$AM$313))+1)</f>
        <v/>
      </c>
      <c r="AS201" s="1" t="str">
        <f t="array" ref="AS201">IF($B201="","",SUMPRODUCT(--($B$2:$B$313=B201),--(AP201&lt;$AP$2:$AP$313))+1)</f>
        <v/>
      </c>
      <c r="AT201" s="1" t="str">
        <f t="array" ref="AT201">IF($B201="","",SUMPRODUCT(--($B$2:$B$313=B201),--(AQ201&lt;$AQ$2:$AQ$313))+1)</f>
        <v/>
      </c>
      <c r="AU201" s="1" t="str">
        <f t="shared" si="217"/>
        <v/>
      </c>
      <c r="AV201" s="1" t="str">
        <f t="shared" si="218"/>
        <v/>
      </c>
      <c r="AW201" s="1" t="str">
        <f t="shared" si="190"/>
        <v/>
      </c>
      <c r="AX201" s="1" t="str">
        <f t="shared" si="219"/>
        <v/>
      </c>
      <c r="AY201" s="8" t="str">
        <f t="shared" si="220"/>
        <v/>
      </c>
      <c r="AZ201" s="1" t="str" cm="1">
        <f t="array" ref="AZ201">IF($B201="","",SUMPRODUCT(--($B$2:$B$313=B201),--(AY201&gt;$AY$2:$AY$313))+1)</f>
        <v/>
      </c>
      <c r="BA201" s="1" t="str">
        <f t="shared" si="221"/>
        <v/>
      </c>
      <c r="BB201" s="1" t="str">
        <f t="shared" si="222"/>
        <v/>
      </c>
      <c r="BC201" s="1" t="str">
        <f t="shared" si="223"/>
        <v/>
      </c>
      <c r="BD201" s="1" t="str">
        <f t="shared" si="224"/>
        <v/>
      </c>
      <c r="BE201" s="1" t="str">
        <f t="shared" si="225"/>
        <v/>
      </c>
      <c r="BF201" s="1" t="str">
        <f t="shared" si="226"/>
        <v/>
      </c>
      <c r="BG201" s="1" t="str">
        <f t="shared" si="227"/>
        <v/>
      </c>
      <c r="BH201" s="1" t="str">
        <f t="shared" si="228"/>
        <v/>
      </c>
      <c r="BI201" s="1" t="str">
        <f t="shared" si="229"/>
        <v/>
      </c>
      <c r="BJ201" s="1" t="str">
        <f t="shared" si="230"/>
        <v/>
      </c>
      <c r="BK201" s="1" t="str">
        <f t="shared" si="231"/>
        <v/>
      </c>
      <c r="BL201" s="1" t="str">
        <f t="shared" si="232"/>
        <v/>
      </c>
      <c r="BM201" s="1" t="str">
        <f t="shared" si="233"/>
        <v/>
      </c>
      <c r="BN201" s="1" t="str">
        <f t="shared" si="234"/>
        <v/>
      </c>
      <c r="BO201" s="1" t="str">
        <f t="shared" si="191"/>
        <v/>
      </c>
      <c r="BP201" s="1" t="str">
        <f t="shared" si="192"/>
        <v/>
      </c>
      <c r="BQ201" s="1" t="str" cm="1">
        <f t="array" ref="BQ201">IF(I201="","",IF(BP201=1,"",IF(L201=0,"",IF(B201=1,"",_xlfn.XLOOKUP(1,($I$2:$I$313=$I201)*($B$2:$B$313=($B201-1)),$BO$2:$BO$313)))))</f>
        <v/>
      </c>
      <c r="BR201" s="1" t="str">
        <f>IF(I201="","",IF($B201=1,_xlfn.MINIFS($BO$2:$BO$313,$B$2:$B$313,$B201),_xlfn.MINIFS(BQ$2:$BQ$313,$B$2:$B$313,$B201)))</f>
        <v/>
      </c>
      <c r="BS201" s="1" t="str">
        <f t="shared" si="235"/>
        <v/>
      </c>
      <c r="BT201" s="1" t="str" cm="1">
        <f t="array" ref="BT201">IF($I201="","",IF($B201=1,_xlfn.XLOOKUP(1,($B$2:$B$313=$B201)*($BO$2:$BO$313=BR201),Data!$I$2:$I$313,,0),_xlfn.XLOOKUP(1,($B$2:$B$313=$B201)*($BQ$2:$BQ$313=$BR201),$I$2:$I$313,,0)))</f>
        <v/>
      </c>
      <c r="BU201" s="1" t="str" cm="1">
        <f t="array" ref="BU201">IF(I201="","",IF($B201=1,_xlfn.XLOOKUP(1,($B$2:$B$313=$B201)*($BO$2:$BO$313=$BS201),$I$2:$I$313,,0),_xlfn.XLOOKUP(1,($B$2:$B$313=$B201)*($BQ$2:$BQ$313=$BS201),$I$2:$I$313,,0)))</f>
        <v/>
      </c>
      <c r="BV201" s="1" t="str" cm="1">
        <f t="array" ref="BV201">IF($I201="","",IF($B201=1,"",IF($B201=2,_xlfn.XLOOKUP(1,($B$2:$B$313=1)*($BO$2:$BO$313=1),$I$2:$I$313,,0),_xlfn.XLOOKUP($B201-1,$B$2:$B$313,$CH$2:$CH$313,,0))))</f>
        <v/>
      </c>
      <c r="BW201" s="1" t="str" cm="1">
        <f t="array" ref="BW201">IF($I201="","",IF($B201=1,"",IF(_xlfn.XLOOKUP(1,($B$2:$B$313=$B201)*($I$2:$I$313=$BV201),$BQ$2:$BQ$313,,0)="","NOK","OK")))</f>
        <v/>
      </c>
      <c r="BX201" s="1" t="str">
        <f t="shared" si="236"/>
        <v/>
      </c>
      <c r="BY201" s="1" t="str">
        <f t="shared" si="237"/>
        <v/>
      </c>
      <c r="BZ201" s="1" t="str">
        <f t="shared" si="238"/>
        <v/>
      </c>
      <c r="CA201" s="1" t="str">
        <f t="shared" si="239"/>
        <v/>
      </c>
      <c r="CB201" s="1" t="str">
        <f t="shared" si="240"/>
        <v/>
      </c>
      <c r="CC201" s="1" t="str">
        <f t="shared" si="241"/>
        <v/>
      </c>
      <c r="CD201" s="1" t="str">
        <f t="shared" si="242"/>
        <v/>
      </c>
      <c r="CE201" s="1" t="str">
        <f t="shared" si="243"/>
        <v/>
      </c>
      <c r="CF201" s="1" t="str">
        <f t="shared" si="244"/>
        <v/>
      </c>
      <c r="CG201" s="1" t="str">
        <f t="shared" si="245"/>
        <v/>
      </c>
      <c r="CH201" s="1" t="str">
        <f t="shared" si="246"/>
        <v/>
      </c>
      <c r="CI201" s="1" t="str">
        <f t="shared" si="247"/>
        <v/>
      </c>
      <c r="CJ201" s="1" t="str">
        <f>IF(B201="","",IF(SUM(AI201:AK201)&gt;0,"+SP","")&amp;IF(CI201&gt;0,"+KK","")&amp;IF(AB201&gt;0,"+KGP1","")&amp;IF(AC201&gt;0,"+KGP2","")&amp;IF(AG201&lt;0,"-KGP1","")&amp;IF(AH201&lt;0,"-KGP2",""))</f>
        <v/>
      </c>
    </row>
    <row r="202" spans="1:88" x14ac:dyDescent="0.25">
      <c r="A202" s="1">
        <f>IFERROR(IF(ROW(A201)=1,1,IF(1+A201&lt;=$CP$1*$CP$2,1+A201,"")),"")</f>
        <v>201</v>
      </c>
      <c r="B202" s="1" t="str">
        <f>IF($I202="","",IF(ROW(B201)=1,1,ROUNDUP(A202/$CP$2,0)))</f>
        <v/>
      </c>
      <c r="C202" s="4" t="str">
        <f t="shared" si="193"/>
        <v/>
      </c>
      <c r="D202" s="4" t="str">
        <f t="shared" si="187"/>
        <v/>
      </c>
      <c r="E202" s="1" t="str">
        <f>IF($B202="","",COUNTIF($B$2:B202,B202))</f>
        <v/>
      </c>
      <c r="F202" s="1" t="str">
        <f t="shared" si="188"/>
        <v/>
      </c>
      <c r="G202" s="1" t="str">
        <f t="shared" si="194"/>
        <v/>
      </c>
      <c r="H202" s="1">
        <f t="shared" si="195"/>
        <v>0</v>
      </c>
      <c r="I202" s="3"/>
      <c r="J202" s="3"/>
      <c r="K202" s="3"/>
      <c r="L202" s="1" t="str">
        <f t="shared" si="196"/>
        <v/>
      </c>
      <c r="M202" s="1" t="str">
        <f t="shared" si="197"/>
        <v/>
      </c>
      <c r="N202" s="1" t="str">
        <f t="shared" si="198"/>
        <v/>
      </c>
      <c r="O202" s="1" t="str">
        <f t="shared" si="199"/>
        <v/>
      </c>
      <c r="P202" s="1" t="str">
        <f t="shared" si="200"/>
        <v/>
      </c>
      <c r="Q202" s="1" t="str">
        <f t="array" ref="Q202">IF($B202="","",IF(MAX(IF(B202=$B$2:$B$313,$L$2:$L$313))-L202=0,"",MAX(IF(B202=$B$2:$B$313,$L$2:$L$313))-L202))</f>
        <v/>
      </c>
      <c r="R202" s="1" t="str">
        <f t="array" ref="R202">IF($B202="","",SUMPRODUCT(--($B$2:$B$313=B202),--(L202&lt;$L$2:$L$313))+1)</f>
        <v/>
      </c>
      <c r="S202" s="1" t="str">
        <f t="shared" si="201"/>
        <v/>
      </c>
      <c r="T202" s="1" t="str" cm="1">
        <f t="array" ref="T202">IF($B202="","",IF(M202=0,"",SUMPRODUCT(--($B$2:$B$313=B202),--(J202&lt;$J$2:$J$313))+1))</f>
        <v/>
      </c>
      <c r="U202" s="1" t="str">
        <f t="shared" si="202"/>
        <v/>
      </c>
      <c r="V202" s="1" t="str">
        <f t="shared" si="203"/>
        <v/>
      </c>
      <c r="W202" s="1" t="str">
        <f t="shared" si="204"/>
        <v/>
      </c>
      <c r="X202" s="1" t="str">
        <f t="shared" si="189"/>
        <v/>
      </c>
      <c r="Y202" s="1" t="str">
        <f>IF($B202="","",MAX(_xlfn.MAXIFS($J$2:J202,$I$2:I202,$I202),_xlfn.MAXIFS($K$2:K202,$I$2:I202,$I202)))</f>
        <v/>
      </c>
      <c r="Z202" s="1" t="str">
        <f t="shared" si="205"/>
        <v/>
      </c>
      <c r="AA202" s="1" t="str">
        <f t="shared" si="206"/>
        <v/>
      </c>
      <c r="AB202" s="1" t="str">
        <f t="shared" si="207"/>
        <v/>
      </c>
      <c r="AC202" s="1" t="str">
        <f t="shared" si="208"/>
        <v/>
      </c>
      <c r="AD202" s="1" t="str">
        <f>IF($B202="","",MIN(_xlfn.MINIFS($J$2:J202,$I$2:I202,$I202),_xlfn.MINIFS($K$2:K202,$I$2:I202,$I202)))</f>
        <v/>
      </c>
      <c r="AE202" s="1" t="str">
        <f t="shared" si="209"/>
        <v/>
      </c>
      <c r="AF202" s="1" t="str">
        <f t="shared" si="210"/>
        <v/>
      </c>
      <c r="AG202" s="1" t="str">
        <f t="shared" si="211"/>
        <v/>
      </c>
      <c r="AH202" s="1" t="str">
        <f t="shared" si="212"/>
        <v/>
      </c>
      <c r="AI202" s="1" t="str">
        <f ca="1">IF($B202="","",IF($K202="",0,OFFSET($CO$17,R202,W202)))</f>
        <v/>
      </c>
      <c r="AJ202" s="1" t="str">
        <f t="shared" ca="1" si="213"/>
        <v/>
      </c>
      <c r="AK202" s="1" t="str">
        <f ca="1">IF(AJ202="","",IF(AJ202=0,0,IF(W202=1,0,SUM(OFFSET($CO$17,N202,1):OFFSET($CO$17,N202+W202-2,1))/W202)))</f>
        <v/>
      </c>
      <c r="AL202" s="1" t="str">
        <f t="shared" si="214"/>
        <v/>
      </c>
      <c r="AM202" s="1" t="str">
        <f>IF($B202="","",SUMIFS($AL$2:AL202,$I$2:I202,$I202))</f>
        <v/>
      </c>
      <c r="AN202" s="1" t="str">
        <f t="shared" si="215"/>
        <v/>
      </c>
      <c r="AO202" s="1" t="str">
        <f>IFERROR(IF($B202="","",AVERAGEIFS($L$2:L202,$I$2:I202,I202,$L$2:L202,"&lt;&gt;0")),0)</f>
        <v/>
      </c>
      <c r="AP202" s="1" t="str">
        <f t="shared" si="216"/>
        <v/>
      </c>
      <c r="AQ202" s="1" t="str">
        <f>IF($B202="","",COUNTIFS($R$2:R202,1,$I$2:I202,$I202))</f>
        <v/>
      </c>
      <c r="AR202" s="1" t="str">
        <f t="array" ref="AR202">IF($B202="","",SUMPRODUCT(--($B$2:$B$313=B202),--(AM202&lt;$AM$2:$AM$313))+1)</f>
        <v/>
      </c>
      <c r="AS202" s="1" t="str">
        <f t="array" ref="AS202">IF($B202="","",SUMPRODUCT(--($B$2:$B$313=B202),--(AP202&lt;$AP$2:$AP$313))+1)</f>
        <v/>
      </c>
      <c r="AT202" s="1" t="str">
        <f t="array" ref="AT202">IF($B202="","",SUMPRODUCT(--($B$2:$B$313=B202),--(AQ202&lt;$AQ$2:$AQ$313))+1)</f>
        <v/>
      </c>
      <c r="AU202" s="1" t="str">
        <f t="shared" si="217"/>
        <v/>
      </c>
      <c r="AV202" s="1" t="str">
        <f t="shared" si="218"/>
        <v/>
      </c>
      <c r="AW202" s="1" t="str">
        <f t="shared" si="190"/>
        <v/>
      </c>
      <c r="AX202" s="1" t="str">
        <f t="shared" si="219"/>
        <v/>
      </c>
      <c r="AY202" s="8" t="str">
        <f t="shared" si="220"/>
        <v/>
      </c>
      <c r="AZ202" s="1" t="str" cm="1">
        <f t="array" ref="AZ202">IF($B202="","",SUMPRODUCT(--($B$2:$B$313=B202),--(AY202&gt;$AY$2:$AY$313))+1)</f>
        <v/>
      </c>
      <c r="BA202" s="1" t="str">
        <f t="shared" si="221"/>
        <v/>
      </c>
      <c r="BB202" s="1" t="str">
        <f t="shared" si="222"/>
        <v/>
      </c>
      <c r="BC202" s="1" t="str">
        <f t="shared" si="223"/>
        <v/>
      </c>
      <c r="BD202" s="1" t="str">
        <f t="shared" si="224"/>
        <v/>
      </c>
      <c r="BE202" s="1" t="str">
        <f t="shared" si="225"/>
        <v/>
      </c>
      <c r="BF202" s="1" t="str">
        <f t="shared" si="226"/>
        <v/>
      </c>
      <c r="BG202" s="1" t="str">
        <f t="shared" si="227"/>
        <v/>
      </c>
      <c r="BH202" s="1" t="str">
        <f t="shared" si="228"/>
        <v/>
      </c>
      <c r="BI202" s="1" t="str">
        <f t="shared" si="229"/>
        <v/>
      </c>
      <c r="BJ202" s="1" t="str">
        <f t="shared" si="230"/>
        <v/>
      </c>
      <c r="BK202" s="1" t="str">
        <f t="shared" si="231"/>
        <v/>
      </c>
      <c r="BL202" s="1" t="str">
        <f t="shared" si="232"/>
        <v/>
      </c>
      <c r="BM202" s="1" t="str">
        <f t="shared" si="233"/>
        <v/>
      </c>
      <c r="BN202" s="1" t="str">
        <f t="shared" si="234"/>
        <v/>
      </c>
      <c r="BO202" s="1" t="str">
        <f t="shared" si="191"/>
        <v/>
      </c>
      <c r="BP202" s="1" t="str">
        <f t="shared" si="192"/>
        <v/>
      </c>
      <c r="BQ202" s="1" t="str" cm="1">
        <f t="array" ref="BQ202">IF(I202="","",IF(BP202=1,"",IF(L202=0,"",IF(B202=1,"",_xlfn.XLOOKUP(1,($I$2:$I$313=$I202)*($B$2:$B$313=($B202-1)),$BO$2:$BO$313)))))</f>
        <v/>
      </c>
      <c r="BR202" s="1" t="str">
        <f>IF(I202="","",IF($B202=1,_xlfn.MINIFS($BO$2:$BO$313,$B$2:$B$313,$B202),_xlfn.MINIFS(BQ$2:$BQ$313,$B$2:$B$313,$B202)))</f>
        <v/>
      </c>
      <c r="BS202" s="1" t="str">
        <f t="shared" si="235"/>
        <v/>
      </c>
      <c r="BT202" s="1" t="str" cm="1">
        <f t="array" ref="BT202">IF($I202="","",IF($B202=1,_xlfn.XLOOKUP(1,($B$2:$B$313=$B202)*($BO$2:$BO$313=BR202),Data!$I$2:$I$313,,0),_xlfn.XLOOKUP(1,($B$2:$B$313=$B202)*($BQ$2:$BQ$313=$BR202),$I$2:$I$313,,0)))</f>
        <v/>
      </c>
      <c r="BU202" s="1" t="str" cm="1">
        <f t="array" ref="BU202">IF(I202="","",IF($B202=1,_xlfn.XLOOKUP(1,($B$2:$B$313=$B202)*($BO$2:$BO$313=$BS202),$I$2:$I$313,,0),_xlfn.XLOOKUP(1,($B$2:$B$313=$B202)*($BQ$2:$BQ$313=$BS202),$I$2:$I$313,,0)))</f>
        <v/>
      </c>
      <c r="BV202" s="1" t="str" cm="1">
        <f t="array" ref="BV202">IF($I202="","",IF($B202=1,"",IF($B202=2,_xlfn.XLOOKUP(1,($B$2:$B$313=1)*($BO$2:$BO$313=1),$I$2:$I$313,,0),_xlfn.XLOOKUP($B202-1,$B$2:$B$313,$CH$2:$CH$313,,0))))</f>
        <v/>
      </c>
      <c r="BW202" s="1" t="str" cm="1">
        <f t="array" ref="BW202">IF($I202="","",IF($B202=1,"",IF(_xlfn.XLOOKUP(1,($B$2:$B$313=$B202)*($I$2:$I$313=$BV202),$BQ$2:$BQ$313,,0)="","NOK","OK")))</f>
        <v/>
      </c>
      <c r="BX202" s="1" t="str">
        <f t="shared" si="236"/>
        <v/>
      </c>
      <c r="BY202" s="1" t="str">
        <f t="shared" si="237"/>
        <v/>
      </c>
      <c r="BZ202" s="1" t="str">
        <f t="shared" si="238"/>
        <v/>
      </c>
      <c r="CA202" s="1" t="str">
        <f t="shared" si="239"/>
        <v/>
      </c>
      <c r="CB202" s="1" t="str">
        <f t="shared" si="240"/>
        <v/>
      </c>
      <c r="CC202" s="1" t="str">
        <f t="shared" si="241"/>
        <v/>
      </c>
      <c r="CD202" s="1" t="str">
        <f t="shared" si="242"/>
        <v/>
      </c>
      <c r="CE202" s="1" t="str">
        <f t="shared" si="243"/>
        <v/>
      </c>
      <c r="CF202" s="1" t="str">
        <f t="shared" si="244"/>
        <v/>
      </c>
      <c r="CG202" s="1" t="str">
        <f t="shared" si="245"/>
        <v/>
      </c>
      <c r="CH202" s="1" t="str">
        <f t="shared" si="246"/>
        <v/>
      </c>
      <c r="CI202" s="1" t="str">
        <f t="shared" si="247"/>
        <v/>
      </c>
      <c r="CJ202" s="1" t="str">
        <f>IF(B202="","",IF(SUM(AI202:AK202)&gt;0,"+SP","")&amp;IF(CI202&gt;0,"+KK","")&amp;IF(AB202&gt;0,"+KGP1","")&amp;IF(AC202&gt;0,"+KGP2","")&amp;IF(AG202&lt;0,"-KGP1","")&amp;IF(AH202&lt;0,"-KGP2",""))</f>
        <v/>
      </c>
    </row>
    <row r="203" spans="1:88" x14ac:dyDescent="0.25">
      <c r="A203" s="1">
        <f>IFERROR(IF(ROW(A202)=1,1,IF(1+A202&lt;=$CP$1*$CP$2,1+A202,"")),"")</f>
        <v>202</v>
      </c>
      <c r="B203" s="1" t="str">
        <f>IF($I203="","",IF(ROW(B202)=1,1,ROUNDUP(A203/$CP$2,0)))</f>
        <v/>
      </c>
      <c r="C203" s="4" t="str">
        <f t="shared" si="193"/>
        <v/>
      </c>
      <c r="D203" s="4" t="str">
        <f t="shared" si="187"/>
        <v/>
      </c>
      <c r="E203" s="1" t="str">
        <f>IF($B203="","",COUNTIF($B$2:B203,B203))</f>
        <v/>
      </c>
      <c r="F203" s="1" t="str">
        <f t="shared" si="188"/>
        <v/>
      </c>
      <c r="G203" s="1" t="str">
        <f t="shared" si="194"/>
        <v/>
      </c>
      <c r="H203" s="1">
        <f t="shared" si="195"/>
        <v>0</v>
      </c>
      <c r="I203" s="3"/>
      <c r="J203" s="3"/>
      <c r="K203" s="3"/>
      <c r="L203" s="1" t="str">
        <f t="shared" si="196"/>
        <v/>
      </c>
      <c r="M203" s="1" t="str">
        <f t="shared" si="197"/>
        <v/>
      </c>
      <c r="N203" s="1" t="str">
        <f t="shared" si="198"/>
        <v/>
      </c>
      <c r="O203" s="1" t="str">
        <f t="shared" si="199"/>
        <v/>
      </c>
      <c r="P203" s="1" t="str">
        <f t="shared" si="200"/>
        <v/>
      </c>
      <c r="Q203" s="1" t="str">
        <f t="array" ref="Q203">IF($B203="","",IF(MAX(IF(B203=$B$2:$B$313,$L$2:$L$313))-L203=0,"",MAX(IF(B203=$B$2:$B$313,$L$2:$L$313))-L203))</f>
        <v/>
      </c>
      <c r="R203" s="1" t="str">
        <f t="array" ref="R203">IF($B203="","",SUMPRODUCT(--($B$2:$B$313=B203),--(L203&lt;$L$2:$L$313))+1)</f>
        <v/>
      </c>
      <c r="S203" s="1" t="str">
        <f t="shared" si="201"/>
        <v/>
      </c>
      <c r="T203" s="1" t="str" cm="1">
        <f t="array" ref="T203">IF($B203="","",IF(M203=0,"",SUMPRODUCT(--($B$2:$B$313=B203),--(J203&lt;$J$2:$J$313))+1))</f>
        <v/>
      </c>
      <c r="U203" s="1" t="str">
        <f t="shared" si="202"/>
        <v/>
      </c>
      <c r="V203" s="1" t="str">
        <f t="shared" si="203"/>
        <v/>
      </c>
      <c r="W203" s="1" t="str">
        <f t="shared" si="204"/>
        <v/>
      </c>
      <c r="X203" s="1" t="str">
        <f t="shared" si="189"/>
        <v/>
      </c>
      <c r="Y203" s="1" t="str">
        <f>IF($B203="","",MAX(_xlfn.MAXIFS($J$2:J203,$I$2:I203,$I203),_xlfn.MAXIFS($K$2:K203,$I$2:I203,$I203)))</f>
        <v/>
      </c>
      <c r="Z203" s="1" t="str">
        <f t="shared" si="205"/>
        <v/>
      </c>
      <c r="AA203" s="1" t="str">
        <f t="shared" si="206"/>
        <v/>
      </c>
      <c r="AB203" s="1" t="str">
        <f t="shared" si="207"/>
        <v/>
      </c>
      <c r="AC203" s="1" t="str">
        <f t="shared" si="208"/>
        <v/>
      </c>
      <c r="AD203" s="1" t="str">
        <f>IF($B203="","",MIN(_xlfn.MINIFS($J$2:J203,$I$2:I203,$I203),_xlfn.MINIFS($K$2:K203,$I$2:I203,$I203)))</f>
        <v/>
      </c>
      <c r="AE203" s="1" t="str">
        <f t="shared" si="209"/>
        <v/>
      </c>
      <c r="AF203" s="1" t="str">
        <f t="shared" si="210"/>
        <v/>
      </c>
      <c r="AG203" s="1" t="str">
        <f t="shared" si="211"/>
        <v/>
      </c>
      <c r="AH203" s="1" t="str">
        <f t="shared" si="212"/>
        <v/>
      </c>
      <c r="AI203" s="1" t="str">
        <f ca="1">IF($B203="","",IF($K203="",0,OFFSET($CO$17,R203,W203)))</f>
        <v/>
      </c>
      <c r="AJ203" s="1" t="str">
        <f t="shared" ca="1" si="213"/>
        <v/>
      </c>
      <c r="AK203" s="1" t="str">
        <f ca="1">IF(AJ203="","",IF(AJ203=0,0,IF(W203=1,0,SUM(OFFSET($CO$17,N203,1):OFFSET($CO$17,N203+W203-2,1))/W203)))</f>
        <v/>
      </c>
      <c r="AL203" s="1" t="str">
        <f t="shared" si="214"/>
        <v/>
      </c>
      <c r="AM203" s="1" t="str">
        <f>IF($B203="","",SUMIFS($AL$2:AL203,$I$2:I203,$I203))</f>
        <v/>
      </c>
      <c r="AN203" s="1" t="str">
        <f t="shared" si="215"/>
        <v/>
      </c>
      <c r="AO203" s="1" t="str">
        <f>IFERROR(IF($B203="","",AVERAGEIFS($L$2:L203,$I$2:I203,I203,$L$2:L203,"&lt;&gt;0")),0)</f>
        <v/>
      </c>
      <c r="AP203" s="1" t="str">
        <f t="shared" si="216"/>
        <v/>
      </c>
      <c r="AQ203" s="1" t="str">
        <f>IF($B203="","",COUNTIFS($R$2:R203,1,$I$2:I203,$I203))</f>
        <v/>
      </c>
      <c r="AR203" s="1" t="str">
        <f t="array" ref="AR203">IF($B203="","",SUMPRODUCT(--($B$2:$B$313=B203),--(AM203&lt;$AM$2:$AM$313))+1)</f>
        <v/>
      </c>
      <c r="AS203" s="1" t="str">
        <f t="array" ref="AS203">IF($B203="","",SUMPRODUCT(--($B$2:$B$313=B203),--(AP203&lt;$AP$2:$AP$313))+1)</f>
        <v/>
      </c>
      <c r="AT203" s="1" t="str">
        <f t="array" ref="AT203">IF($B203="","",SUMPRODUCT(--($B$2:$B$313=B203),--(AQ203&lt;$AQ$2:$AQ$313))+1)</f>
        <v/>
      </c>
      <c r="AU203" s="1" t="str">
        <f t="shared" si="217"/>
        <v/>
      </c>
      <c r="AV203" s="1" t="str">
        <f t="shared" si="218"/>
        <v/>
      </c>
      <c r="AW203" s="1" t="str">
        <f t="shared" si="190"/>
        <v/>
      </c>
      <c r="AX203" s="1" t="str">
        <f t="shared" si="219"/>
        <v/>
      </c>
      <c r="AY203" s="8" t="str">
        <f t="shared" si="220"/>
        <v/>
      </c>
      <c r="AZ203" s="1" t="str" cm="1">
        <f t="array" ref="AZ203">IF($B203="","",SUMPRODUCT(--($B$2:$B$313=B203),--(AY203&gt;$AY$2:$AY$313))+1)</f>
        <v/>
      </c>
      <c r="BA203" s="1" t="str">
        <f t="shared" si="221"/>
        <v/>
      </c>
      <c r="BB203" s="1" t="str">
        <f t="shared" si="222"/>
        <v/>
      </c>
      <c r="BC203" s="1" t="str">
        <f t="shared" si="223"/>
        <v/>
      </c>
      <c r="BD203" s="1" t="str">
        <f t="shared" si="224"/>
        <v/>
      </c>
      <c r="BE203" s="1" t="str">
        <f t="shared" si="225"/>
        <v/>
      </c>
      <c r="BF203" s="1" t="str">
        <f t="shared" si="226"/>
        <v/>
      </c>
      <c r="BG203" s="1" t="str">
        <f t="shared" si="227"/>
        <v/>
      </c>
      <c r="BH203" s="1" t="str">
        <f t="shared" si="228"/>
        <v/>
      </c>
      <c r="BI203" s="1" t="str">
        <f t="shared" si="229"/>
        <v/>
      </c>
      <c r="BJ203" s="1" t="str">
        <f t="shared" si="230"/>
        <v/>
      </c>
      <c r="BK203" s="1" t="str">
        <f t="shared" si="231"/>
        <v/>
      </c>
      <c r="BL203" s="1" t="str">
        <f t="shared" si="232"/>
        <v/>
      </c>
      <c r="BM203" s="1" t="str">
        <f t="shared" si="233"/>
        <v/>
      </c>
      <c r="BN203" s="1" t="str">
        <f t="shared" si="234"/>
        <v/>
      </c>
      <c r="BO203" s="1" t="str">
        <f t="shared" si="191"/>
        <v/>
      </c>
      <c r="BP203" s="1" t="str">
        <f t="shared" si="192"/>
        <v/>
      </c>
      <c r="BQ203" s="1" t="str" cm="1">
        <f t="array" ref="BQ203">IF(I203="","",IF(BP203=1,"",IF(L203=0,"",IF(B203=1,"",_xlfn.XLOOKUP(1,($I$2:$I$313=$I203)*($B$2:$B$313=($B203-1)),$BO$2:$BO$313)))))</f>
        <v/>
      </c>
      <c r="BR203" s="1" t="str">
        <f>IF(I203="","",IF($B203=1,_xlfn.MINIFS($BO$2:$BO$313,$B$2:$B$313,$B203),_xlfn.MINIFS(BQ$2:$BQ$313,$B$2:$B$313,$B203)))</f>
        <v/>
      </c>
      <c r="BS203" s="1" t="str">
        <f t="shared" si="235"/>
        <v/>
      </c>
      <c r="BT203" s="1" t="str" cm="1">
        <f t="array" ref="BT203">IF($I203="","",IF($B203=1,_xlfn.XLOOKUP(1,($B$2:$B$313=$B203)*($BO$2:$BO$313=BR203),Data!$I$2:$I$313,,0),_xlfn.XLOOKUP(1,($B$2:$B$313=$B203)*($BQ$2:$BQ$313=$BR203),$I$2:$I$313,,0)))</f>
        <v/>
      </c>
      <c r="BU203" s="1" t="str" cm="1">
        <f t="array" ref="BU203">IF(I203="","",IF($B203=1,_xlfn.XLOOKUP(1,($B$2:$B$313=$B203)*($BO$2:$BO$313=$BS203),$I$2:$I$313,,0),_xlfn.XLOOKUP(1,($B$2:$B$313=$B203)*($BQ$2:$BQ$313=$BS203),$I$2:$I$313,,0)))</f>
        <v/>
      </c>
      <c r="BV203" s="1" t="str" cm="1">
        <f t="array" ref="BV203">IF($I203="","",IF($B203=1,"",IF($B203=2,_xlfn.XLOOKUP(1,($B$2:$B$313=1)*($BO$2:$BO$313=1),$I$2:$I$313,,0),_xlfn.XLOOKUP($B203-1,$B$2:$B$313,$CH$2:$CH$313,,0))))</f>
        <v/>
      </c>
      <c r="BW203" s="1" t="str" cm="1">
        <f t="array" ref="BW203">IF($I203="","",IF($B203=1,"",IF(_xlfn.XLOOKUP(1,($B$2:$B$313=$B203)*($I$2:$I$313=$BV203),$BQ$2:$BQ$313,,0)="","NOK","OK")))</f>
        <v/>
      </c>
      <c r="BX203" s="1" t="str">
        <f t="shared" si="236"/>
        <v/>
      </c>
      <c r="BY203" s="1" t="str">
        <f t="shared" si="237"/>
        <v/>
      </c>
      <c r="BZ203" s="1" t="str">
        <f t="shared" si="238"/>
        <v/>
      </c>
      <c r="CA203" s="1" t="str">
        <f t="shared" si="239"/>
        <v/>
      </c>
      <c r="CB203" s="1" t="str">
        <f t="shared" si="240"/>
        <v/>
      </c>
      <c r="CC203" s="1" t="str">
        <f t="shared" si="241"/>
        <v/>
      </c>
      <c r="CD203" s="1" t="str">
        <f t="shared" si="242"/>
        <v/>
      </c>
      <c r="CE203" s="1" t="str">
        <f t="shared" si="243"/>
        <v/>
      </c>
      <c r="CF203" s="1" t="str">
        <f t="shared" si="244"/>
        <v/>
      </c>
      <c r="CG203" s="1" t="str">
        <f t="shared" si="245"/>
        <v/>
      </c>
      <c r="CH203" s="1" t="str">
        <f t="shared" si="246"/>
        <v/>
      </c>
      <c r="CI203" s="1" t="str">
        <f t="shared" si="247"/>
        <v/>
      </c>
      <c r="CJ203" s="1" t="str">
        <f>IF(B203="","",IF(SUM(AI203:AK203)&gt;0,"+SP","")&amp;IF(CI203&gt;0,"+KK","")&amp;IF(AB203&gt;0,"+KGP1","")&amp;IF(AC203&gt;0,"+KGP2","")&amp;IF(AG203&lt;0,"-KGP1","")&amp;IF(AH203&lt;0,"-KGP2",""))</f>
        <v/>
      </c>
    </row>
    <row r="204" spans="1:88" x14ac:dyDescent="0.25">
      <c r="A204" s="1">
        <f>IFERROR(IF(ROW(A203)=1,1,IF(1+A203&lt;=$CP$1*$CP$2,1+A203,"")),"")</f>
        <v>203</v>
      </c>
      <c r="B204" s="1" t="str">
        <f>IF($I204="","",IF(ROW(B203)=1,1,ROUNDUP(A204/$CP$2,0)))</f>
        <v/>
      </c>
      <c r="C204" s="4" t="str">
        <f t="shared" si="193"/>
        <v/>
      </c>
      <c r="D204" s="4" t="str">
        <f t="shared" si="187"/>
        <v/>
      </c>
      <c r="E204" s="1" t="str">
        <f>IF($B204="","",COUNTIF($B$2:B204,B204))</f>
        <v/>
      </c>
      <c r="F204" s="1" t="str">
        <f t="shared" si="188"/>
        <v/>
      </c>
      <c r="G204" s="1" t="str">
        <f t="shared" si="194"/>
        <v/>
      </c>
      <c r="H204" s="1">
        <f t="shared" si="195"/>
        <v>0</v>
      </c>
      <c r="I204" s="3"/>
      <c r="J204" s="3"/>
      <c r="K204" s="3"/>
      <c r="L204" s="1" t="str">
        <f t="shared" si="196"/>
        <v/>
      </c>
      <c r="M204" s="1" t="str">
        <f t="shared" si="197"/>
        <v/>
      </c>
      <c r="N204" s="1" t="str">
        <f t="shared" si="198"/>
        <v/>
      </c>
      <c r="O204" s="1" t="str">
        <f t="shared" si="199"/>
        <v/>
      </c>
      <c r="P204" s="1" t="str">
        <f t="shared" si="200"/>
        <v/>
      </c>
      <c r="Q204" s="1" t="str">
        <f t="array" ref="Q204">IF($B204="","",IF(MAX(IF(B204=$B$2:$B$313,$L$2:$L$313))-L204=0,"",MAX(IF(B204=$B$2:$B$313,$L$2:$L$313))-L204))</f>
        <v/>
      </c>
      <c r="R204" s="1" t="str">
        <f t="array" ref="R204">IF($B204="","",SUMPRODUCT(--($B$2:$B$313=B204),--(L204&lt;$L$2:$L$313))+1)</f>
        <v/>
      </c>
      <c r="S204" s="1" t="str">
        <f t="shared" si="201"/>
        <v/>
      </c>
      <c r="T204" s="1" t="str" cm="1">
        <f t="array" ref="T204">IF($B204="","",IF(M204=0,"",SUMPRODUCT(--($B$2:$B$313=B204),--(J204&lt;$J$2:$J$313))+1))</f>
        <v/>
      </c>
      <c r="U204" s="1" t="str">
        <f t="shared" si="202"/>
        <v/>
      </c>
      <c r="V204" s="1" t="str">
        <f t="shared" si="203"/>
        <v/>
      </c>
      <c r="W204" s="1" t="str">
        <f t="shared" si="204"/>
        <v/>
      </c>
      <c r="X204" s="1" t="str">
        <f t="shared" si="189"/>
        <v/>
      </c>
      <c r="Y204" s="1" t="str">
        <f>IF($B204="","",MAX(_xlfn.MAXIFS($J$2:J204,$I$2:I204,$I204),_xlfn.MAXIFS($K$2:K204,$I$2:I204,$I204)))</f>
        <v/>
      </c>
      <c r="Z204" s="1" t="str">
        <f t="shared" si="205"/>
        <v/>
      </c>
      <c r="AA204" s="1" t="str">
        <f t="shared" si="206"/>
        <v/>
      </c>
      <c r="AB204" s="1" t="str">
        <f t="shared" si="207"/>
        <v/>
      </c>
      <c r="AC204" s="1" t="str">
        <f t="shared" si="208"/>
        <v/>
      </c>
      <c r="AD204" s="1" t="str">
        <f>IF($B204="","",MIN(_xlfn.MINIFS($J$2:J204,$I$2:I204,$I204),_xlfn.MINIFS($K$2:K204,$I$2:I204,$I204)))</f>
        <v/>
      </c>
      <c r="AE204" s="1" t="str">
        <f t="shared" si="209"/>
        <v/>
      </c>
      <c r="AF204" s="1" t="str">
        <f t="shared" si="210"/>
        <v/>
      </c>
      <c r="AG204" s="1" t="str">
        <f t="shared" si="211"/>
        <v/>
      </c>
      <c r="AH204" s="1" t="str">
        <f t="shared" si="212"/>
        <v/>
      </c>
      <c r="AI204" s="1" t="str">
        <f ca="1">IF($B204="","",IF($K204="",0,OFFSET($CO$17,R204,W204)))</f>
        <v/>
      </c>
      <c r="AJ204" s="1" t="str">
        <f t="shared" ca="1" si="213"/>
        <v/>
      </c>
      <c r="AK204" s="1" t="str">
        <f ca="1">IF(AJ204="","",IF(AJ204=0,0,IF(W204=1,0,SUM(OFFSET($CO$17,N204,1):OFFSET($CO$17,N204+W204-2,1))/W204)))</f>
        <v/>
      </c>
      <c r="AL204" s="1" t="str">
        <f t="shared" si="214"/>
        <v/>
      </c>
      <c r="AM204" s="1" t="str">
        <f>IF($B204="","",SUMIFS($AL$2:AL204,$I$2:I204,$I204))</f>
        <v/>
      </c>
      <c r="AN204" s="1" t="str">
        <f t="shared" si="215"/>
        <v/>
      </c>
      <c r="AO204" s="1" t="str">
        <f>IFERROR(IF($B204="","",AVERAGEIFS($L$2:L204,$I$2:I204,I204,$L$2:L204,"&lt;&gt;0")),0)</f>
        <v/>
      </c>
      <c r="AP204" s="1" t="str">
        <f t="shared" si="216"/>
        <v/>
      </c>
      <c r="AQ204" s="1" t="str">
        <f>IF($B204="","",COUNTIFS($R$2:R204,1,$I$2:I204,$I204))</f>
        <v/>
      </c>
      <c r="AR204" s="1" t="str">
        <f t="array" ref="AR204">IF($B204="","",SUMPRODUCT(--($B$2:$B$313=B204),--(AM204&lt;$AM$2:$AM$313))+1)</f>
        <v/>
      </c>
      <c r="AS204" s="1" t="str">
        <f t="array" ref="AS204">IF($B204="","",SUMPRODUCT(--($B$2:$B$313=B204),--(AP204&lt;$AP$2:$AP$313))+1)</f>
        <v/>
      </c>
      <c r="AT204" s="1" t="str">
        <f t="array" ref="AT204">IF($B204="","",SUMPRODUCT(--($B$2:$B$313=B204),--(AQ204&lt;$AQ$2:$AQ$313))+1)</f>
        <v/>
      </c>
      <c r="AU204" s="1" t="str">
        <f t="shared" si="217"/>
        <v/>
      </c>
      <c r="AV204" s="1" t="str">
        <f t="shared" si="218"/>
        <v/>
      </c>
      <c r="AW204" s="1" t="str">
        <f t="shared" si="190"/>
        <v/>
      </c>
      <c r="AX204" s="1" t="str">
        <f t="shared" si="219"/>
        <v/>
      </c>
      <c r="AY204" s="8" t="str">
        <f t="shared" si="220"/>
        <v/>
      </c>
      <c r="AZ204" s="1" t="str" cm="1">
        <f t="array" ref="AZ204">IF($B204="","",SUMPRODUCT(--($B$2:$B$313=B204),--(AY204&gt;$AY$2:$AY$313))+1)</f>
        <v/>
      </c>
      <c r="BA204" s="1" t="str">
        <f t="shared" si="221"/>
        <v/>
      </c>
      <c r="BB204" s="1" t="str">
        <f t="shared" si="222"/>
        <v/>
      </c>
      <c r="BC204" s="1" t="str">
        <f t="shared" si="223"/>
        <v/>
      </c>
      <c r="BD204" s="1" t="str">
        <f t="shared" si="224"/>
        <v/>
      </c>
      <c r="BE204" s="1" t="str">
        <f t="shared" si="225"/>
        <v/>
      </c>
      <c r="BF204" s="1" t="str">
        <f t="shared" si="226"/>
        <v/>
      </c>
      <c r="BG204" s="1" t="str">
        <f t="shared" si="227"/>
        <v/>
      </c>
      <c r="BH204" s="1" t="str">
        <f t="shared" si="228"/>
        <v/>
      </c>
      <c r="BI204" s="1" t="str">
        <f t="shared" si="229"/>
        <v/>
      </c>
      <c r="BJ204" s="1" t="str">
        <f t="shared" si="230"/>
        <v/>
      </c>
      <c r="BK204" s="1" t="str">
        <f t="shared" si="231"/>
        <v/>
      </c>
      <c r="BL204" s="1" t="str">
        <f t="shared" si="232"/>
        <v/>
      </c>
      <c r="BM204" s="1" t="str">
        <f t="shared" si="233"/>
        <v/>
      </c>
      <c r="BN204" s="1" t="str">
        <f t="shared" si="234"/>
        <v/>
      </c>
      <c r="BO204" s="1" t="str">
        <f t="shared" si="191"/>
        <v/>
      </c>
      <c r="BP204" s="1" t="str">
        <f t="shared" si="192"/>
        <v/>
      </c>
      <c r="BQ204" s="1" t="str" cm="1">
        <f t="array" ref="BQ204">IF(I204="","",IF(BP204=1,"",IF(L204=0,"",IF(B204=1,"",_xlfn.XLOOKUP(1,($I$2:$I$313=$I204)*($B$2:$B$313=($B204-1)),$BO$2:$BO$313)))))</f>
        <v/>
      </c>
      <c r="BR204" s="1" t="str">
        <f>IF(I204="","",IF($B204=1,_xlfn.MINIFS($BO$2:$BO$313,$B$2:$B$313,$B204),_xlfn.MINIFS(BQ$2:$BQ$313,$B$2:$B$313,$B204)))</f>
        <v/>
      </c>
      <c r="BS204" s="1" t="str">
        <f t="shared" si="235"/>
        <v/>
      </c>
      <c r="BT204" s="1" t="str" cm="1">
        <f t="array" ref="BT204">IF($I204="","",IF($B204=1,_xlfn.XLOOKUP(1,($B$2:$B$313=$B204)*($BO$2:$BO$313=BR204),Data!$I$2:$I$313,,0),_xlfn.XLOOKUP(1,($B$2:$B$313=$B204)*($BQ$2:$BQ$313=$BR204),$I$2:$I$313,,0)))</f>
        <v/>
      </c>
      <c r="BU204" s="1" t="str" cm="1">
        <f t="array" ref="BU204">IF(I204="","",IF($B204=1,_xlfn.XLOOKUP(1,($B$2:$B$313=$B204)*($BO$2:$BO$313=$BS204),$I$2:$I$313,,0),_xlfn.XLOOKUP(1,($B$2:$B$313=$B204)*($BQ$2:$BQ$313=$BS204),$I$2:$I$313,,0)))</f>
        <v/>
      </c>
      <c r="BV204" s="1" t="str" cm="1">
        <f t="array" ref="BV204">IF($I204="","",IF($B204=1,"",IF($B204=2,_xlfn.XLOOKUP(1,($B$2:$B$313=1)*($BO$2:$BO$313=1),$I$2:$I$313,,0),_xlfn.XLOOKUP($B204-1,$B$2:$B$313,$CH$2:$CH$313,,0))))</f>
        <v/>
      </c>
      <c r="BW204" s="1" t="str" cm="1">
        <f t="array" ref="BW204">IF($I204="","",IF($B204=1,"",IF(_xlfn.XLOOKUP(1,($B$2:$B$313=$B204)*($I$2:$I$313=$BV204),$BQ$2:$BQ$313,,0)="","NOK","OK")))</f>
        <v/>
      </c>
      <c r="BX204" s="1" t="str">
        <f t="shared" si="236"/>
        <v/>
      </c>
      <c r="BY204" s="1" t="str">
        <f t="shared" si="237"/>
        <v/>
      </c>
      <c r="BZ204" s="1" t="str">
        <f t="shared" si="238"/>
        <v/>
      </c>
      <c r="CA204" s="1" t="str">
        <f t="shared" si="239"/>
        <v/>
      </c>
      <c r="CB204" s="1" t="str">
        <f t="shared" si="240"/>
        <v/>
      </c>
      <c r="CC204" s="1" t="str">
        <f t="shared" si="241"/>
        <v/>
      </c>
      <c r="CD204" s="1" t="str">
        <f t="shared" si="242"/>
        <v/>
      </c>
      <c r="CE204" s="1" t="str">
        <f t="shared" si="243"/>
        <v/>
      </c>
      <c r="CF204" s="1" t="str">
        <f t="shared" si="244"/>
        <v/>
      </c>
      <c r="CG204" s="1" t="str">
        <f t="shared" si="245"/>
        <v/>
      </c>
      <c r="CH204" s="1" t="str">
        <f t="shared" si="246"/>
        <v/>
      </c>
      <c r="CI204" s="1" t="str">
        <f t="shared" si="247"/>
        <v/>
      </c>
      <c r="CJ204" s="1" t="str">
        <f>IF(B204="","",IF(SUM(AI204:AK204)&gt;0,"+SP","")&amp;IF(CI204&gt;0,"+KK","")&amp;IF(AB204&gt;0,"+KGP1","")&amp;IF(AC204&gt;0,"+KGP2","")&amp;IF(AG204&lt;0,"-KGP1","")&amp;IF(AH204&lt;0,"-KGP2",""))</f>
        <v/>
      </c>
    </row>
    <row r="205" spans="1:88" x14ac:dyDescent="0.25">
      <c r="A205" s="1">
        <f>IFERROR(IF(ROW(A204)=1,1,IF(1+A204&lt;=$CP$1*$CP$2,1+A204,"")),"")</f>
        <v>204</v>
      </c>
      <c r="B205" s="1" t="str">
        <f>IF($I205="","",IF(ROW(B204)=1,1,ROUNDUP(A205/$CP$2,0)))</f>
        <v/>
      </c>
      <c r="C205" s="4" t="str">
        <f t="shared" si="193"/>
        <v/>
      </c>
      <c r="D205" s="4" t="str">
        <f t="shared" si="187"/>
        <v/>
      </c>
      <c r="E205" s="1" t="str">
        <f>IF($B205="","",COUNTIF($B$2:B205,B205))</f>
        <v/>
      </c>
      <c r="F205" s="1" t="str">
        <f t="shared" si="188"/>
        <v/>
      </c>
      <c r="G205" s="1" t="str">
        <f t="shared" si="194"/>
        <v/>
      </c>
      <c r="H205" s="1">
        <f t="shared" si="195"/>
        <v>0</v>
      </c>
      <c r="I205" s="3"/>
      <c r="J205" s="3"/>
      <c r="K205" s="3"/>
      <c r="L205" s="1" t="str">
        <f t="shared" si="196"/>
        <v/>
      </c>
      <c r="M205" s="1" t="str">
        <f t="shared" si="197"/>
        <v/>
      </c>
      <c r="N205" s="1" t="str">
        <f t="shared" si="198"/>
        <v/>
      </c>
      <c r="O205" s="1" t="str">
        <f t="shared" si="199"/>
        <v/>
      </c>
      <c r="P205" s="1" t="str">
        <f t="shared" si="200"/>
        <v/>
      </c>
      <c r="Q205" s="1" t="str">
        <f t="array" ref="Q205">IF($B205="","",IF(MAX(IF(B205=$B$2:$B$313,$L$2:$L$313))-L205=0,"",MAX(IF(B205=$B$2:$B$313,$L$2:$L$313))-L205))</f>
        <v/>
      </c>
      <c r="R205" s="1" t="str">
        <f t="array" ref="R205">IF($B205="","",SUMPRODUCT(--($B$2:$B$313=B205),--(L205&lt;$L$2:$L$313))+1)</f>
        <v/>
      </c>
      <c r="S205" s="1" t="str">
        <f t="shared" si="201"/>
        <v/>
      </c>
      <c r="T205" s="1" t="str" cm="1">
        <f t="array" ref="T205">IF($B205="","",IF(M205=0,"",SUMPRODUCT(--($B$2:$B$313=B205),--(J205&lt;$J$2:$J$313))+1))</f>
        <v/>
      </c>
      <c r="U205" s="1" t="str">
        <f t="shared" si="202"/>
        <v/>
      </c>
      <c r="V205" s="1" t="str">
        <f t="shared" si="203"/>
        <v/>
      </c>
      <c r="W205" s="1" t="str">
        <f t="shared" si="204"/>
        <v/>
      </c>
      <c r="X205" s="1" t="str">
        <f t="shared" si="189"/>
        <v/>
      </c>
      <c r="Y205" s="1" t="str">
        <f>IF($B205="","",MAX(_xlfn.MAXIFS($J$2:J205,$I$2:I205,$I205),_xlfn.MAXIFS($K$2:K205,$I$2:I205,$I205)))</f>
        <v/>
      </c>
      <c r="Z205" s="1" t="str">
        <f t="shared" si="205"/>
        <v/>
      </c>
      <c r="AA205" s="1" t="str">
        <f t="shared" si="206"/>
        <v/>
      </c>
      <c r="AB205" s="1" t="str">
        <f t="shared" si="207"/>
        <v/>
      </c>
      <c r="AC205" s="1" t="str">
        <f t="shared" si="208"/>
        <v/>
      </c>
      <c r="AD205" s="1" t="str">
        <f>IF($B205="","",MIN(_xlfn.MINIFS($J$2:J205,$I$2:I205,$I205),_xlfn.MINIFS($K$2:K205,$I$2:I205,$I205)))</f>
        <v/>
      </c>
      <c r="AE205" s="1" t="str">
        <f t="shared" si="209"/>
        <v/>
      </c>
      <c r="AF205" s="1" t="str">
        <f t="shared" si="210"/>
        <v/>
      </c>
      <c r="AG205" s="1" t="str">
        <f t="shared" si="211"/>
        <v/>
      </c>
      <c r="AH205" s="1" t="str">
        <f t="shared" si="212"/>
        <v/>
      </c>
      <c r="AI205" s="1" t="str">
        <f ca="1">IF($B205="","",IF($K205="",0,OFFSET($CO$17,R205,W205)))</f>
        <v/>
      </c>
      <c r="AJ205" s="1" t="str">
        <f t="shared" ca="1" si="213"/>
        <v/>
      </c>
      <c r="AK205" s="1" t="str">
        <f ca="1">IF(AJ205="","",IF(AJ205=0,0,IF(W205=1,0,SUM(OFFSET($CO$17,N205,1):OFFSET($CO$17,N205+W205-2,1))/W205)))</f>
        <v/>
      </c>
      <c r="AL205" s="1" t="str">
        <f t="shared" si="214"/>
        <v/>
      </c>
      <c r="AM205" s="1" t="str">
        <f>IF($B205="","",SUMIFS($AL$2:AL205,$I$2:I205,$I205))</f>
        <v/>
      </c>
      <c r="AN205" s="1" t="str">
        <f t="shared" si="215"/>
        <v/>
      </c>
      <c r="AO205" s="1" t="str">
        <f>IFERROR(IF($B205="","",AVERAGEIFS($L$2:L205,$I$2:I205,I205,$L$2:L205,"&lt;&gt;0")),0)</f>
        <v/>
      </c>
      <c r="AP205" s="1" t="str">
        <f t="shared" si="216"/>
        <v/>
      </c>
      <c r="AQ205" s="1" t="str">
        <f>IF($B205="","",COUNTIFS($R$2:R205,1,$I$2:I205,$I205))</f>
        <v/>
      </c>
      <c r="AR205" s="1" t="str">
        <f t="array" ref="AR205">IF($B205="","",SUMPRODUCT(--($B$2:$B$313=B205),--(AM205&lt;$AM$2:$AM$313))+1)</f>
        <v/>
      </c>
      <c r="AS205" s="1" t="str">
        <f t="array" ref="AS205">IF($B205="","",SUMPRODUCT(--($B$2:$B$313=B205),--(AP205&lt;$AP$2:$AP$313))+1)</f>
        <v/>
      </c>
      <c r="AT205" s="1" t="str">
        <f t="array" ref="AT205">IF($B205="","",SUMPRODUCT(--($B$2:$B$313=B205),--(AQ205&lt;$AQ$2:$AQ$313))+1)</f>
        <v/>
      </c>
      <c r="AU205" s="1" t="str">
        <f t="shared" si="217"/>
        <v/>
      </c>
      <c r="AV205" s="1" t="str">
        <f t="shared" si="218"/>
        <v/>
      </c>
      <c r="AW205" s="1" t="str">
        <f t="shared" si="190"/>
        <v/>
      </c>
      <c r="AX205" s="1" t="str">
        <f t="shared" si="219"/>
        <v/>
      </c>
      <c r="AY205" s="8" t="str">
        <f t="shared" si="220"/>
        <v/>
      </c>
      <c r="AZ205" s="1" t="str" cm="1">
        <f t="array" ref="AZ205">IF($B205="","",SUMPRODUCT(--($B$2:$B$313=B205),--(AY205&gt;$AY$2:$AY$313))+1)</f>
        <v/>
      </c>
      <c r="BA205" s="1" t="str">
        <f t="shared" si="221"/>
        <v/>
      </c>
      <c r="BB205" s="1" t="str">
        <f t="shared" si="222"/>
        <v/>
      </c>
      <c r="BC205" s="1" t="str">
        <f t="shared" si="223"/>
        <v/>
      </c>
      <c r="BD205" s="1" t="str">
        <f t="shared" si="224"/>
        <v/>
      </c>
      <c r="BE205" s="1" t="str">
        <f t="shared" si="225"/>
        <v/>
      </c>
      <c r="BF205" s="1" t="str">
        <f t="shared" si="226"/>
        <v/>
      </c>
      <c r="BG205" s="1" t="str">
        <f t="shared" si="227"/>
        <v/>
      </c>
      <c r="BH205" s="1" t="str">
        <f t="shared" si="228"/>
        <v/>
      </c>
      <c r="BI205" s="1" t="str">
        <f t="shared" si="229"/>
        <v/>
      </c>
      <c r="BJ205" s="1" t="str">
        <f t="shared" si="230"/>
        <v/>
      </c>
      <c r="BK205" s="1" t="str">
        <f t="shared" si="231"/>
        <v/>
      </c>
      <c r="BL205" s="1" t="str">
        <f t="shared" si="232"/>
        <v/>
      </c>
      <c r="BM205" s="1" t="str">
        <f t="shared" si="233"/>
        <v/>
      </c>
      <c r="BN205" s="1" t="str">
        <f t="shared" si="234"/>
        <v/>
      </c>
      <c r="BO205" s="1" t="str">
        <f t="shared" si="191"/>
        <v/>
      </c>
      <c r="BP205" s="1" t="str">
        <f t="shared" si="192"/>
        <v/>
      </c>
      <c r="BQ205" s="1" t="str" cm="1">
        <f t="array" ref="BQ205">IF(I205="","",IF(BP205=1,"",IF(L205=0,"",IF(B205=1,"",_xlfn.XLOOKUP(1,($I$2:$I$313=$I205)*($B$2:$B$313=($B205-1)),$BO$2:$BO$313)))))</f>
        <v/>
      </c>
      <c r="BR205" s="1" t="str">
        <f>IF(I205="","",IF($B205=1,_xlfn.MINIFS($BO$2:$BO$313,$B$2:$B$313,$B205),_xlfn.MINIFS(BQ$2:$BQ$313,$B$2:$B$313,$B205)))</f>
        <v/>
      </c>
      <c r="BS205" s="1" t="str">
        <f t="shared" si="235"/>
        <v/>
      </c>
      <c r="BT205" s="1" t="str" cm="1">
        <f t="array" ref="BT205">IF($I205="","",IF($B205=1,_xlfn.XLOOKUP(1,($B$2:$B$313=$B205)*($BO$2:$BO$313=BR205),Data!$I$2:$I$313,,0),_xlfn.XLOOKUP(1,($B$2:$B$313=$B205)*($BQ$2:$BQ$313=$BR205),$I$2:$I$313,,0)))</f>
        <v/>
      </c>
      <c r="BU205" s="1" t="str" cm="1">
        <f t="array" ref="BU205">IF(I205="","",IF($B205=1,_xlfn.XLOOKUP(1,($B$2:$B$313=$B205)*($BO$2:$BO$313=$BS205),$I$2:$I$313,,0),_xlfn.XLOOKUP(1,($B$2:$B$313=$B205)*($BQ$2:$BQ$313=$BS205),$I$2:$I$313,,0)))</f>
        <v/>
      </c>
      <c r="BV205" s="1" t="str" cm="1">
        <f t="array" ref="BV205">IF($I205="","",IF($B205=1,"",IF($B205=2,_xlfn.XLOOKUP(1,($B$2:$B$313=1)*($BO$2:$BO$313=1),$I$2:$I$313,,0),_xlfn.XLOOKUP($B205-1,$B$2:$B$313,$CH$2:$CH$313,,0))))</f>
        <v/>
      </c>
      <c r="BW205" s="1" t="str" cm="1">
        <f t="array" ref="BW205">IF($I205="","",IF($B205=1,"",IF(_xlfn.XLOOKUP(1,($B$2:$B$313=$B205)*($I$2:$I$313=$BV205),$BQ$2:$BQ$313,,0)="","NOK","OK")))</f>
        <v/>
      </c>
      <c r="BX205" s="1" t="str">
        <f t="shared" si="236"/>
        <v/>
      </c>
      <c r="BY205" s="1" t="str">
        <f t="shared" si="237"/>
        <v/>
      </c>
      <c r="BZ205" s="1" t="str">
        <f t="shared" si="238"/>
        <v/>
      </c>
      <c r="CA205" s="1" t="str">
        <f t="shared" si="239"/>
        <v/>
      </c>
      <c r="CB205" s="1" t="str">
        <f t="shared" si="240"/>
        <v/>
      </c>
      <c r="CC205" s="1" t="str">
        <f t="shared" si="241"/>
        <v/>
      </c>
      <c r="CD205" s="1" t="str">
        <f t="shared" si="242"/>
        <v/>
      </c>
      <c r="CE205" s="1" t="str">
        <f t="shared" si="243"/>
        <v/>
      </c>
      <c r="CF205" s="1" t="str">
        <f t="shared" si="244"/>
        <v/>
      </c>
      <c r="CG205" s="1" t="str">
        <f t="shared" si="245"/>
        <v/>
      </c>
      <c r="CH205" s="1" t="str">
        <f t="shared" si="246"/>
        <v/>
      </c>
      <c r="CI205" s="1" t="str">
        <f t="shared" si="247"/>
        <v/>
      </c>
      <c r="CJ205" s="1" t="str">
        <f>IF(B205="","",IF(SUM(AI205:AK205)&gt;0,"+SP","")&amp;IF(CI205&gt;0,"+KK","")&amp;IF(AB205&gt;0,"+KGP1","")&amp;IF(AC205&gt;0,"+KGP2","")&amp;IF(AG205&lt;0,"-KGP1","")&amp;IF(AH205&lt;0,"-KGP2",""))</f>
        <v/>
      </c>
    </row>
    <row r="206" spans="1:88" x14ac:dyDescent="0.25">
      <c r="A206" s="1">
        <f>IFERROR(IF(ROW(A205)=1,1,IF(1+A205&lt;=$CP$1*$CP$2,1+A205,"")),"")</f>
        <v>205</v>
      </c>
      <c r="B206" s="1" t="str">
        <f>IF($I206="","",IF(ROW(B205)=1,1,ROUNDUP(A206/$CP$2,0)))</f>
        <v/>
      </c>
      <c r="C206" s="4" t="str">
        <f t="shared" si="193"/>
        <v/>
      </c>
      <c r="D206" s="4" t="str">
        <f t="shared" si="187"/>
        <v/>
      </c>
      <c r="E206" s="1" t="str">
        <f>IF($B206="","",COUNTIF($B$2:B206,B206))</f>
        <v/>
      </c>
      <c r="F206" s="1" t="str">
        <f t="shared" si="188"/>
        <v/>
      </c>
      <c r="G206" s="1" t="str">
        <f t="shared" si="194"/>
        <v/>
      </c>
      <c r="H206" s="1">
        <f t="shared" si="195"/>
        <v>0</v>
      </c>
      <c r="I206" s="3"/>
      <c r="J206" s="3"/>
      <c r="K206" s="3"/>
      <c r="L206" s="1" t="str">
        <f t="shared" si="196"/>
        <v/>
      </c>
      <c r="M206" s="1" t="str">
        <f t="shared" si="197"/>
        <v/>
      </c>
      <c r="N206" s="1" t="str">
        <f t="shared" si="198"/>
        <v/>
      </c>
      <c r="O206" s="1" t="str">
        <f t="shared" si="199"/>
        <v/>
      </c>
      <c r="P206" s="1" t="str">
        <f t="shared" si="200"/>
        <v/>
      </c>
      <c r="Q206" s="1" t="str">
        <f t="array" ref="Q206">IF($B206="","",IF(MAX(IF(B206=$B$2:$B$313,$L$2:$L$313))-L206=0,"",MAX(IF(B206=$B$2:$B$313,$L$2:$L$313))-L206))</f>
        <v/>
      </c>
      <c r="R206" s="1" t="str">
        <f t="array" ref="R206">IF($B206="","",SUMPRODUCT(--($B$2:$B$313=B206),--(L206&lt;$L$2:$L$313))+1)</f>
        <v/>
      </c>
      <c r="S206" s="1" t="str">
        <f t="shared" si="201"/>
        <v/>
      </c>
      <c r="T206" s="1" t="str" cm="1">
        <f t="array" ref="T206">IF($B206="","",IF(M206=0,"",SUMPRODUCT(--($B$2:$B$313=B206),--(J206&lt;$J$2:$J$313))+1))</f>
        <v/>
      </c>
      <c r="U206" s="1" t="str">
        <f t="shared" si="202"/>
        <v/>
      </c>
      <c r="V206" s="1" t="str">
        <f t="shared" si="203"/>
        <v/>
      </c>
      <c r="W206" s="1" t="str">
        <f t="shared" si="204"/>
        <v/>
      </c>
      <c r="X206" s="1" t="str">
        <f t="shared" si="189"/>
        <v/>
      </c>
      <c r="Y206" s="1" t="str">
        <f>IF($B206="","",MAX(_xlfn.MAXIFS($J$2:J206,$I$2:I206,$I206),_xlfn.MAXIFS($K$2:K206,$I$2:I206,$I206)))</f>
        <v/>
      </c>
      <c r="Z206" s="1" t="str">
        <f t="shared" si="205"/>
        <v/>
      </c>
      <c r="AA206" s="1" t="str">
        <f t="shared" si="206"/>
        <v/>
      </c>
      <c r="AB206" s="1" t="str">
        <f t="shared" si="207"/>
        <v/>
      </c>
      <c r="AC206" s="1" t="str">
        <f t="shared" si="208"/>
        <v/>
      </c>
      <c r="AD206" s="1" t="str">
        <f>IF($B206="","",MIN(_xlfn.MINIFS($J$2:J206,$I$2:I206,$I206),_xlfn.MINIFS($K$2:K206,$I$2:I206,$I206)))</f>
        <v/>
      </c>
      <c r="AE206" s="1" t="str">
        <f t="shared" si="209"/>
        <v/>
      </c>
      <c r="AF206" s="1" t="str">
        <f t="shared" si="210"/>
        <v/>
      </c>
      <c r="AG206" s="1" t="str">
        <f t="shared" si="211"/>
        <v/>
      </c>
      <c r="AH206" s="1" t="str">
        <f t="shared" si="212"/>
        <v/>
      </c>
      <c r="AI206" s="1" t="str">
        <f ca="1">IF($B206="","",IF($K206="",0,OFFSET($CO$17,R206,W206)))</f>
        <v/>
      </c>
      <c r="AJ206" s="1" t="str">
        <f t="shared" ca="1" si="213"/>
        <v/>
      </c>
      <c r="AK206" s="1" t="str">
        <f ca="1">IF(AJ206="","",IF(AJ206=0,0,IF(W206=1,0,SUM(OFFSET($CO$17,N206,1):OFFSET($CO$17,N206+W206-2,1))/W206)))</f>
        <v/>
      </c>
      <c r="AL206" s="1" t="str">
        <f t="shared" si="214"/>
        <v/>
      </c>
      <c r="AM206" s="1" t="str">
        <f>IF($B206="","",SUMIFS($AL$2:AL206,$I$2:I206,$I206))</f>
        <v/>
      </c>
      <c r="AN206" s="1" t="str">
        <f t="shared" si="215"/>
        <v/>
      </c>
      <c r="AO206" s="1" t="str">
        <f>IFERROR(IF($B206="","",AVERAGEIFS($L$2:L206,$I$2:I206,I206,$L$2:L206,"&lt;&gt;0")),0)</f>
        <v/>
      </c>
      <c r="AP206" s="1" t="str">
        <f t="shared" si="216"/>
        <v/>
      </c>
      <c r="AQ206" s="1" t="str">
        <f>IF($B206="","",COUNTIFS($R$2:R206,1,$I$2:I206,$I206))</f>
        <v/>
      </c>
      <c r="AR206" s="1" t="str">
        <f t="array" ref="AR206">IF($B206="","",SUMPRODUCT(--($B$2:$B$313=B206),--(AM206&lt;$AM$2:$AM$313))+1)</f>
        <v/>
      </c>
      <c r="AS206" s="1" t="str">
        <f t="array" ref="AS206">IF($B206="","",SUMPRODUCT(--($B$2:$B$313=B206),--(AP206&lt;$AP$2:$AP$313))+1)</f>
        <v/>
      </c>
      <c r="AT206" s="1" t="str">
        <f t="array" ref="AT206">IF($B206="","",SUMPRODUCT(--($B$2:$B$313=B206),--(AQ206&lt;$AQ$2:$AQ$313))+1)</f>
        <v/>
      </c>
      <c r="AU206" s="1" t="str">
        <f t="shared" si="217"/>
        <v/>
      </c>
      <c r="AV206" s="1" t="str">
        <f t="shared" si="218"/>
        <v/>
      </c>
      <c r="AW206" s="1" t="str">
        <f t="shared" si="190"/>
        <v/>
      </c>
      <c r="AX206" s="1" t="str">
        <f t="shared" si="219"/>
        <v/>
      </c>
      <c r="AY206" s="8" t="str">
        <f t="shared" si="220"/>
        <v/>
      </c>
      <c r="AZ206" s="1" t="str" cm="1">
        <f t="array" ref="AZ206">IF($B206="","",SUMPRODUCT(--($B$2:$B$313=B206),--(AY206&gt;$AY$2:$AY$313))+1)</f>
        <v/>
      </c>
      <c r="BA206" s="1" t="str">
        <f t="shared" si="221"/>
        <v/>
      </c>
      <c r="BB206" s="1" t="str">
        <f t="shared" si="222"/>
        <v/>
      </c>
      <c r="BC206" s="1" t="str">
        <f t="shared" si="223"/>
        <v/>
      </c>
      <c r="BD206" s="1" t="str">
        <f t="shared" si="224"/>
        <v/>
      </c>
      <c r="BE206" s="1" t="str">
        <f t="shared" si="225"/>
        <v/>
      </c>
      <c r="BF206" s="1" t="str">
        <f t="shared" si="226"/>
        <v/>
      </c>
      <c r="BG206" s="1" t="str">
        <f t="shared" si="227"/>
        <v/>
      </c>
      <c r="BH206" s="1" t="str">
        <f t="shared" si="228"/>
        <v/>
      </c>
      <c r="BI206" s="1" t="str">
        <f t="shared" si="229"/>
        <v/>
      </c>
      <c r="BJ206" s="1" t="str">
        <f t="shared" si="230"/>
        <v/>
      </c>
      <c r="BK206" s="1" t="str">
        <f t="shared" si="231"/>
        <v/>
      </c>
      <c r="BL206" s="1" t="str">
        <f t="shared" si="232"/>
        <v/>
      </c>
      <c r="BM206" s="1" t="str">
        <f t="shared" si="233"/>
        <v/>
      </c>
      <c r="BN206" s="1" t="str">
        <f t="shared" si="234"/>
        <v/>
      </c>
      <c r="BO206" s="1" t="str">
        <f t="shared" si="191"/>
        <v/>
      </c>
      <c r="BP206" s="1" t="str">
        <f t="shared" si="192"/>
        <v/>
      </c>
      <c r="BQ206" s="1" t="str" cm="1">
        <f t="array" ref="BQ206">IF(I206="","",IF(BP206=1,"",IF(L206=0,"",IF(B206=1,"",_xlfn.XLOOKUP(1,($I$2:$I$313=$I206)*($B$2:$B$313=($B206-1)),$BO$2:$BO$313)))))</f>
        <v/>
      </c>
      <c r="BR206" s="1" t="str">
        <f>IF(I206="","",IF($B206=1,_xlfn.MINIFS($BO$2:$BO$313,$B$2:$B$313,$B206),_xlfn.MINIFS(BQ$2:$BQ$313,$B$2:$B$313,$B206)))</f>
        <v/>
      </c>
      <c r="BS206" s="1" t="str">
        <f t="shared" si="235"/>
        <v/>
      </c>
      <c r="BT206" s="1" t="str" cm="1">
        <f t="array" ref="BT206">IF($I206="","",IF($B206=1,_xlfn.XLOOKUP(1,($B$2:$B$313=$B206)*($BO$2:$BO$313=BR206),Data!$I$2:$I$313,,0),_xlfn.XLOOKUP(1,($B$2:$B$313=$B206)*($BQ$2:$BQ$313=$BR206),$I$2:$I$313,,0)))</f>
        <v/>
      </c>
      <c r="BU206" s="1" t="str" cm="1">
        <f t="array" ref="BU206">IF(I206="","",IF($B206=1,_xlfn.XLOOKUP(1,($B$2:$B$313=$B206)*($BO$2:$BO$313=$BS206),$I$2:$I$313,,0),_xlfn.XLOOKUP(1,($B$2:$B$313=$B206)*($BQ$2:$BQ$313=$BS206),$I$2:$I$313,,0)))</f>
        <v/>
      </c>
      <c r="BV206" s="1" t="str" cm="1">
        <f t="array" ref="BV206">IF($I206="","",IF($B206=1,"",IF($B206=2,_xlfn.XLOOKUP(1,($B$2:$B$313=1)*($BO$2:$BO$313=1),$I$2:$I$313,,0),_xlfn.XLOOKUP($B206-1,$B$2:$B$313,$CH$2:$CH$313,,0))))</f>
        <v/>
      </c>
      <c r="BW206" s="1" t="str" cm="1">
        <f t="array" ref="BW206">IF($I206="","",IF($B206=1,"",IF(_xlfn.XLOOKUP(1,($B$2:$B$313=$B206)*($I$2:$I$313=$BV206),$BQ$2:$BQ$313,,0)="","NOK","OK")))</f>
        <v/>
      </c>
      <c r="BX206" s="1" t="str">
        <f t="shared" si="236"/>
        <v/>
      </c>
      <c r="BY206" s="1" t="str">
        <f t="shared" si="237"/>
        <v/>
      </c>
      <c r="BZ206" s="1" t="str">
        <f t="shared" si="238"/>
        <v/>
      </c>
      <c r="CA206" s="1" t="str">
        <f t="shared" si="239"/>
        <v/>
      </c>
      <c r="CB206" s="1" t="str">
        <f t="shared" si="240"/>
        <v/>
      </c>
      <c r="CC206" s="1" t="str">
        <f t="shared" si="241"/>
        <v/>
      </c>
      <c r="CD206" s="1" t="str">
        <f t="shared" si="242"/>
        <v/>
      </c>
      <c r="CE206" s="1" t="str">
        <f t="shared" si="243"/>
        <v/>
      </c>
      <c r="CF206" s="1" t="str">
        <f t="shared" si="244"/>
        <v/>
      </c>
      <c r="CG206" s="1" t="str">
        <f t="shared" si="245"/>
        <v/>
      </c>
      <c r="CH206" s="1" t="str">
        <f t="shared" si="246"/>
        <v/>
      </c>
      <c r="CI206" s="1" t="str">
        <f t="shared" si="247"/>
        <v/>
      </c>
      <c r="CJ206" s="1" t="str">
        <f>IF(B206="","",IF(SUM(AI206:AK206)&gt;0,"+SP","")&amp;IF(CI206&gt;0,"+KK","")&amp;IF(AB206&gt;0,"+KGP1","")&amp;IF(AC206&gt;0,"+KGP2","")&amp;IF(AG206&lt;0,"-KGP1","")&amp;IF(AH206&lt;0,"-KGP2",""))</f>
        <v/>
      </c>
    </row>
    <row r="207" spans="1:88" x14ac:dyDescent="0.25">
      <c r="A207" s="1">
        <f>IFERROR(IF(ROW(A206)=1,1,IF(1+A206&lt;=$CP$1*$CP$2,1+A206,"")),"")</f>
        <v>206</v>
      </c>
      <c r="B207" s="1" t="str">
        <f>IF($I207="","",IF(ROW(B206)=1,1,ROUNDUP(A207/$CP$2,0)))</f>
        <v/>
      </c>
      <c r="C207" s="4" t="str">
        <f t="shared" si="193"/>
        <v/>
      </c>
      <c r="D207" s="4" t="str">
        <f t="shared" si="187"/>
        <v/>
      </c>
      <c r="E207" s="1" t="str">
        <f>IF($B207="","",COUNTIF($B$2:B207,B207))</f>
        <v/>
      </c>
      <c r="F207" s="1" t="str">
        <f t="shared" si="188"/>
        <v/>
      </c>
      <c r="G207" s="1" t="str">
        <f t="shared" si="194"/>
        <v/>
      </c>
      <c r="H207" s="1">
        <f t="shared" si="195"/>
        <v>0</v>
      </c>
      <c r="I207" s="3"/>
      <c r="J207" s="3"/>
      <c r="K207" s="3"/>
      <c r="L207" s="1" t="str">
        <f t="shared" si="196"/>
        <v/>
      </c>
      <c r="M207" s="1" t="str">
        <f t="shared" si="197"/>
        <v/>
      </c>
      <c r="N207" s="1" t="str">
        <f t="shared" si="198"/>
        <v/>
      </c>
      <c r="O207" s="1" t="str">
        <f t="shared" si="199"/>
        <v/>
      </c>
      <c r="P207" s="1" t="str">
        <f t="shared" si="200"/>
        <v/>
      </c>
      <c r="Q207" s="1" t="str">
        <f t="array" ref="Q207">IF($B207="","",IF(MAX(IF(B207=$B$2:$B$313,$L$2:$L$313))-L207=0,"",MAX(IF(B207=$B$2:$B$313,$L$2:$L$313))-L207))</f>
        <v/>
      </c>
      <c r="R207" s="1" t="str">
        <f t="array" ref="R207">IF($B207="","",SUMPRODUCT(--($B$2:$B$313=B207),--(L207&lt;$L$2:$L$313))+1)</f>
        <v/>
      </c>
      <c r="S207" s="1" t="str">
        <f t="shared" si="201"/>
        <v/>
      </c>
      <c r="T207" s="1" t="str" cm="1">
        <f t="array" ref="T207">IF($B207="","",IF(M207=0,"",SUMPRODUCT(--($B$2:$B$313=B207),--(J207&lt;$J$2:$J$313))+1))</f>
        <v/>
      </c>
      <c r="U207" s="1" t="str">
        <f t="shared" si="202"/>
        <v/>
      </c>
      <c r="V207" s="1" t="str">
        <f t="shared" si="203"/>
        <v/>
      </c>
      <c r="W207" s="1" t="str">
        <f t="shared" si="204"/>
        <v/>
      </c>
      <c r="X207" s="1" t="str">
        <f t="shared" si="189"/>
        <v/>
      </c>
      <c r="Y207" s="1" t="str">
        <f>IF($B207="","",MAX(_xlfn.MAXIFS($J$2:J207,$I$2:I207,$I207),_xlfn.MAXIFS($K$2:K207,$I$2:I207,$I207)))</f>
        <v/>
      </c>
      <c r="Z207" s="1" t="str">
        <f t="shared" si="205"/>
        <v/>
      </c>
      <c r="AA207" s="1" t="str">
        <f t="shared" si="206"/>
        <v/>
      </c>
      <c r="AB207" s="1" t="str">
        <f t="shared" si="207"/>
        <v/>
      </c>
      <c r="AC207" s="1" t="str">
        <f t="shared" si="208"/>
        <v/>
      </c>
      <c r="AD207" s="1" t="str">
        <f>IF($B207="","",MIN(_xlfn.MINIFS($J$2:J207,$I$2:I207,$I207),_xlfn.MINIFS($K$2:K207,$I$2:I207,$I207)))</f>
        <v/>
      </c>
      <c r="AE207" s="1" t="str">
        <f t="shared" si="209"/>
        <v/>
      </c>
      <c r="AF207" s="1" t="str">
        <f t="shared" si="210"/>
        <v/>
      </c>
      <c r="AG207" s="1" t="str">
        <f t="shared" si="211"/>
        <v/>
      </c>
      <c r="AH207" s="1" t="str">
        <f t="shared" si="212"/>
        <v/>
      </c>
      <c r="AI207" s="1" t="str">
        <f ca="1">IF($B207="","",IF($K207="",0,OFFSET($CO$17,R207,W207)))</f>
        <v/>
      </c>
      <c r="AJ207" s="1" t="str">
        <f t="shared" ca="1" si="213"/>
        <v/>
      </c>
      <c r="AK207" s="1" t="str">
        <f ca="1">IF(AJ207="","",IF(AJ207=0,0,IF(W207=1,0,SUM(OFFSET($CO$17,N207,1):OFFSET($CO$17,N207+W207-2,1))/W207)))</f>
        <v/>
      </c>
      <c r="AL207" s="1" t="str">
        <f t="shared" si="214"/>
        <v/>
      </c>
      <c r="AM207" s="1" t="str">
        <f>IF($B207="","",SUMIFS($AL$2:AL207,$I$2:I207,$I207))</f>
        <v/>
      </c>
      <c r="AN207" s="1" t="str">
        <f t="shared" si="215"/>
        <v/>
      </c>
      <c r="AO207" s="1" t="str">
        <f>IFERROR(IF($B207="","",AVERAGEIFS($L$2:L207,$I$2:I207,I207,$L$2:L207,"&lt;&gt;0")),0)</f>
        <v/>
      </c>
      <c r="AP207" s="1" t="str">
        <f t="shared" si="216"/>
        <v/>
      </c>
      <c r="AQ207" s="1" t="str">
        <f>IF($B207="","",COUNTIFS($R$2:R207,1,$I$2:I207,$I207))</f>
        <v/>
      </c>
      <c r="AR207" s="1" t="str">
        <f t="array" ref="AR207">IF($B207="","",SUMPRODUCT(--($B$2:$B$313=B207),--(AM207&lt;$AM$2:$AM$313))+1)</f>
        <v/>
      </c>
      <c r="AS207" s="1" t="str">
        <f t="array" ref="AS207">IF($B207="","",SUMPRODUCT(--($B$2:$B$313=B207),--(AP207&lt;$AP$2:$AP$313))+1)</f>
        <v/>
      </c>
      <c r="AT207" s="1" t="str">
        <f t="array" ref="AT207">IF($B207="","",SUMPRODUCT(--($B$2:$B$313=B207),--(AQ207&lt;$AQ$2:$AQ$313))+1)</f>
        <v/>
      </c>
      <c r="AU207" s="1" t="str">
        <f t="shared" si="217"/>
        <v/>
      </c>
      <c r="AV207" s="1" t="str">
        <f t="shared" si="218"/>
        <v/>
      </c>
      <c r="AW207" s="1" t="str">
        <f t="shared" si="190"/>
        <v/>
      </c>
      <c r="AX207" s="1" t="str">
        <f t="shared" si="219"/>
        <v/>
      </c>
      <c r="AY207" s="8" t="str">
        <f t="shared" si="220"/>
        <v/>
      </c>
      <c r="AZ207" s="1" t="str" cm="1">
        <f t="array" ref="AZ207">IF($B207="","",SUMPRODUCT(--($B$2:$B$313=B207),--(AY207&gt;$AY$2:$AY$313))+1)</f>
        <v/>
      </c>
      <c r="BA207" s="1" t="str">
        <f t="shared" si="221"/>
        <v/>
      </c>
      <c r="BB207" s="1" t="str">
        <f t="shared" si="222"/>
        <v/>
      </c>
      <c r="BC207" s="1" t="str">
        <f t="shared" si="223"/>
        <v/>
      </c>
      <c r="BD207" s="1" t="str">
        <f t="shared" si="224"/>
        <v/>
      </c>
      <c r="BE207" s="1" t="str">
        <f t="shared" si="225"/>
        <v/>
      </c>
      <c r="BF207" s="1" t="str">
        <f t="shared" si="226"/>
        <v/>
      </c>
      <c r="BG207" s="1" t="str">
        <f t="shared" si="227"/>
        <v/>
      </c>
      <c r="BH207" s="1" t="str">
        <f t="shared" si="228"/>
        <v/>
      </c>
      <c r="BI207" s="1" t="str">
        <f t="shared" si="229"/>
        <v/>
      </c>
      <c r="BJ207" s="1" t="str">
        <f t="shared" si="230"/>
        <v/>
      </c>
      <c r="BK207" s="1" t="str">
        <f t="shared" si="231"/>
        <v/>
      </c>
      <c r="BL207" s="1" t="str">
        <f t="shared" si="232"/>
        <v/>
      </c>
      <c r="BM207" s="1" t="str">
        <f t="shared" si="233"/>
        <v/>
      </c>
      <c r="BN207" s="1" t="str">
        <f t="shared" si="234"/>
        <v/>
      </c>
      <c r="BO207" s="1" t="str">
        <f t="shared" si="191"/>
        <v/>
      </c>
      <c r="BP207" s="1" t="str">
        <f t="shared" si="192"/>
        <v/>
      </c>
      <c r="BQ207" s="1" t="str" cm="1">
        <f t="array" ref="BQ207">IF(I207="","",IF(BP207=1,"",IF(L207=0,"",IF(B207=1,"",_xlfn.XLOOKUP(1,($I$2:$I$313=$I207)*($B$2:$B$313=($B207-1)),$BO$2:$BO$313)))))</f>
        <v/>
      </c>
      <c r="BR207" s="1" t="str">
        <f>IF(I207="","",IF($B207=1,_xlfn.MINIFS($BO$2:$BO$313,$B$2:$B$313,$B207),_xlfn.MINIFS(BQ$2:$BQ$313,$B$2:$B$313,$B207)))</f>
        <v/>
      </c>
      <c r="BS207" s="1" t="str">
        <f t="shared" si="235"/>
        <v/>
      </c>
      <c r="BT207" s="1" t="str" cm="1">
        <f t="array" ref="BT207">IF($I207="","",IF($B207=1,_xlfn.XLOOKUP(1,($B$2:$B$313=$B207)*($BO$2:$BO$313=BR207),Data!$I$2:$I$313,,0),_xlfn.XLOOKUP(1,($B$2:$B$313=$B207)*($BQ$2:$BQ$313=$BR207),$I$2:$I$313,,0)))</f>
        <v/>
      </c>
      <c r="BU207" s="1" t="str" cm="1">
        <f t="array" ref="BU207">IF(I207="","",IF($B207=1,_xlfn.XLOOKUP(1,($B$2:$B$313=$B207)*($BO$2:$BO$313=$BS207),$I$2:$I$313,,0),_xlfn.XLOOKUP(1,($B$2:$B$313=$B207)*($BQ$2:$BQ$313=$BS207),$I$2:$I$313,,0)))</f>
        <v/>
      </c>
      <c r="BV207" s="1" t="str" cm="1">
        <f t="array" ref="BV207">IF($I207="","",IF($B207=1,"",IF($B207=2,_xlfn.XLOOKUP(1,($B$2:$B$313=1)*($BO$2:$BO$313=1),$I$2:$I$313,,0),_xlfn.XLOOKUP($B207-1,$B$2:$B$313,$CH$2:$CH$313,,0))))</f>
        <v/>
      </c>
      <c r="BW207" s="1" t="str" cm="1">
        <f t="array" ref="BW207">IF($I207="","",IF($B207=1,"",IF(_xlfn.XLOOKUP(1,($B$2:$B$313=$B207)*($I$2:$I$313=$BV207),$BQ$2:$BQ$313,,0)="","NOK","OK")))</f>
        <v/>
      </c>
      <c r="BX207" s="1" t="str">
        <f t="shared" si="236"/>
        <v/>
      </c>
      <c r="BY207" s="1" t="str">
        <f t="shared" si="237"/>
        <v/>
      </c>
      <c r="BZ207" s="1" t="str">
        <f t="shared" si="238"/>
        <v/>
      </c>
      <c r="CA207" s="1" t="str">
        <f t="shared" si="239"/>
        <v/>
      </c>
      <c r="CB207" s="1" t="str">
        <f t="shared" si="240"/>
        <v/>
      </c>
      <c r="CC207" s="1" t="str">
        <f t="shared" si="241"/>
        <v/>
      </c>
      <c r="CD207" s="1" t="str">
        <f t="shared" si="242"/>
        <v/>
      </c>
      <c r="CE207" s="1" t="str">
        <f t="shared" si="243"/>
        <v/>
      </c>
      <c r="CF207" s="1" t="str">
        <f t="shared" si="244"/>
        <v/>
      </c>
      <c r="CG207" s="1" t="str">
        <f t="shared" si="245"/>
        <v/>
      </c>
      <c r="CH207" s="1" t="str">
        <f t="shared" si="246"/>
        <v/>
      </c>
      <c r="CI207" s="1" t="str">
        <f t="shared" si="247"/>
        <v/>
      </c>
      <c r="CJ207" s="1" t="str">
        <f>IF(B207="","",IF(SUM(AI207:AK207)&gt;0,"+SP","")&amp;IF(CI207&gt;0,"+KK","")&amp;IF(AB207&gt;0,"+KGP1","")&amp;IF(AC207&gt;0,"+KGP2","")&amp;IF(AG207&lt;0,"-KGP1","")&amp;IF(AH207&lt;0,"-KGP2",""))</f>
        <v/>
      </c>
    </row>
    <row r="208" spans="1:88" x14ac:dyDescent="0.25">
      <c r="A208" s="1">
        <f>IFERROR(IF(ROW(A207)=1,1,IF(1+A207&lt;=$CP$1*$CP$2,1+A207,"")),"")</f>
        <v>207</v>
      </c>
      <c r="B208" s="1" t="str">
        <f>IF($I208="","",IF(ROW(B207)=1,1,ROUNDUP(A208/$CP$2,0)))</f>
        <v/>
      </c>
      <c r="C208" s="4" t="str">
        <f t="shared" si="193"/>
        <v/>
      </c>
      <c r="D208" s="4" t="str">
        <f t="shared" si="187"/>
        <v/>
      </c>
      <c r="E208" s="1" t="str">
        <f>IF($B208="","",COUNTIF($B$2:B208,B208))</f>
        <v/>
      </c>
      <c r="F208" s="1" t="str">
        <f t="shared" si="188"/>
        <v/>
      </c>
      <c r="G208" s="1" t="str">
        <f t="shared" si="194"/>
        <v/>
      </c>
      <c r="H208" s="1">
        <f t="shared" si="195"/>
        <v>0</v>
      </c>
      <c r="I208" s="3"/>
      <c r="J208" s="3"/>
      <c r="K208" s="3"/>
      <c r="L208" s="1" t="str">
        <f t="shared" si="196"/>
        <v/>
      </c>
      <c r="M208" s="1" t="str">
        <f t="shared" si="197"/>
        <v/>
      </c>
      <c r="N208" s="1" t="str">
        <f t="shared" si="198"/>
        <v/>
      </c>
      <c r="O208" s="1" t="str">
        <f t="shared" si="199"/>
        <v/>
      </c>
      <c r="P208" s="1" t="str">
        <f t="shared" si="200"/>
        <v/>
      </c>
      <c r="Q208" s="1" t="str">
        <f t="array" ref="Q208">IF($B208="","",IF(MAX(IF(B208=$B$2:$B$313,$L$2:$L$313))-L208=0,"",MAX(IF(B208=$B$2:$B$313,$L$2:$L$313))-L208))</f>
        <v/>
      </c>
      <c r="R208" s="1" t="str">
        <f t="array" ref="R208">IF($B208="","",SUMPRODUCT(--($B$2:$B$313=B208),--(L208&lt;$L$2:$L$313))+1)</f>
        <v/>
      </c>
      <c r="S208" s="1" t="str">
        <f t="shared" si="201"/>
        <v/>
      </c>
      <c r="T208" s="1" t="str" cm="1">
        <f t="array" ref="T208">IF($B208="","",IF(M208=0,"",SUMPRODUCT(--($B$2:$B$313=B208),--(J208&lt;$J$2:$J$313))+1))</f>
        <v/>
      </c>
      <c r="U208" s="1" t="str">
        <f t="shared" si="202"/>
        <v/>
      </c>
      <c r="V208" s="1" t="str">
        <f t="shared" si="203"/>
        <v/>
      </c>
      <c r="W208" s="1" t="str">
        <f t="shared" si="204"/>
        <v/>
      </c>
      <c r="X208" s="1" t="str">
        <f t="shared" si="189"/>
        <v/>
      </c>
      <c r="Y208" s="1" t="str">
        <f>IF($B208="","",MAX(_xlfn.MAXIFS($J$2:J208,$I$2:I208,$I208),_xlfn.MAXIFS($K$2:K208,$I$2:I208,$I208)))</f>
        <v/>
      </c>
      <c r="Z208" s="1" t="str">
        <f t="shared" si="205"/>
        <v/>
      </c>
      <c r="AA208" s="1" t="str">
        <f t="shared" si="206"/>
        <v/>
      </c>
      <c r="AB208" s="1" t="str">
        <f t="shared" si="207"/>
        <v/>
      </c>
      <c r="AC208" s="1" t="str">
        <f t="shared" si="208"/>
        <v/>
      </c>
      <c r="AD208" s="1" t="str">
        <f>IF($B208="","",MIN(_xlfn.MINIFS($J$2:J208,$I$2:I208,$I208),_xlfn.MINIFS($K$2:K208,$I$2:I208,$I208)))</f>
        <v/>
      </c>
      <c r="AE208" s="1" t="str">
        <f t="shared" si="209"/>
        <v/>
      </c>
      <c r="AF208" s="1" t="str">
        <f t="shared" si="210"/>
        <v/>
      </c>
      <c r="AG208" s="1" t="str">
        <f t="shared" si="211"/>
        <v/>
      </c>
      <c r="AH208" s="1" t="str">
        <f t="shared" si="212"/>
        <v/>
      </c>
      <c r="AI208" s="1" t="str">
        <f ca="1">IF($B208="","",IF($K208="",0,OFFSET($CO$17,R208,W208)))</f>
        <v/>
      </c>
      <c r="AJ208" s="1" t="str">
        <f t="shared" ca="1" si="213"/>
        <v/>
      </c>
      <c r="AK208" s="1" t="str">
        <f ca="1">IF(AJ208="","",IF(AJ208=0,0,IF(W208=1,0,SUM(OFFSET($CO$17,N208,1):OFFSET($CO$17,N208+W208-2,1))/W208)))</f>
        <v/>
      </c>
      <c r="AL208" s="1" t="str">
        <f t="shared" si="214"/>
        <v/>
      </c>
      <c r="AM208" s="1" t="str">
        <f>IF($B208="","",SUMIFS($AL$2:AL208,$I$2:I208,$I208))</f>
        <v/>
      </c>
      <c r="AN208" s="1" t="str">
        <f t="shared" si="215"/>
        <v/>
      </c>
      <c r="AO208" s="1" t="str">
        <f>IFERROR(IF($B208="","",AVERAGEIFS($L$2:L208,$I$2:I208,I208,$L$2:L208,"&lt;&gt;0")),0)</f>
        <v/>
      </c>
      <c r="AP208" s="1" t="str">
        <f t="shared" si="216"/>
        <v/>
      </c>
      <c r="AQ208" s="1" t="str">
        <f>IF($B208="","",COUNTIFS($R$2:R208,1,$I$2:I208,$I208))</f>
        <v/>
      </c>
      <c r="AR208" s="1" t="str">
        <f t="array" ref="AR208">IF($B208="","",SUMPRODUCT(--($B$2:$B$313=B208),--(AM208&lt;$AM$2:$AM$313))+1)</f>
        <v/>
      </c>
      <c r="AS208" s="1" t="str">
        <f t="array" ref="AS208">IF($B208="","",SUMPRODUCT(--($B$2:$B$313=B208),--(AP208&lt;$AP$2:$AP$313))+1)</f>
        <v/>
      </c>
      <c r="AT208" s="1" t="str">
        <f t="array" ref="AT208">IF($B208="","",SUMPRODUCT(--($B$2:$B$313=B208),--(AQ208&lt;$AQ$2:$AQ$313))+1)</f>
        <v/>
      </c>
      <c r="AU208" s="1" t="str">
        <f t="shared" si="217"/>
        <v/>
      </c>
      <c r="AV208" s="1" t="str">
        <f t="shared" si="218"/>
        <v/>
      </c>
      <c r="AW208" s="1" t="str">
        <f t="shared" si="190"/>
        <v/>
      </c>
      <c r="AX208" s="1" t="str">
        <f t="shared" si="219"/>
        <v/>
      </c>
      <c r="AY208" s="8" t="str">
        <f t="shared" si="220"/>
        <v/>
      </c>
      <c r="AZ208" s="1" t="str" cm="1">
        <f t="array" ref="AZ208">IF($B208="","",SUMPRODUCT(--($B$2:$B$313=B208),--(AY208&gt;$AY$2:$AY$313))+1)</f>
        <v/>
      </c>
      <c r="BA208" s="1" t="str">
        <f t="shared" si="221"/>
        <v/>
      </c>
      <c r="BB208" s="1" t="str">
        <f t="shared" si="222"/>
        <v/>
      </c>
      <c r="BC208" s="1" t="str">
        <f t="shared" si="223"/>
        <v/>
      </c>
      <c r="BD208" s="1" t="str">
        <f t="shared" si="224"/>
        <v/>
      </c>
      <c r="BE208" s="1" t="str">
        <f t="shared" si="225"/>
        <v/>
      </c>
      <c r="BF208" s="1" t="str">
        <f t="shared" si="226"/>
        <v/>
      </c>
      <c r="BG208" s="1" t="str">
        <f t="shared" si="227"/>
        <v/>
      </c>
      <c r="BH208" s="1" t="str">
        <f t="shared" si="228"/>
        <v/>
      </c>
      <c r="BI208" s="1" t="str">
        <f t="shared" si="229"/>
        <v/>
      </c>
      <c r="BJ208" s="1" t="str">
        <f t="shared" si="230"/>
        <v/>
      </c>
      <c r="BK208" s="1" t="str">
        <f t="shared" si="231"/>
        <v/>
      </c>
      <c r="BL208" s="1" t="str">
        <f t="shared" si="232"/>
        <v/>
      </c>
      <c r="BM208" s="1" t="str">
        <f t="shared" si="233"/>
        <v/>
      </c>
      <c r="BN208" s="1" t="str">
        <f t="shared" si="234"/>
        <v/>
      </c>
      <c r="BO208" s="1" t="str">
        <f t="shared" si="191"/>
        <v/>
      </c>
      <c r="BP208" s="1" t="str">
        <f t="shared" si="192"/>
        <v/>
      </c>
      <c r="BQ208" s="1" t="str" cm="1">
        <f t="array" ref="BQ208">IF(I208="","",IF(BP208=1,"",IF(L208=0,"",IF(B208=1,"",_xlfn.XLOOKUP(1,($I$2:$I$313=$I208)*($B$2:$B$313=($B208-1)),$BO$2:$BO$313)))))</f>
        <v/>
      </c>
      <c r="BR208" s="1" t="str">
        <f>IF(I208="","",IF($B208=1,_xlfn.MINIFS($BO$2:$BO$313,$B$2:$B$313,$B208),_xlfn.MINIFS(BQ$2:$BQ$313,$B$2:$B$313,$B208)))</f>
        <v/>
      </c>
      <c r="BS208" s="1" t="str">
        <f t="shared" si="235"/>
        <v/>
      </c>
      <c r="BT208" s="1" t="str" cm="1">
        <f t="array" ref="BT208">IF($I208="","",IF($B208=1,_xlfn.XLOOKUP(1,($B$2:$B$313=$B208)*($BO$2:$BO$313=BR208),Data!$I$2:$I$313,,0),_xlfn.XLOOKUP(1,($B$2:$B$313=$B208)*($BQ$2:$BQ$313=$BR208),$I$2:$I$313,,0)))</f>
        <v/>
      </c>
      <c r="BU208" s="1" t="str" cm="1">
        <f t="array" ref="BU208">IF(I208="","",IF($B208=1,_xlfn.XLOOKUP(1,($B$2:$B$313=$B208)*($BO$2:$BO$313=$BS208),$I$2:$I$313,,0),_xlfn.XLOOKUP(1,($B$2:$B$313=$B208)*($BQ$2:$BQ$313=$BS208),$I$2:$I$313,,0)))</f>
        <v/>
      </c>
      <c r="BV208" s="1" t="str" cm="1">
        <f t="array" ref="BV208">IF($I208="","",IF($B208=1,"",IF($B208=2,_xlfn.XLOOKUP(1,($B$2:$B$313=1)*($BO$2:$BO$313=1),$I$2:$I$313,,0),_xlfn.XLOOKUP($B208-1,$B$2:$B$313,$CH$2:$CH$313,,0))))</f>
        <v/>
      </c>
      <c r="BW208" s="1" t="str" cm="1">
        <f t="array" ref="BW208">IF($I208="","",IF($B208=1,"",IF(_xlfn.XLOOKUP(1,($B$2:$B$313=$B208)*($I$2:$I$313=$BV208),$BQ$2:$BQ$313,,0)="","NOK","OK")))</f>
        <v/>
      </c>
      <c r="BX208" s="1" t="str">
        <f t="shared" si="236"/>
        <v/>
      </c>
      <c r="BY208" s="1" t="str">
        <f t="shared" si="237"/>
        <v/>
      </c>
      <c r="BZ208" s="1" t="str">
        <f t="shared" si="238"/>
        <v/>
      </c>
      <c r="CA208" s="1" t="str">
        <f t="shared" si="239"/>
        <v/>
      </c>
      <c r="CB208" s="1" t="str">
        <f t="shared" si="240"/>
        <v/>
      </c>
      <c r="CC208" s="1" t="str">
        <f t="shared" si="241"/>
        <v/>
      </c>
      <c r="CD208" s="1" t="str">
        <f t="shared" si="242"/>
        <v/>
      </c>
      <c r="CE208" s="1" t="str">
        <f t="shared" si="243"/>
        <v/>
      </c>
      <c r="CF208" s="1" t="str">
        <f t="shared" si="244"/>
        <v/>
      </c>
      <c r="CG208" s="1" t="str">
        <f t="shared" si="245"/>
        <v/>
      </c>
      <c r="CH208" s="1" t="str">
        <f t="shared" si="246"/>
        <v/>
      </c>
      <c r="CI208" s="1" t="str">
        <f t="shared" si="247"/>
        <v/>
      </c>
      <c r="CJ208" s="1" t="str">
        <f>IF(B208="","",IF(SUM(AI208:AK208)&gt;0,"+SP","")&amp;IF(CI208&gt;0,"+KK","")&amp;IF(AB208&gt;0,"+KGP1","")&amp;IF(AC208&gt;0,"+KGP2","")&amp;IF(AG208&lt;0,"-KGP1","")&amp;IF(AH208&lt;0,"-KGP2",""))</f>
        <v/>
      </c>
    </row>
    <row r="209" spans="1:88" x14ac:dyDescent="0.25">
      <c r="A209" s="1">
        <f>IFERROR(IF(ROW(A208)=1,1,IF(1+A208&lt;=$CP$1*$CP$2,1+A208,"")),"")</f>
        <v>208</v>
      </c>
      <c r="B209" s="1" t="str">
        <f>IF($I209="","",IF(ROW(B208)=1,1,ROUNDUP(A209/$CP$2,0)))</f>
        <v/>
      </c>
      <c r="C209" s="4" t="str">
        <f t="shared" si="193"/>
        <v/>
      </c>
      <c r="D209" s="4" t="str">
        <f t="shared" si="187"/>
        <v/>
      </c>
      <c r="E209" s="1" t="str">
        <f>IF($B209="","",COUNTIF($B$2:B209,B209))</f>
        <v/>
      </c>
      <c r="F209" s="1" t="str">
        <f t="shared" si="188"/>
        <v/>
      </c>
      <c r="G209" s="1" t="str">
        <f t="shared" si="194"/>
        <v/>
      </c>
      <c r="H209" s="1">
        <f t="shared" si="195"/>
        <v>0</v>
      </c>
      <c r="I209" s="3"/>
      <c r="J209" s="3"/>
      <c r="K209" s="3"/>
      <c r="L209" s="1" t="str">
        <f t="shared" si="196"/>
        <v/>
      </c>
      <c r="M209" s="1" t="str">
        <f t="shared" si="197"/>
        <v/>
      </c>
      <c r="N209" s="1" t="str">
        <f t="shared" si="198"/>
        <v/>
      </c>
      <c r="O209" s="1" t="str">
        <f t="shared" si="199"/>
        <v/>
      </c>
      <c r="P209" s="1" t="str">
        <f t="shared" si="200"/>
        <v/>
      </c>
      <c r="Q209" s="1" t="str">
        <f t="array" ref="Q209">IF($B209="","",IF(MAX(IF(B209=$B$2:$B$313,$L$2:$L$313))-L209=0,"",MAX(IF(B209=$B$2:$B$313,$L$2:$L$313))-L209))</f>
        <v/>
      </c>
      <c r="R209" s="1" t="str">
        <f t="array" ref="R209">IF($B209="","",SUMPRODUCT(--($B$2:$B$313=B209),--(L209&lt;$L$2:$L$313))+1)</f>
        <v/>
      </c>
      <c r="S209" s="1" t="str">
        <f t="shared" si="201"/>
        <v/>
      </c>
      <c r="T209" s="1" t="str" cm="1">
        <f t="array" ref="T209">IF($B209="","",IF(M209=0,"",SUMPRODUCT(--($B$2:$B$313=B209),--(J209&lt;$J$2:$J$313))+1))</f>
        <v/>
      </c>
      <c r="U209" s="1" t="str">
        <f t="shared" si="202"/>
        <v/>
      </c>
      <c r="V209" s="1" t="str">
        <f t="shared" si="203"/>
        <v/>
      </c>
      <c r="W209" s="1" t="str">
        <f t="shared" si="204"/>
        <v/>
      </c>
      <c r="X209" s="1" t="str">
        <f t="shared" si="189"/>
        <v/>
      </c>
      <c r="Y209" s="1" t="str">
        <f>IF($B209="","",MAX(_xlfn.MAXIFS($J$2:J209,$I$2:I209,$I209),_xlfn.MAXIFS($K$2:K209,$I$2:I209,$I209)))</f>
        <v/>
      </c>
      <c r="Z209" s="1" t="str">
        <f t="shared" si="205"/>
        <v/>
      </c>
      <c r="AA209" s="1" t="str">
        <f t="shared" si="206"/>
        <v/>
      </c>
      <c r="AB209" s="1" t="str">
        <f t="shared" si="207"/>
        <v/>
      </c>
      <c r="AC209" s="1" t="str">
        <f t="shared" si="208"/>
        <v/>
      </c>
      <c r="AD209" s="1" t="str">
        <f>IF($B209="","",MIN(_xlfn.MINIFS($J$2:J209,$I$2:I209,$I209),_xlfn.MINIFS($K$2:K209,$I$2:I209,$I209)))</f>
        <v/>
      </c>
      <c r="AE209" s="1" t="str">
        <f t="shared" si="209"/>
        <v/>
      </c>
      <c r="AF209" s="1" t="str">
        <f t="shared" si="210"/>
        <v/>
      </c>
      <c r="AG209" s="1" t="str">
        <f t="shared" si="211"/>
        <v/>
      </c>
      <c r="AH209" s="1" t="str">
        <f t="shared" si="212"/>
        <v/>
      </c>
      <c r="AI209" s="1" t="str">
        <f ca="1">IF($B209="","",IF($K209="",0,OFFSET($CO$17,R209,W209)))</f>
        <v/>
      </c>
      <c r="AJ209" s="1" t="str">
        <f t="shared" ca="1" si="213"/>
        <v/>
      </c>
      <c r="AK209" s="1" t="str">
        <f ca="1">IF(AJ209="","",IF(AJ209=0,0,IF(W209=1,0,SUM(OFFSET($CO$17,N209,1):OFFSET($CO$17,N209+W209-2,1))/W209)))</f>
        <v/>
      </c>
      <c r="AL209" s="1" t="str">
        <f t="shared" si="214"/>
        <v/>
      </c>
      <c r="AM209" s="1" t="str">
        <f>IF($B209="","",SUMIFS($AL$2:AL209,$I$2:I209,$I209))</f>
        <v/>
      </c>
      <c r="AN209" s="1" t="str">
        <f t="shared" si="215"/>
        <v/>
      </c>
      <c r="AO209" s="1" t="str">
        <f>IFERROR(IF($B209="","",AVERAGEIFS($L$2:L209,$I$2:I209,I209,$L$2:L209,"&lt;&gt;0")),0)</f>
        <v/>
      </c>
      <c r="AP209" s="1" t="str">
        <f t="shared" si="216"/>
        <v/>
      </c>
      <c r="AQ209" s="1" t="str">
        <f>IF($B209="","",COUNTIFS($R$2:R209,1,$I$2:I209,$I209))</f>
        <v/>
      </c>
      <c r="AR209" s="1" t="str">
        <f t="array" ref="AR209">IF($B209="","",SUMPRODUCT(--($B$2:$B$313=B209),--(AM209&lt;$AM$2:$AM$313))+1)</f>
        <v/>
      </c>
      <c r="AS209" s="1" t="str">
        <f t="array" ref="AS209">IF($B209="","",SUMPRODUCT(--($B$2:$B$313=B209),--(AP209&lt;$AP$2:$AP$313))+1)</f>
        <v/>
      </c>
      <c r="AT209" s="1" t="str">
        <f t="array" ref="AT209">IF($B209="","",SUMPRODUCT(--($B$2:$B$313=B209),--(AQ209&lt;$AQ$2:$AQ$313))+1)</f>
        <v/>
      </c>
      <c r="AU209" s="1" t="str">
        <f t="shared" si="217"/>
        <v/>
      </c>
      <c r="AV209" s="1" t="str">
        <f t="shared" si="218"/>
        <v/>
      </c>
      <c r="AW209" s="1" t="str">
        <f t="shared" si="190"/>
        <v/>
      </c>
      <c r="AX209" s="1" t="str">
        <f t="shared" si="219"/>
        <v/>
      </c>
      <c r="AY209" s="8" t="str">
        <f t="shared" si="220"/>
        <v/>
      </c>
      <c r="AZ209" s="1" t="str" cm="1">
        <f t="array" ref="AZ209">IF($B209="","",SUMPRODUCT(--($B$2:$B$313=B209),--(AY209&gt;$AY$2:$AY$313))+1)</f>
        <v/>
      </c>
      <c r="BA209" s="1" t="str">
        <f t="shared" si="221"/>
        <v/>
      </c>
      <c r="BB209" s="1" t="str">
        <f t="shared" si="222"/>
        <v/>
      </c>
      <c r="BC209" s="1" t="str">
        <f t="shared" si="223"/>
        <v/>
      </c>
      <c r="BD209" s="1" t="str">
        <f t="shared" si="224"/>
        <v/>
      </c>
      <c r="BE209" s="1" t="str">
        <f t="shared" si="225"/>
        <v/>
      </c>
      <c r="BF209" s="1" t="str">
        <f t="shared" si="226"/>
        <v/>
      </c>
      <c r="BG209" s="1" t="str">
        <f t="shared" si="227"/>
        <v/>
      </c>
      <c r="BH209" s="1" t="str">
        <f t="shared" si="228"/>
        <v/>
      </c>
      <c r="BI209" s="1" t="str">
        <f t="shared" si="229"/>
        <v/>
      </c>
      <c r="BJ209" s="1" t="str">
        <f t="shared" si="230"/>
        <v/>
      </c>
      <c r="BK209" s="1" t="str">
        <f t="shared" si="231"/>
        <v/>
      </c>
      <c r="BL209" s="1" t="str">
        <f t="shared" si="232"/>
        <v/>
      </c>
      <c r="BM209" s="1" t="str">
        <f t="shared" si="233"/>
        <v/>
      </c>
      <c r="BN209" s="1" t="str">
        <f t="shared" si="234"/>
        <v/>
      </c>
      <c r="BO209" s="1" t="str">
        <f t="shared" si="191"/>
        <v/>
      </c>
      <c r="BP209" s="1" t="str">
        <f t="shared" si="192"/>
        <v/>
      </c>
      <c r="BQ209" s="1" t="str" cm="1">
        <f t="array" ref="BQ209">IF(I209="","",IF(BP209=1,"",IF(L209=0,"",IF(B209=1,"",_xlfn.XLOOKUP(1,($I$2:$I$313=$I209)*($B$2:$B$313=($B209-1)),$BO$2:$BO$313)))))</f>
        <v/>
      </c>
      <c r="BR209" s="1" t="str">
        <f>IF(I209="","",IF($B209=1,_xlfn.MINIFS($BO$2:$BO$313,$B$2:$B$313,$B209),_xlfn.MINIFS(BQ$2:$BQ$313,$B$2:$B$313,$B209)))</f>
        <v/>
      </c>
      <c r="BS209" s="1" t="str">
        <f t="shared" si="235"/>
        <v/>
      </c>
      <c r="BT209" s="1" t="str" cm="1">
        <f t="array" ref="BT209">IF($I209="","",IF($B209=1,_xlfn.XLOOKUP(1,($B$2:$B$313=$B209)*($BO$2:$BO$313=BR209),Data!$I$2:$I$313,,0),_xlfn.XLOOKUP(1,($B$2:$B$313=$B209)*($BQ$2:$BQ$313=$BR209),$I$2:$I$313,,0)))</f>
        <v/>
      </c>
      <c r="BU209" s="1" t="str" cm="1">
        <f t="array" ref="BU209">IF(I209="","",IF($B209=1,_xlfn.XLOOKUP(1,($B$2:$B$313=$B209)*($BO$2:$BO$313=$BS209),$I$2:$I$313,,0),_xlfn.XLOOKUP(1,($B$2:$B$313=$B209)*($BQ$2:$BQ$313=$BS209),$I$2:$I$313,,0)))</f>
        <v/>
      </c>
      <c r="BV209" s="1" t="str" cm="1">
        <f t="array" ref="BV209">IF($I209="","",IF($B209=1,"",IF($B209=2,_xlfn.XLOOKUP(1,($B$2:$B$313=1)*($BO$2:$BO$313=1),$I$2:$I$313,,0),_xlfn.XLOOKUP($B209-1,$B$2:$B$313,$CH$2:$CH$313,,0))))</f>
        <v/>
      </c>
      <c r="BW209" s="1" t="str" cm="1">
        <f t="array" ref="BW209">IF($I209="","",IF($B209=1,"",IF(_xlfn.XLOOKUP(1,($B$2:$B$313=$B209)*($I$2:$I$313=$BV209),$BQ$2:$BQ$313,,0)="","NOK","OK")))</f>
        <v/>
      </c>
      <c r="BX209" s="1" t="str">
        <f t="shared" si="236"/>
        <v/>
      </c>
      <c r="BY209" s="1" t="str">
        <f t="shared" si="237"/>
        <v/>
      </c>
      <c r="BZ209" s="1" t="str">
        <f t="shared" si="238"/>
        <v/>
      </c>
      <c r="CA209" s="1" t="str">
        <f t="shared" si="239"/>
        <v/>
      </c>
      <c r="CB209" s="1" t="str">
        <f t="shared" si="240"/>
        <v/>
      </c>
      <c r="CC209" s="1" t="str">
        <f t="shared" si="241"/>
        <v/>
      </c>
      <c r="CD209" s="1" t="str">
        <f t="shared" si="242"/>
        <v/>
      </c>
      <c r="CE209" s="1" t="str">
        <f t="shared" si="243"/>
        <v/>
      </c>
      <c r="CF209" s="1" t="str">
        <f t="shared" si="244"/>
        <v/>
      </c>
      <c r="CG209" s="1" t="str">
        <f t="shared" si="245"/>
        <v/>
      </c>
      <c r="CH209" s="1" t="str">
        <f t="shared" si="246"/>
        <v/>
      </c>
      <c r="CI209" s="1" t="str">
        <f t="shared" si="247"/>
        <v/>
      </c>
      <c r="CJ209" s="1" t="str">
        <f>IF(B209="","",IF(SUM(AI209:AK209)&gt;0,"+SP","")&amp;IF(CI209&gt;0,"+KK","")&amp;IF(AB209&gt;0,"+KGP1","")&amp;IF(AC209&gt;0,"+KGP2","")&amp;IF(AG209&lt;0,"-KGP1","")&amp;IF(AH209&lt;0,"-KGP2",""))</f>
        <v/>
      </c>
    </row>
    <row r="210" spans="1:88" x14ac:dyDescent="0.25">
      <c r="A210" s="1">
        <f>IFERROR(IF(ROW(A209)=1,1,IF(1+A209&lt;=$CP$1*$CP$2,1+A209,"")),"")</f>
        <v>209</v>
      </c>
      <c r="B210" s="1" t="str">
        <f>IF($I210="","",IF(ROW(B209)=1,1,ROUNDUP(A210/$CP$2,0)))</f>
        <v/>
      </c>
      <c r="C210" s="4" t="str">
        <f t="shared" si="193"/>
        <v/>
      </c>
      <c r="D210" s="4" t="str">
        <f t="shared" si="187"/>
        <v/>
      </c>
      <c r="E210" s="1" t="str">
        <f>IF($B210="","",COUNTIF($B$2:B210,B210))</f>
        <v/>
      </c>
      <c r="F210" s="1" t="str">
        <f t="shared" si="188"/>
        <v/>
      </c>
      <c r="G210" s="1" t="str">
        <f t="shared" si="194"/>
        <v/>
      </c>
      <c r="H210" s="1">
        <f t="shared" si="195"/>
        <v>0</v>
      </c>
      <c r="I210" s="3"/>
      <c r="J210" s="3"/>
      <c r="K210" s="3"/>
      <c r="L210" s="1" t="str">
        <f t="shared" si="196"/>
        <v/>
      </c>
      <c r="M210" s="1" t="str">
        <f t="shared" si="197"/>
        <v/>
      </c>
      <c r="N210" s="1" t="str">
        <f t="shared" si="198"/>
        <v/>
      </c>
      <c r="O210" s="1" t="str">
        <f t="shared" si="199"/>
        <v/>
      </c>
      <c r="P210" s="1" t="str">
        <f t="shared" si="200"/>
        <v/>
      </c>
      <c r="Q210" s="1" t="str">
        <f t="array" ref="Q210">IF($B210="","",IF(MAX(IF(B210=$B$2:$B$313,$L$2:$L$313))-L210=0,"",MAX(IF(B210=$B$2:$B$313,$L$2:$L$313))-L210))</f>
        <v/>
      </c>
      <c r="R210" s="1" t="str">
        <f t="array" ref="R210">IF($B210="","",SUMPRODUCT(--($B$2:$B$313=B210),--(L210&lt;$L$2:$L$313))+1)</f>
        <v/>
      </c>
      <c r="S210" s="1" t="str">
        <f t="shared" si="201"/>
        <v/>
      </c>
      <c r="T210" s="1" t="str" cm="1">
        <f t="array" ref="T210">IF($B210="","",IF(M210=0,"",SUMPRODUCT(--($B$2:$B$313=B210),--(J210&lt;$J$2:$J$313))+1))</f>
        <v/>
      </c>
      <c r="U210" s="1" t="str">
        <f t="shared" si="202"/>
        <v/>
      </c>
      <c r="V210" s="1" t="str">
        <f t="shared" si="203"/>
        <v/>
      </c>
      <c r="W210" s="1" t="str">
        <f t="shared" si="204"/>
        <v/>
      </c>
      <c r="X210" s="1" t="str">
        <f t="shared" si="189"/>
        <v/>
      </c>
      <c r="Y210" s="1" t="str">
        <f>IF($B210="","",MAX(_xlfn.MAXIFS($J$2:J210,$I$2:I210,$I210),_xlfn.MAXIFS($K$2:K210,$I$2:I210,$I210)))</f>
        <v/>
      </c>
      <c r="Z210" s="1" t="str">
        <f t="shared" si="205"/>
        <v/>
      </c>
      <c r="AA210" s="1" t="str">
        <f t="shared" si="206"/>
        <v/>
      </c>
      <c r="AB210" s="1" t="str">
        <f t="shared" si="207"/>
        <v/>
      </c>
      <c r="AC210" s="1" t="str">
        <f t="shared" si="208"/>
        <v/>
      </c>
      <c r="AD210" s="1" t="str">
        <f>IF($B210="","",MIN(_xlfn.MINIFS($J$2:J210,$I$2:I210,$I210),_xlfn.MINIFS($K$2:K210,$I$2:I210,$I210)))</f>
        <v/>
      </c>
      <c r="AE210" s="1" t="str">
        <f t="shared" si="209"/>
        <v/>
      </c>
      <c r="AF210" s="1" t="str">
        <f t="shared" si="210"/>
        <v/>
      </c>
      <c r="AG210" s="1" t="str">
        <f t="shared" si="211"/>
        <v/>
      </c>
      <c r="AH210" s="1" t="str">
        <f t="shared" si="212"/>
        <v/>
      </c>
      <c r="AI210" s="1" t="str">
        <f ca="1">IF($B210="","",IF($K210="",0,OFFSET($CO$17,R210,W210)))</f>
        <v/>
      </c>
      <c r="AJ210" s="1" t="str">
        <f t="shared" ca="1" si="213"/>
        <v/>
      </c>
      <c r="AK210" s="1" t="str">
        <f ca="1">IF(AJ210="","",IF(AJ210=0,0,IF(W210=1,0,SUM(OFFSET($CO$17,N210,1):OFFSET($CO$17,N210+W210-2,1))/W210)))</f>
        <v/>
      </c>
      <c r="AL210" s="1" t="str">
        <f t="shared" si="214"/>
        <v/>
      </c>
      <c r="AM210" s="1" t="str">
        <f>IF($B210="","",SUMIFS($AL$2:AL210,$I$2:I210,$I210))</f>
        <v/>
      </c>
      <c r="AN210" s="1" t="str">
        <f t="shared" si="215"/>
        <v/>
      </c>
      <c r="AO210" s="1" t="str">
        <f>IFERROR(IF($B210="","",AVERAGEIFS($L$2:L210,$I$2:I210,I210,$L$2:L210,"&lt;&gt;0")),0)</f>
        <v/>
      </c>
      <c r="AP210" s="1" t="str">
        <f t="shared" si="216"/>
        <v/>
      </c>
      <c r="AQ210" s="1" t="str">
        <f>IF($B210="","",COUNTIFS($R$2:R210,1,$I$2:I210,$I210))</f>
        <v/>
      </c>
      <c r="AR210" s="1" t="str">
        <f t="array" ref="AR210">IF($B210="","",SUMPRODUCT(--($B$2:$B$313=B210),--(AM210&lt;$AM$2:$AM$313))+1)</f>
        <v/>
      </c>
      <c r="AS210" s="1" t="str">
        <f t="array" ref="AS210">IF($B210="","",SUMPRODUCT(--($B$2:$B$313=B210),--(AP210&lt;$AP$2:$AP$313))+1)</f>
        <v/>
      </c>
      <c r="AT210" s="1" t="str">
        <f t="array" ref="AT210">IF($B210="","",SUMPRODUCT(--($B$2:$B$313=B210),--(AQ210&lt;$AQ$2:$AQ$313))+1)</f>
        <v/>
      </c>
      <c r="AU210" s="1" t="str">
        <f t="shared" si="217"/>
        <v/>
      </c>
      <c r="AV210" s="1" t="str">
        <f t="shared" si="218"/>
        <v/>
      </c>
      <c r="AW210" s="1" t="str">
        <f t="shared" si="190"/>
        <v/>
      </c>
      <c r="AX210" s="1" t="str">
        <f t="shared" si="219"/>
        <v/>
      </c>
      <c r="AY210" s="8" t="str">
        <f t="shared" si="220"/>
        <v/>
      </c>
      <c r="AZ210" s="1" t="str" cm="1">
        <f t="array" ref="AZ210">IF($B210="","",SUMPRODUCT(--($B$2:$B$313=B210),--(AY210&gt;$AY$2:$AY$313))+1)</f>
        <v/>
      </c>
      <c r="BA210" s="1" t="str">
        <f t="shared" si="221"/>
        <v/>
      </c>
      <c r="BB210" s="1" t="str">
        <f t="shared" si="222"/>
        <v/>
      </c>
      <c r="BC210" s="1" t="str">
        <f t="shared" si="223"/>
        <v/>
      </c>
      <c r="BD210" s="1" t="str">
        <f t="shared" si="224"/>
        <v/>
      </c>
      <c r="BE210" s="1" t="str">
        <f t="shared" si="225"/>
        <v/>
      </c>
      <c r="BF210" s="1" t="str">
        <f t="shared" si="226"/>
        <v/>
      </c>
      <c r="BG210" s="1" t="str">
        <f t="shared" si="227"/>
        <v/>
      </c>
      <c r="BH210" s="1" t="str">
        <f t="shared" si="228"/>
        <v/>
      </c>
      <c r="BI210" s="1" t="str">
        <f t="shared" si="229"/>
        <v/>
      </c>
      <c r="BJ210" s="1" t="str">
        <f t="shared" si="230"/>
        <v/>
      </c>
      <c r="BK210" s="1" t="str">
        <f t="shared" si="231"/>
        <v/>
      </c>
      <c r="BL210" s="1" t="str">
        <f t="shared" si="232"/>
        <v/>
      </c>
      <c r="BM210" s="1" t="str">
        <f t="shared" si="233"/>
        <v/>
      </c>
      <c r="BN210" s="1" t="str">
        <f t="shared" si="234"/>
        <v/>
      </c>
      <c r="BO210" s="1" t="str">
        <f t="shared" si="191"/>
        <v/>
      </c>
      <c r="BP210" s="1" t="str">
        <f t="shared" si="192"/>
        <v/>
      </c>
      <c r="BQ210" s="1" t="str" cm="1">
        <f t="array" ref="BQ210">IF(I210="","",IF(BP210=1,"",IF(L210=0,"",IF(B210=1,"",_xlfn.XLOOKUP(1,($I$2:$I$313=$I210)*($B$2:$B$313=($B210-1)),$BO$2:$BO$313)))))</f>
        <v/>
      </c>
      <c r="BR210" s="1" t="str">
        <f>IF(I210="","",IF($B210=1,_xlfn.MINIFS($BO$2:$BO$313,$B$2:$B$313,$B210),_xlfn.MINIFS(BQ$2:$BQ$313,$B$2:$B$313,$B210)))</f>
        <v/>
      </c>
      <c r="BS210" s="1" t="str">
        <f t="shared" si="235"/>
        <v/>
      </c>
      <c r="BT210" s="1" t="str" cm="1">
        <f t="array" ref="BT210">IF($I210="","",IF($B210=1,_xlfn.XLOOKUP(1,($B$2:$B$313=$B210)*($BO$2:$BO$313=BR210),Data!$I$2:$I$313,,0),_xlfn.XLOOKUP(1,($B$2:$B$313=$B210)*($BQ$2:$BQ$313=$BR210),$I$2:$I$313,,0)))</f>
        <v/>
      </c>
      <c r="BU210" s="1" t="str" cm="1">
        <f t="array" ref="BU210">IF(I210="","",IF($B210=1,_xlfn.XLOOKUP(1,($B$2:$B$313=$B210)*($BO$2:$BO$313=$BS210),$I$2:$I$313,,0),_xlfn.XLOOKUP(1,($B$2:$B$313=$B210)*($BQ$2:$BQ$313=$BS210),$I$2:$I$313,,0)))</f>
        <v/>
      </c>
      <c r="BV210" s="1" t="str" cm="1">
        <f t="array" ref="BV210">IF($I210="","",IF($B210=1,"",IF($B210=2,_xlfn.XLOOKUP(1,($B$2:$B$313=1)*($BO$2:$BO$313=1),$I$2:$I$313,,0),_xlfn.XLOOKUP($B210-1,$B$2:$B$313,$CH$2:$CH$313,,0))))</f>
        <v/>
      </c>
      <c r="BW210" s="1" t="str" cm="1">
        <f t="array" ref="BW210">IF($I210="","",IF($B210=1,"",IF(_xlfn.XLOOKUP(1,($B$2:$B$313=$B210)*($I$2:$I$313=$BV210),$BQ$2:$BQ$313,,0)="","NOK","OK")))</f>
        <v/>
      </c>
      <c r="BX210" s="1" t="str">
        <f t="shared" si="236"/>
        <v/>
      </c>
      <c r="BY210" s="1" t="str">
        <f t="shared" si="237"/>
        <v/>
      </c>
      <c r="BZ210" s="1" t="str">
        <f t="shared" si="238"/>
        <v/>
      </c>
      <c r="CA210" s="1" t="str">
        <f t="shared" si="239"/>
        <v/>
      </c>
      <c r="CB210" s="1" t="str">
        <f t="shared" si="240"/>
        <v/>
      </c>
      <c r="CC210" s="1" t="str">
        <f t="shared" si="241"/>
        <v/>
      </c>
      <c r="CD210" s="1" t="str">
        <f t="shared" si="242"/>
        <v/>
      </c>
      <c r="CE210" s="1" t="str">
        <f t="shared" si="243"/>
        <v/>
      </c>
      <c r="CF210" s="1" t="str">
        <f t="shared" si="244"/>
        <v/>
      </c>
      <c r="CG210" s="1" t="str">
        <f t="shared" si="245"/>
        <v/>
      </c>
      <c r="CH210" s="1" t="str">
        <f t="shared" si="246"/>
        <v/>
      </c>
      <c r="CI210" s="1" t="str">
        <f t="shared" si="247"/>
        <v/>
      </c>
      <c r="CJ210" s="1" t="str">
        <f>IF(B210="","",IF(SUM(AI210:AK210)&gt;0,"+SP","")&amp;IF(CI210&gt;0,"+KK","")&amp;IF(AB210&gt;0,"+KGP1","")&amp;IF(AC210&gt;0,"+KGP2","")&amp;IF(AG210&lt;0,"-KGP1","")&amp;IF(AH210&lt;0,"-KGP2",""))</f>
        <v/>
      </c>
    </row>
    <row r="211" spans="1:88" x14ac:dyDescent="0.25">
      <c r="A211" s="1">
        <f>IFERROR(IF(ROW(A210)=1,1,IF(1+A210&lt;=$CP$1*$CP$2,1+A210,"")),"")</f>
        <v>210</v>
      </c>
      <c r="B211" s="1" t="str">
        <f>IF($I211="","",IF(ROW(B210)=1,1,ROUNDUP(A211/$CP$2,0)))</f>
        <v/>
      </c>
      <c r="C211" s="4" t="str">
        <f t="shared" si="193"/>
        <v/>
      </c>
      <c r="D211" s="4" t="str">
        <f t="shared" si="187"/>
        <v/>
      </c>
      <c r="E211" s="1" t="str">
        <f>IF($B211="","",COUNTIF($B$2:B211,B211))</f>
        <v/>
      </c>
      <c r="F211" s="1" t="str">
        <f t="shared" si="188"/>
        <v/>
      </c>
      <c r="G211" s="1" t="str">
        <f t="shared" si="194"/>
        <v/>
      </c>
      <c r="H211" s="1">
        <f t="shared" si="195"/>
        <v>0</v>
      </c>
      <c r="I211" s="3"/>
      <c r="J211" s="3"/>
      <c r="K211" s="3"/>
      <c r="L211" s="1" t="str">
        <f t="shared" si="196"/>
        <v/>
      </c>
      <c r="M211" s="1" t="str">
        <f t="shared" si="197"/>
        <v/>
      </c>
      <c r="N211" s="1" t="str">
        <f t="shared" si="198"/>
        <v/>
      </c>
      <c r="O211" s="1" t="str">
        <f t="shared" si="199"/>
        <v/>
      </c>
      <c r="P211" s="1" t="str">
        <f t="shared" si="200"/>
        <v/>
      </c>
      <c r="Q211" s="1" t="str">
        <f t="array" ref="Q211">IF($B211="","",IF(MAX(IF(B211=$B$2:$B$313,$L$2:$L$313))-L211=0,"",MAX(IF(B211=$B$2:$B$313,$L$2:$L$313))-L211))</f>
        <v/>
      </c>
      <c r="R211" s="1" t="str">
        <f t="array" ref="R211">IF($B211="","",SUMPRODUCT(--($B$2:$B$313=B211),--(L211&lt;$L$2:$L$313))+1)</f>
        <v/>
      </c>
      <c r="S211" s="1" t="str">
        <f t="shared" si="201"/>
        <v/>
      </c>
      <c r="T211" s="1" t="str" cm="1">
        <f t="array" ref="T211">IF($B211="","",IF(M211=0,"",SUMPRODUCT(--($B$2:$B$313=B211),--(J211&lt;$J$2:$J$313))+1))</f>
        <v/>
      </c>
      <c r="U211" s="1" t="str">
        <f t="shared" si="202"/>
        <v/>
      </c>
      <c r="V211" s="1" t="str">
        <f t="shared" si="203"/>
        <v/>
      </c>
      <c r="W211" s="1" t="str">
        <f t="shared" si="204"/>
        <v/>
      </c>
      <c r="X211" s="1" t="str">
        <f t="shared" si="189"/>
        <v/>
      </c>
      <c r="Y211" s="1" t="str">
        <f>IF($B211="","",MAX(_xlfn.MAXIFS($J$2:J211,$I$2:I211,$I211),_xlfn.MAXIFS($K$2:K211,$I$2:I211,$I211)))</f>
        <v/>
      </c>
      <c r="Z211" s="1" t="str">
        <f t="shared" si="205"/>
        <v/>
      </c>
      <c r="AA211" s="1" t="str">
        <f t="shared" si="206"/>
        <v/>
      </c>
      <c r="AB211" s="1" t="str">
        <f t="shared" si="207"/>
        <v/>
      </c>
      <c r="AC211" s="1" t="str">
        <f t="shared" si="208"/>
        <v/>
      </c>
      <c r="AD211" s="1" t="str">
        <f>IF($B211="","",MIN(_xlfn.MINIFS($J$2:J211,$I$2:I211,$I211),_xlfn.MINIFS($K$2:K211,$I$2:I211,$I211)))</f>
        <v/>
      </c>
      <c r="AE211" s="1" t="str">
        <f t="shared" si="209"/>
        <v/>
      </c>
      <c r="AF211" s="1" t="str">
        <f t="shared" si="210"/>
        <v/>
      </c>
      <c r="AG211" s="1" t="str">
        <f t="shared" si="211"/>
        <v/>
      </c>
      <c r="AH211" s="1" t="str">
        <f t="shared" si="212"/>
        <v/>
      </c>
      <c r="AI211" s="1" t="str">
        <f ca="1">IF($B211="","",IF($K211="",0,OFFSET($CO$17,R211,W211)))</f>
        <v/>
      </c>
      <c r="AJ211" s="1" t="str">
        <f t="shared" ca="1" si="213"/>
        <v/>
      </c>
      <c r="AK211" s="1" t="str">
        <f ca="1">IF(AJ211="","",IF(AJ211=0,0,IF(W211=1,0,SUM(OFFSET($CO$17,N211,1):OFFSET($CO$17,N211+W211-2,1))/W211)))</f>
        <v/>
      </c>
      <c r="AL211" s="1" t="str">
        <f t="shared" si="214"/>
        <v/>
      </c>
      <c r="AM211" s="1" t="str">
        <f>IF($B211="","",SUMIFS($AL$2:AL211,$I$2:I211,$I211))</f>
        <v/>
      </c>
      <c r="AN211" s="1" t="str">
        <f t="shared" si="215"/>
        <v/>
      </c>
      <c r="AO211" s="1" t="str">
        <f>IFERROR(IF($B211="","",AVERAGEIFS($L$2:L211,$I$2:I211,I211,$L$2:L211,"&lt;&gt;0")),0)</f>
        <v/>
      </c>
      <c r="AP211" s="1" t="str">
        <f t="shared" si="216"/>
        <v/>
      </c>
      <c r="AQ211" s="1" t="str">
        <f>IF($B211="","",COUNTIFS($R$2:R211,1,$I$2:I211,$I211))</f>
        <v/>
      </c>
      <c r="AR211" s="1" t="str">
        <f t="array" ref="AR211">IF($B211="","",SUMPRODUCT(--($B$2:$B$313=B211),--(AM211&lt;$AM$2:$AM$313))+1)</f>
        <v/>
      </c>
      <c r="AS211" s="1" t="str">
        <f t="array" ref="AS211">IF($B211="","",SUMPRODUCT(--($B$2:$B$313=B211),--(AP211&lt;$AP$2:$AP$313))+1)</f>
        <v/>
      </c>
      <c r="AT211" s="1" t="str">
        <f t="array" ref="AT211">IF($B211="","",SUMPRODUCT(--($B$2:$B$313=B211),--(AQ211&lt;$AQ$2:$AQ$313))+1)</f>
        <v/>
      </c>
      <c r="AU211" s="1" t="str">
        <f t="shared" si="217"/>
        <v/>
      </c>
      <c r="AV211" s="1" t="str">
        <f t="shared" si="218"/>
        <v/>
      </c>
      <c r="AW211" s="1" t="str">
        <f t="shared" si="190"/>
        <v/>
      </c>
      <c r="AX211" s="1" t="str">
        <f t="shared" si="219"/>
        <v/>
      </c>
      <c r="AY211" s="8" t="str">
        <f t="shared" si="220"/>
        <v/>
      </c>
      <c r="AZ211" s="1" t="str" cm="1">
        <f t="array" ref="AZ211">IF($B211="","",SUMPRODUCT(--($B$2:$B$313=B211),--(AY211&gt;$AY$2:$AY$313))+1)</f>
        <v/>
      </c>
      <c r="BA211" s="1" t="str">
        <f t="shared" si="221"/>
        <v/>
      </c>
      <c r="BB211" s="1" t="str">
        <f t="shared" si="222"/>
        <v/>
      </c>
      <c r="BC211" s="1" t="str">
        <f t="shared" si="223"/>
        <v/>
      </c>
      <c r="BD211" s="1" t="str">
        <f t="shared" si="224"/>
        <v/>
      </c>
      <c r="BE211" s="1" t="str">
        <f t="shared" si="225"/>
        <v/>
      </c>
      <c r="BF211" s="1" t="str">
        <f t="shared" si="226"/>
        <v/>
      </c>
      <c r="BG211" s="1" t="str">
        <f t="shared" si="227"/>
        <v/>
      </c>
      <c r="BH211" s="1" t="str">
        <f t="shared" si="228"/>
        <v/>
      </c>
      <c r="BI211" s="1" t="str">
        <f t="shared" si="229"/>
        <v/>
      </c>
      <c r="BJ211" s="1" t="str">
        <f t="shared" si="230"/>
        <v/>
      </c>
      <c r="BK211" s="1" t="str">
        <f t="shared" si="231"/>
        <v/>
      </c>
      <c r="BL211" s="1" t="str">
        <f t="shared" si="232"/>
        <v/>
      </c>
      <c r="BM211" s="1" t="str">
        <f t="shared" si="233"/>
        <v/>
      </c>
      <c r="BN211" s="1" t="str">
        <f t="shared" si="234"/>
        <v/>
      </c>
      <c r="BO211" s="1" t="str">
        <f t="shared" si="191"/>
        <v/>
      </c>
      <c r="BP211" s="1" t="str">
        <f t="shared" si="192"/>
        <v/>
      </c>
      <c r="BQ211" s="1" t="str" cm="1">
        <f t="array" ref="BQ211">IF(I211="","",IF(BP211=1,"",IF(L211=0,"",IF(B211=1,"",_xlfn.XLOOKUP(1,($I$2:$I$313=$I211)*($B$2:$B$313=($B211-1)),$BO$2:$BO$313)))))</f>
        <v/>
      </c>
      <c r="BR211" s="1" t="str">
        <f>IF(I211="","",IF($B211=1,_xlfn.MINIFS($BO$2:$BO$313,$B$2:$B$313,$B211),_xlfn.MINIFS(BQ$2:$BQ$313,$B$2:$B$313,$B211)))</f>
        <v/>
      </c>
      <c r="BS211" s="1" t="str">
        <f t="shared" si="235"/>
        <v/>
      </c>
      <c r="BT211" s="1" t="str" cm="1">
        <f t="array" ref="BT211">IF($I211="","",IF($B211=1,_xlfn.XLOOKUP(1,($B$2:$B$313=$B211)*($BO$2:$BO$313=BR211),Data!$I$2:$I$313,,0),_xlfn.XLOOKUP(1,($B$2:$B$313=$B211)*($BQ$2:$BQ$313=$BR211),$I$2:$I$313,,0)))</f>
        <v/>
      </c>
      <c r="BU211" s="1" t="str" cm="1">
        <f t="array" ref="BU211">IF(I211="","",IF($B211=1,_xlfn.XLOOKUP(1,($B$2:$B$313=$B211)*($BO$2:$BO$313=$BS211),$I$2:$I$313,,0),_xlfn.XLOOKUP(1,($B$2:$B$313=$B211)*($BQ$2:$BQ$313=$BS211),$I$2:$I$313,,0)))</f>
        <v/>
      </c>
      <c r="BV211" s="1" t="str" cm="1">
        <f t="array" ref="BV211">IF($I211="","",IF($B211=1,"",IF($B211=2,_xlfn.XLOOKUP(1,($B$2:$B$313=1)*($BO$2:$BO$313=1),$I$2:$I$313,,0),_xlfn.XLOOKUP($B211-1,$B$2:$B$313,$CH$2:$CH$313,,0))))</f>
        <v/>
      </c>
      <c r="BW211" s="1" t="str" cm="1">
        <f t="array" ref="BW211">IF($I211="","",IF($B211=1,"",IF(_xlfn.XLOOKUP(1,($B$2:$B$313=$B211)*($I$2:$I$313=$BV211),$BQ$2:$BQ$313,,0)="","NOK","OK")))</f>
        <v/>
      </c>
      <c r="BX211" s="1" t="str">
        <f t="shared" si="236"/>
        <v/>
      </c>
      <c r="BY211" s="1" t="str">
        <f t="shared" si="237"/>
        <v/>
      </c>
      <c r="BZ211" s="1" t="str">
        <f t="shared" si="238"/>
        <v/>
      </c>
      <c r="CA211" s="1" t="str">
        <f t="shared" si="239"/>
        <v/>
      </c>
      <c r="CB211" s="1" t="str">
        <f t="shared" si="240"/>
        <v/>
      </c>
      <c r="CC211" s="1" t="str">
        <f t="shared" si="241"/>
        <v/>
      </c>
      <c r="CD211" s="1" t="str">
        <f t="shared" si="242"/>
        <v/>
      </c>
      <c r="CE211" s="1" t="str">
        <f t="shared" si="243"/>
        <v/>
      </c>
      <c r="CF211" s="1" t="str">
        <f t="shared" si="244"/>
        <v/>
      </c>
      <c r="CG211" s="1" t="str">
        <f t="shared" si="245"/>
        <v/>
      </c>
      <c r="CH211" s="1" t="str">
        <f t="shared" si="246"/>
        <v/>
      </c>
      <c r="CI211" s="1" t="str">
        <f t="shared" si="247"/>
        <v/>
      </c>
      <c r="CJ211" s="1" t="str">
        <f>IF(B211="","",IF(SUM(AI211:AK211)&gt;0,"+SP","")&amp;IF(CI211&gt;0,"+KK","")&amp;IF(AB211&gt;0,"+KGP1","")&amp;IF(AC211&gt;0,"+KGP2","")&amp;IF(AG211&lt;0,"-KGP1","")&amp;IF(AH211&lt;0,"-KGP2",""))</f>
        <v/>
      </c>
    </row>
    <row r="212" spans="1:88" x14ac:dyDescent="0.25">
      <c r="A212" s="1">
        <f>IFERROR(IF(ROW(A211)=1,1,IF(1+A211&lt;=$CP$1*$CP$2,1+A211,"")),"")</f>
        <v>211</v>
      </c>
      <c r="B212" s="1" t="str">
        <f>IF($I212="","",IF(ROW(B211)=1,1,ROUNDUP(A212/$CP$2,0)))</f>
        <v/>
      </c>
      <c r="C212" s="4" t="str">
        <f t="shared" si="193"/>
        <v/>
      </c>
      <c r="D212" s="4" t="str">
        <f t="shared" si="187"/>
        <v/>
      </c>
      <c r="E212" s="1" t="str">
        <f>IF($B212="","",COUNTIF($B$2:B212,B212))</f>
        <v/>
      </c>
      <c r="F212" s="1" t="str">
        <f t="shared" si="188"/>
        <v/>
      </c>
      <c r="G212" s="1" t="str">
        <f t="shared" si="194"/>
        <v/>
      </c>
      <c r="H212" s="1">
        <f t="shared" si="195"/>
        <v>0</v>
      </c>
      <c r="I212" s="3"/>
      <c r="J212" s="3"/>
      <c r="K212" s="3"/>
      <c r="L212" s="1" t="str">
        <f t="shared" si="196"/>
        <v/>
      </c>
      <c r="M212" s="1" t="str">
        <f t="shared" si="197"/>
        <v/>
      </c>
      <c r="N212" s="1" t="str">
        <f t="shared" si="198"/>
        <v/>
      </c>
      <c r="O212" s="1" t="str">
        <f t="shared" si="199"/>
        <v/>
      </c>
      <c r="P212" s="1" t="str">
        <f t="shared" si="200"/>
        <v/>
      </c>
      <c r="Q212" s="1" t="str">
        <f t="array" ref="Q212">IF($B212="","",IF(MAX(IF(B212=$B$2:$B$313,$L$2:$L$313))-L212=0,"",MAX(IF(B212=$B$2:$B$313,$L$2:$L$313))-L212))</f>
        <v/>
      </c>
      <c r="R212" s="1" t="str">
        <f t="array" ref="R212">IF($B212="","",SUMPRODUCT(--($B$2:$B$313=B212),--(L212&lt;$L$2:$L$313))+1)</f>
        <v/>
      </c>
      <c r="S212" s="1" t="str">
        <f t="shared" si="201"/>
        <v/>
      </c>
      <c r="T212" s="1" t="str" cm="1">
        <f t="array" ref="T212">IF($B212="","",IF(M212=0,"",SUMPRODUCT(--($B$2:$B$313=B212),--(J212&lt;$J$2:$J$313))+1))</f>
        <v/>
      </c>
      <c r="U212" s="1" t="str">
        <f t="shared" si="202"/>
        <v/>
      </c>
      <c r="V212" s="1" t="str">
        <f t="shared" si="203"/>
        <v/>
      </c>
      <c r="W212" s="1" t="str">
        <f t="shared" si="204"/>
        <v/>
      </c>
      <c r="X212" s="1" t="str">
        <f t="shared" si="189"/>
        <v/>
      </c>
      <c r="Y212" s="1" t="str">
        <f>IF($B212="","",MAX(_xlfn.MAXIFS($J$2:J212,$I$2:I212,$I212),_xlfn.MAXIFS($K$2:K212,$I$2:I212,$I212)))</f>
        <v/>
      </c>
      <c r="Z212" s="1" t="str">
        <f t="shared" si="205"/>
        <v/>
      </c>
      <c r="AA212" s="1" t="str">
        <f t="shared" si="206"/>
        <v/>
      </c>
      <c r="AB212" s="1" t="str">
        <f t="shared" si="207"/>
        <v/>
      </c>
      <c r="AC212" s="1" t="str">
        <f t="shared" si="208"/>
        <v/>
      </c>
      <c r="AD212" s="1" t="str">
        <f>IF($B212="","",MIN(_xlfn.MINIFS($J$2:J212,$I$2:I212,$I212),_xlfn.MINIFS($K$2:K212,$I$2:I212,$I212)))</f>
        <v/>
      </c>
      <c r="AE212" s="1" t="str">
        <f t="shared" si="209"/>
        <v/>
      </c>
      <c r="AF212" s="1" t="str">
        <f t="shared" si="210"/>
        <v/>
      </c>
      <c r="AG212" s="1" t="str">
        <f t="shared" si="211"/>
        <v/>
      </c>
      <c r="AH212" s="1" t="str">
        <f t="shared" si="212"/>
        <v/>
      </c>
      <c r="AI212" s="1" t="str">
        <f ca="1">IF($B212="","",IF($K212="",0,OFFSET($CO$17,R212,W212)))</f>
        <v/>
      </c>
      <c r="AJ212" s="1" t="str">
        <f t="shared" ca="1" si="213"/>
        <v/>
      </c>
      <c r="AK212" s="1" t="str">
        <f ca="1">IF(AJ212="","",IF(AJ212=0,0,IF(W212=1,0,SUM(OFFSET($CO$17,N212,1):OFFSET($CO$17,N212+W212-2,1))/W212)))</f>
        <v/>
      </c>
      <c r="AL212" s="1" t="str">
        <f t="shared" si="214"/>
        <v/>
      </c>
      <c r="AM212" s="1" t="str">
        <f>IF($B212="","",SUMIFS($AL$2:AL212,$I$2:I212,$I212))</f>
        <v/>
      </c>
      <c r="AN212" s="1" t="str">
        <f t="shared" si="215"/>
        <v/>
      </c>
      <c r="AO212" s="1" t="str">
        <f>IFERROR(IF($B212="","",AVERAGEIFS($L$2:L212,$I$2:I212,I212,$L$2:L212,"&lt;&gt;0")),0)</f>
        <v/>
      </c>
      <c r="AP212" s="1" t="str">
        <f t="shared" si="216"/>
        <v/>
      </c>
      <c r="AQ212" s="1" t="str">
        <f>IF($B212="","",COUNTIFS($R$2:R212,1,$I$2:I212,$I212))</f>
        <v/>
      </c>
      <c r="AR212" s="1" t="str">
        <f t="array" ref="AR212">IF($B212="","",SUMPRODUCT(--($B$2:$B$313=B212),--(AM212&lt;$AM$2:$AM$313))+1)</f>
        <v/>
      </c>
      <c r="AS212" s="1" t="str">
        <f t="array" ref="AS212">IF($B212="","",SUMPRODUCT(--($B$2:$B$313=B212),--(AP212&lt;$AP$2:$AP$313))+1)</f>
        <v/>
      </c>
      <c r="AT212" s="1" t="str">
        <f t="array" ref="AT212">IF($B212="","",SUMPRODUCT(--($B$2:$B$313=B212),--(AQ212&lt;$AQ$2:$AQ$313))+1)</f>
        <v/>
      </c>
      <c r="AU212" s="1" t="str">
        <f t="shared" si="217"/>
        <v/>
      </c>
      <c r="AV212" s="1" t="str">
        <f t="shared" si="218"/>
        <v/>
      </c>
      <c r="AW212" s="1" t="str">
        <f t="shared" si="190"/>
        <v/>
      </c>
      <c r="AX212" s="1" t="str">
        <f t="shared" si="219"/>
        <v/>
      </c>
      <c r="AY212" s="8" t="str">
        <f t="shared" si="220"/>
        <v/>
      </c>
      <c r="AZ212" s="1" t="str" cm="1">
        <f t="array" ref="AZ212">IF($B212="","",SUMPRODUCT(--($B$2:$B$313=B212),--(AY212&gt;$AY$2:$AY$313))+1)</f>
        <v/>
      </c>
      <c r="BA212" s="1" t="str">
        <f t="shared" si="221"/>
        <v/>
      </c>
      <c r="BB212" s="1" t="str">
        <f t="shared" si="222"/>
        <v/>
      </c>
      <c r="BC212" s="1" t="str">
        <f t="shared" si="223"/>
        <v/>
      </c>
      <c r="BD212" s="1" t="str">
        <f t="shared" si="224"/>
        <v/>
      </c>
      <c r="BE212" s="1" t="str">
        <f t="shared" si="225"/>
        <v/>
      </c>
      <c r="BF212" s="1" t="str">
        <f t="shared" si="226"/>
        <v/>
      </c>
      <c r="BG212" s="1" t="str">
        <f t="shared" si="227"/>
        <v/>
      </c>
      <c r="BH212" s="1" t="str">
        <f t="shared" si="228"/>
        <v/>
      </c>
      <c r="BI212" s="1" t="str">
        <f t="shared" si="229"/>
        <v/>
      </c>
      <c r="BJ212" s="1" t="str">
        <f t="shared" si="230"/>
        <v/>
      </c>
      <c r="BK212" s="1" t="str">
        <f t="shared" si="231"/>
        <v/>
      </c>
      <c r="BL212" s="1" t="str">
        <f t="shared" si="232"/>
        <v/>
      </c>
      <c r="BM212" s="1" t="str">
        <f t="shared" si="233"/>
        <v/>
      </c>
      <c r="BN212" s="1" t="str">
        <f t="shared" si="234"/>
        <v/>
      </c>
      <c r="BO212" s="1" t="str">
        <f t="shared" si="191"/>
        <v/>
      </c>
      <c r="BP212" s="1" t="str">
        <f t="shared" si="192"/>
        <v/>
      </c>
      <c r="BQ212" s="1" t="str" cm="1">
        <f t="array" ref="BQ212">IF(I212="","",IF(BP212=1,"",IF(L212=0,"",IF(B212=1,"",_xlfn.XLOOKUP(1,($I$2:$I$313=$I212)*($B$2:$B$313=($B212-1)),$BO$2:$BO$313)))))</f>
        <v/>
      </c>
      <c r="BR212" s="1" t="str">
        <f>IF(I212="","",IF($B212=1,_xlfn.MINIFS($BO$2:$BO$313,$B$2:$B$313,$B212),_xlfn.MINIFS(BQ$2:$BQ$313,$B$2:$B$313,$B212)))</f>
        <v/>
      </c>
      <c r="BS212" s="1" t="str">
        <f t="shared" si="235"/>
        <v/>
      </c>
      <c r="BT212" s="1" t="str" cm="1">
        <f t="array" ref="BT212">IF($I212="","",IF($B212=1,_xlfn.XLOOKUP(1,($B$2:$B$313=$B212)*($BO$2:$BO$313=BR212),Data!$I$2:$I$313,,0),_xlfn.XLOOKUP(1,($B$2:$B$313=$B212)*($BQ$2:$BQ$313=$BR212),$I$2:$I$313,,0)))</f>
        <v/>
      </c>
      <c r="BU212" s="1" t="str" cm="1">
        <f t="array" ref="BU212">IF(I212="","",IF($B212=1,_xlfn.XLOOKUP(1,($B$2:$B$313=$B212)*($BO$2:$BO$313=$BS212),$I$2:$I$313,,0),_xlfn.XLOOKUP(1,($B$2:$B$313=$B212)*($BQ$2:$BQ$313=$BS212),$I$2:$I$313,,0)))</f>
        <v/>
      </c>
      <c r="BV212" s="1" t="str" cm="1">
        <f t="array" ref="BV212">IF($I212="","",IF($B212=1,"",IF($B212=2,_xlfn.XLOOKUP(1,($B$2:$B$313=1)*($BO$2:$BO$313=1),$I$2:$I$313,,0),_xlfn.XLOOKUP($B212-1,$B$2:$B$313,$CH$2:$CH$313,,0))))</f>
        <v/>
      </c>
      <c r="BW212" s="1" t="str" cm="1">
        <f t="array" ref="BW212">IF($I212="","",IF($B212=1,"",IF(_xlfn.XLOOKUP(1,($B$2:$B$313=$B212)*($I$2:$I$313=$BV212),$BQ$2:$BQ$313,,0)="","NOK","OK")))</f>
        <v/>
      </c>
      <c r="BX212" s="1" t="str">
        <f t="shared" si="236"/>
        <v/>
      </c>
      <c r="BY212" s="1" t="str">
        <f t="shared" si="237"/>
        <v/>
      </c>
      <c r="BZ212" s="1" t="str">
        <f t="shared" si="238"/>
        <v/>
      </c>
      <c r="CA212" s="1" t="str">
        <f t="shared" si="239"/>
        <v/>
      </c>
      <c r="CB212" s="1" t="str">
        <f t="shared" si="240"/>
        <v/>
      </c>
      <c r="CC212" s="1" t="str">
        <f t="shared" si="241"/>
        <v/>
      </c>
      <c r="CD212" s="1" t="str">
        <f t="shared" si="242"/>
        <v/>
      </c>
      <c r="CE212" s="1" t="str">
        <f t="shared" si="243"/>
        <v/>
      </c>
      <c r="CF212" s="1" t="str">
        <f t="shared" si="244"/>
        <v/>
      </c>
      <c r="CG212" s="1" t="str">
        <f t="shared" si="245"/>
        <v/>
      </c>
      <c r="CH212" s="1" t="str">
        <f t="shared" si="246"/>
        <v/>
      </c>
      <c r="CI212" s="1" t="str">
        <f t="shared" si="247"/>
        <v/>
      </c>
      <c r="CJ212" s="1" t="str">
        <f>IF(B212="","",IF(SUM(AI212:AK212)&gt;0,"+SP","")&amp;IF(CI212&gt;0,"+KK","")&amp;IF(AB212&gt;0,"+KGP1","")&amp;IF(AC212&gt;0,"+KGP2","")&amp;IF(AG212&lt;0,"-KGP1","")&amp;IF(AH212&lt;0,"-KGP2",""))</f>
        <v/>
      </c>
    </row>
    <row r="213" spans="1:88" x14ac:dyDescent="0.25">
      <c r="A213" s="1">
        <f>IFERROR(IF(ROW(A212)=1,1,IF(1+A212&lt;=$CP$1*$CP$2,1+A212,"")),"")</f>
        <v>212</v>
      </c>
      <c r="B213" s="1" t="str">
        <f>IF($I213="","",IF(ROW(B212)=1,1,ROUNDUP(A213/$CP$2,0)))</f>
        <v/>
      </c>
      <c r="C213" s="4" t="str">
        <f t="shared" si="193"/>
        <v/>
      </c>
      <c r="D213" s="4" t="str">
        <f t="shared" si="187"/>
        <v/>
      </c>
      <c r="E213" s="1" t="str">
        <f>IF($B213="","",COUNTIF($B$2:B213,B213))</f>
        <v/>
      </c>
      <c r="F213" s="1" t="str">
        <f t="shared" si="188"/>
        <v/>
      </c>
      <c r="G213" s="1" t="str">
        <f t="shared" si="194"/>
        <v/>
      </c>
      <c r="H213" s="1">
        <f t="shared" si="195"/>
        <v>0</v>
      </c>
      <c r="I213" s="3"/>
      <c r="J213" s="3"/>
      <c r="K213" s="3"/>
      <c r="L213" s="1" t="str">
        <f t="shared" si="196"/>
        <v/>
      </c>
      <c r="M213" s="1" t="str">
        <f t="shared" si="197"/>
        <v/>
      </c>
      <c r="N213" s="1" t="str">
        <f t="shared" si="198"/>
        <v/>
      </c>
      <c r="O213" s="1" t="str">
        <f t="shared" si="199"/>
        <v/>
      </c>
      <c r="P213" s="1" t="str">
        <f t="shared" si="200"/>
        <v/>
      </c>
      <c r="Q213" s="1" t="str">
        <f t="array" ref="Q213">IF($B213="","",IF(MAX(IF(B213=$B$2:$B$313,$L$2:$L$313))-L213=0,"",MAX(IF(B213=$B$2:$B$313,$L$2:$L$313))-L213))</f>
        <v/>
      </c>
      <c r="R213" s="1" t="str">
        <f t="array" ref="R213">IF($B213="","",SUMPRODUCT(--($B$2:$B$313=B213),--(L213&lt;$L$2:$L$313))+1)</f>
        <v/>
      </c>
      <c r="S213" s="1" t="str">
        <f t="shared" si="201"/>
        <v/>
      </c>
      <c r="T213" s="1" t="str" cm="1">
        <f t="array" ref="T213">IF($B213="","",IF(M213=0,"",SUMPRODUCT(--($B$2:$B$313=B213),--(J213&lt;$J$2:$J$313))+1))</f>
        <v/>
      </c>
      <c r="U213" s="1" t="str">
        <f t="shared" si="202"/>
        <v/>
      </c>
      <c r="V213" s="1" t="str">
        <f t="shared" si="203"/>
        <v/>
      </c>
      <c r="W213" s="1" t="str">
        <f t="shared" si="204"/>
        <v/>
      </c>
      <c r="X213" s="1" t="str">
        <f t="shared" si="189"/>
        <v/>
      </c>
      <c r="Y213" s="1" t="str">
        <f>IF($B213="","",MAX(_xlfn.MAXIFS($J$2:J213,$I$2:I213,$I213),_xlfn.MAXIFS($K$2:K213,$I$2:I213,$I213)))</f>
        <v/>
      </c>
      <c r="Z213" s="1" t="str">
        <f t="shared" si="205"/>
        <v/>
      </c>
      <c r="AA213" s="1" t="str">
        <f t="shared" si="206"/>
        <v/>
      </c>
      <c r="AB213" s="1" t="str">
        <f t="shared" si="207"/>
        <v/>
      </c>
      <c r="AC213" s="1" t="str">
        <f t="shared" si="208"/>
        <v/>
      </c>
      <c r="AD213" s="1" t="str">
        <f>IF($B213="","",MIN(_xlfn.MINIFS($J$2:J213,$I$2:I213,$I213),_xlfn.MINIFS($K$2:K213,$I$2:I213,$I213)))</f>
        <v/>
      </c>
      <c r="AE213" s="1" t="str">
        <f t="shared" si="209"/>
        <v/>
      </c>
      <c r="AF213" s="1" t="str">
        <f t="shared" si="210"/>
        <v/>
      </c>
      <c r="AG213" s="1" t="str">
        <f t="shared" si="211"/>
        <v/>
      </c>
      <c r="AH213" s="1" t="str">
        <f t="shared" si="212"/>
        <v/>
      </c>
      <c r="AI213" s="1" t="str">
        <f ca="1">IF($B213="","",IF($K213="",0,OFFSET($CO$17,R213,W213)))</f>
        <v/>
      </c>
      <c r="AJ213" s="1" t="str">
        <f t="shared" ca="1" si="213"/>
        <v/>
      </c>
      <c r="AK213" s="1" t="str">
        <f ca="1">IF(AJ213="","",IF(AJ213=0,0,IF(W213=1,0,SUM(OFFSET($CO$17,N213,1):OFFSET($CO$17,N213+W213-2,1))/W213)))</f>
        <v/>
      </c>
      <c r="AL213" s="1" t="str">
        <f t="shared" si="214"/>
        <v/>
      </c>
      <c r="AM213" s="1" t="str">
        <f>IF($B213="","",SUMIFS($AL$2:AL213,$I$2:I213,$I213))</f>
        <v/>
      </c>
      <c r="AN213" s="1" t="str">
        <f t="shared" si="215"/>
        <v/>
      </c>
      <c r="AO213" s="1" t="str">
        <f>IFERROR(IF($B213="","",AVERAGEIFS($L$2:L213,$I$2:I213,I213,$L$2:L213,"&lt;&gt;0")),0)</f>
        <v/>
      </c>
      <c r="AP213" s="1" t="str">
        <f t="shared" si="216"/>
        <v/>
      </c>
      <c r="AQ213" s="1" t="str">
        <f>IF($B213="","",COUNTIFS($R$2:R213,1,$I$2:I213,$I213))</f>
        <v/>
      </c>
      <c r="AR213" s="1" t="str">
        <f t="array" ref="AR213">IF($B213="","",SUMPRODUCT(--($B$2:$B$313=B213),--(AM213&lt;$AM$2:$AM$313))+1)</f>
        <v/>
      </c>
      <c r="AS213" s="1" t="str">
        <f t="array" ref="AS213">IF($B213="","",SUMPRODUCT(--($B$2:$B$313=B213),--(AP213&lt;$AP$2:$AP$313))+1)</f>
        <v/>
      </c>
      <c r="AT213" s="1" t="str">
        <f t="array" ref="AT213">IF($B213="","",SUMPRODUCT(--($B$2:$B$313=B213),--(AQ213&lt;$AQ$2:$AQ$313))+1)</f>
        <v/>
      </c>
      <c r="AU213" s="1" t="str">
        <f t="shared" si="217"/>
        <v/>
      </c>
      <c r="AV213" s="1" t="str">
        <f t="shared" si="218"/>
        <v/>
      </c>
      <c r="AW213" s="1" t="str">
        <f t="shared" si="190"/>
        <v/>
      </c>
      <c r="AX213" s="1" t="str">
        <f t="shared" si="219"/>
        <v/>
      </c>
      <c r="AY213" s="8" t="str">
        <f t="shared" si="220"/>
        <v/>
      </c>
      <c r="AZ213" s="1" t="str" cm="1">
        <f t="array" ref="AZ213">IF($B213="","",SUMPRODUCT(--($B$2:$B$313=B213),--(AY213&gt;$AY$2:$AY$313))+1)</f>
        <v/>
      </c>
      <c r="BA213" s="1" t="str">
        <f t="shared" si="221"/>
        <v/>
      </c>
      <c r="BB213" s="1" t="str">
        <f t="shared" si="222"/>
        <v/>
      </c>
      <c r="BC213" s="1" t="str">
        <f t="shared" si="223"/>
        <v/>
      </c>
      <c r="BD213" s="1" t="str">
        <f t="shared" si="224"/>
        <v/>
      </c>
      <c r="BE213" s="1" t="str">
        <f t="shared" si="225"/>
        <v/>
      </c>
      <c r="BF213" s="1" t="str">
        <f t="shared" si="226"/>
        <v/>
      </c>
      <c r="BG213" s="1" t="str">
        <f t="shared" si="227"/>
        <v/>
      </c>
      <c r="BH213" s="1" t="str">
        <f t="shared" si="228"/>
        <v/>
      </c>
      <c r="BI213" s="1" t="str">
        <f t="shared" si="229"/>
        <v/>
      </c>
      <c r="BJ213" s="1" t="str">
        <f t="shared" si="230"/>
        <v/>
      </c>
      <c r="BK213" s="1" t="str">
        <f t="shared" si="231"/>
        <v/>
      </c>
      <c r="BL213" s="1" t="str">
        <f t="shared" si="232"/>
        <v/>
      </c>
      <c r="BM213" s="1" t="str">
        <f t="shared" si="233"/>
        <v/>
      </c>
      <c r="BN213" s="1" t="str">
        <f t="shared" si="234"/>
        <v/>
      </c>
      <c r="BO213" s="1" t="str">
        <f t="shared" si="191"/>
        <v/>
      </c>
      <c r="BP213" s="1" t="str">
        <f t="shared" si="192"/>
        <v/>
      </c>
      <c r="BQ213" s="1" t="str" cm="1">
        <f t="array" ref="BQ213">IF(I213="","",IF(BP213=1,"",IF(L213=0,"",IF(B213=1,"",_xlfn.XLOOKUP(1,($I$2:$I$313=$I213)*($B$2:$B$313=($B213-1)),$BO$2:$BO$313)))))</f>
        <v/>
      </c>
      <c r="BR213" s="1" t="str">
        <f>IF(I213="","",IF($B213=1,_xlfn.MINIFS($BO$2:$BO$313,$B$2:$B$313,$B213),_xlfn.MINIFS(BQ$2:$BQ$313,$B$2:$B$313,$B213)))</f>
        <v/>
      </c>
      <c r="BS213" s="1" t="str">
        <f t="shared" si="235"/>
        <v/>
      </c>
      <c r="BT213" s="1" t="str" cm="1">
        <f t="array" ref="BT213">IF($I213="","",IF($B213=1,_xlfn.XLOOKUP(1,($B$2:$B$313=$B213)*($BO$2:$BO$313=BR213),Data!$I$2:$I$313,,0),_xlfn.XLOOKUP(1,($B$2:$B$313=$B213)*($BQ$2:$BQ$313=$BR213),$I$2:$I$313,,0)))</f>
        <v/>
      </c>
      <c r="BU213" s="1" t="str" cm="1">
        <f t="array" ref="BU213">IF(I213="","",IF($B213=1,_xlfn.XLOOKUP(1,($B$2:$B$313=$B213)*($BO$2:$BO$313=$BS213),$I$2:$I$313,,0),_xlfn.XLOOKUP(1,($B$2:$B$313=$B213)*($BQ$2:$BQ$313=$BS213),$I$2:$I$313,,0)))</f>
        <v/>
      </c>
      <c r="BV213" s="1" t="str" cm="1">
        <f t="array" ref="BV213">IF($I213="","",IF($B213=1,"",IF($B213=2,_xlfn.XLOOKUP(1,($B$2:$B$313=1)*($BO$2:$BO$313=1),$I$2:$I$313,,0),_xlfn.XLOOKUP($B213-1,$B$2:$B$313,$CH$2:$CH$313,,0))))</f>
        <v/>
      </c>
      <c r="BW213" s="1" t="str" cm="1">
        <f t="array" ref="BW213">IF($I213="","",IF($B213=1,"",IF(_xlfn.XLOOKUP(1,($B$2:$B$313=$B213)*($I$2:$I$313=$BV213),$BQ$2:$BQ$313,,0)="","NOK","OK")))</f>
        <v/>
      </c>
      <c r="BX213" s="1" t="str">
        <f t="shared" si="236"/>
        <v/>
      </c>
      <c r="BY213" s="1" t="str">
        <f t="shared" si="237"/>
        <v/>
      </c>
      <c r="BZ213" s="1" t="str">
        <f t="shared" si="238"/>
        <v/>
      </c>
      <c r="CA213" s="1" t="str">
        <f t="shared" si="239"/>
        <v/>
      </c>
      <c r="CB213" s="1" t="str">
        <f t="shared" si="240"/>
        <v/>
      </c>
      <c r="CC213" s="1" t="str">
        <f t="shared" si="241"/>
        <v/>
      </c>
      <c r="CD213" s="1" t="str">
        <f t="shared" si="242"/>
        <v/>
      </c>
      <c r="CE213" s="1" t="str">
        <f t="shared" si="243"/>
        <v/>
      </c>
      <c r="CF213" s="1" t="str">
        <f t="shared" si="244"/>
        <v/>
      </c>
      <c r="CG213" s="1" t="str">
        <f t="shared" si="245"/>
        <v/>
      </c>
      <c r="CH213" s="1" t="str">
        <f t="shared" si="246"/>
        <v/>
      </c>
      <c r="CI213" s="1" t="str">
        <f t="shared" si="247"/>
        <v/>
      </c>
      <c r="CJ213" s="1" t="str">
        <f>IF(B213="","",IF(SUM(AI213:AK213)&gt;0,"+SP","")&amp;IF(CI213&gt;0,"+KK","")&amp;IF(AB213&gt;0,"+KGP1","")&amp;IF(AC213&gt;0,"+KGP2","")&amp;IF(AG213&lt;0,"-KGP1","")&amp;IF(AH213&lt;0,"-KGP2",""))</f>
        <v/>
      </c>
    </row>
    <row r="214" spans="1:88" x14ac:dyDescent="0.25">
      <c r="A214" s="1">
        <f>IFERROR(IF(ROW(A213)=1,1,IF(1+A213&lt;=$CP$1*$CP$2,1+A213,"")),"")</f>
        <v>213</v>
      </c>
      <c r="B214" s="1" t="str">
        <f>IF($I214="","",IF(ROW(B213)=1,1,ROUNDUP(A214/$CP$2,0)))</f>
        <v/>
      </c>
      <c r="C214" s="4" t="str">
        <f t="shared" si="193"/>
        <v/>
      </c>
      <c r="D214" s="4" t="str">
        <f t="shared" si="187"/>
        <v/>
      </c>
      <c r="E214" s="1" t="str">
        <f>IF($B214="","",COUNTIF($B$2:B214,B214))</f>
        <v/>
      </c>
      <c r="F214" s="1" t="str">
        <f t="shared" si="188"/>
        <v/>
      </c>
      <c r="G214" s="1" t="str">
        <f t="shared" si="194"/>
        <v/>
      </c>
      <c r="H214" s="1">
        <f t="shared" si="195"/>
        <v>0</v>
      </c>
      <c r="I214" s="3"/>
      <c r="J214" s="3"/>
      <c r="K214" s="3"/>
      <c r="L214" s="1" t="str">
        <f t="shared" si="196"/>
        <v/>
      </c>
      <c r="M214" s="1" t="str">
        <f t="shared" si="197"/>
        <v/>
      </c>
      <c r="N214" s="1" t="str">
        <f t="shared" si="198"/>
        <v/>
      </c>
      <c r="O214" s="1" t="str">
        <f t="shared" si="199"/>
        <v/>
      </c>
      <c r="P214" s="1" t="str">
        <f t="shared" si="200"/>
        <v/>
      </c>
      <c r="Q214" s="1" t="str">
        <f t="array" ref="Q214">IF($B214="","",IF(MAX(IF(B214=$B$2:$B$313,$L$2:$L$313))-L214=0,"",MAX(IF(B214=$B$2:$B$313,$L$2:$L$313))-L214))</f>
        <v/>
      </c>
      <c r="R214" s="1" t="str">
        <f t="array" ref="R214">IF($B214="","",SUMPRODUCT(--($B$2:$B$313=B214),--(L214&lt;$L$2:$L$313))+1)</f>
        <v/>
      </c>
      <c r="S214" s="1" t="str">
        <f t="shared" si="201"/>
        <v/>
      </c>
      <c r="T214" s="1" t="str" cm="1">
        <f t="array" ref="T214">IF($B214="","",IF(M214=0,"",SUMPRODUCT(--($B$2:$B$313=B214),--(J214&lt;$J$2:$J$313))+1))</f>
        <v/>
      </c>
      <c r="U214" s="1" t="str">
        <f t="shared" si="202"/>
        <v/>
      </c>
      <c r="V214" s="1" t="str">
        <f t="shared" si="203"/>
        <v/>
      </c>
      <c r="W214" s="1" t="str">
        <f t="shared" si="204"/>
        <v/>
      </c>
      <c r="X214" s="1" t="str">
        <f t="shared" si="189"/>
        <v/>
      </c>
      <c r="Y214" s="1" t="str">
        <f>IF($B214="","",MAX(_xlfn.MAXIFS($J$2:J214,$I$2:I214,$I214),_xlfn.MAXIFS($K$2:K214,$I$2:I214,$I214)))</f>
        <v/>
      </c>
      <c r="Z214" s="1" t="str">
        <f t="shared" si="205"/>
        <v/>
      </c>
      <c r="AA214" s="1" t="str">
        <f t="shared" si="206"/>
        <v/>
      </c>
      <c r="AB214" s="1" t="str">
        <f t="shared" si="207"/>
        <v/>
      </c>
      <c r="AC214" s="1" t="str">
        <f t="shared" si="208"/>
        <v/>
      </c>
      <c r="AD214" s="1" t="str">
        <f>IF($B214="","",MIN(_xlfn.MINIFS($J$2:J214,$I$2:I214,$I214),_xlfn.MINIFS($K$2:K214,$I$2:I214,$I214)))</f>
        <v/>
      </c>
      <c r="AE214" s="1" t="str">
        <f t="shared" si="209"/>
        <v/>
      </c>
      <c r="AF214" s="1" t="str">
        <f t="shared" si="210"/>
        <v/>
      </c>
      <c r="AG214" s="1" t="str">
        <f t="shared" si="211"/>
        <v/>
      </c>
      <c r="AH214" s="1" t="str">
        <f t="shared" si="212"/>
        <v/>
      </c>
      <c r="AI214" s="1" t="str">
        <f ca="1">IF($B214="","",IF($K214="",0,OFFSET($CO$17,R214,W214)))</f>
        <v/>
      </c>
      <c r="AJ214" s="1" t="str">
        <f t="shared" ca="1" si="213"/>
        <v/>
      </c>
      <c r="AK214" s="1" t="str">
        <f ca="1">IF(AJ214="","",IF(AJ214=0,0,IF(W214=1,0,SUM(OFFSET($CO$17,N214,1):OFFSET($CO$17,N214+W214-2,1))/W214)))</f>
        <v/>
      </c>
      <c r="AL214" s="1" t="str">
        <f t="shared" si="214"/>
        <v/>
      </c>
      <c r="AM214" s="1" t="str">
        <f>IF($B214="","",SUMIFS($AL$2:AL214,$I$2:I214,$I214))</f>
        <v/>
      </c>
      <c r="AN214" s="1" t="str">
        <f t="shared" si="215"/>
        <v/>
      </c>
      <c r="AO214" s="1" t="str">
        <f>IFERROR(IF($B214="","",AVERAGEIFS($L$2:L214,$I$2:I214,I214,$L$2:L214,"&lt;&gt;0")),0)</f>
        <v/>
      </c>
      <c r="AP214" s="1" t="str">
        <f t="shared" si="216"/>
        <v/>
      </c>
      <c r="AQ214" s="1" t="str">
        <f>IF($B214="","",COUNTIFS($R$2:R214,1,$I$2:I214,$I214))</f>
        <v/>
      </c>
      <c r="AR214" s="1" t="str">
        <f t="array" ref="AR214">IF($B214="","",SUMPRODUCT(--($B$2:$B$313=B214),--(AM214&lt;$AM$2:$AM$313))+1)</f>
        <v/>
      </c>
      <c r="AS214" s="1" t="str">
        <f t="array" ref="AS214">IF($B214="","",SUMPRODUCT(--($B$2:$B$313=B214),--(AP214&lt;$AP$2:$AP$313))+1)</f>
        <v/>
      </c>
      <c r="AT214" s="1" t="str">
        <f t="array" ref="AT214">IF($B214="","",SUMPRODUCT(--($B$2:$B$313=B214),--(AQ214&lt;$AQ$2:$AQ$313))+1)</f>
        <v/>
      </c>
      <c r="AU214" s="1" t="str">
        <f t="shared" si="217"/>
        <v/>
      </c>
      <c r="AV214" s="1" t="str">
        <f t="shared" si="218"/>
        <v/>
      </c>
      <c r="AW214" s="1" t="str">
        <f t="shared" si="190"/>
        <v/>
      </c>
      <c r="AX214" s="1" t="str">
        <f t="shared" si="219"/>
        <v/>
      </c>
      <c r="AY214" s="8" t="str">
        <f t="shared" si="220"/>
        <v/>
      </c>
      <c r="AZ214" s="1" t="str" cm="1">
        <f t="array" ref="AZ214">IF($B214="","",SUMPRODUCT(--($B$2:$B$313=B214),--(AY214&gt;$AY$2:$AY$313))+1)</f>
        <v/>
      </c>
      <c r="BA214" s="1" t="str">
        <f t="shared" si="221"/>
        <v/>
      </c>
      <c r="BB214" s="1" t="str">
        <f t="shared" si="222"/>
        <v/>
      </c>
      <c r="BC214" s="1" t="str">
        <f t="shared" si="223"/>
        <v/>
      </c>
      <c r="BD214" s="1" t="str">
        <f t="shared" si="224"/>
        <v/>
      </c>
      <c r="BE214" s="1" t="str">
        <f t="shared" si="225"/>
        <v/>
      </c>
      <c r="BF214" s="1" t="str">
        <f t="shared" si="226"/>
        <v/>
      </c>
      <c r="BG214" s="1" t="str">
        <f t="shared" si="227"/>
        <v/>
      </c>
      <c r="BH214" s="1" t="str">
        <f t="shared" si="228"/>
        <v/>
      </c>
      <c r="BI214" s="1" t="str">
        <f t="shared" si="229"/>
        <v/>
      </c>
      <c r="BJ214" s="1" t="str">
        <f t="shared" si="230"/>
        <v/>
      </c>
      <c r="BK214" s="1" t="str">
        <f t="shared" si="231"/>
        <v/>
      </c>
      <c r="BL214" s="1" t="str">
        <f t="shared" si="232"/>
        <v/>
      </c>
      <c r="BM214" s="1" t="str">
        <f t="shared" si="233"/>
        <v/>
      </c>
      <c r="BN214" s="1" t="str">
        <f t="shared" si="234"/>
        <v/>
      </c>
      <c r="BO214" s="1" t="str">
        <f t="shared" si="191"/>
        <v/>
      </c>
      <c r="BP214" s="1" t="str">
        <f t="shared" si="192"/>
        <v/>
      </c>
      <c r="BQ214" s="1" t="str" cm="1">
        <f t="array" ref="BQ214">IF(I214="","",IF(BP214=1,"",IF(L214=0,"",IF(B214=1,"",_xlfn.XLOOKUP(1,($I$2:$I$313=$I214)*($B$2:$B$313=($B214-1)),$BO$2:$BO$313)))))</f>
        <v/>
      </c>
      <c r="BR214" s="1" t="str">
        <f>IF(I214="","",IF($B214=1,_xlfn.MINIFS($BO$2:$BO$313,$B$2:$B$313,$B214),_xlfn.MINIFS(BQ$2:$BQ$313,$B$2:$B$313,$B214)))</f>
        <v/>
      </c>
      <c r="BS214" s="1" t="str">
        <f t="shared" si="235"/>
        <v/>
      </c>
      <c r="BT214" s="1" t="str" cm="1">
        <f t="array" ref="BT214">IF($I214="","",IF($B214=1,_xlfn.XLOOKUP(1,($B$2:$B$313=$B214)*($BO$2:$BO$313=BR214),Data!$I$2:$I$313,,0),_xlfn.XLOOKUP(1,($B$2:$B$313=$B214)*($BQ$2:$BQ$313=$BR214),$I$2:$I$313,,0)))</f>
        <v/>
      </c>
      <c r="BU214" s="1" t="str" cm="1">
        <f t="array" ref="BU214">IF(I214="","",IF($B214=1,_xlfn.XLOOKUP(1,($B$2:$B$313=$B214)*($BO$2:$BO$313=$BS214),$I$2:$I$313,,0),_xlfn.XLOOKUP(1,($B$2:$B$313=$B214)*($BQ$2:$BQ$313=$BS214),$I$2:$I$313,,0)))</f>
        <v/>
      </c>
      <c r="BV214" s="1" t="str" cm="1">
        <f t="array" ref="BV214">IF($I214="","",IF($B214=1,"",IF($B214=2,_xlfn.XLOOKUP(1,($B$2:$B$313=1)*($BO$2:$BO$313=1),$I$2:$I$313,,0),_xlfn.XLOOKUP($B214-1,$B$2:$B$313,$CH$2:$CH$313,,0))))</f>
        <v/>
      </c>
      <c r="BW214" s="1" t="str" cm="1">
        <f t="array" ref="BW214">IF($I214="","",IF($B214=1,"",IF(_xlfn.XLOOKUP(1,($B$2:$B$313=$B214)*($I$2:$I$313=$BV214),$BQ$2:$BQ$313,,0)="","NOK","OK")))</f>
        <v/>
      </c>
      <c r="BX214" s="1" t="str">
        <f t="shared" si="236"/>
        <v/>
      </c>
      <c r="BY214" s="1" t="str">
        <f t="shared" si="237"/>
        <v/>
      </c>
      <c r="BZ214" s="1" t="str">
        <f t="shared" si="238"/>
        <v/>
      </c>
      <c r="CA214" s="1" t="str">
        <f t="shared" si="239"/>
        <v/>
      </c>
      <c r="CB214" s="1" t="str">
        <f t="shared" si="240"/>
        <v/>
      </c>
      <c r="CC214" s="1" t="str">
        <f t="shared" si="241"/>
        <v/>
      </c>
      <c r="CD214" s="1" t="str">
        <f t="shared" si="242"/>
        <v/>
      </c>
      <c r="CE214" s="1" t="str">
        <f t="shared" si="243"/>
        <v/>
      </c>
      <c r="CF214" s="1" t="str">
        <f t="shared" si="244"/>
        <v/>
      </c>
      <c r="CG214" s="1" t="str">
        <f t="shared" si="245"/>
        <v/>
      </c>
      <c r="CH214" s="1" t="str">
        <f t="shared" si="246"/>
        <v/>
      </c>
      <c r="CI214" s="1" t="str">
        <f t="shared" si="247"/>
        <v/>
      </c>
      <c r="CJ214" s="1" t="str">
        <f>IF(B214="","",IF(SUM(AI214:AK214)&gt;0,"+SP","")&amp;IF(CI214&gt;0,"+KK","")&amp;IF(AB214&gt;0,"+KGP1","")&amp;IF(AC214&gt;0,"+KGP2","")&amp;IF(AG214&lt;0,"-KGP1","")&amp;IF(AH214&lt;0,"-KGP2",""))</f>
        <v/>
      </c>
    </row>
    <row r="215" spans="1:88" x14ac:dyDescent="0.25">
      <c r="A215" s="1">
        <f>IFERROR(IF(ROW(A214)=1,1,IF(1+A214&lt;=$CP$1*$CP$2,1+A214,"")),"")</f>
        <v>214</v>
      </c>
      <c r="B215" s="1" t="str">
        <f>IF($I215="","",IF(ROW(B214)=1,1,ROUNDUP(A215/$CP$2,0)))</f>
        <v/>
      </c>
      <c r="C215" s="4" t="str">
        <f t="shared" si="193"/>
        <v/>
      </c>
      <c r="D215" s="4" t="str">
        <f t="shared" si="187"/>
        <v/>
      </c>
      <c r="E215" s="1" t="str">
        <f>IF($B215="","",COUNTIF($B$2:B215,B215))</f>
        <v/>
      </c>
      <c r="F215" s="1" t="str">
        <f t="shared" si="188"/>
        <v/>
      </c>
      <c r="G215" s="1" t="str">
        <f t="shared" si="194"/>
        <v/>
      </c>
      <c r="H215" s="1">
        <f t="shared" si="195"/>
        <v>0</v>
      </c>
      <c r="I215" s="3"/>
      <c r="J215" s="3"/>
      <c r="K215" s="3"/>
      <c r="L215" s="1" t="str">
        <f t="shared" si="196"/>
        <v/>
      </c>
      <c r="M215" s="1" t="str">
        <f t="shared" si="197"/>
        <v/>
      </c>
      <c r="N215" s="1" t="str">
        <f t="shared" si="198"/>
        <v/>
      </c>
      <c r="O215" s="1" t="str">
        <f t="shared" si="199"/>
        <v/>
      </c>
      <c r="P215" s="1" t="str">
        <f t="shared" si="200"/>
        <v/>
      </c>
      <c r="Q215" s="1" t="str">
        <f t="array" ref="Q215">IF($B215="","",IF(MAX(IF(B215=$B$2:$B$313,$L$2:$L$313))-L215=0,"",MAX(IF(B215=$B$2:$B$313,$L$2:$L$313))-L215))</f>
        <v/>
      </c>
      <c r="R215" s="1" t="str">
        <f t="array" ref="R215">IF($B215="","",SUMPRODUCT(--($B$2:$B$313=B215),--(L215&lt;$L$2:$L$313))+1)</f>
        <v/>
      </c>
      <c r="S215" s="1" t="str">
        <f t="shared" si="201"/>
        <v/>
      </c>
      <c r="T215" s="1" t="str" cm="1">
        <f t="array" ref="T215">IF($B215="","",IF(M215=0,"",SUMPRODUCT(--($B$2:$B$313=B215),--(J215&lt;$J$2:$J$313))+1))</f>
        <v/>
      </c>
      <c r="U215" s="1" t="str">
        <f t="shared" si="202"/>
        <v/>
      </c>
      <c r="V215" s="1" t="str">
        <f t="shared" si="203"/>
        <v/>
      </c>
      <c r="W215" s="1" t="str">
        <f t="shared" si="204"/>
        <v/>
      </c>
      <c r="X215" s="1" t="str">
        <f t="shared" si="189"/>
        <v/>
      </c>
      <c r="Y215" s="1" t="str">
        <f>IF($B215="","",MAX(_xlfn.MAXIFS($J$2:J215,$I$2:I215,$I215),_xlfn.MAXIFS($K$2:K215,$I$2:I215,$I215)))</f>
        <v/>
      </c>
      <c r="Z215" s="1" t="str">
        <f t="shared" si="205"/>
        <v/>
      </c>
      <c r="AA215" s="1" t="str">
        <f t="shared" si="206"/>
        <v/>
      </c>
      <c r="AB215" s="1" t="str">
        <f t="shared" si="207"/>
        <v/>
      </c>
      <c r="AC215" s="1" t="str">
        <f t="shared" si="208"/>
        <v/>
      </c>
      <c r="AD215" s="1" t="str">
        <f>IF($B215="","",MIN(_xlfn.MINIFS($J$2:J215,$I$2:I215,$I215),_xlfn.MINIFS($K$2:K215,$I$2:I215,$I215)))</f>
        <v/>
      </c>
      <c r="AE215" s="1" t="str">
        <f t="shared" si="209"/>
        <v/>
      </c>
      <c r="AF215" s="1" t="str">
        <f t="shared" si="210"/>
        <v/>
      </c>
      <c r="AG215" s="1" t="str">
        <f t="shared" si="211"/>
        <v/>
      </c>
      <c r="AH215" s="1" t="str">
        <f t="shared" si="212"/>
        <v/>
      </c>
      <c r="AI215" s="1" t="str">
        <f ca="1">IF($B215="","",IF($K215="",0,OFFSET($CO$17,R215,W215)))</f>
        <v/>
      </c>
      <c r="AJ215" s="1" t="str">
        <f t="shared" ca="1" si="213"/>
        <v/>
      </c>
      <c r="AK215" s="1" t="str">
        <f ca="1">IF(AJ215="","",IF(AJ215=0,0,IF(W215=1,0,SUM(OFFSET($CO$17,N215,1):OFFSET($CO$17,N215+W215-2,1))/W215)))</f>
        <v/>
      </c>
      <c r="AL215" s="1" t="str">
        <f t="shared" si="214"/>
        <v/>
      </c>
      <c r="AM215" s="1" t="str">
        <f>IF($B215="","",SUMIFS($AL$2:AL215,$I$2:I215,$I215))</f>
        <v/>
      </c>
      <c r="AN215" s="1" t="str">
        <f t="shared" si="215"/>
        <v/>
      </c>
      <c r="AO215" s="1" t="str">
        <f>IFERROR(IF($B215="","",AVERAGEIFS($L$2:L215,$I$2:I215,I215,$L$2:L215,"&lt;&gt;0")),0)</f>
        <v/>
      </c>
      <c r="AP215" s="1" t="str">
        <f t="shared" si="216"/>
        <v/>
      </c>
      <c r="AQ215" s="1" t="str">
        <f>IF($B215="","",COUNTIFS($R$2:R215,1,$I$2:I215,$I215))</f>
        <v/>
      </c>
      <c r="AR215" s="1" t="str">
        <f t="array" ref="AR215">IF($B215="","",SUMPRODUCT(--($B$2:$B$313=B215),--(AM215&lt;$AM$2:$AM$313))+1)</f>
        <v/>
      </c>
      <c r="AS215" s="1" t="str">
        <f t="array" ref="AS215">IF($B215="","",SUMPRODUCT(--($B$2:$B$313=B215),--(AP215&lt;$AP$2:$AP$313))+1)</f>
        <v/>
      </c>
      <c r="AT215" s="1" t="str">
        <f t="array" ref="AT215">IF($B215="","",SUMPRODUCT(--($B$2:$B$313=B215),--(AQ215&lt;$AQ$2:$AQ$313))+1)</f>
        <v/>
      </c>
      <c r="AU215" s="1" t="str">
        <f t="shared" si="217"/>
        <v/>
      </c>
      <c r="AV215" s="1" t="str">
        <f t="shared" si="218"/>
        <v/>
      </c>
      <c r="AW215" s="1" t="str">
        <f t="shared" si="190"/>
        <v/>
      </c>
      <c r="AX215" s="1" t="str">
        <f t="shared" si="219"/>
        <v/>
      </c>
      <c r="AY215" s="8" t="str">
        <f t="shared" si="220"/>
        <v/>
      </c>
      <c r="AZ215" s="1" t="str" cm="1">
        <f t="array" ref="AZ215">IF($B215="","",SUMPRODUCT(--($B$2:$B$313=B215),--(AY215&gt;$AY$2:$AY$313))+1)</f>
        <v/>
      </c>
      <c r="BA215" s="1" t="str">
        <f t="shared" si="221"/>
        <v/>
      </c>
      <c r="BB215" s="1" t="str">
        <f t="shared" si="222"/>
        <v/>
      </c>
      <c r="BC215" s="1" t="str">
        <f t="shared" si="223"/>
        <v/>
      </c>
      <c r="BD215" s="1" t="str">
        <f t="shared" si="224"/>
        <v/>
      </c>
      <c r="BE215" s="1" t="str">
        <f t="shared" si="225"/>
        <v/>
      </c>
      <c r="BF215" s="1" t="str">
        <f t="shared" si="226"/>
        <v/>
      </c>
      <c r="BG215" s="1" t="str">
        <f t="shared" si="227"/>
        <v/>
      </c>
      <c r="BH215" s="1" t="str">
        <f t="shared" si="228"/>
        <v/>
      </c>
      <c r="BI215" s="1" t="str">
        <f t="shared" si="229"/>
        <v/>
      </c>
      <c r="BJ215" s="1" t="str">
        <f t="shared" si="230"/>
        <v/>
      </c>
      <c r="BK215" s="1" t="str">
        <f t="shared" si="231"/>
        <v/>
      </c>
      <c r="BL215" s="1" t="str">
        <f t="shared" si="232"/>
        <v/>
      </c>
      <c r="BM215" s="1" t="str">
        <f t="shared" si="233"/>
        <v/>
      </c>
      <c r="BN215" s="1" t="str">
        <f t="shared" si="234"/>
        <v/>
      </c>
      <c r="BO215" s="1" t="str">
        <f t="shared" si="191"/>
        <v/>
      </c>
      <c r="BP215" s="1" t="str">
        <f t="shared" si="192"/>
        <v/>
      </c>
      <c r="BQ215" s="1" t="str" cm="1">
        <f t="array" ref="BQ215">IF(I215="","",IF(BP215=1,"",IF(L215=0,"",IF(B215=1,"",_xlfn.XLOOKUP(1,($I$2:$I$313=$I215)*($B$2:$B$313=($B215-1)),$BO$2:$BO$313)))))</f>
        <v/>
      </c>
      <c r="BR215" s="1" t="str">
        <f>IF(I215="","",IF($B215=1,_xlfn.MINIFS($BO$2:$BO$313,$B$2:$B$313,$B215),_xlfn.MINIFS(BQ$2:$BQ$313,$B$2:$B$313,$B215)))</f>
        <v/>
      </c>
      <c r="BS215" s="1" t="str">
        <f t="shared" si="235"/>
        <v/>
      </c>
      <c r="BT215" s="1" t="str" cm="1">
        <f t="array" ref="BT215">IF($I215="","",IF($B215=1,_xlfn.XLOOKUP(1,($B$2:$B$313=$B215)*($BO$2:$BO$313=BR215),Data!$I$2:$I$313,,0),_xlfn.XLOOKUP(1,($B$2:$B$313=$B215)*($BQ$2:$BQ$313=$BR215),$I$2:$I$313,,0)))</f>
        <v/>
      </c>
      <c r="BU215" s="1" t="str" cm="1">
        <f t="array" ref="BU215">IF(I215="","",IF($B215=1,_xlfn.XLOOKUP(1,($B$2:$B$313=$B215)*($BO$2:$BO$313=$BS215),$I$2:$I$313,,0),_xlfn.XLOOKUP(1,($B$2:$B$313=$B215)*($BQ$2:$BQ$313=$BS215),$I$2:$I$313,,0)))</f>
        <v/>
      </c>
      <c r="BV215" s="1" t="str" cm="1">
        <f t="array" ref="BV215">IF($I215="","",IF($B215=1,"",IF($B215=2,_xlfn.XLOOKUP(1,($B$2:$B$313=1)*($BO$2:$BO$313=1),$I$2:$I$313,,0),_xlfn.XLOOKUP($B215-1,$B$2:$B$313,$CH$2:$CH$313,,0))))</f>
        <v/>
      </c>
      <c r="BW215" s="1" t="str" cm="1">
        <f t="array" ref="BW215">IF($I215="","",IF($B215=1,"",IF(_xlfn.XLOOKUP(1,($B$2:$B$313=$B215)*($I$2:$I$313=$BV215),$BQ$2:$BQ$313,,0)="","NOK","OK")))</f>
        <v/>
      </c>
      <c r="BX215" s="1" t="str">
        <f t="shared" si="236"/>
        <v/>
      </c>
      <c r="BY215" s="1" t="str">
        <f t="shared" si="237"/>
        <v/>
      </c>
      <c r="BZ215" s="1" t="str">
        <f t="shared" si="238"/>
        <v/>
      </c>
      <c r="CA215" s="1" t="str">
        <f t="shared" si="239"/>
        <v/>
      </c>
      <c r="CB215" s="1" t="str">
        <f t="shared" si="240"/>
        <v/>
      </c>
      <c r="CC215" s="1" t="str">
        <f t="shared" si="241"/>
        <v/>
      </c>
      <c r="CD215" s="1" t="str">
        <f t="shared" si="242"/>
        <v/>
      </c>
      <c r="CE215" s="1" t="str">
        <f t="shared" si="243"/>
        <v/>
      </c>
      <c r="CF215" s="1" t="str">
        <f t="shared" si="244"/>
        <v/>
      </c>
      <c r="CG215" s="1" t="str">
        <f t="shared" si="245"/>
        <v/>
      </c>
      <c r="CH215" s="1" t="str">
        <f t="shared" si="246"/>
        <v/>
      </c>
      <c r="CI215" s="1" t="str">
        <f t="shared" si="247"/>
        <v/>
      </c>
      <c r="CJ215" s="1" t="str">
        <f>IF(B215="","",IF(SUM(AI215:AK215)&gt;0,"+SP","")&amp;IF(CI215&gt;0,"+KK","")&amp;IF(AB215&gt;0,"+KGP1","")&amp;IF(AC215&gt;0,"+KGP2","")&amp;IF(AG215&lt;0,"-KGP1","")&amp;IF(AH215&lt;0,"-KGP2",""))</f>
        <v/>
      </c>
    </row>
    <row r="216" spans="1:88" x14ac:dyDescent="0.25">
      <c r="A216" s="1">
        <f>IFERROR(IF(ROW(A215)=1,1,IF(1+A215&lt;=$CP$1*$CP$2,1+A215,"")),"")</f>
        <v>215</v>
      </c>
      <c r="B216" s="1" t="str">
        <f>IF($I216="","",IF(ROW(B215)=1,1,ROUNDUP(A216/$CP$2,0)))</f>
        <v/>
      </c>
      <c r="C216" s="4" t="str">
        <f t="shared" si="193"/>
        <v/>
      </c>
      <c r="D216" s="4" t="str">
        <f t="shared" si="187"/>
        <v/>
      </c>
      <c r="E216" s="1" t="str">
        <f>IF($B216="","",COUNTIF($B$2:B216,B216))</f>
        <v/>
      </c>
      <c r="F216" s="1" t="str">
        <f t="shared" si="188"/>
        <v/>
      </c>
      <c r="G216" s="1" t="str">
        <f t="shared" si="194"/>
        <v/>
      </c>
      <c r="H216" s="1">
        <f t="shared" si="195"/>
        <v>0</v>
      </c>
      <c r="I216" s="3"/>
      <c r="J216" s="3"/>
      <c r="K216" s="3"/>
      <c r="L216" s="1" t="str">
        <f t="shared" si="196"/>
        <v/>
      </c>
      <c r="M216" s="1" t="str">
        <f t="shared" si="197"/>
        <v/>
      </c>
      <c r="N216" s="1" t="str">
        <f t="shared" si="198"/>
        <v/>
      </c>
      <c r="O216" s="1" t="str">
        <f t="shared" si="199"/>
        <v/>
      </c>
      <c r="P216" s="1" t="str">
        <f t="shared" si="200"/>
        <v/>
      </c>
      <c r="Q216" s="1" t="str">
        <f t="array" ref="Q216">IF($B216="","",IF(MAX(IF(B216=$B$2:$B$313,$L$2:$L$313))-L216=0,"",MAX(IF(B216=$B$2:$B$313,$L$2:$L$313))-L216))</f>
        <v/>
      </c>
      <c r="R216" s="1" t="str">
        <f t="array" ref="R216">IF($B216="","",SUMPRODUCT(--($B$2:$B$313=B216),--(L216&lt;$L$2:$L$313))+1)</f>
        <v/>
      </c>
      <c r="S216" s="1" t="str">
        <f t="shared" si="201"/>
        <v/>
      </c>
      <c r="T216" s="1" t="str" cm="1">
        <f t="array" ref="T216">IF($B216="","",IF(M216=0,"",SUMPRODUCT(--($B$2:$B$313=B216),--(J216&lt;$J$2:$J$313))+1))</f>
        <v/>
      </c>
      <c r="U216" s="1" t="str">
        <f t="shared" si="202"/>
        <v/>
      </c>
      <c r="V216" s="1" t="str">
        <f t="shared" si="203"/>
        <v/>
      </c>
      <c r="W216" s="1" t="str">
        <f t="shared" si="204"/>
        <v/>
      </c>
      <c r="X216" s="1" t="str">
        <f t="shared" si="189"/>
        <v/>
      </c>
      <c r="Y216" s="1" t="str">
        <f>IF($B216="","",MAX(_xlfn.MAXIFS($J$2:J216,$I$2:I216,$I216),_xlfn.MAXIFS($K$2:K216,$I$2:I216,$I216)))</f>
        <v/>
      </c>
      <c r="Z216" s="1" t="str">
        <f t="shared" si="205"/>
        <v/>
      </c>
      <c r="AA216" s="1" t="str">
        <f t="shared" si="206"/>
        <v/>
      </c>
      <c r="AB216" s="1" t="str">
        <f t="shared" si="207"/>
        <v/>
      </c>
      <c r="AC216" s="1" t="str">
        <f t="shared" si="208"/>
        <v/>
      </c>
      <c r="AD216" s="1" t="str">
        <f>IF($B216="","",MIN(_xlfn.MINIFS($J$2:J216,$I$2:I216,$I216),_xlfn.MINIFS($K$2:K216,$I$2:I216,$I216)))</f>
        <v/>
      </c>
      <c r="AE216" s="1" t="str">
        <f t="shared" si="209"/>
        <v/>
      </c>
      <c r="AF216" s="1" t="str">
        <f t="shared" si="210"/>
        <v/>
      </c>
      <c r="AG216" s="1" t="str">
        <f t="shared" si="211"/>
        <v/>
      </c>
      <c r="AH216" s="1" t="str">
        <f t="shared" si="212"/>
        <v/>
      </c>
      <c r="AI216" s="1" t="str">
        <f ca="1">IF($B216="","",IF($K216="",0,OFFSET($CO$17,R216,W216)))</f>
        <v/>
      </c>
      <c r="AJ216" s="1" t="str">
        <f t="shared" ca="1" si="213"/>
        <v/>
      </c>
      <c r="AK216" s="1" t="str">
        <f ca="1">IF(AJ216="","",IF(AJ216=0,0,IF(W216=1,0,SUM(OFFSET($CO$17,N216,1):OFFSET($CO$17,N216+W216-2,1))/W216)))</f>
        <v/>
      </c>
      <c r="AL216" s="1" t="str">
        <f t="shared" si="214"/>
        <v/>
      </c>
      <c r="AM216" s="1" t="str">
        <f>IF($B216="","",SUMIFS($AL$2:AL216,$I$2:I216,$I216))</f>
        <v/>
      </c>
      <c r="AN216" s="1" t="str">
        <f t="shared" si="215"/>
        <v/>
      </c>
      <c r="AO216" s="1" t="str">
        <f>IFERROR(IF($B216="","",AVERAGEIFS($L$2:L216,$I$2:I216,I216,$L$2:L216,"&lt;&gt;0")),0)</f>
        <v/>
      </c>
      <c r="AP216" s="1" t="str">
        <f t="shared" si="216"/>
        <v/>
      </c>
      <c r="AQ216" s="1" t="str">
        <f>IF($B216="","",COUNTIFS($R$2:R216,1,$I$2:I216,$I216))</f>
        <v/>
      </c>
      <c r="AR216" s="1" t="str">
        <f t="array" ref="AR216">IF($B216="","",SUMPRODUCT(--($B$2:$B$313=B216),--(AM216&lt;$AM$2:$AM$313))+1)</f>
        <v/>
      </c>
      <c r="AS216" s="1" t="str">
        <f t="array" ref="AS216">IF($B216="","",SUMPRODUCT(--($B$2:$B$313=B216),--(AP216&lt;$AP$2:$AP$313))+1)</f>
        <v/>
      </c>
      <c r="AT216" s="1" t="str">
        <f t="array" ref="AT216">IF($B216="","",SUMPRODUCT(--($B$2:$B$313=B216),--(AQ216&lt;$AQ$2:$AQ$313))+1)</f>
        <v/>
      </c>
      <c r="AU216" s="1" t="str">
        <f t="shared" si="217"/>
        <v/>
      </c>
      <c r="AV216" s="1" t="str">
        <f t="shared" si="218"/>
        <v/>
      </c>
      <c r="AW216" s="1" t="str">
        <f t="shared" si="190"/>
        <v/>
      </c>
      <c r="AX216" s="1" t="str">
        <f t="shared" si="219"/>
        <v/>
      </c>
      <c r="AY216" s="8" t="str">
        <f t="shared" si="220"/>
        <v/>
      </c>
      <c r="AZ216" s="1" t="str" cm="1">
        <f t="array" ref="AZ216">IF($B216="","",SUMPRODUCT(--($B$2:$B$313=B216),--(AY216&gt;$AY$2:$AY$313))+1)</f>
        <v/>
      </c>
      <c r="BA216" s="1" t="str">
        <f t="shared" si="221"/>
        <v/>
      </c>
      <c r="BB216" s="1" t="str">
        <f t="shared" si="222"/>
        <v/>
      </c>
      <c r="BC216" s="1" t="str">
        <f t="shared" si="223"/>
        <v/>
      </c>
      <c r="BD216" s="1" t="str">
        <f t="shared" si="224"/>
        <v/>
      </c>
      <c r="BE216" s="1" t="str">
        <f t="shared" si="225"/>
        <v/>
      </c>
      <c r="BF216" s="1" t="str">
        <f t="shared" si="226"/>
        <v/>
      </c>
      <c r="BG216" s="1" t="str">
        <f t="shared" si="227"/>
        <v/>
      </c>
      <c r="BH216" s="1" t="str">
        <f t="shared" si="228"/>
        <v/>
      </c>
      <c r="BI216" s="1" t="str">
        <f t="shared" si="229"/>
        <v/>
      </c>
      <c r="BJ216" s="1" t="str">
        <f t="shared" si="230"/>
        <v/>
      </c>
      <c r="BK216" s="1" t="str">
        <f t="shared" si="231"/>
        <v/>
      </c>
      <c r="BL216" s="1" t="str">
        <f t="shared" si="232"/>
        <v/>
      </c>
      <c r="BM216" s="1" t="str">
        <f t="shared" si="233"/>
        <v/>
      </c>
      <c r="BN216" s="1" t="str">
        <f t="shared" si="234"/>
        <v/>
      </c>
      <c r="BO216" s="1" t="str">
        <f t="shared" si="191"/>
        <v/>
      </c>
      <c r="BP216" s="1" t="str">
        <f t="shared" si="192"/>
        <v/>
      </c>
      <c r="BQ216" s="1" t="str" cm="1">
        <f t="array" ref="BQ216">IF(I216="","",IF(BP216=1,"",IF(L216=0,"",IF(B216=1,"",_xlfn.XLOOKUP(1,($I$2:$I$313=$I216)*($B$2:$B$313=($B216-1)),$BO$2:$BO$313)))))</f>
        <v/>
      </c>
      <c r="BR216" s="1" t="str">
        <f>IF(I216="","",IF($B216=1,_xlfn.MINIFS($BO$2:$BO$313,$B$2:$B$313,$B216),_xlfn.MINIFS(BQ$2:$BQ$313,$B$2:$B$313,$B216)))</f>
        <v/>
      </c>
      <c r="BS216" s="1" t="str">
        <f t="shared" si="235"/>
        <v/>
      </c>
      <c r="BT216" s="1" t="str" cm="1">
        <f t="array" ref="BT216">IF($I216="","",IF($B216=1,_xlfn.XLOOKUP(1,($B$2:$B$313=$B216)*($BO$2:$BO$313=BR216),Data!$I$2:$I$313,,0),_xlfn.XLOOKUP(1,($B$2:$B$313=$B216)*($BQ$2:$BQ$313=$BR216),$I$2:$I$313,,0)))</f>
        <v/>
      </c>
      <c r="BU216" s="1" t="str" cm="1">
        <f t="array" ref="BU216">IF(I216="","",IF($B216=1,_xlfn.XLOOKUP(1,($B$2:$B$313=$B216)*($BO$2:$BO$313=$BS216),$I$2:$I$313,,0),_xlfn.XLOOKUP(1,($B$2:$B$313=$B216)*($BQ$2:$BQ$313=$BS216),$I$2:$I$313,,0)))</f>
        <v/>
      </c>
      <c r="BV216" s="1" t="str" cm="1">
        <f t="array" ref="BV216">IF($I216="","",IF($B216=1,"",IF($B216=2,_xlfn.XLOOKUP(1,($B$2:$B$313=1)*($BO$2:$BO$313=1),$I$2:$I$313,,0),_xlfn.XLOOKUP($B216-1,$B$2:$B$313,$CH$2:$CH$313,,0))))</f>
        <v/>
      </c>
      <c r="BW216" s="1" t="str" cm="1">
        <f t="array" ref="BW216">IF($I216="","",IF($B216=1,"",IF(_xlfn.XLOOKUP(1,($B$2:$B$313=$B216)*($I$2:$I$313=$BV216),$BQ$2:$BQ$313,,0)="","NOK","OK")))</f>
        <v/>
      </c>
      <c r="BX216" s="1" t="str">
        <f t="shared" si="236"/>
        <v/>
      </c>
      <c r="BY216" s="1" t="str">
        <f t="shared" si="237"/>
        <v/>
      </c>
      <c r="BZ216" s="1" t="str">
        <f t="shared" si="238"/>
        <v/>
      </c>
      <c r="CA216" s="1" t="str">
        <f t="shared" si="239"/>
        <v/>
      </c>
      <c r="CB216" s="1" t="str">
        <f t="shared" si="240"/>
        <v/>
      </c>
      <c r="CC216" s="1" t="str">
        <f t="shared" si="241"/>
        <v/>
      </c>
      <c r="CD216" s="1" t="str">
        <f t="shared" si="242"/>
        <v/>
      </c>
      <c r="CE216" s="1" t="str">
        <f t="shared" si="243"/>
        <v/>
      </c>
      <c r="CF216" s="1" t="str">
        <f t="shared" si="244"/>
        <v/>
      </c>
      <c r="CG216" s="1" t="str">
        <f t="shared" si="245"/>
        <v/>
      </c>
      <c r="CH216" s="1" t="str">
        <f t="shared" si="246"/>
        <v/>
      </c>
      <c r="CI216" s="1" t="str">
        <f t="shared" si="247"/>
        <v/>
      </c>
      <c r="CJ216" s="1" t="str">
        <f>IF(B216="","",IF(SUM(AI216:AK216)&gt;0,"+SP","")&amp;IF(CI216&gt;0,"+KK","")&amp;IF(AB216&gt;0,"+KGP1","")&amp;IF(AC216&gt;0,"+KGP2","")&amp;IF(AG216&lt;0,"-KGP1","")&amp;IF(AH216&lt;0,"-KGP2",""))</f>
        <v/>
      </c>
    </row>
    <row r="217" spans="1:88" x14ac:dyDescent="0.25">
      <c r="A217" s="1">
        <f>IFERROR(IF(ROW(A216)=1,1,IF(1+A216&lt;=$CP$1*$CP$2,1+A216,"")),"")</f>
        <v>216</v>
      </c>
      <c r="B217" s="1" t="str">
        <f>IF($I217="","",IF(ROW(B216)=1,1,ROUNDUP(A217/$CP$2,0)))</f>
        <v/>
      </c>
      <c r="C217" s="4" t="str">
        <f t="shared" si="193"/>
        <v/>
      </c>
      <c r="D217" s="4" t="str">
        <f t="shared" si="187"/>
        <v/>
      </c>
      <c r="E217" s="1" t="str">
        <f>IF($B217="","",COUNTIF($B$2:B217,B217))</f>
        <v/>
      </c>
      <c r="F217" s="1" t="str">
        <f t="shared" si="188"/>
        <v/>
      </c>
      <c r="G217" s="1" t="str">
        <f t="shared" si="194"/>
        <v/>
      </c>
      <c r="H217" s="1">
        <f t="shared" si="195"/>
        <v>0</v>
      </c>
      <c r="I217" s="3"/>
      <c r="J217" s="3"/>
      <c r="K217" s="3"/>
      <c r="L217" s="1" t="str">
        <f t="shared" si="196"/>
        <v/>
      </c>
      <c r="M217" s="1" t="str">
        <f t="shared" si="197"/>
        <v/>
      </c>
      <c r="N217" s="1" t="str">
        <f t="shared" si="198"/>
        <v/>
      </c>
      <c r="O217" s="1" t="str">
        <f t="shared" si="199"/>
        <v/>
      </c>
      <c r="P217" s="1" t="str">
        <f t="shared" si="200"/>
        <v/>
      </c>
      <c r="Q217" s="1" t="str">
        <f t="array" ref="Q217">IF($B217="","",IF(MAX(IF(B217=$B$2:$B$313,$L$2:$L$313))-L217=0,"",MAX(IF(B217=$B$2:$B$313,$L$2:$L$313))-L217))</f>
        <v/>
      </c>
      <c r="R217" s="1" t="str">
        <f t="array" ref="R217">IF($B217="","",SUMPRODUCT(--($B$2:$B$313=B217),--(L217&lt;$L$2:$L$313))+1)</f>
        <v/>
      </c>
      <c r="S217" s="1" t="str">
        <f t="shared" si="201"/>
        <v/>
      </c>
      <c r="T217" s="1" t="str" cm="1">
        <f t="array" ref="T217">IF($B217="","",IF(M217=0,"",SUMPRODUCT(--($B$2:$B$313=B217),--(J217&lt;$J$2:$J$313))+1))</f>
        <v/>
      </c>
      <c r="U217" s="1" t="str">
        <f t="shared" si="202"/>
        <v/>
      </c>
      <c r="V217" s="1" t="str">
        <f t="shared" si="203"/>
        <v/>
      </c>
      <c r="W217" s="1" t="str">
        <f t="shared" si="204"/>
        <v/>
      </c>
      <c r="X217" s="1" t="str">
        <f t="shared" si="189"/>
        <v/>
      </c>
      <c r="Y217" s="1" t="str">
        <f>IF($B217="","",MAX(_xlfn.MAXIFS($J$2:J217,$I$2:I217,$I217),_xlfn.MAXIFS($K$2:K217,$I$2:I217,$I217)))</f>
        <v/>
      </c>
      <c r="Z217" s="1" t="str">
        <f t="shared" si="205"/>
        <v/>
      </c>
      <c r="AA217" s="1" t="str">
        <f t="shared" si="206"/>
        <v/>
      </c>
      <c r="AB217" s="1" t="str">
        <f t="shared" si="207"/>
        <v/>
      </c>
      <c r="AC217" s="1" t="str">
        <f t="shared" si="208"/>
        <v/>
      </c>
      <c r="AD217" s="1" t="str">
        <f>IF($B217="","",MIN(_xlfn.MINIFS($J$2:J217,$I$2:I217,$I217),_xlfn.MINIFS($K$2:K217,$I$2:I217,$I217)))</f>
        <v/>
      </c>
      <c r="AE217" s="1" t="str">
        <f t="shared" si="209"/>
        <v/>
      </c>
      <c r="AF217" s="1" t="str">
        <f t="shared" si="210"/>
        <v/>
      </c>
      <c r="AG217" s="1" t="str">
        <f t="shared" si="211"/>
        <v/>
      </c>
      <c r="AH217" s="1" t="str">
        <f t="shared" si="212"/>
        <v/>
      </c>
      <c r="AI217" s="1" t="str">
        <f ca="1">IF($B217="","",IF($K217="",0,OFFSET($CO$17,R217,W217)))</f>
        <v/>
      </c>
      <c r="AJ217" s="1" t="str">
        <f t="shared" ca="1" si="213"/>
        <v/>
      </c>
      <c r="AK217" s="1" t="str">
        <f ca="1">IF(AJ217="","",IF(AJ217=0,0,IF(W217=1,0,SUM(OFFSET($CO$17,N217,1):OFFSET($CO$17,N217+W217-2,1))/W217)))</f>
        <v/>
      </c>
      <c r="AL217" s="1" t="str">
        <f t="shared" si="214"/>
        <v/>
      </c>
      <c r="AM217" s="1" t="str">
        <f>IF($B217="","",SUMIFS($AL$2:AL217,$I$2:I217,$I217))</f>
        <v/>
      </c>
      <c r="AN217" s="1" t="str">
        <f t="shared" si="215"/>
        <v/>
      </c>
      <c r="AO217" s="1" t="str">
        <f>IFERROR(IF($B217="","",AVERAGEIFS($L$2:L217,$I$2:I217,I217,$L$2:L217,"&lt;&gt;0")),0)</f>
        <v/>
      </c>
      <c r="AP217" s="1" t="str">
        <f t="shared" si="216"/>
        <v/>
      </c>
      <c r="AQ217" s="1" t="str">
        <f>IF($B217="","",COUNTIFS($R$2:R217,1,$I$2:I217,$I217))</f>
        <v/>
      </c>
      <c r="AR217" s="1" t="str">
        <f t="array" ref="AR217">IF($B217="","",SUMPRODUCT(--($B$2:$B$313=B217),--(AM217&lt;$AM$2:$AM$313))+1)</f>
        <v/>
      </c>
      <c r="AS217" s="1" t="str">
        <f t="array" ref="AS217">IF($B217="","",SUMPRODUCT(--($B$2:$B$313=B217),--(AP217&lt;$AP$2:$AP$313))+1)</f>
        <v/>
      </c>
      <c r="AT217" s="1" t="str">
        <f t="array" ref="AT217">IF($B217="","",SUMPRODUCT(--($B$2:$B$313=B217),--(AQ217&lt;$AQ$2:$AQ$313))+1)</f>
        <v/>
      </c>
      <c r="AU217" s="1" t="str">
        <f t="shared" si="217"/>
        <v/>
      </c>
      <c r="AV217" s="1" t="str">
        <f t="shared" si="218"/>
        <v/>
      </c>
      <c r="AW217" s="1" t="str">
        <f t="shared" si="190"/>
        <v/>
      </c>
      <c r="AX217" s="1" t="str">
        <f t="shared" si="219"/>
        <v/>
      </c>
      <c r="AY217" s="8" t="str">
        <f t="shared" si="220"/>
        <v/>
      </c>
      <c r="AZ217" s="1" t="str" cm="1">
        <f t="array" ref="AZ217">IF($B217="","",SUMPRODUCT(--($B$2:$B$313=B217),--(AY217&gt;$AY$2:$AY$313))+1)</f>
        <v/>
      </c>
      <c r="BA217" s="1" t="str">
        <f t="shared" si="221"/>
        <v/>
      </c>
      <c r="BB217" s="1" t="str">
        <f t="shared" si="222"/>
        <v/>
      </c>
      <c r="BC217" s="1" t="str">
        <f t="shared" si="223"/>
        <v/>
      </c>
      <c r="BD217" s="1" t="str">
        <f t="shared" si="224"/>
        <v/>
      </c>
      <c r="BE217" s="1" t="str">
        <f t="shared" si="225"/>
        <v/>
      </c>
      <c r="BF217" s="1" t="str">
        <f t="shared" si="226"/>
        <v/>
      </c>
      <c r="BG217" s="1" t="str">
        <f t="shared" si="227"/>
        <v/>
      </c>
      <c r="BH217" s="1" t="str">
        <f t="shared" si="228"/>
        <v/>
      </c>
      <c r="BI217" s="1" t="str">
        <f t="shared" si="229"/>
        <v/>
      </c>
      <c r="BJ217" s="1" t="str">
        <f t="shared" si="230"/>
        <v/>
      </c>
      <c r="BK217" s="1" t="str">
        <f t="shared" si="231"/>
        <v/>
      </c>
      <c r="BL217" s="1" t="str">
        <f t="shared" si="232"/>
        <v/>
      </c>
      <c r="BM217" s="1" t="str">
        <f t="shared" si="233"/>
        <v/>
      </c>
      <c r="BN217" s="1" t="str">
        <f t="shared" si="234"/>
        <v/>
      </c>
      <c r="BO217" s="1" t="str">
        <f t="shared" si="191"/>
        <v/>
      </c>
      <c r="BP217" s="1" t="str">
        <f t="shared" si="192"/>
        <v/>
      </c>
      <c r="BQ217" s="1" t="str" cm="1">
        <f t="array" ref="BQ217">IF(I217="","",IF(BP217=1,"",IF(L217=0,"",IF(B217=1,"",_xlfn.XLOOKUP(1,($I$2:$I$313=$I217)*($B$2:$B$313=($B217-1)),$BO$2:$BO$313)))))</f>
        <v/>
      </c>
      <c r="BR217" s="1" t="str">
        <f>IF(I217="","",IF($B217=1,_xlfn.MINIFS($BO$2:$BO$313,$B$2:$B$313,$B217),_xlfn.MINIFS(BQ$2:$BQ$313,$B$2:$B$313,$B217)))</f>
        <v/>
      </c>
      <c r="BS217" s="1" t="str">
        <f t="shared" si="235"/>
        <v/>
      </c>
      <c r="BT217" s="1" t="str" cm="1">
        <f t="array" ref="BT217">IF($I217="","",IF($B217=1,_xlfn.XLOOKUP(1,($B$2:$B$313=$B217)*($BO$2:$BO$313=BR217),Data!$I$2:$I$313,,0),_xlfn.XLOOKUP(1,($B$2:$B$313=$B217)*($BQ$2:$BQ$313=$BR217),$I$2:$I$313,,0)))</f>
        <v/>
      </c>
      <c r="BU217" s="1" t="str" cm="1">
        <f t="array" ref="BU217">IF(I217="","",IF($B217=1,_xlfn.XLOOKUP(1,($B$2:$B$313=$B217)*($BO$2:$BO$313=$BS217),$I$2:$I$313,,0),_xlfn.XLOOKUP(1,($B$2:$B$313=$B217)*($BQ$2:$BQ$313=$BS217),$I$2:$I$313,,0)))</f>
        <v/>
      </c>
      <c r="BV217" s="1" t="str" cm="1">
        <f t="array" ref="BV217">IF($I217="","",IF($B217=1,"",IF($B217=2,_xlfn.XLOOKUP(1,($B$2:$B$313=1)*($BO$2:$BO$313=1),$I$2:$I$313,,0),_xlfn.XLOOKUP($B217-1,$B$2:$B$313,$CH$2:$CH$313,,0))))</f>
        <v/>
      </c>
      <c r="BW217" s="1" t="str" cm="1">
        <f t="array" ref="BW217">IF($I217="","",IF($B217=1,"",IF(_xlfn.XLOOKUP(1,($B$2:$B$313=$B217)*($I$2:$I$313=$BV217),$BQ$2:$BQ$313,,0)="","NOK","OK")))</f>
        <v/>
      </c>
      <c r="BX217" s="1" t="str">
        <f t="shared" si="236"/>
        <v/>
      </c>
      <c r="BY217" s="1" t="str">
        <f t="shared" si="237"/>
        <v/>
      </c>
      <c r="BZ217" s="1" t="str">
        <f t="shared" si="238"/>
        <v/>
      </c>
      <c r="CA217" s="1" t="str">
        <f t="shared" si="239"/>
        <v/>
      </c>
      <c r="CB217" s="1" t="str">
        <f t="shared" si="240"/>
        <v/>
      </c>
      <c r="CC217" s="1" t="str">
        <f t="shared" si="241"/>
        <v/>
      </c>
      <c r="CD217" s="1" t="str">
        <f t="shared" si="242"/>
        <v/>
      </c>
      <c r="CE217" s="1" t="str">
        <f t="shared" si="243"/>
        <v/>
      </c>
      <c r="CF217" s="1" t="str">
        <f t="shared" si="244"/>
        <v/>
      </c>
      <c r="CG217" s="1" t="str">
        <f t="shared" si="245"/>
        <v/>
      </c>
      <c r="CH217" s="1" t="str">
        <f t="shared" si="246"/>
        <v/>
      </c>
      <c r="CI217" s="1" t="str">
        <f t="shared" si="247"/>
        <v/>
      </c>
      <c r="CJ217" s="1" t="str">
        <f>IF(B217="","",IF(SUM(AI217:AK217)&gt;0,"+SP","")&amp;IF(CI217&gt;0,"+KK","")&amp;IF(AB217&gt;0,"+KGP1","")&amp;IF(AC217&gt;0,"+KGP2","")&amp;IF(AG217&lt;0,"-KGP1","")&amp;IF(AH217&lt;0,"-KGP2",""))</f>
        <v/>
      </c>
    </row>
    <row r="218" spans="1:88" x14ac:dyDescent="0.25">
      <c r="A218" s="1">
        <f>IFERROR(IF(ROW(A217)=1,1,IF(1+A217&lt;=$CP$1*$CP$2,1+A217,"")),"")</f>
        <v>217</v>
      </c>
      <c r="B218" s="1" t="str">
        <f>IF($I218="","",IF(ROW(B217)=1,1,ROUNDUP(A218/$CP$2,0)))</f>
        <v/>
      </c>
      <c r="C218" s="4" t="str">
        <f t="shared" si="193"/>
        <v/>
      </c>
      <c r="D218" s="4" t="str">
        <f t="shared" si="187"/>
        <v/>
      </c>
      <c r="E218" s="1" t="str">
        <f>IF($B218="","",COUNTIF($B$2:B218,B218))</f>
        <v/>
      </c>
      <c r="F218" s="1" t="str">
        <f t="shared" si="188"/>
        <v/>
      </c>
      <c r="G218" s="1" t="str">
        <f t="shared" si="194"/>
        <v/>
      </c>
      <c r="H218" s="1">
        <f t="shared" si="195"/>
        <v>0</v>
      </c>
      <c r="I218" s="3"/>
      <c r="J218" s="3"/>
      <c r="K218" s="3"/>
      <c r="L218" s="1" t="str">
        <f t="shared" si="196"/>
        <v/>
      </c>
      <c r="M218" s="1" t="str">
        <f t="shared" si="197"/>
        <v/>
      </c>
      <c r="N218" s="1" t="str">
        <f t="shared" si="198"/>
        <v/>
      </c>
      <c r="O218" s="1" t="str">
        <f t="shared" si="199"/>
        <v/>
      </c>
      <c r="P218" s="1" t="str">
        <f t="shared" si="200"/>
        <v/>
      </c>
      <c r="Q218" s="1" t="str">
        <f t="array" ref="Q218">IF($B218="","",IF(MAX(IF(B218=$B$2:$B$313,$L$2:$L$313))-L218=0,"",MAX(IF(B218=$B$2:$B$313,$L$2:$L$313))-L218))</f>
        <v/>
      </c>
      <c r="R218" s="1" t="str">
        <f t="array" ref="R218">IF($B218="","",SUMPRODUCT(--($B$2:$B$313=B218),--(L218&lt;$L$2:$L$313))+1)</f>
        <v/>
      </c>
      <c r="S218" s="1" t="str">
        <f t="shared" si="201"/>
        <v/>
      </c>
      <c r="T218" s="1" t="str" cm="1">
        <f t="array" ref="T218">IF($B218="","",IF(M218=0,"",SUMPRODUCT(--($B$2:$B$313=B218),--(J218&lt;$J$2:$J$313))+1))</f>
        <v/>
      </c>
      <c r="U218" s="1" t="str">
        <f t="shared" si="202"/>
        <v/>
      </c>
      <c r="V218" s="1" t="str">
        <f t="shared" si="203"/>
        <v/>
      </c>
      <c r="W218" s="1" t="str">
        <f t="shared" si="204"/>
        <v/>
      </c>
      <c r="X218" s="1" t="str">
        <f t="shared" si="189"/>
        <v/>
      </c>
      <c r="Y218" s="1" t="str">
        <f>IF($B218="","",MAX(_xlfn.MAXIFS($J$2:J218,$I$2:I218,$I218),_xlfn.MAXIFS($K$2:K218,$I$2:I218,$I218)))</f>
        <v/>
      </c>
      <c r="Z218" s="1" t="str">
        <f t="shared" si="205"/>
        <v/>
      </c>
      <c r="AA218" s="1" t="str">
        <f t="shared" si="206"/>
        <v/>
      </c>
      <c r="AB218" s="1" t="str">
        <f t="shared" si="207"/>
        <v/>
      </c>
      <c r="AC218" s="1" t="str">
        <f t="shared" si="208"/>
        <v/>
      </c>
      <c r="AD218" s="1" t="str">
        <f>IF($B218="","",MIN(_xlfn.MINIFS($J$2:J218,$I$2:I218,$I218),_xlfn.MINIFS($K$2:K218,$I$2:I218,$I218)))</f>
        <v/>
      </c>
      <c r="AE218" s="1" t="str">
        <f t="shared" si="209"/>
        <v/>
      </c>
      <c r="AF218" s="1" t="str">
        <f t="shared" si="210"/>
        <v/>
      </c>
      <c r="AG218" s="1" t="str">
        <f t="shared" si="211"/>
        <v/>
      </c>
      <c r="AH218" s="1" t="str">
        <f t="shared" si="212"/>
        <v/>
      </c>
      <c r="AI218" s="1" t="str">
        <f ca="1">IF($B218="","",IF($K218="",0,OFFSET($CO$17,R218,W218)))</f>
        <v/>
      </c>
      <c r="AJ218" s="1" t="str">
        <f t="shared" ca="1" si="213"/>
        <v/>
      </c>
      <c r="AK218" s="1" t="str">
        <f ca="1">IF(AJ218="","",IF(AJ218=0,0,IF(W218=1,0,SUM(OFFSET($CO$17,N218,1):OFFSET($CO$17,N218+W218-2,1))/W218)))</f>
        <v/>
      </c>
      <c r="AL218" s="1" t="str">
        <f t="shared" si="214"/>
        <v/>
      </c>
      <c r="AM218" s="1" t="str">
        <f>IF($B218="","",SUMIFS($AL$2:AL218,$I$2:I218,$I218))</f>
        <v/>
      </c>
      <c r="AN218" s="1" t="str">
        <f t="shared" si="215"/>
        <v/>
      </c>
      <c r="AO218" s="1" t="str">
        <f>IFERROR(IF($B218="","",AVERAGEIFS($L$2:L218,$I$2:I218,I218,$L$2:L218,"&lt;&gt;0")),0)</f>
        <v/>
      </c>
      <c r="AP218" s="1" t="str">
        <f t="shared" si="216"/>
        <v/>
      </c>
      <c r="AQ218" s="1" t="str">
        <f>IF($B218="","",COUNTIFS($R$2:R218,1,$I$2:I218,$I218))</f>
        <v/>
      </c>
      <c r="AR218" s="1" t="str">
        <f t="array" ref="AR218">IF($B218="","",SUMPRODUCT(--($B$2:$B$313=B218),--(AM218&lt;$AM$2:$AM$313))+1)</f>
        <v/>
      </c>
      <c r="AS218" s="1" t="str">
        <f t="array" ref="AS218">IF($B218="","",SUMPRODUCT(--($B$2:$B$313=B218),--(AP218&lt;$AP$2:$AP$313))+1)</f>
        <v/>
      </c>
      <c r="AT218" s="1" t="str">
        <f t="array" ref="AT218">IF($B218="","",SUMPRODUCT(--($B$2:$B$313=B218),--(AQ218&lt;$AQ$2:$AQ$313))+1)</f>
        <v/>
      </c>
      <c r="AU218" s="1" t="str">
        <f t="shared" si="217"/>
        <v/>
      </c>
      <c r="AV218" s="1" t="str">
        <f t="shared" si="218"/>
        <v/>
      </c>
      <c r="AW218" s="1" t="str">
        <f t="shared" si="190"/>
        <v/>
      </c>
      <c r="AX218" s="1" t="str">
        <f t="shared" si="219"/>
        <v/>
      </c>
      <c r="AY218" s="8" t="str">
        <f t="shared" si="220"/>
        <v/>
      </c>
      <c r="AZ218" s="1" t="str" cm="1">
        <f t="array" ref="AZ218">IF($B218="","",SUMPRODUCT(--($B$2:$B$313=B218),--(AY218&gt;$AY$2:$AY$313))+1)</f>
        <v/>
      </c>
      <c r="BA218" s="1" t="str">
        <f t="shared" si="221"/>
        <v/>
      </c>
      <c r="BB218" s="1" t="str">
        <f t="shared" si="222"/>
        <v/>
      </c>
      <c r="BC218" s="1" t="str">
        <f t="shared" si="223"/>
        <v/>
      </c>
      <c r="BD218" s="1" t="str">
        <f t="shared" si="224"/>
        <v/>
      </c>
      <c r="BE218" s="1" t="str">
        <f t="shared" si="225"/>
        <v/>
      </c>
      <c r="BF218" s="1" t="str">
        <f t="shared" si="226"/>
        <v/>
      </c>
      <c r="BG218" s="1" t="str">
        <f t="shared" si="227"/>
        <v/>
      </c>
      <c r="BH218" s="1" t="str">
        <f t="shared" si="228"/>
        <v/>
      </c>
      <c r="BI218" s="1" t="str">
        <f t="shared" si="229"/>
        <v/>
      </c>
      <c r="BJ218" s="1" t="str">
        <f t="shared" si="230"/>
        <v/>
      </c>
      <c r="BK218" s="1" t="str">
        <f t="shared" si="231"/>
        <v/>
      </c>
      <c r="BL218" s="1" t="str">
        <f t="shared" si="232"/>
        <v/>
      </c>
      <c r="BM218" s="1" t="str">
        <f t="shared" si="233"/>
        <v/>
      </c>
      <c r="BN218" s="1" t="str">
        <f t="shared" si="234"/>
        <v/>
      </c>
      <c r="BO218" s="1" t="str">
        <f t="shared" si="191"/>
        <v/>
      </c>
      <c r="BP218" s="1" t="str">
        <f t="shared" si="192"/>
        <v/>
      </c>
      <c r="BQ218" s="1" t="str" cm="1">
        <f t="array" ref="BQ218">IF(I218="","",IF(BP218=1,"",IF(L218=0,"",IF(B218=1,"",_xlfn.XLOOKUP(1,($I$2:$I$313=$I218)*($B$2:$B$313=($B218-1)),$BO$2:$BO$313)))))</f>
        <v/>
      </c>
      <c r="BR218" s="1" t="str">
        <f>IF(I218="","",IF($B218=1,_xlfn.MINIFS($BO$2:$BO$313,$B$2:$B$313,$B218),_xlfn.MINIFS(BQ$2:$BQ$313,$B$2:$B$313,$B218)))</f>
        <v/>
      </c>
      <c r="BS218" s="1" t="str">
        <f t="shared" si="235"/>
        <v/>
      </c>
      <c r="BT218" s="1" t="str" cm="1">
        <f t="array" ref="BT218">IF($I218="","",IF($B218=1,_xlfn.XLOOKUP(1,($B$2:$B$313=$B218)*($BO$2:$BO$313=BR218),Data!$I$2:$I$313,,0),_xlfn.XLOOKUP(1,($B$2:$B$313=$B218)*($BQ$2:$BQ$313=$BR218),$I$2:$I$313,,0)))</f>
        <v/>
      </c>
      <c r="BU218" s="1" t="str" cm="1">
        <f t="array" ref="BU218">IF(I218="","",IF($B218=1,_xlfn.XLOOKUP(1,($B$2:$B$313=$B218)*($BO$2:$BO$313=$BS218),$I$2:$I$313,,0),_xlfn.XLOOKUP(1,($B$2:$B$313=$B218)*($BQ$2:$BQ$313=$BS218),$I$2:$I$313,,0)))</f>
        <v/>
      </c>
      <c r="BV218" s="1" t="str" cm="1">
        <f t="array" ref="BV218">IF($I218="","",IF($B218=1,"",IF($B218=2,_xlfn.XLOOKUP(1,($B$2:$B$313=1)*($BO$2:$BO$313=1),$I$2:$I$313,,0),_xlfn.XLOOKUP($B218-1,$B$2:$B$313,$CH$2:$CH$313,,0))))</f>
        <v/>
      </c>
      <c r="BW218" s="1" t="str" cm="1">
        <f t="array" ref="BW218">IF($I218="","",IF($B218=1,"",IF(_xlfn.XLOOKUP(1,($B$2:$B$313=$B218)*($I$2:$I$313=$BV218),$BQ$2:$BQ$313,,0)="","NOK","OK")))</f>
        <v/>
      </c>
      <c r="BX218" s="1" t="str">
        <f t="shared" si="236"/>
        <v/>
      </c>
      <c r="BY218" s="1" t="str">
        <f t="shared" si="237"/>
        <v/>
      </c>
      <c r="BZ218" s="1" t="str">
        <f t="shared" si="238"/>
        <v/>
      </c>
      <c r="CA218" s="1" t="str">
        <f t="shared" si="239"/>
        <v/>
      </c>
      <c r="CB218" s="1" t="str">
        <f t="shared" si="240"/>
        <v/>
      </c>
      <c r="CC218" s="1" t="str">
        <f t="shared" si="241"/>
        <v/>
      </c>
      <c r="CD218" s="1" t="str">
        <f t="shared" si="242"/>
        <v/>
      </c>
      <c r="CE218" s="1" t="str">
        <f t="shared" si="243"/>
        <v/>
      </c>
      <c r="CF218" s="1" t="str">
        <f t="shared" si="244"/>
        <v/>
      </c>
      <c r="CG218" s="1" t="str">
        <f t="shared" si="245"/>
        <v/>
      </c>
      <c r="CH218" s="1" t="str">
        <f t="shared" si="246"/>
        <v/>
      </c>
      <c r="CI218" s="1" t="str">
        <f t="shared" si="247"/>
        <v/>
      </c>
      <c r="CJ218" s="1" t="str">
        <f>IF(B218="","",IF(SUM(AI218:AK218)&gt;0,"+SP","")&amp;IF(CI218&gt;0,"+KK","")&amp;IF(AB218&gt;0,"+KGP1","")&amp;IF(AC218&gt;0,"+KGP2","")&amp;IF(AG218&lt;0,"-KGP1","")&amp;IF(AH218&lt;0,"-KGP2",""))</f>
        <v/>
      </c>
    </row>
    <row r="219" spans="1:88" x14ac:dyDescent="0.25">
      <c r="A219" s="1">
        <f>IFERROR(IF(ROW(A218)=1,1,IF(1+A218&lt;=$CP$1*$CP$2,1+A218,"")),"")</f>
        <v>218</v>
      </c>
      <c r="B219" s="1" t="str">
        <f>IF($I219="","",IF(ROW(B218)=1,1,ROUNDUP(A219/$CP$2,0)))</f>
        <v/>
      </c>
      <c r="C219" s="4" t="str">
        <f t="shared" si="193"/>
        <v/>
      </c>
      <c r="D219" s="4" t="str">
        <f t="shared" si="187"/>
        <v/>
      </c>
      <c r="E219" s="1" t="str">
        <f>IF($B219="","",COUNTIF($B$2:B219,B219))</f>
        <v/>
      </c>
      <c r="F219" s="1" t="str">
        <f t="shared" si="188"/>
        <v/>
      </c>
      <c r="G219" s="1" t="str">
        <f t="shared" si="194"/>
        <v/>
      </c>
      <c r="H219" s="1">
        <f t="shared" si="195"/>
        <v>0</v>
      </c>
      <c r="I219" s="3"/>
      <c r="J219" s="3"/>
      <c r="K219" s="3"/>
      <c r="L219" s="1" t="str">
        <f t="shared" si="196"/>
        <v/>
      </c>
      <c r="M219" s="1" t="str">
        <f t="shared" si="197"/>
        <v/>
      </c>
      <c r="N219" s="1" t="str">
        <f t="shared" si="198"/>
        <v/>
      </c>
      <c r="O219" s="1" t="str">
        <f t="shared" si="199"/>
        <v/>
      </c>
      <c r="P219" s="1" t="str">
        <f t="shared" si="200"/>
        <v/>
      </c>
      <c r="Q219" s="1" t="str">
        <f t="array" ref="Q219">IF($B219="","",IF(MAX(IF(B219=$B$2:$B$313,$L$2:$L$313))-L219=0,"",MAX(IF(B219=$B$2:$B$313,$L$2:$L$313))-L219))</f>
        <v/>
      </c>
      <c r="R219" s="1" t="str">
        <f t="array" ref="R219">IF($B219="","",SUMPRODUCT(--($B$2:$B$313=B219),--(L219&lt;$L$2:$L$313))+1)</f>
        <v/>
      </c>
      <c r="S219" s="1" t="str">
        <f t="shared" si="201"/>
        <v/>
      </c>
      <c r="T219" s="1" t="str" cm="1">
        <f t="array" ref="T219">IF($B219="","",IF(M219=0,"",SUMPRODUCT(--($B$2:$B$313=B219),--(J219&lt;$J$2:$J$313))+1))</f>
        <v/>
      </c>
      <c r="U219" s="1" t="str">
        <f t="shared" si="202"/>
        <v/>
      </c>
      <c r="V219" s="1" t="str">
        <f t="shared" si="203"/>
        <v/>
      </c>
      <c r="W219" s="1" t="str">
        <f t="shared" si="204"/>
        <v/>
      </c>
      <c r="X219" s="1" t="str">
        <f t="shared" si="189"/>
        <v/>
      </c>
      <c r="Y219" s="1" t="str">
        <f>IF($B219="","",MAX(_xlfn.MAXIFS($J$2:J219,$I$2:I219,$I219),_xlfn.MAXIFS($K$2:K219,$I$2:I219,$I219)))</f>
        <v/>
      </c>
      <c r="Z219" s="1" t="str">
        <f t="shared" si="205"/>
        <v/>
      </c>
      <c r="AA219" s="1" t="str">
        <f t="shared" si="206"/>
        <v/>
      </c>
      <c r="AB219" s="1" t="str">
        <f t="shared" si="207"/>
        <v/>
      </c>
      <c r="AC219" s="1" t="str">
        <f t="shared" si="208"/>
        <v/>
      </c>
      <c r="AD219" s="1" t="str">
        <f>IF($B219="","",MIN(_xlfn.MINIFS($J$2:J219,$I$2:I219,$I219),_xlfn.MINIFS($K$2:K219,$I$2:I219,$I219)))</f>
        <v/>
      </c>
      <c r="AE219" s="1" t="str">
        <f t="shared" si="209"/>
        <v/>
      </c>
      <c r="AF219" s="1" t="str">
        <f t="shared" si="210"/>
        <v/>
      </c>
      <c r="AG219" s="1" t="str">
        <f t="shared" si="211"/>
        <v/>
      </c>
      <c r="AH219" s="1" t="str">
        <f t="shared" si="212"/>
        <v/>
      </c>
      <c r="AI219" s="1" t="str">
        <f ca="1">IF($B219="","",IF($K219="",0,OFFSET($CO$17,R219,W219)))</f>
        <v/>
      </c>
      <c r="AJ219" s="1" t="str">
        <f t="shared" ca="1" si="213"/>
        <v/>
      </c>
      <c r="AK219" s="1" t="str">
        <f ca="1">IF(AJ219="","",IF(AJ219=0,0,IF(W219=1,0,SUM(OFFSET($CO$17,N219,1):OFFSET($CO$17,N219+W219-2,1))/W219)))</f>
        <v/>
      </c>
      <c r="AL219" s="1" t="str">
        <f t="shared" si="214"/>
        <v/>
      </c>
      <c r="AM219" s="1" t="str">
        <f>IF($B219="","",SUMIFS($AL$2:AL219,$I$2:I219,$I219))</f>
        <v/>
      </c>
      <c r="AN219" s="1" t="str">
        <f t="shared" si="215"/>
        <v/>
      </c>
      <c r="AO219" s="1" t="str">
        <f>IFERROR(IF($B219="","",AVERAGEIFS($L$2:L219,$I$2:I219,I219,$L$2:L219,"&lt;&gt;0")),0)</f>
        <v/>
      </c>
      <c r="AP219" s="1" t="str">
        <f t="shared" si="216"/>
        <v/>
      </c>
      <c r="AQ219" s="1" t="str">
        <f>IF($B219="","",COUNTIFS($R$2:R219,1,$I$2:I219,$I219))</f>
        <v/>
      </c>
      <c r="AR219" s="1" t="str">
        <f t="array" ref="AR219">IF($B219="","",SUMPRODUCT(--($B$2:$B$313=B219),--(AM219&lt;$AM$2:$AM$313))+1)</f>
        <v/>
      </c>
      <c r="AS219" s="1" t="str">
        <f t="array" ref="AS219">IF($B219="","",SUMPRODUCT(--($B$2:$B$313=B219),--(AP219&lt;$AP$2:$AP$313))+1)</f>
        <v/>
      </c>
      <c r="AT219" s="1" t="str">
        <f t="array" ref="AT219">IF($B219="","",SUMPRODUCT(--($B$2:$B$313=B219),--(AQ219&lt;$AQ$2:$AQ$313))+1)</f>
        <v/>
      </c>
      <c r="AU219" s="1" t="str">
        <f t="shared" si="217"/>
        <v/>
      </c>
      <c r="AV219" s="1" t="str">
        <f t="shared" si="218"/>
        <v/>
      </c>
      <c r="AW219" s="1" t="str">
        <f t="shared" si="190"/>
        <v/>
      </c>
      <c r="AX219" s="1" t="str">
        <f t="shared" si="219"/>
        <v/>
      </c>
      <c r="AY219" s="8" t="str">
        <f t="shared" si="220"/>
        <v/>
      </c>
      <c r="AZ219" s="1" t="str" cm="1">
        <f t="array" ref="AZ219">IF($B219="","",SUMPRODUCT(--($B$2:$B$313=B219),--(AY219&gt;$AY$2:$AY$313))+1)</f>
        <v/>
      </c>
      <c r="BA219" s="1" t="str">
        <f t="shared" si="221"/>
        <v/>
      </c>
      <c r="BB219" s="1" t="str">
        <f t="shared" si="222"/>
        <v/>
      </c>
      <c r="BC219" s="1" t="str">
        <f t="shared" si="223"/>
        <v/>
      </c>
      <c r="BD219" s="1" t="str">
        <f t="shared" si="224"/>
        <v/>
      </c>
      <c r="BE219" s="1" t="str">
        <f t="shared" si="225"/>
        <v/>
      </c>
      <c r="BF219" s="1" t="str">
        <f t="shared" si="226"/>
        <v/>
      </c>
      <c r="BG219" s="1" t="str">
        <f t="shared" si="227"/>
        <v/>
      </c>
      <c r="BH219" s="1" t="str">
        <f t="shared" si="228"/>
        <v/>
      </c>
      <c r="BI219" s="1" t="str">
        <f t="shared" si="229"/>
        <v/>
      </c>
      <c r="BJ219" s="1" t="str">
        <f t="shared" si="230"/>
        <v/>
      </c>
      <c r="BK219" s="1" t="str">
        <f t="shared" si="231"/>
        <v/>
      </c>
      <c r="BL219" s="1" t="str">
        <f t="shared" si="232"/>
        <v/>
      </c>
      <c r="BM219" s="1" t="str">
        <f t="shared" si="233"/>
        <v/>
      </c>
      <c r="BN219" s="1" t="str">
        <f t="shared" si="234"/>
        <v/>
      </c>
      <c r="BO219" s="1" t="str">
        <f t="shared" si="191"/>
        <v/>
      </c>
      <c r="BP219" s="1" t="str">
        <f t="shared" si="192"/>
        <v/>
      </c>
      <c r="BQ219" s="1" t="str" cm="1">
        <f t="array" ref="BQ219">IF(I219="","",IF(BP219=1,"",IF(L219=0,"",IF(B219=1,"",_xlfn.XLOOKUP(1,($I$2:$I$313=$I219)*($B$2:$B$313=($B219-1)),$BO$2:$BO$313)))))</f>
        <v/>
      </c>
      <c r="BR219" s="1" t="str">
        <f>IF(I219="","",IF($B219=1,_xlfn.MINIFS($BO$2:$BO$313,$B$2:$B$313,$B219),_xlfn.MINIFS(BQ$2:$BQ$313,$B$2:$B$313,$B219)))</f>
        <v/>
      </c>
      <c r="BS219" s="1" t="str">
        <f t="shared" si="235"/>
        <v/>
      </c>
      <c r="BT219" s="1" t="str" cm="1">
        <f t="array" ref="BT219">IF($I219="","",IF($B219=1,_xlfn.XLOOKUP(1,($B$2:$B$313=$B219)*($BO$2:$BO$313=BR219),Data!$I$2:$I$313,,0),_xlfn.XLOOKUP(1,($B$2:$B$313=$B219)*($BQ$2:$BQ$313=$BR219),$I$2:$I$313,,0)))</f>
        <v/>
      </c>
      <c r="BU219" s="1" t="str" cm="1">
        <f t="array" ref="BU219">IF(I219="","",IF($B219=1,_xlfn.XLOOKUP(1,($B$2:$B$313=$B219)*($BO$2:$BO$313=$BS219),$I$2:$I$313,,0),_xlfn.XLOOKUP(1,($B$2:$B$313=$B219)*($BQ$2:$BQ$313=$BS219),$I$2:$I$313,,0)))</f>
        <v/>
      </c>
      <c r="BV219" s="1" t="str" cm="1">
        <f t="array" ref="BV219">IF($I219="","",IF($B219=1,"",IF($B219=2,_xlfn.XLOOKUP(1,($B$2:$B$313=1)*($BO$2:$BO$313=1),$I$2:$I$313,,0),_xlfn.XLOOKUP($B219-1,$B$2:$B$313,$CH$2:$CH$313,,0))))</f>
        <v/>
      </c>
      <c r="BW219" s="1" t="str" cm="1">
        <f t="array" ref="BW219">IF($I219="","",IF($B219=1,"",IF(_xlfn.XLOOKUP(1,($B$2:$B$313=$B219)*($I$2:$I$313=$BV219),$BQ$2:$BQ$313,,0)="","NOK","OK")))</f>
        <v/>
      </c>
      <c r="BX219" s="1" t="str">
        <f t="shared" si="236"/>
        <v/>
      </c>
      <c r="BY219" s="1" t="str">
        <f t="shared" si="237"/>
        <v/>
      </c>
      <c r="BZ219" s="1" t="str">
        <f t="shared" si="238"/>
        <v/>
      </c>
      <c r="CA219" s="1" t="str">
        <f t="shared" si="239"/>
        <v/>
      </c>
      <c r="CB219" s="1" t="str">
        <f t="shared" si="240"/>
        <v/>
      </c>
      <c r="CC219" s="1" t="str">
        <f t="shared" si="241"/>
        <v/>
      </c>
      <c r="CD219" s="1" t="str">
        <f t="shared" si="242"/>
        <v/>
      </c>
      <c r="CE219" s="1" t="str">
        <f t="shared" si="243"/>
        <v/>
      </c>
      <c r="CF219" s="1" t="str">
        <f t="shared" si="244"/>
        <v/>
      </c>
      <c r="CG219" s="1" t="str">
        <f t="shared" si="245"/>
        <v/>
      </c>
      <c r="CH219" s="1" t="str">
        <f t="shared" si="246"/>
        <v/>
      </c>
      <c r="CI219" s="1" t="str">
        <f t="shared" si="247"/>
        <v/>
      </c>
      <c r="CJ219" s="1" t="str">
        <f>IF(B219="","",IF(SUM(AI219:AK219)&gt;0,"+SP","")&amp;IF(CI219&gt;0,"+KK","")&amp;IF(AB219&gt;0,"+KGP1","")&amp;IF(AC219&gt;0,"+KGP2","")&amp;IF(AG219&lt;0,"-KGP1","")&amp;IF(AH219&lt;0,"-KGP2",""))</f>
        <v/>
      </c>
    </row>
    <row r="220" spans="1:88" x14ac:dyDescent="0.25">
      <c r="A220" s="1">
        <f>IFERROR(IF(ROW(A219)=1,1,IF(1+A219&lt;=$CP$1*$CP$2,1+A219,"")),"")</f>
        <v>219</v>
      </c>
      <c r="B220" s="1" t="str">
        <f>IF($I220="","",IF(ROW(B219)=1,1,ROUNDUP(A220/$CP$2,0)))</f>
        <v/>
      </c>
      <c r="C220" s="4" t="str">
        <f t="shared" si="193"/>
        <v/>
      </c>
      <c r="D220" s="4" t="str">
        <f t="shared" si="187"/>
        <v/>
      </c>
      <c r="E220" s="1" t="str">
        <f>IF($B220="","",COUNTIF($B$2:B220,B220))</f>
        <v/>
      </c>
      <c r="F220" s="1" t="str">
        <f t="shared" si="188"/>
        <v/>
      </c>
      <c r="G220" s="1" t="str">
        <f t="shared" si="194"/>
        <v/>
      </c>
      <c r="H220" s="1">
        <f t="shared" si="195"/>
        <v>0</v>
      </c>
      <c r="I220" s="3"/>
      <c r="J220" s="3"/>
      <c r="K220" s="3"/>
      <c r="L220" s="1" t="str">
        <f t="shared" si="196"/>
        <v/>
      </c>
      <c r="M220" s="1" t="str">
        <f t="shared" si="197"/>
        <v/>
      </c>
      <c r="N220" s="1" t="str">
        <f t="shared" si="198"/>
        <v/>
      </c>
      <c r="O220" s="1" t="str">
        <f t="shared" si="199"/>
        <v/>
      </c>
      <c r="P220" s="1" t="str">
        <f t="shared" si="200"/>
        <v/>
      </c>
      <c r="Q220" s="1" t="str">
        <f t="array" ref="Q220">IF($B220="","",IF(MAX(IF(B220=$B$2:$B$313,$L$2:$L$313))-L220=0,"",MAX(IF(B220=$B$2:$B$313,$L$2:$L$313))-L220))</f>
        <v/>
      </c>
      <c r="R220" s="1" t="str">
        <f t="array" ref="R220">IF($B220="","",SUMPRODUCT(--($B$2:$B$313=B220),--(L220&lt;$L$2:$L$313))+1)</f>
        <v/>
      </c>
      <c r="S220" s="1" t="str">
        <f t="shared" si="201"/>
        <v/>
      </c>
      <c r="T220" s="1" t="str" cm="1">
        <f t="array" ref="T220">IF($B220="","",IF(M220=0,"",SUMPRODUCT(--($B$2:$B$313=B220),--(J220&lt;$J$2:$J$313))+1))</f>
        <v/>
      </c>
      <c r="U220" s="1" t="str">
        <f t="shared" si="202"/>
        <v/>
      </c>
      <c r="V220" s="1" t="str">
        <f t="shared" si="203"/>
        <v/>
      </c>
      <c r="W220" s="1" t="str">
        <f t="shared" si="204"/>
        <v/>
      </c>
      <c r="X220" s="1" t="str">
        <f t="shared" si="189"/>
        <v/>
      </c>
      <c r="Y220" s="1" t="str">
        <f>IF($B220="","",MAX(_xlfn.MAXIFS($J$2:J220,$I$2:I220,$I220),_xlfn.MAXIFS($K$2:K220,$I$2:I220,$I220)))</f>
        <v/>
      </c>
      <c r="Z220" s="1" t="str">
        <f t="shared" si="205"/>
        <v/>
      </c>
      <c r="AA220" s="1" t="str">
        <f t="shared" si="206"/>
        <v/>
      </c>
      <c r="AB220" s="1" t="str">
        <f t="shared" si="207"/>
        <v/>
      </c>
      <c r="AC220" s="1" t="str">
        <f t="shared" si="208"/>
        <v/>
      </c>
      <c r="AD220" s="1" t="str">
        <f>IF($B220="","",MIN(_xlfn.MINIFS($J$2:J220,$I$2:I220,$I220),_xlfn.MINIFS($K$2:K220,$I$2:I220,$I220)))</f>
        <v/>
      </c>
      <c r="AE220" s="1" t="str">
        <f t="shared" si="209"/>
        <v/>
      </c>
      <c r="AF220" s="1" t="str">
        <f t="shared" si="210"/>
        <v/>
      </c>
      <c r="AG220" s="1" t="str">
        <f t="shared" si="211"/>
        <v/>
      </c>
      <c r="AH220" s="1" t="str">
        <f t="shared" si="212"/>
        <v/>
      </c>
      <c r="AI220" s="1" t="str">
        <f ca="1">IF($B220="","",IF($K220="",0,OFFSET($CO$17,R220,W220)))</f>
        <v/>
      </c>
      <c r="AJ220" s="1" t="str">
        <f t="shared" ca="1" si="213"/>
        <v/>
      </c>
      <c r="AK220" s="1" t="str">
        <f ca="1">IF(AJ220="","",IF(AJ220=0,0,IF(W220=1,0,SUM(OFFSET($CO$17,N220,1):OFFSET($CO$17,N220+W220-2,1))/W220)))</f>
        <v/>
      </c>
      <c r="AL220" s="1" t="str">
        <f t="shared" si="214"/>
        <v/>
      </c>
      <c r="AM220" s="1" t="str">
        <f>IF($B220="","",SUMIFS($AL$2:AL220,$I$2:I220,$I220))</f>
        <v/>
      </c>
      <c r="AN220" s="1" t="str">
        <f t="shared" si="215"/>
        <v/>
      </c>
      <c r="AO220" s="1" t="str">
        <f>IFERROR(IF($B220="","",AVERAGEIFS($L$2:L220,$I$2:I220,I220,$L$2:L220,"&lt;&gt;0")),0)</f>
        <v/>
      </c>
      <c r="AP220" s="1" t="str">
        <f t="shared" si="216"/>
        <v/>
      </c>
      <c r="AQ220" s="1" t="str">
        <f>IF($B220="","",COUNTIFS($R$2:R220,1,$I$2:I220,$I220))</f>
        <v/>
      </c>
      <c r="AR220" s="1" t="str">
        <f t="array" ref="AR220">IF($B220="","",SUMPRODUCT(--($B$2:$B$313=B220),--(AM220&lt;$AM$2:$AM$313))+1)</f>
        <v/>
      </c>
      <c r="AS220" s="1" t="str">
        <f t="array" ref="AS220">IF($B220="","",SUMPRODUCT(--($B$2:$B$313=B220),--(AP220&lt;$AP$2:$AP$313))+1)</f>
        <v/>
      </c>
      <c r="AT220" s="1" t="str">
        <f t="array" ref="AT220">IF($B220="","",SUMPRODUCT(--($B$2:$B$313=B220),--(AQ220&lt;$AQ$2:$AQ$313))+1)</f>
        <v/>
      </c>
      <c r="AU220" s="1" t="str">
        <f t="shared" si="217"/>
        <v/>
      </c>
      <c r="AV220" s="1" t="str">
        <f t="shared" si="218"/>
        <v/>
      </c>
      <c r="AW220" s="1" t="str">
        <f t="shared" si="190"/>
        <v/>
      </c>
      <c r="AX220" s="1" t="str">
        <f t="shared" si="219"/>
        <v/>
      </c>
      <c r="AY220" s="8" t="str">
        <f t="shared" si="220"/>
        <v/>
      </c>
      <c r="AZ220" s="1" t="str" cm="1">
        <f t="array" ref="AZ220">IF($B220="","",SUMPRODUCT(--($B$2:$B$313=B220),--(AY220&gt;$AY$2:$AY$313))+1)</f>
        <v/>
      </c>
      <c r="BA220" s="1" t="str">
        <f t="shared" si="221"/>
        <v/>
      </c>
      <c r="BB220" s="1" t="str">
        <f t="shared" si="222"/>
        <v/>
      </c>
      <c r="BC220" s="1" t="str">
        <f t="shared" si="223"/>
        <v/>
      </c>
      <c r="BD220" s="1" t="str">
        <f t="shared" si="224"/>
        <v/>
      </c>
      <c r="BE220" s="1" t="str">
        <f t="shared" si="225"/>
        <v/>
      </c>
      <c r="BF220" s="1" t="str">
        <f t="shared" si="226"/>
        <v/>
      </c>
      <c r="BG220" s="1" t="str">
        <f t="shared" si="227"/>
        <v/>
      </c>
      <c r="BH220" s="1" t="str">
        <f t="shared" si="228"/>
        <v/>
      </c>
      <c r="BI220" s="1" t="str">
        <f t="shared" si="229"/>
        <v/>
      </c>
      <c r="BJ220" s="1" t="str">
        <f t="shared" si="230"/>
        <v/>
      </c>
      <c r="BK220" s="1" t="str">
        <f t="shared" si="231"/>
        <v/>
      </c>
      <c r="BL220" s="1" t="str">
        <f t="shared" si="232"/>
        <v/>
      </c>
      <c r="BM220" s="1" t="str">
        <f t="shared" si="233"/>
        <v/>
      </c>
      <c r="BN220" s="1" t="str">
        <f t="shared" si="234"/>
        <v/>
      </c>
      <c r="BO220" s="1" t="str">
        <f t="shared" si="191"/>
        <v/>
      </c>
      <c r="BP220" s="1" t="str">
        <f t="shared" si="192"/>
        <v/>
      </c>
      <c r="BQ220" s="1" t="str" cm="1">
        <f t="array" ref="BQ220">IF(I220="","",IF(BP220=1,"",IF(L220=0,"",IF(B220=1,"",_xlfn.XLOOKUP(1,($I$2:$I$313=$I220)*($B$2:$B$313=($B220-1)),$BO$2:$BO$313)))))</f>
        <v/>
      </c>
      <c r="BR220" s="1" t="str">
        <f>IF(I220="","",IF($B220=1,_xlfn.MINIFS($BO$2:$BO$313,$B$2:$B$313,$B220),_xlfn.MINIFS(BQ$2:$BQ$313,$B$2:$B$313,$B220)))</f>
        <v/>
      </c>
      <c r="BS220" s="1" t="str">
        <f t="shared" si="235"/>
        <v/>
      </c>
      <c r="BT220" s="1" t="str" cm="1">
        <f t="array" ref="BT220">IF($I220="","",IF($B220=1,_xlfn.XLOOKUP(1,($B$2:$B$313=$B220)*($BO$2:$BO$313=BR220),Data!$I$2:$I$313,,0),_xlfn.XLOOKUP(1,($B$2:$B$313=$B220)*($BQ$2:$BQ$313=$BR220),$I$2:$I$313,,0)))</f>
        <v/>
      </c>
      <c r="BU220" s="1" t="str" cm="1">
        <f t="array" ref="BU220">IF(I220="","",IF($B220=1,_xlfn.XLOOKUP(1,($B$2:$B$313=$B220)*($BO$2:$BO$313=$BS220),$I$2:$I$313,,0),_xlfn.XLOOKUP(1,($B$2:$B$313=$B220)*($BQ$2:$BQ$313=$BS220),$I$2:$I$313,,0)))</f>
        <v/>
      </c>
      <c r="BV220" s="1" t="str" cm="1">
        <f t="array" ref="BV220">IF($I220="","",IF($B220=1,"",IF($B220=2,_xlfn.XLOOKUP(1,($B$2:$B$313=1)*($BO$2:$BO$313=1),$I$2:$I$313,,0),_xlfn.XLOOKUP($B220-1,$B$2:$B$313,$CH$2:$CH$313,,0))))</f>
        <v/>
      </c>
      <c r="BW220" s="1" t="str" cm="1">
        <f t="array" ref="BW220">IF($I220="","",IF($B220=1,"",IF(_xlfn.XLOOKUP(1,($B$2:$B$313=$B220)*($I$2:$I$313=$BV220),$BQ$2:$BQ$313,,0)="","NOK","OK")))</f>
        <v/>
      </c>
      <c r="BX220" s="1" t="str">
        <f t="shared" si="236"/>
        <v/>
      </c>
      <c r="BY220" s="1" t="str">
        <f t="shared" si="237"/>
        <v/>
      </c>
      <c r="BZ220" s="1" t="str">
        <f t="shared" si="238"/>
        <v/>
      </c>
      <c r="CA220" s="1" t="str">
        <f t="shared" si="239"/>
        <v/>
      </c>
      <c r="CB220" s="1" t="str">
        <f t="shared" si="240"/>
        <v/>
      </c>
      <c r="CC220" s="1" t="str">
        <f t="shared" si="241"/>
        <v/>
      </c>
      <c r="CD220" s="1" t="str">
        <f t="shared" si="242"/>
        <v/>
      </c>
      <c r="CE220" s="1" t="str">
        <f t="shared" si="243"/>
        <v/>
      </c>
      <c r="CF220" s="1" t="str">
        <f t="shared" si="244"/>
        <v/>
      </c>
      <c r="CG220" s="1" t="str">
        <f t="shared" si="245"/>
        <v/>
      </c>
      <c r="CH220" s="1" t="str">
        <f t="shared" si="246"/>
        <v/>
      </c>
      <c r="CI220" s="1" t="str">
        <f t="shared" si="247"/>
        <v/>
      </c>
      <c r="CJ220" s="1" t="str">
        <f>IF(B220="","",IF(SUM(AI220:AK220)&gt;0,"+SP","")&amp;IF(CI220&gt;0,"+KK","")&amp;IF(AB220&gt;0,"+KGP1","")&amp;IF(AC220&gt;0,"+KGP2","")&amp;IF(AG220&lt;0,"-KGP1","")&amp;IF(AH220&lt;0,"-KGP2",""))</f>
        <v/>
      </c>
    </row>
    <row r="221" spans="1:88" x14ac:dyDescent="0.25">
      <c r="A221" s="1">
        <f>IFERROR(IF(ROW(A220)=1,1,IF(1+A220&lt;=$CP$1*$CP$2,1+A220,"")),"")</f>
        <v>220</v>
      </c>
      <c r="B221" s="1" t="str">
        <f>IF($I221="","",IF(ROW(B220)=1,1,ROUNDUP(A221/$CP$2,0)))</f>
        <v/>
      </c>
      <c r="C221" s="4" t="str">
        <f t="shared" si="193"/>
        <v/>
      </c>
      <c r="D221" s="4" t="str">
        <f t="shared" si="187"/>
        <v/>
      </c>
      <c r="E221" s="1" t="str">
        <f>IF($B221="","",COUNTIF($B$2:B221,B221))</f>
        <v/>
      </c>
      <c r="F221" s="1" t="str">
        <f t="shared" si="188"/>
        <v/>
      </c>
      <c r="G221" s="1" t="str">
        <f t="shared" si="194"/>
        <v/>
      </c>
      <c r="H221" s="1">
        <f t="shared" si="195"/>
        <v>0</v>
      </c>
      <c r="I221" s="3"/>
      <c r="J221" s="3"/>
      <c r="K221" s="3"/>
      <c r="L221" s="1" t="str">
        <f t="shared" si="196"/>
        <v/>
      </c>
      <c r="M221" s="1" t="str">
        <f t="shared" si="197"/>
        <v/>
      </c>
      <c r="N221" s="1" t="str">
        <f t="shared" si="198"/>
        <v/>
      </c>
      <c r="O221" s="1" t="str">
        <f t="shared" si="199"/>
        <v/>
      </c>
      <c r="P221" s="1" t="str">
        <f t="shared" si="200"/>
        <v/>
      </c>
      <c r="Q221" s="1" t="str">
        <f t="array" ref="Q221">IF($B221="","",IF(MAX(IF(B221=$B$2:$B$313,$L$2:$L$313))-L221=0,"",MAX(IF(B221=$B$2:$B$313,$L$2:$L$313))-L221))</f>
        <v/>
      </c>
      <c r="R221" s="1" t="str">
        <f t="array" ref="R221">IF($B221="","",SUMPRODUCT(--($B$2:$B$313=B221),--(L221&lt;$L$2:$L$313))+1)</f>
        <v/>
      </c>
      <c r="S221" s="1" t="str">
        <f t="shared" si="201"/>
        <v/>
      </c>
      <c r="T221" s="1" t="str" cm="1">
        <f t="array" ref="T221">IF($B221="","",IF(M221=0,"",SUMPRODUCT(--($B$2:$B$313=B221),--(J221&lt;$J$2:$J$313))+1))</f>
        <v/>
      </c>
      <c r="U221" s="1" t="str">
        <f t="shared" si="202"/>
        <v/>
      </c>
      <c r="V221" s="1" t="str">
        <f t="shared" si="203"/>
        <v/>
      </c>
      <c r="W221" s="1" t="str">
        <f t="shared" si="204"/>
        <v/>
      </c>
      <c r="X221" s="1" t="str">
        <f t="shared" si="189"/>
        <v/>
      </c>
      <c r="Y221" s="1" t="str">
        <f>IF($B221="","",MAX(_xlfn.MAXIFS($J$2:J221,$I$2:I221,$I221),_xlfn.MAXIFS($K$2:K221,$I$2:I221,$I221)))</f>
        <v/>
      </c>
      <c r="Z221" s="1" t="str">
        <f t="shared" si="205"/>
        <v/>
      </c>
      <c r="AA221" s="1" t="str">
        <f t="shared" si="206"/>
        <v/>
      </c>
      <c r="AB221" s="1" t="str">
        <f t="shared" si="207"/>
        <v/>
      </c>
      <c r="AC221" s="1" t="str">
        <f t="shared" si="208"/>
        <v/>
      </c>
      <c r="AD221" s="1" t="str">
        <f>IF($B221="","",MIN(_xlfn.MINIFS($J$2:J221,$I$2:I221,$I221),_xlfn.MINIFS($K$2:K221,$I$2:I221,$I221)))</f>
        <v/>
      </c>
      <c r="AE221" s="1" t="str">
        <f t="shared" si="209"/>
        <v/>
      </c>
      <c r="AF221" s="1" t="str">
        <f t="shared" si="210"/>
        <v/>
      </c>
      <c r="AG221" s="1" t="str">
        <f t="shared" si="211"/>
        <v/>
      </c>
      <c r="AH221" s="1" t="str">
        <f t="shared" si="212"/>
        <v/>
      </c>
      <c r="AI221" s="1" t="str">
        <f ca="1">IF($B221="","",IF($K221="",0,OFFSET($CO$17,R221,W221)))</f>
        <v/>
      </c>
      <c r="AJ221" s="1" t="str">
        <f t="shared" ca="1" si="213"/>
        <v/>
      </c>
      <c r="AK221" s="1" t="str">
        <f ca="1">IF(AJ221="","",IF(AJ221=0,0,IF(W221=1,0,SUM(OFFSET($CO$17,N221,1):OFFSET($CO$17,N221+W221-2,1))/W221)))</f>
        <v/>
      </c>
      <c r="AL221" s="1" t="str">
        <f t="shared" si="214"/>
        <v/>
      </c>
      <c r="AM221" s="1" t="str">
        <f>IF($B221="","",SUMIFS($AL$2:AL221,$I$2:I221,$I221))</f>
        <v/>
      </c>
      <c r="AN221" s="1" t="str">
        <f t="shared" si="215"/>
        <v/>
      </c>
      <c r="AO221" s="1" t="str">
        <f>IFERROR(IF($B221="","",AVERAGEIFS($L$2:L221,$I$2:I221,I221,$L$2:L221,"&lt;&gt;0")),0)</f>
        <v/>
      </c>
      <c r="AP221" s="1" t="str">
        <f t="shared" si="216"/>
        <v/>
      </c>
      <c r="AQ221" s="1" t="str">
        <f>IF($B221="","",COUNTIFS($R$2:R221,1,$I$2:I221,$I221))</f>
        <v/>
      </c>
      <c r="AR221" s="1" t="str">
        <f t="array" ref="AR221">IF($B221="","",SUMPRODUCT(--($B$2:$B$313=B221),--(AM221&lt;$AM$2:$AM$313))+1)</f>
        <v/>
      </c>
      <c r="AS221" s="1" t="str">
        <f t="array" ref="AS221">IF($B221="","",SUMPRODUCT(--($B$2:$B$313=B221),--(AP221&lt;$AP$2:$AP$313))+1)</f>
        <v/>
      </c>
      <c r="AT221" s="1" t="str">
        <f t="array" ref="AT221">IF($B221="","",SUMPRODUCT(--($B$2:$B$313=B221),--(AQ221&lt;$AQ$2:$AQ$313))+1)</f>
        <v/>
      </c>
      <c r="AU221" s="1" t="str">
        <f t="shared" si="217"/>
        <v/>
      </c>
      <c r="AV221" s="1" t="str">
        <f t="shared" si="218"/>
        <v/>
      </c>
      <c r="AW221" s="1" t="str">
        <f t="shared" si="190"/>
        <v/>
      </c>
      <c r="AX221" s="1" t="str">
        <f t="shared" si="219"/>
        <v/>
      </c>
      <c r="AY221" s="8" t="str">
        <f t="shared" si="220"/>
        <v/>
      </c>
      <c r="AZ221" s="1" t="str" cm="1">
        <f t="array" ref="AZ221">IF($B221="","",SUMPRODUCT(--($B$2:$B$313=B221),--(AY221&gt;$AY$2:$AY$313))+1)</f>
        <v/>
      </c>
      <c r="BA221" s="1" t="str">
        <f t="shared" si="221"/>
        <v/>
      </c>
      <c r="BB221" s="1" t="str">
        <f t="shared" si="222"/>
        <v/>
      </c>
      <c r="BC221" s="1" t="str">
        <f t="shared" si="223"/>
        <v/>
      </c>
      <c r="BD221" s="1" t="str">
        <f t="shared" si="224"/>
        <v/>
      </c>
      <c r="BE221" s="1" t="str">
        <f t="shared" si="225"/>
        <v/>
      </c>
      <c r="BF221" s="1" t="str">
        <f t="shared" si="226"/>
        <v/>
      </c>
      <c r="BG221" s="1" t="str">
        <f t="shared" si="227"/>
        <v/>
      </c>
      <c r="BH221" s="1" t="str">
        <f t="shared" si="228"/>
        <v/>
      </c>
      <c r="BI221" s="1" t="str">
        <f t="shared" si="229"/>
        <v/>
      </c>
      <c r="BJ221" s="1" t="str">
        <f t="shared" si="230"/>
        <v/>
      </c>
      <c r="BK221" s="1" t="str">
        <f t="shared" si="231"/>
        <v/>
      </c>
      <c r="BL221" s="1" t="str">
        <f t="shared" si="232"/>
        <v/>
      </c>
      <c r="BM221" s="1" t="str">
        <f t="shared" si="233"/>
        <v/>
      </c>
      <c r="BN221" s="1" t="str">
        <f t="shared" si="234"/>
        <v/>
      </c>
      <c r="BO221" s="1" t="str">
        <f t="shared" si="191"/>
        <v/>
      </c>
      <c r="BP221" s="1" t="str">
        <f t="shared" si="192"/>
        <v/>
      </c>
      <c r="BQ221" s="1" t="str" cm="1">
        <f t="array" ref="BQ221">IF(I221="","",IF(BP221=1,"",IF(L221=0,"",IF(B221=1,"",_xlfn.XLOOKUP(1,($I$2:$I$313=$I221)*($B$2:$B$313=($B221-1)),$BO$2:$BO$313)))))</f>
        <v/>
      </c>
      <c r="BR221" s="1" t="str">
        <f>IF(I221="","",IF($B221=1,_xlfn.MINIFS($BO$2:$BO$313,$B$2:$B$313,$B221),_xlfn.MINIFS(BQ$2:$BQ$313,$B$2:$B$313,$B221)))</f>
        <v/>
      </c>
      <c r="BS221" s="1" t="str">
        <f t="shared" si="235"/>
        <v/>
      </c>
      <c r="BT221" s="1" t="str" cm="1">
        <f t="array" ref="BT221">IF($I221="","",IF($B221=1,_xlfn.XLOOKUP(1,($B$2:$B$313=$B221)*($BO$2:$BO$313=BR221),Data!$I$2:$I$313,,0),_xlfn.XLOOKUP(1,($B$2:$B$313=$B221)*($BQ$2:$BQ$313=$BR221),$I$2:$I$313,,0)))</f>
        <v/>
      </c>
      <c r="BU221" s="1" t="str" cm="1">
        <f t="array" ref="BU221">IF(I221="","",IF($B221=1,_xlfn.XLOOKUP(1,($B$2:$B$313=$B221)*($BO$2:$BO$313=$BS221),$I$2:$I$313,,0),_xlfn.XLOOKUP(1,($B$2:$B$313=$B221)*($BQ$2:$BQ$313=$BS221),$I$2:$I$313,,0)))</f>
        <v/>
      </c>
      <c r="BV221" s="1" t="str" cm="1">
        <f t="array" ref="BV221">IF($I221="","",IF($B221=1,"",IF($B221=2,_xlfn.XLOOKUP(1,($B$2:$B$313=1)*($BO$2:$BO$313=1),$I$2:$I$313,,0),_xlfn.XLOOKUP($B221-1,$B$2:$B$313,$CH$2:$CH$313,,0))))</f>
        <v/>
      </c>
      <c r="BW221" s="1" t="str" cm="1">
        <f t="array" ref="BW221">IF($I221="","",IF($B221=1,"",IF(_xlfn.XLOOKUP(1,($B$2:$B$313=$B221)*($I$2:$I$313=$BV221),$BQ$2:$BQ$313,,0)="","NOK","OK")))</f>
        <v/>
      </c>
      <c r="BX221" s="1" t="str">
        <f t="shared" si="236"/>
        <v/>
      </c>
      <c r="BY221" s="1" t="str">
        <f t="shared" si="237"/>
        <v/>
      </c>
      <c r="BZ221" s="1" t="str">
        <f t="shared" si="238"/>
        <v/>
      </c>
      <c r="CA221" s="1" t="str">
        <f t="shared" si="239"/>
        <v/>
      </c>
      <c r="CB221" s="1" t="str">
        <f t="shared" si="240"/>
        <v/>
      </c>
      <c r="CC221" s="1" t="str">
        <f t="shared" si="241"/>
        <v/>
      </c>
      <c r="CD221" s="1" t="str">
        <f t="shared" si="242"/>
        <v/>
      </c>
      <c r="CE221" s="1" t="str">
        <f t="shared" si="243"/>
        <v/>
      </c>
      <c r="CF221" s="1" t="str">
        <f t="shared" si="244"/>
        <v/>
      </c>
      <c r="CG221" s="1" t="str">
        <f t="shared" si="245"/>
        <v/>
      </c>
      <c r="CH221" s="1" t="str">
        <f t="shared" si="246"/>
        <v/>
      </c>
      <c r="CI221" s="1" t="str">
        <f t="shared" si="247"/>
        <v/>
      </c>
      <c r="CJ221" s="1" t="str">
        <f>IF(B221="","",IF(SUM(AI221:AK221)&gt;0,"+SP","")&amp;IF(CI221&gt;0,"+KK","")&amp;IF(AB221&gt;0,"+KGP1","")&amp;IF(AC221&gt;0,"+KGP2","")&amp;IF(AG221&lt;0,"-KGP1","")&amp;IF(AH221&lt;0,"-KGP2",""))</f>
        <v/>
      </c>
    </row>
    <row r="222" spans="1:88" x14ac:dyDescent="0.25">
      <c r="A222" s="1">
        <f>IFERROR(IF(ROW(A221)=1,1,IF(1+A221&lt;=$CP$1*$CP$2,1+A221,"")),"")</f>
        <v>221</v>
      </c>
      <c r="B222" s="1" t="str">
        <f>IF($I222="","",IF(ROW(B221)=1,1,ROUNDUP(A222/$CP$2,0)))</f>
        <v/>
      </c>
      <c r="C222" s="4" t="str">
        <f t="shared" si="193"/>
        <v/>
      </c>
      <c r="D222" s="4" t="str">
        <f t="shared" si="187"/>
        <v/>
      </c>
      <c r="E222" s="1" t="str">
        <f>IF($B222="","",COUNTIF($B$2:B222,B222))</f>
        <v/>
      </c>
      <c r="F222" s="1" t="str">
        <f t="shared" si="188"/>
        <v/>
      </c>
      <c r="G222" s="1" t="str">
        <f t="shared" si="194"/>
        <v/>
      </c>
      <c r="H222" s="1">
        <f t="shared" si="195"/>
        <v>0</v>
      </c>
      <c r="I222" s="3"/>
      <c r="J222" s="3"/>
      <c r="K222" s="3"/>
      <c r="L222" s="1" t="str">
        <f t="shared" si="196"/>
        <v/>
      </c>
      <c r="M222" s="1" t="str">
        <f t="shared" si="197"/>
        <v/>
      </c>
      <c r="N222" s="1" t="str">
        <f t="shared" si="198"/>
        <v/>
      </c>
      <c r="O222" s="1" t="str">
        <f t="shared" si="199"/>
        <v/>
      </c>
      <c r="P222" s="1" t="str">
        <f t="shared" si="200"/>
        <v/>
      </c>
      <c r="Q222" s="1" t="str">
        <f t="array" ref="Q222">IF($B222="","",IF(MAX(IF(B222=$B$2:$B$313,$L$2:$L$313))-L222=0,"",MAX(IF(B222=$B$2:$B$313,$L$2:$L$313))-L222))</f>
        <v/>
      </c>
      <c r="R222" s="1" t="str">
        <f t="array" ref="R222">IF($B222="","",SUMPRODUCT(--($B$2:$B$313=B222),--(L222&lt;$L$2:$L$313))+1)</f>
        <v/>
      </c>
      <c r="S222" s="1" t="str">
        <f t="shared" si="201"/>
        <v/>
      </c>
      <c r="T222" s="1" t="str" cm="1">
        <f t="array" ref="T222">IF($B222="","",IF(M222=0,"",SUMPRODUCT(--($B$2:$B$313=B222),--(J222&lt;$J$2:$J$313))+1))</f>
        <v/>
      </c>
      <c r="U222" s="1" t="str">
        <f t="shared" si="202"/>
        <v/>
      </c>
      <c r="V222" s="1" t="str">
        <f t="shared" si="203"/>
        <v/>
      </c>
      <c r="W222" s="1" t="str">
        <f t="shared" si="204"/>
        <v/>
      </c>
      <c r="X222" s="1" t="str">
        <f t="shared" si="189"/>
        <v/>
      </c>
      <c r="Y222" s="1" t="str">
        <f>IF($B222="","",MAX(_xlfn.MAXIFS($J$2:J222,$I$2:I222,$I222),_xlfn.MAXIFS($K$2:K222,$I$2:I222,$I222)))</f>
        <v/>
      </c>
      <c r="Z222" s="1" t="str">
        <f t="shared" si="205"/>
        <v/>
      </c>
      <c r="AA222" s="1" t="str">
        <f t="shared" si="206"/>
        <v/>
      </c>
      <c r="AB222" s="1" t="str">
        <f t="shared" si="207"/>
        <v/>
      </c>
      <c r="AC222" s="1" t="str">
        <f t="shared" si="208"/>
        <v/>
      </c>
      <c r="AD222" s="1" t="str">
        <f>IF($B222="","",MIN(_xlfn.MINIFS($J$2:J222,$I$2:I222,$I222),_xlfn.MINIFS($K$2:K222,$I$2:I222,$I222)))</f>
        <v/>
      </c>
      <c r="AE222" s="1" t="str">
        <f t="shared" si="209"/>
        <v/>
      </c>
      <c r="AF222" s="1" t="str">
        <f t="shared" si="210"/>
        <v/>
      </c>
      <c r="AG222" s="1" t="str">
        <f t="shared" si="211"/>
        <v/>
      </c>
      <c r="AH222" s="1" t="str">
        <f t="shared" si="212"/>
        <v/>
      </c>
      <c r="AI222" s="1" t="str">
        <f ca="1">IF($B222="","",IF($K222="",0,OFFSET($CO$17,R222,W222)))</f>
        <v/>
      </c>
      <c r="AJ222" s="1" t="str">
        <f t="shared" ca="1" si="213"/>
        <v/>
      </c>
      <c r="AK222" s="1" t="str">
        <f ca="1">IF(AJ222="","",IF(AJ222=0,0,IF(W222=1,0,SUM(OFFSET($CO$17,N222,1):OFFSET($CO$17,N222+W222-2,1))/W222)))</f>
        <v/>
      </c>
      <c r="AL222" s="1" t="str">
        <f t="shared" si="214"/>
        <v/>
      </c>
      <c r="AM222" s="1" t="str">
        <f>IF($B222="","",SUMIFS($AL$2:AL222,$I$2:I222,$I222))</f>
        <v/>
      </c>
      <c r="AN222" s="1" t="str">
        <f t="shared" si="215"/>
        <v/>
      </c>
      <c r="AO222" s="1" t="str">
        <f>IFERROR(IF($B222="","",AVERAGEIFS($L$2:L222,$I$2:I222,I222,$L$2:L222,"&lt;&gt;0")),0)</f>
        <v/>
      </c>
      <c r="AP222" s="1" t="str">
        <f t="shared" si="216"/>
        <v/>
      </c>
      <c r="AQ222" s="1" t="str">
        <f>IF($B222="","",COUNTIFS($R$2:R222,1,$I$2:I222,$I222))</f>
        <v/>
      </c>
      <c r="AR222" s="1" t="str">
        <f t="array" ref="AR222">IF($B222="","",SUMPRODUCT(--($B$2:$B$313=B222),--(AM222&lt;$AM$2:$AM$313))+1)</f>
        <v/>
      </c>
      <c r="AS222" s="1" t="str">
        <f t="array" ref="AS222">IF($B222="","",SUMPRODUCT(--($B$2:$B$313=B222),--(AP222&lt;$AP$2:$AP$313))+1)</f>
        <v/>
      </c>
      <c r="AT222" s="1" t="str">
        <f t="array" ref="AT222">IF($B222="","",SUMPRODUCT(--($B$2:$B$313=B222),--(AQ222&lt;$AQ$2:$AQ$313))+1)</f>
        <v/>
      </c>
      <c r="AU222" s="1" t="str">
        <f t="shared" si="217"/>
        <v/>
      </c>
      <c r="AV222" s="1" t="str">
        <f t="shared" si="218"/>
        <v/>
      </c>
      <c r="AW222" s="1" t="str">
        <f t="shared" si="190"/>
        <v/>
      </c>
      <c r="AX222" s="1" t="str">
        <f t="shared" si="219"/>
        <v/>
      </c>
      <c r="AY222" s="8" t="str">
        <f t="shared" si="220"/>
        <v/>
      </c>
      <c r="AZ222" s="1" t="str" cm="1">
        <f t="array" ref="AZ222">IF($B222="","",SUMPRODUCT(--($B$2:$B$313=B222),--(AY222&gt;$AY$2:$AY$313))+1)</f>
        <v/>
      </c>
      <c r="BA222" s="1" t="str">
        <f t="shared" si="221"/>
        <v/>
      </c>
      <c r="BB222" s="1" t="str">
        <f t="shared" si="222"/>
        <v/>
      </c>
      <c r="BC222" s="1" t="str">
        <f t="shared" si="223"/>
        <v/>
      </c>
      <c r="BD222" s="1" t="str">
        <f t="shared" si="224"/>
        <v/>
      </c>
      <c r="BE222" s="1" t="str">
        <f t="shared" si="225"/>
        <v/>
      </c>
      <c r="BF222" s="1" t="str">
        <f t="shared" si="226"/>
        <v/>
      </c>
      <c r="BG222" s="1" t="str">
        <f t="shared" si="227"/>
        <v/>
      </c>
      <c r="BH222" s="1" t="str">
        <f t="shared" si="228"/>
        <v/>
      </c>
      <c r="BI222" s="1" t="str">
        <f t="shared" si="229"/>
        <v/>
      </c>
      <c r="BJ222" s="1" t="str">
        <f t="shared" si="230"/>
        <v/>
      </c>
      <c r="BK222" s="1" t="str">
        <f t="shared" si="231"/>
        <v/>
      </c>
      <c r="BL222" s="1" t="str">
        <f t="shared" si="232"/>
        <v/>
      </c>
      <c r="BM222" s="1" t="str">
        <f t="shared" si="233"/>
        <v/>
      </c>
      <c r="BN222" s="1" t="str">
        <f t="shared" si="234"/>
        <v/>
      </c>
      <c r="BO222" s="1" t="str">
        <f t="shared" si="191"/>
        <v/>
      </c>
      <c r="BP222" s="1" t="str">
        <f t="shared" si="192"/>
        <v/>
      </c>
      <c r="BQ222" s="1" t="str" cm="1">
        <f t="array" ref="BQ222">IF(I222="","",IF(BP222=1,"",IF(L222=0,"",IF(B222=1,"",_xlfn.XLOOKUP(1,($I$2:$I$313=$I222)*($B$2:$B$313=($B222-1)),$BO$2:$BO$313)))))</f>
        <v/>
      </c>
      <c r="BR222" s="1" t="str">
        <f>IF(I222="","",IF($B222=1,_xlfn.MINIFS($BO$2:$BO$313,$B$2:$B$313,$B222),_xlfn.MINIFS(BQ$2:$BQ$313,$B$2:$B$313,$B222)))</f>
        <v/>
      </c>
      <c r="BS222" s="1" t="str">
        <f t="shared" si="235"/>
        <v/>
      </c>
      <c r="BT222" s="1" t="str" cm="1">
        <f t="array" ref="BT222">IF($I222="","",IF($B222=1,_xlfn.XLOOKUP(1,($B$2:$B$313=$B222)*($BO$2:$BO$313=BR222),Data!$I$2:$I$313,,0),_xlfn.XLOOKUP(1,($B$2:$B$313=$B222)*($BQ$2:$BQ$313=$BR222),$I$2:$I$313,,0)))</f>
        <v/>
      </c>
      <c r="BU222" s="1" t="str" cm="1">
        <f t="array" ref="BU222">IF(I222="","",IF($B222=1,_xlfn.XLOOKUP(1,($B$2:$B$313=$B222)*($BO$2:$BO$313=$BS222),$I$2:$I$313,,0),_xlfn.XLOOKUP(1,($B$2:$B$313=$B222)*($BQ$2:$BQ$313=$BS222),$I$2:$I$313,,0)))</f>
        <v/>
      </c>
      <c r="BV222" s="1" t="str" cm="1">
        <f t="array" ref="BV222">IF($I222="","",IF($B222=1,"",IF($B222=2,_xlfn.XLOOKUP(1,($B$2:$B$313=1)*($BO$2:$BO$313=1),$I$2:$I$313,,0),_xlfn.XLOOKUP($B222-1,$B$2:$B$313,$CH$2:$CH$313,,0))))</f>
        <v/>
      </c>
      <c r="BW222" s="1" t="str" cm="1">
        <f t="array" ref="BW222">IF($I222="","",IF($B222=1,"",IF(_xlfn.XLOOKUP(1,($B$2:$B$313=$B222)*($I$2:$I$313=$BV222),$BQ$2:$BQ$313,,0)="","NOK","OK")))</f>
        <v/>
      </c>
      <c r="BX222" s="1" t="str">
        <f t="shared" si="236"/>
        <v/>
      </c>
      <c r="BY222" s="1" t="str">
        <f t="shared" si="237"/>
        <v/>
      </c>
      <c r="BZ222" s="1" t="str">
        <f t="shared" si="238"/>
        <v/>
      </c>
      <c r="CA222" s="1" t="str">
        <f t="shared" si="239"/>
        <v/>
      </c>
      <c r="CB222" s="1" t="str">
        <f t="shared" si="240"/>
        <v/>
      </c>
      <c r="CC222" s="1" t="str">
        <f t="shared" si="241"/>
        <v/>
      </c>
      <c r="CD222" s="1" t="str">
        <f t="shared" si="242"/>
        <v/>
      </c>
      <c r="CE222" s="1" t="str">
        <f t="shared" si="243"/>
        <v/>
      </c>
      <c r="CF222" s="1" t="str">
        <f t="shared" si="244"/>
        <v/>
      </c>
      <c r="CG222" s="1" t="str">
        <f t="shared" si="245"/>
        <v/>
      </c>
      <c r="CH222" s="1" t="str">
        <f t="shared" si="246"/>
        <v/>
      </c>
      <c r="CI222" s="1" t="str">
        <f t="shared" si="247"/>
        <v/>
      </c>
      <c r="CJ222" s="1" t="str">
        <f>IF(B222="","",IF(SUM(AI222:AK222)&gt;0,"+SP","")&amp;IF(CI222&gt;0,"+KK","")&amp;IF(AB222&gt;0,"+KGP1","")&amp;IF(AC222&gt;0,"+KGP2","")&amp;IF(AG222&lt;0,"-KGP1","")&amp;IF(AH222&lt;0,"-KGP2",""))</f>
        <v/>
      </c>
    </row>
    <row r="223" spans="1:88" x14ac:dyDescent="0.25">
      <c r="A223" s="1">
        <f>IFERROR(IF(ROW(A222)=1,1,IF(1+A222&lt;=$CP$1*$CP$2,1+A222,"")),"")</f>
        <v>222</v>
      </c>
      <c r="B223" s="1" t="str">
        <f>IF($I223="","",IF(ROW(B222)=1,1,ROUNDUP(A223/$CP$2,0)))</f>
        <v/>
      </c>
      <c r="C223" s="4" t="str">
        <f t="shared" si="193"/>
        <v/>
      </c>
      <c r="D223" s="4" t="str">
        <f t="shared" si="187"/>
        <v/>
      </c>
      <c r="E223" s="1" t="str">
        <f>IF($B223="","",COUNTIF($B$2:B223,B223))</f>
        <v/>
      </c>
      <c r="F223" s="1" t="str">
        <f t="shared" si="188"/>
        <v/>
      </c>
      <c r="G223" s="1" t="str">
        <f t="shared" si="194"/>
        <v/>
      </c>
      <c r="H223" s="1">
        <f t="shared" si="195"/>
        <v>0</v>
      </c>
      <c r="I223" s="3"/>
      <c r="J223" s="3"/>
      <c r="K223" s="3"/>
      <c r="L223" s="1" t="str">
        <f t="shared" si="196"/>
        <v/>
      </c>
      <c r="M223" s="1" t="str">
        <f t="shared" si="197"/>
        <v/>
      </c>
      <c r="N223" s="1" t="str">
        <f t="shared" si="198"/>
        <v/>
      </c>
      <c r="O223" s="1" t="str">
        <f t="shared" si="199"/>
        <v/>
      </c>
      <c r="P223" s="1" t="str">
        <f t="shared" si="200"/>
        <v/>
      </c>
      <c r="Q223" s="1" t="str">
        <f t="array" ref="Q223">IF($B223="","",IF(MAX(IF(B223=$B$2:$B$313,$L$2:$L$313))-L223=0,"",MAX(IF(B223=$B$2:$B$313,$L$2:$L$313))-L223))</f>
        <v/>
      </c>
      <c r="R223" s="1" t="str">
        <f t="array" ref="R223">IF($B223="","",SUMPRODUCT(--($B$2:$B$313=B223),--(L223&lt;$L$2:$L$313))+1)</f>
        <v/>
      </c>
      <c r="S223" s="1" t="str">
        <f t="shared" si="201"/>
        <v/>
      </c>
      <c r="T223" s="1" t="str" cm="1">
        <f t="array" ref="T223">IF($B223="","",IF(M223=0,"",SUMPRODUCT(--($B$2:$B$313=B223),--(J223&lt;$J$2:$J$313))+1))</f>
        <v/>
      </c>
      <c r="U223" s="1" t="str">
        <f t="shared" si="202"/>
        <v/>
      </c>
      <c r="V223" s="1" t="str">
        <f t="shared" si="203"/>
        <v/>
      </c>
      <c r="W223" s="1" t="str">
        <f t="shared" si="204"/>
        <v/>
      </c>
      <c r="X223" s="1" t="str">
        <f t="shared" si="189"/>
        <v/>
      </c>
      <c r="Y223" s="1" t="str">
        <f>IF($B223="","",MAX(_xlfn.MAXIFS($J$2:J223,$I$2:I223,$I223),_xlfn.MAXIFS($K$2:K223,$I$2:I223,$I223)))</f>
        <v/>
      </c>
      <c r="Z223" s="1" t="str">
        <f t="shared" si="205"/>
        <v/>
      </c>
      <c r="AA223" s="1" t="str">
        <f t="shared" si="206"/>
        <v/>
      </c>
      <c r="AB223" s="1" t="str">
        <f t="shared" si="207"/>
        <v/>
      </c>
      <c r="AC223" s="1" t="str">
        <f t="shared" si="208"/>
        <v/>
      </c>
      <c r="AD223" s="1" t="str">
        <f>IF($B223="","",MIN(_xlfn.MINIFS($J$2:J223,$I$2:I223,$I223),_xlfn.MINIFS($K$2:K223,$I$2:I223,$I223)))</f>
        <v/>
      </c>
      <c r="AE223" s="1" t="str">
        <f t="shared" si="209"/>
        <v/>
      </c>
      <c r="AF223" s="1" t="str">
        <f t="shared" si="210"/>
        <v/>
      </c>
      <c r="AG223" s="1" t="str">
        <f t="shared" si="211"/>
        <v/>
      </c>
      <c r="AH223" s="1" t="str">
        <f t="shared" si="212"/>
        <v/>
      </c>
      <c r="AI223" s="1" t="str">
        <f ca="1">IF($B223="","",IF($K223="",0,OFFSET($CO$17,R223,W223)))</f>
        <v/>
      </c>
      <c r="AJ223" s="1" t="str">
        <f t="shared" ca="1" si="213"/>
        <v/>
      </c>
      <c r="AK223" s="1" t="str">
        <f ca="1">IF(AJ223="","",IF(AJ223=0,0,IF(W223=1,0,SUM(OFFSET($CO$17,N223,1):OFFSET($CO$17,N223+W223-2,1))/W223)))</f>
        <v/>
      </c>
      <c r="AL223" s="1" t="str">
        <f t="shared" si="214"/>
        <v/>
      </c>
      <c r="AM223" s="1" t="str">
        <f>IF($B223="","",SUMIFS($AL$2:AL223,$I$2:I223,$I223))</f>
        <v/>
      </c>
      <c r="AN223" s="1" t="str">
        <f t="shared" si="215"/>
        <v/>
      </c>
      <c r="AO223" s="1" t="str">
        <f>IFERROR(IF($B223="","",AVERAGEIFS($L$2:L223,$I$2:I223,I223,$L$2:L223,"&lt;&gt;0")),0)</f>
        <v/>
      </c>
      <c r="AP223" s="1" t="str">
        <f t="shared" si="216"/>
        <v/>
      </c>
      <c r="AQ223" s="1" t="str">
        <f>IF($B223="","",COUNTIFS($R$2:R223,1,$I$2:I223,$I223))</f>
        <v/>
      </c>
      <c r="AR223" s="1" t="str">
        <f t="array" ref="AR223">IF($B223="","",SUMPRODUCT(--($B$2:$B$313=B223),--(AM223&lt;$AM$2:$AM$313))+1)</f>
        <v/>
      </c>
      <c r="AS223" s="1" t="str">
        <f t="array" ref="AS223">IF($B223="","",SUMPRODUCT(--($B$2:$B$313=B223),--(AP223&lt;$AP$2:$AP$313))+1)</f>
        <v/>
      </c>
      <c r="AT223" s="1" t="str">
        <f t="array" ref="AT223">IF($B223="","",SUMPRODUCT(--($B$2:$B$313=B223),--(AQ223&lt;$AQ$2:$AQ$313))+1)</f>
        <v/>
      </c>
      <c r="AU223" s="1" t="str">
        <f t="shared" si="217"/>
        <v/>
      </c>
      <c r="AV223" s="1" t="str">
        <f t="shared" si="218"/>
        <v/>
      </c>
      <c r="AW223" s="1" t="str">
        <f t="shared" si="190"/>
        <v/>
      </c>
      <c r="AX223" s="1" t="str">
        <f t="shared" si="219"/>
        <v/>
      </c>
      <c r="AY223" s="8" t="str">
        <f t="shared" si="220"/>
        <v/>
      </c>
      <c r="AZ223" s="1" t="str" cm="1">
        <f t="array" ref="AZ223">IF($B223="","",SUMPRODUCT(--($B$2:$B$313=B223),--(AY223&gt;$AY$2:$AY$313))+1)</f>
        <v/>
      </c>
      <c r="BA223" s="1" t="str">
        <f t="shared" si="221"/>
        <v/>
      </c>
      <c r="BB223" s="1" t="str">
        <f t="shared" si="222"/>
        <v/>
      </c>
      <c r="BC223" s="1" t="str">
        <f t="shared" si="223"/>
        <v/>
      </c>
      <c r="BD223" s="1" t="str">
        <f t="shared" si="224"/>
        <v/>
      </c>
      <c r="BE223" s="1" t="str">
        <f t="shared" si="225"/>
        <v/>
      </c>
      <c r="BF223" s="1" t="str">
        <f t="shared" si="226"/>
        <v/>
      </c>
      <c r="BG223" s="1" t="str">
        <f t="shared" si="227"/>
        <v/>
      </c>
      <c r="BH223" s="1" t="str">
        <f t="shared" si="228"/>
        <v/>
      </c>
      <c r="BI223" s="1" t="str">
        <f t="shared" si="229"/>
        <v/>
      </c>
      <c r="BJ223" s="1" t="str">
        <f t="shared" si="230"/>
        <v/>
      </c>
      <c r="BK223" s="1" t="str">
        <f t="shared" si="231"/>
        <v/>
      </c>
      <c r="BL223" s="1" t="str">
        <f t="shared" si="232"/>
        <v/>
      </c>
      <c r="BM223" s="1" t="str">
        <f t="shared" si="233"/>
        <v/>
      </c>
      <c r="BN223" s="1" t="str">
        <f t="shared" si="234"/>
        <v/>
      </c>
      <c r="BO223" s="1" t="str">
        <f t="shared" si="191"/>
        <v/>
      </c>
      <c r="BP223" s="1" t="str">
        <f t="shared" si="192"/>
        <v/>
      </c>
      <c r="BQ223" s="1" t="str" cm="1">
        <f t="array" ref="BQ223">IF(I223="","",IF(BP223=1,"",IF(L223=0,"",IF(B223=1,"",_xlfn.XLOOKUP(1,($I$2:$I$313=$I223)*($B$2:$B$313=($B223-1)),$BO$2:$BO$313)))))</f>
        <v/>
      </c>
      <c r="BR223" s="1" t="str">
        <f>IF(I223="","",IF($B223=1,_xlfn.MINIFS($BO$2:$BO$313,$B$2:$B$313,$B223),_xlfn.MINIFS(BQ$2:$BQ$313,$B$2:$B$313,$B223)))</f>
        <v/>
      </c>
      <c r="BS223" s="1" t="str">
        <f t="shared" si="235"/>
        <v/>
      </c>
      <c r="BT223" s="1" t="str" cm="1">
        <f t="array" ref="BT223">IF($I223="","",IF($B223=1,_xlfn.XLOOKUP(1,($B$2:$B$313=$B223)*($BO$2:$BO$313=BR223),Data!$I$2:$I$313,,0),_xlfn.XLOOKUP(1,($B$2:$B$313=$B223)*($BQ$2:$BQ$313=$BR223),$I$2:$I$313,,0)))</f>
        <v/>
      </c>
      <c r="BU223" s="1" t="str" cm="1">
        <f t="array" ref="BU223">IF(I223="","",IF($B223=1,_xlfn.XLOOKUP(1,($B$2:$B$313=$B223)*($BO$2:$BO$313=$BS223),$I$2:$I$313,,0),_xlfn.XLOOKUP(1,($B$2:$B$313=$B223)*($BQ$2:$BQ$313=$BS223),$I$2:$I$313,,0)))</f>
        <v/>
      </c>
      <c r="BV223" s="1" t="str" cm="1">
        <f t="array" ref="BV223">IF($I223="","",IF($B223=1,"",IF($B223=2,_xlfn.XLOOKUP(1,($B$2:$B$313=1)*($BO$2:$BO$313=1),$I$2:$I$313,,0),_xlfn.XLOOKUP($B223-1,$B$2:$B$313,$CH$2:$CH$313,,0))))</f>
        <v/>
      </c>
      <c r="BW223" s="1" t="str" cm="1">
        <f t="array" ref="BW223">IF($I223="","",IF($B223=1,"",IF(_xlfn.XLOOKUP(1,($B$2:$B$313=$B223)*($I$2:$I$313=$BV223),$BQ$2:$BQ$313,,0)="","NOK","OK")))</f>
        <v/>
      </c>
      <c r="BX223" s="1" t="str">
        <f t="shared" si="236"/>
        <v/>
      </c>
      <c r="BY223" s="1" t="str">
        <f t="shared" si="237"/>
        <v/>
      </c>
      <c r="BZ223" s="1" t="str">
        <f t="shared" si="238"/>
        <v/>
      </c>
      <c r="CA223" s="1" t="str">
        <f t="shared" si="239"/>
        <v/>
      </c>
      <c r="CB223" s="1" t="str">
        <f t="shared" si="240"/>
        <v/>
      </c>
      <c r="CC223" s="1" t="str">
        <f t="shared" si="241"/>
        <v/>
      </c>
      <c r="CD223" s="1" t="str">
        <f t="shared" si="242"/>
        <v/>
      </c>
      <c r="CE223" s="1" t="str">
        <f t="shared" si="243"/>
        <v/>
      </c>
      <c r="CF223" s="1" t="str">
        <f t="shared" si="244"/>
        <v/>
      </c>
      <c r="CG223" s="1" t="str">
        <f t="shared" si="245"/>
        <v/>
      </c>
      <c r="CH223" s="1" t="str">
        <f t="shared" si="246"/>
        <v/>
      </c>
      <c r="CI223" s="1" t="str">
        <f t="shared" si="247"/>
        <v/>
      </c>
      <c r="CJ223" s="1" t="str">
        <f>IF(B223="","",IF(SUM(AI223:AK223)&gt;0,"+SP","")&amp;IF(CI223&gt;0,"+KK","")&amp;IF(AB223&gt;0,"+KGP1","")&amp;IF(AC223&gt;0,"+KGP2","")&amp;IF(AG223&lt;0,"-KGP1","")&amp;IF(AH223&lt;0,"-KGP2",""))</f>
        <v/>
      </c>
    </row>
    <row r="224" spans="1:88" x14ac:dyDescent="0.25">
      <c r="A224" s="1">
        <f>IFERROR(IF(ROW(A223)=1,1,IF(1+A223&lt;=$CP$1*$CP$2,1+A223,"")),"")</f>
        <v>223</v>
      </c>
      <c r="B224" s="1" t="str">
        <f>IF($I224="","",IF(ROW(B223)=1,1,ROUNDUP(A224/$CP$2,0)))</f>
        <v/>
      </c>
      <c r="C224" s="4" t="str">
        <f t="shared" si="193"/>
        <v/>
      </c>
      <c r="D224" s="4" t="str">
        <f t="shared" si="187"/>
        <v/>
      </c>
      <c r="E224" s="1" t="str">
        <f>IF($B224="","",COUNTIF($B$2:B224,B224))</f>
        <v/>
      </c>
      <c r="F224" s="1" t="str">
        <f t="shared" si="188"/>
        <v/>
      </c>
      <c r="G224" s="1" t="str">
        <f t="shared" si="194"/>
        <v/>
      </c>
      <c r="H224" s="1">
        <f t="shared" si="195"/>
        <v>0</v>
      </c>
      <c r="I224" s="3"/>
      <c r="J224" s="3"/>
      <c r="K224" s="3"/>
      <c r="L224" s="1" t="str">
        <f t="shared" si="196"/>
        <v/>
      </c>
      <c r="M224" s="1" t="str">
        <f t="shared" si="197"/>
        <v/>
      </c>
      <c r="N224" s="1" t="str">
        <f t="shared" si="198"/>
        <v/>
      </c>
      <c r="O224" s="1" t="str">
        <f t="shared" si="199"/>
        <v/>
      </c>
      <c r="P224" s="1" t="str">
        <f t="shared" si="200"/>
        <v/>
      </c>
      <c r="Q224" s="1" t="str">
        <f t="array" ref="Q224">IF($B224="","",IF(MAX(IF(B224=$B$2:$B$313,$L$2:$L$313))-L224=0,"",MAX(IF(B224=$B$2:$B$313,$L$2:$L$313))-L224))</f>
        <v/>
      </c>
      <c r="R224" s="1" t="str">
        <f t="array" ref="R224">IF($B224="","",SUMPRODUCT(--($B$2:$B$313=B224),--(L224&lt;$L$2:$L$313))+1)</f>
        <v/>
      </c>
      <c r="S224" s="1" t="str">
        <f t="shared" si="201"/>
        <v/>
      </c>
      <c r="T224" s="1" t="str" cm="1">
        <f t="array" ref="T224">IF($B224="","",IF(M224=0,"",SUMPRODUCT(--($B$2:$B$313=B224),--(J224&lt;$J$2:$J$313))+1))</f>
        <v/>
      </c>
      <c r="U224" s="1" t="str">
        <f t="shared" si="202"/>
        <v/>
      </c>
      <c r="V224" s="1" t="str">
        <f t="shared" si="203"/>
        <v/>
      </c>
      <c r="W224" s="1" t="str">
        <f t="shared" si="204"/>
        <v/>
      </c>
      <c r="X224" s="1" t="str">
        <f t="shared" si="189"/>
        <v/>
      </c>
      <c r="Y224" s="1" t="str">
        <f>IF($B224="","",MAX(_xlfn.MAXIFS($J$2:J224,$I$2:I224,$I224),_xlfn.MAXIFS($K$2:K224,$I$2:I224,$I224)))</f>
        <v/>
      </c>
      <c r="Z224" s="1" t="str">
        <f t="shared" si="205"/>
        <v/>
      </c>
      <c r="AA224" s="1" t="str">
        <f t="shared" si="206"/>
        <v/>
      </c>
      <c r="AB224" s="1" t="str">
        <f t="shared" si="207"/>
        <v/>
      </c>
      <c r="AC224" s="1" t="str">
        <f t="shared" si="208"/>
        <v/>
      </c>
      <c r="AD224" s="1" t="str">
        <f>IF($B224="","",MIN(_xlfn.MINIFS($J$2:J224,$I$2:I224,$I224),_xlfn.MINIFS($K$2:K224,$I$2:I224,$I224)))</f>
        <v/>
      </c>
      <c r="AE224" s="1" t="str">
        <f t="shared" si="209"/>
        <v/>
      </c>
      <c r="AF224" s="1" t="str">
        <f t="shared" si="210"/>
        <v/>
      </c>
      <c r="AG224" s="1" t="str">
        <f t="shared" si="211"/>
        <v/>
      </c>
      <c r="AH224" s="1" t="str">
        <f t="shared" si="212"/>
        <v/>
      </c>
      <c r="AI224" s="1" t="str">
        <f ca="1">IF($B224="","",IF($K224="",0,OFFSET($CO$17,R224,W224)))</f>
        <v/>
      </c>
      <c r="AJ224" s="1" t="str">
        <f t="shared" ca="1" si="213"/>
        <v/>
      </c>
      <c r="AK224" s="1" t="str">
        <f ca="1">IF(AJ224="","",IF(AJ224=0,0,IF(W224=1,0,SUM(OFFSET($CO$17,N224,1):OFFSET($CO$17,N224+W224-2,1))/W224)))</f>
        <v/>
      </c>
      <c r="AL224" s="1" t="str">
        <f t="shared" si="214"/>
        <v/>
      </c>
      <c r="AM224" s="1" t="str">
        <f>IF($B224="","",SUMIFS($AL$2:AL224,$I$2:I224,$I224))</f>
        <v/>
      </c>
      <c r="AN224" s="1" t="str">
        <f t="shared" si="215"/>
        <v/>
      </c>
      <c r="AO224" s="1" t="str">
        <f>IFERROR(IF($B224="","",AVERAGEIFS($L$2:L224,$I$2:I224,I224,$L$2:L224,"&lt;&gt;0")),0)</f>
        <v/>
      </c>
      <c r="AP224" s="1" t="str">
        <f t="shared" si="216"/>
        <v/>
      </c>
      <c r="AQ224" s="1" t="str">
        <f>IF($B224="","",COUNTIFS($R$2:R224,1,$I$2:I224,$I224))</f>
        <v/>
      </c>
      <c r="AR224" s="1" t="str">
        <f t="array" ref="AR224">IF($B224="","",SUMPRODUCT(--($B$2:$B$313=B224),--(AM224&lt;$AM$2:$AM$313))+1)</f>
        <v/>
      </c>
      <c r="AS224" s="1" t="str">
        <f t="array" ref="AS224">IF($B224="","",SUMPRODUCT(--($B$2:$B$313=B224),--(AP224&lt;$AP$2:$AP$313))+1)</f>
        <v/>
      </c>
      <c r="AT224" s="1" t="str">
        <f t="array" ref="AT224">IF($B224="","",SUMPRODUCT(--($B$2:$B$313=B224),--(AQ224&lt;$AQ$2:$AQ$313))+1)</f>
        <v/>
      </c>
      <c r="AU224" s="1" t="str">
        <f t="shared" si="217"/>
        <v/>
      </c>
      <c r="AV224" s="1" t="str">
        <f t="shared" si="218"/>
        <v/>
      </c>
      <c r="AW224" s="1" t="str">
        <f t="shared" si="190"/>
        <v/>
      </c>
      <c r="AX224" s="1" t="str">
        <f t="shared" si="219"/>
        <v/>
      </c>
      <c r="AY224" s="8" t="str">
        <f t="shared" si="220"/>
        <v/>
      </c>
      <c r="AZ224" s="1" t="str" cm="1">
        <f t="array" ref="AZ224">IF($B224="","",SUMPRODUCT(--($B$2:$B$313=B224),--(AY224&gt;$AY$2:$AY$313))+1)</f>
        <v/>
      </c>
      <c r="BA224" s="1" t="str">
        <f t="shared" si="221"/>
        <v/>
      </c>
      <c r="BB224" s="1" t="str">
        <f t="shared" si="222"/>
        <v/>
      </c>
      <c r="BC224" s="1" t="str">
        <f t="shared" si="223"/>
        <v/>
      </c>
      <c r="BD224" s="1" t="str">
        <f t="shared" si="224"/>
        <v/>
      </c>
      <c r="BE224" s="1" t="str">
        <f t="shared" si="225"/>
        <v/>
      </c>
      <c r="BF224" s="1" t="str">
        <f t="shared" si="226"/>
        <v/>
      </c>
      <c r="BG224" s="1" t="str">
        <f t="shared" si="227"/>
        <v/>
      </c>
      <c r="BH224" s="1" t="str">
        <f t="shared" si="228"/>
        <v/>
      </c>
      <c r="BI224" s="1" t="str">
        <f t="shared" si="229"/>
        <v/>
      </c>
      <c r="BJ224" s="1" t="str">
        <f t="shared" si="230"/>
        <v/>
      </c>
      <c r="BK224" s="1" t="str">
        <f t="shared" si="231"/>
        <v/>
      </c>
      <c r="BL224" s="1" t="str">
        <f t="shared" si="232"/>
        <v/>
      </c>
      <c r="BM224" s="1" t="str">
        <f t="shared" si="233"/>
        <v/>
      </c>
      <c r="BN224" s="1" t="str">
        <f t="shared" si="234"/>
        <v/>
      </c>
      <c r="BO224" s="1" t="str">
        <f t="shared" si="191"/>
        <v/>
      </c>
      <c r="BP224" s="1" t="str">
        <f t="shared" si="192"/>
        <v/>
      </c>
      <c r="BQ224" s="1" t="str" cm="1">
        <f t="array" ref="BQ224">IF(I224="","",IF(BP224=1,"",IF(L224=0,"",IF(B224=1,"",_xlfn.XLOOKUP(1,($I$2:$I$313=$I224)*($B$2:$B$313=($B224-1)),$BO$2:$BO$313)))))</f>
        <v/>
      </c>
      <c r="BR224" s="1" t="str">
        <f>IF(I224="","",IF($B224=1,_xlfn.MINIFS($BO$2:$BO$313,$B$2:$B$313,$B224),_xlfn.MINIFS(BQ$2:$BQ$313,$B$2:$B$313,$B224)))</f>
        <v/>
      </c>
      <c r="BS224" s="1" t="str">
        <f t="shared" si="235"/>
        <v/>
      </c>
      <c r="BT224" s="1" t="str" cm="1">
        <f t="array" ref="BT224">IF($I224="","",IF($B224=1,_xlfn.XLOOKUP(1,($B$2:$B$313=$B224)*($BO$2:$BO$313=BR224),Data!$I$2:$I$313,,0),_xlfn.XLOOKUP(1,($B$2:$B$313=$B224)*($BQ$2:$BQ$313=$BR224),$I$2:$I$313,,0)))</f>
        <v/>
      </c>
      <c r="BU224" s="1" t="str" cm="1">
        <f t="array" ref="BU224">IF(I224="","",IF($B224=1,_xlfn.XLOOKUP(1,($B$2:$B$313=$B224)*($BO$2:$BO$313=$BS224),$I$2:$I$313,,0),_xlfn.XLOOKUP(1,($B$2:$B$313=$B224)*($BQ$2:$BQ$313=$BS224),$I$2:$I$313,,0)))</f>
        <v/>
      </c>
      <c r="BV224" s="1" t="str" cm="1">
        <f t="array" ref="BV224">IF($I224="","",IF($B224=1,"",IF($B224=2,_xlfn.XLOOKUP(1,($B$2:$B$313=1)*($BO$2:$BO$313=1),$I$2:$I$313,,0),_xlfn.XLOOKUP($B224-1,$B$2:$B$313,$CH$2:$CH$313,,0))))</f>
        <v/>
      </c>
      <c r="BW224" s="1" t="str" cm="1">
        <f t="array" ref="BW224">IF($I224="","",IF($B224=1,"",IF(_xlfn.XLOOKUP(1,($B$2:$B$313=$B224)*($I$2:$I$313=$BV224),$BQ$2:$BQ$313,,0)="","NOK","OK")))</f>
        <v/>
      </c>
      <c r="BX224" s="1" t="str">
        <f t="shared" si="236"/>
        <v/>
      </c>
      <c r="BY224" s="1" t="str">
        <f t="shared" si="237"/>
        <v/>
      </c>
      <c r="BZ224" s="1" t="str">
        <f t="shared" si="238"/>
        <v/>
      </c>
      <c r="CA224" s="1" t="str">
        <f t="shared" si="239"/>
        <v/>
      </c>
      <c r="CB224" s="1" t="str">
        <f t="shared" si="240"/>
        <v/>
      </c>
      <c r="CC224" s="1" t="str">
        <f t="shared" si="241"/>
        <v/>
      </c>
      <c r="CD224" s="1" t="str">
        <f t="shared" si="242"/>
        <v/>
      </c>
      <c r="CE224" s="1" t="str">
        <f t="shared" si="243"/>
        <v/>
      </c>
      <c r="CF224" s="1" t="str">
        <f t="shared" si="244"/>
        <v/>
      </c>
      <c r="CG224" s="1" t="str">
        <f t="shared" si="245"/>
        <v/>
      </c>
      <c r="CH224" s="1" t="str">
        <f t="shared" si="246"/>
        <v/>
      </c>
      <c r="CI224" s="1" t="str">
        <f t="shared" si="247"/>
        <v/>
      </c>
      <c r="CJ224" s="1" t="str">
        <f>IF(B224="","",IF(SUM(AI224:AK224)&gt;0,"+SP","")&amp;IF(CI224&gt;0,"+KK","")&amp;IF(AB224&gt;0,"+KGP1","")&amp;IF(AC224&gt;0,"+KGP2","")&amp;IF(AG224&lt;0,"-KGP1","")&amp;IF(AH224&lt;0,"-KGP2",""))</f>
        <v/>
      </c>
    </row>
    <row r="225" spans="1:88" x14ac:dyDescent="0.25">
      <c r="A225" s="1">
        <f>IFERROR(IF(ROW(A224)=1,1,IF(1+A224&lt;=$CP$1*$CP$2,1+A224,"")),"")</f>
        <v>224</v>
      </c>
      <c r="B225" s="1" t="str">
        <f>IF($I225="","",IF(ROW(B224)=1,1,ROUNDUP(A225/$CP$2,0)))</f>
        <v/>
      </c>
      <c r="C225" s="4" t="str">
        <f t="shared" si="193"/>
        <v/>
      </c>
      <c r="D225" s="4" t="str">
        <f t="shared" si="187"/>
        <v/>
      </c>
      <c r="E225" s="1" t="str">
        <f>IF($B225="","",COUNTIF($B$2:B225,B225))</f>
        <v/>
      </c>
      <c r="F225" s="1" t="str">
        <f t="shared" si="188"/>
        <v/>
      </c>
      <c r="G225" s="1" t="str">
        <f t="shared" si="194"/>
        <v/>
      </c>
      <c r="H225" s="1">
        <f t="shared" si="195"/>
        <v>0</v>
      </c>
      <c r="I225" s="3"/>
      <c r="J225" s="3"/>
      <c r="K225" s="3"/>
      <c r="L225" s="1" t="str">
        <f t="shared" si="196"/>
        <v/>
      </c>
      <c r="M225" s="1" t="str">
        <f t="shared" si="197"/>
        <v/>
      </c>
      <c r="N225" s="1" t="str">
        <f t="shared" si="198"/>
        <v/>
      </c>
      <c r="O225" s="1" t="str">
        <f t="shared" si="199"/>
        <v/>
      </c>
      <c r="P225" s="1" t="str">
        <f t="shared" si="200"/>
        <v/>
      </c>
      <c r="Q225" s="1" t="str">
        <f t="array" ref="Q225">IF($B225="","",IF(MAX(IF(B225=$B$2:$B$313,$L$2:$L$313))-L225=0,"",MAX(IF(B225=$B$2:$B$313,$L$2:$L$313))-L225))</f>
        <v/>
      </c>
      <c r="R225" s="1" t="str">
        <f t="array" ref="R225">IF($B225="","",SUMPRODUCT(--($B$2:$B$313=B225),--(L225&lt;$L$2:$L$313))+1)</f>
        <v/>
      </c>
      <c r="S225" s="1" t="str">
        <f t="shared" si="201"/>
        <v/>
      </c>
      <c r="T225" s="1" t="str" cm="1">
        <f t="array" ref="T225">IF($B225="","",IF(M225=0,"",SUMPRODUCT(--($B$2:$B$313=B225),--(J225&lt;$J$2:$J$313))+1))</f>
        <v/>
      </c>
      <c r="U225" s="1" t="str">
        <f t="shared" si="202"/>
        <v/>
      </c>
      <c r="V225" s="1" t="str">
        <f t="shared" si="203"/>
        <v/>
      </c>
      <c r="W225" s="1" t="str">
        <f t="shared" si="204"/>
        <v/>
      </c>
      <c r="X225" s="1" t="str">
        <f t="shared" si="189"/>
        <v/>
      </c>
      <c r="Y225" s="1" t="str">
        <f>IF($B225="","",MAX(_xlfn.MAXIFS($J$2:J225,$I$2:I225,$I225),_xlfn.MAXIFS($K$2:K225,$I$2:I225,$I225)))</f>
        <v/>
      </c>
      <c r="Z225" s="1" t="str">
        <f t="shared" si="205"/>
        <v/>
      </c>
      <c r="AA225" s="1" t="str">
        <f t="shared" si="206"/>
        <v/>
      </c>
      <c r="AB225" s="1" t="str">
        <f t="shared" si="207"/>
        <v/>
      </c>
      <c r="AC225" s="1" t="str">
        <f t="shared" si="208"/>
        <v/>
      </c>
      <c r="AD225" s="1" t="str">
        <f>IF($B225="","",MIN(_xlfn.MINIFS($J$2:J225,$I$2:I225,$I225),_xlfn.MINIFS($K$2:K225,$I$2:I225,$I225)))</f>
        <v/>
      </c>
      <c r="AE225" s="1" t="str">
        <f t="shared" si="209"/>
        <v/>
      </c>
      <c r="AF225" s="1" t="str">
        <f t="shared" si="210"/>
        <v/>
      </c>
      <c r="AG225" s="1" t="str">
        <f t="shared" si="211"/>
        <v/>
      </c>
      <c r="AH225" s="1" t="str">
        <f t="shared" si="212"/>
        <v/>
      </c>
      <c r="AI225" s="1" t="str">
        <f ca="1">IF($B225="","",IF($K225="",0,OFFSET($CO$17,R225,W225)))</f>
        <v/>
      </c>
      <c r="AJ225" s="1" t="str">
        <f t="shared" ca="1" si="213"/>
        <v/>
      </c>
      <c r="AK225" s="1" t="str">
        <f ca="1">IF(AJ225="","",IF(AJ225=0,0,IF(W225=1,0,SUM(OFFSET($CO$17,N225,1):OFFSET($CO$17,N225+W225-2,1))/W225)))</f>
        <v/>
      </c>
      <c r="AL225" s="1" t="str">
        <f t="shared" si="214"/>
        <v/>
      </c>
      <c r="AM225" s="1" t="str">
        <f>IF($B225="","",SUMIFS($AL$2:AL225,$I$2:I225,$I225))</f>
        <v/>
      </c>
      <c r="AN225" s="1" t="str">
        <f t="shared" si="215"/>
        <v/>
      </c>
      <c r="AO225" s="1" t="str">
        <f>IFERROR(IF($B225="","",AVERAGEIFS($L$2:L225,$I$2:I225,I225,$L$2:L225,"&lt;&gt;0")),0)</f>
        <v/>
      </c>
      <c r="AP225" s="1" t="str">
        <f t="shared" si="216"/>
        <v/>
      </c>
      <c r="AQ225" s="1" t="str">
        <f>IF($B225="","",COUNTIFS($R$2:R225,1,$I$2:I225,$I225))</f>
        <v/>
      </c>
      <c r="AR225" s="1" t="str">
        <f t="array" ref="AR225">IF($B225="","",SUMPRODUCT(--($B$2:$B$313=B225),--(AM225&lt;$AM$2:$AM$313))+1)</f>
        <v/>
      </c>
      <c r="AS225" s="1" t="str">
        <f t="array" ref="AS225">IF($B225="","",SUMPRODUCT(--($B$2:$B$313=B225),--(AP225&lt;$AP$2:$AP$313))+1)</f>
        <v/>
      </c>
      <c r="AT225" s="1" t="str">
        <f t="array" ref="AT225">IF($B225="","",SUMPRODUCT(--($B$2:$B$313=B225),--(AQ225&lt;$AQ$2:$AQ$313))+1)</f>
        <v/>
      </c>
      <c r="AU225" s="1" t="str">
        <f t="shared" si="217"/>
        <v/>
      </c>
      <c r="AV225" s="1" t="str">
        <f t="shared" si="218"/>
        <v/>
      </c>
      <c r="AW225" s="1" t="str">
        <f t="shared" si="190"/>
        <v/>
      </c>
      <c r="AX225" s="1" t="str">
        <f t="shared" si="219"/>
        <v/>
      </c>
      <c r="AY225" s="8" t="str">
        <f t="shared" si="220"/>
        <v/>
      </c>
      <c r="AZ225" s="1" t="str" cm="1">
        <f t="array" ref="AZ225">IF($B225="","",SUMPRODUCT(--($B$2:$B$313=B225),--(AY225&gt;$AY$2:$AY$313))+1)</f>
        <v/>
      </c>
      <c r="BA225" s="1" t="str">
        <f t="shared" si="221"/>
        <v/>
      </c>
      <c r="BB225" s="1" t="str">
        <f t="shared" si="222"/>
        <v/>
      </c>
      <c r="BC225" s="1" t="str">
        <f t="shared" si="223"/>
        <v/>
      </c>
      <c r="BD225" s="1" t="str">
        <f t="shared" si="224"/>
        <v/>
      </c>
      <c r="BE225" s="1" t="str">
        <f t="shared" si="225"/>
        <v/>
      </c>
      <c r="BF225" s="1" t="str">
        <f t="shared" si="226"/>
        <v/>
      </c>
      <c r="BG225" s="1" t="str">
        <f t="shared" si="227"/>
        <v/>
      </c>
      <c r="BH225" s="1" t="str">
        <f t="shared" si="228"/>
        <v/>
      </c>
      <c r="BI225" s="1" t="str">
        <f t="shared" si="229"/>
        <v/>
      </c>
      <c r="BJ225" s="1" t="str">
        <f t="shared" si="230"/>
        <v/>
      </c>
      <c r="BK225" s="1" t="str">
        <f t="shared" si="231"/>
        <v/>
      </c>
      <c r="BL225" s="1" t="str">
        <f t="shared" si="232"/>
        <v/>
      </c>
      <c r="BM225" s="1" t="str">
        <f t="shared" si="233"/>
        <v/>
      </c>
      <c r="BN225" s="1" t="str">
        <f t="shared" si="234"/>
        <v/>
      </c>
      <c r="BO225" s="1" t="str">
        <f t="shared" si="191"/>
        <v/>
      </c>
      <c r="BP225" s="1" t="str">
        <f t="shared" si="192"/>
        <v/>
      </c>
      <c r="BQ225" s="1" t="str" cm="1">
        <f t="array" ref="BQ225">IF(I225="","",IF(BP225=1,"",IF(L225=0,"",IF(B225=1,"",_xlfn.XLOOKUP(1,($I$2:$I$313=$I225)*($B$2:$B$313=($B225-1)),$BO$2:$BO$313)))))</f>
        <v/>
      </c>
      <c r="BR225" s="1" t="str">
        <f>IF(I225="","",IF($B225=1,_xlfn.MINIFS($BO$2:$BO$313,$B$2:$B$313,$B225),_xlfn.MINIFS(BQ$2:$BQ$313,$B$2:$B$313,$B225)))</f>
        <v/>
      </c>
      <c r="BS225" s="1" t="str">
        <f t="shared" si="235"/>
        <v/>
      </c>
      <c r="BT225" s="1" t="str" cm="1">
        <f t="array" ref="BT225">IF($I225="","",IF($B225=1,_xlfn.XLOOKUP(1,($B$2:$B$313=$B225)*($BO$2:$BO$313=BR225),Data!$I$2:$I$313,,0),_xlfn.XLOOKUP(1,($B$2:$B$313=$B225)*($BQ$2:$BQ$313=$BR225),$I$2:$I$313,,0)))</f>
        <v/>
      </c>
      <c r="BU225" s="1" t="str" cm="1">
        <f t="array" ref="BU225">IF(I225="","",IF($B225=1,_xlfn.XLOOKUP(1,($B$2:$B$313=$B225)*($BO$2:$BO$313=$BS225),$I$2:$I$313,,0),_xlfn.XLOOKUP(1,($B$2:$B$313=$B225)*($BQ$2:$BQ$313=$BS225),$I$2:$I$313,,0)))</f>
        <v/>
      </c>
      <c r="BV225" s="1" t="str" cm="1">
        <f t="array" ref="BV225">IF($I225="","",IF($B225=1,"",IF($B225=2,_xlfn.XLOOKUP(1,($B$2:$B$313=1)*($BO$2:$BO$313=1),$I$2:$I$313,,0),_xlfn.XLOOKUP($B225-1,$B$2:$B$313,$CH$2:$CH$313,,0))))</f>
        <v/>
      </c>
      <c r="BW225" s="1" t="str" cm="1">
        <f t="array" ref="BW225">IF($I225="","",IF($B225=1,"",IF(_xlfn.XLOOKUP(1,($B$2:$B$313=$B225)*($I$2:$I$313=$BV225),$BQ$2:$BQ$313,,0)="","NOK","OK")))</f>
        <v/>
      </c>
      <c r="BX225" s="1" t="str">
        <f t="shared" si="236"/>
        <v/>
      </c>
      <c r="BY225" s="1" t="str">
        <f t="shared" si="237"/>
        <v/>
      </c>
      <c r="BZ225" s="1" t="str">
        <f t="shared" si="238"/>
        <v/>
      </c>
      <c r="CA225" s="1" t="str">
        <f t="shared" si="239"/>
        <v/>
      </c>
      <c r="CB225" s="1" t="str">
        <f t="shared" si="240"/>
        <v/>
      </c>
      <c r="CC225" s="1" t="str">
        <f t="shared" si="241"/>
        <v/>
      </c>
      <c r="CD225" s="1" t="str">
        <f t="shared" si="242"/>
        <v/>
      </c>
      <c r="CE225" s="1" t="str">
        <f t="shared" si="243"/>
        <v/>
      </c>
      <c r="CF225" s="1" t="str">
        <f t="shared" si="244"/>
        <v/>
      </c>
      <c r="CG225" s="1" t="str">
        <f t="shared" si="245"/>
        <v/>
      </c>
      <c r="CH225" s="1" t="str">
        <f t="shared" si="246"/>
        <v/>
      </c>
      <c r="CI225" s="1" t="str">
        <f t="shared" si="247"/>
        <v/>
      </c>
      <c r="CJ225" s="1" t="str">
        <f>IF(B225="","",IF(SUM(AI225:AK225)&gt;0,"+SP","")&amp;IF(CI225&gt;0,"+KK","")&amp;IF(AB225&gt;0,"+KGP1","")&amp;IF(AC225&gt;0,"+KGP2","")&amp;IF(AG225&lt;0,"-KGP1","")&amp;IF(AH225&lt;0,"-KGP2",""))</f>
        <v/>
      </c>
    </row>
    <row r="226" spans="1:88" x14ac:dyDescent="0.25">
      <c r="A226" s="1">
        <f>IFERROR(IF(ROW(A225)=1,1,IF(1+A225&lt;=$CP$1*$CP$2,1+A225,"")),"")</f>
        <v>225</v>
      </c>
      <c r="B226" s="1" t="str">
        <f>IF($I226="","",IF(ROW(B225)=1,1,ROUNDUP(A226/$CP$2,0)))</f>
        <v/>
      </c>
      <c r="C226" s="4" t="str">
        <f t="shared" si="193"/>
        <v/>
      </c>
      <c r="D226" s="4" t="str">
        <f t="shared" si="187"/>
        <v/>
      </c>
      <c r="E226" s="1" t="str">
        <f>IF($B226="","",COUNTIF($B$2:B226,B226))</f>
        <v/>
      </c>
      <c r="F226" s="1" t="str">
        <f t="shared" si="188"/>
        <v/>
      </c>
      <c r="G226" s="1" t="str">
        <f t="shared" si="194"/>
        <v/>
      </c>
      <c r="H226" s="1">
        <f t="shared" si="195"/>
        <v>0</v>
      </c>
      <c r="I226" s="3"/>
      <c r="J226" s="3"/>
      <c r="K226" s="3"/>
      <c r="L226" s="1" t="str">
        <f t="shared" si="196"/>
        <v/>
      </c>
      <c r="M226" s="1" t="str">
        <f t="shared" si="197"/>
        <v/>
      </c>
      <c r="N226" s="1" t="str">
        <f t="shared" si="198"/>
        <v/>
      </c>
      <c r="O226" s="1" t="str">
        <f t="shared" si="199"/>
        <v/>
      </c>
      <c r="P226" s="1" t="str">
        <f t="shared" si="200"/>
        <v/>
      </c>
      <c r="Q226" s="1" t="str">
        <f t="array" ref="Q226">IF($B226="","",IF(MAX(IF(B226=$B$2:$B$313,$L$2:$L$313))-L226=0,"",MAX(IF(B226=$B$2:$B$313,$L$2:$L$313))-L226))</f>
        <v/>
      </c>
      <c r="R226" s="1" t="str">
        <f t="array" ref="R226">IF($B226="","",SUMPRODUCT(--($B$2:$B$313=B226),--(L226&lt;$L$2:$L$313))+1)</f>
        <v/>
      </c>
      <c r="S226" s="1" t="str">
        <f t="shared" si="201"/>
        <v/>
      </c>
      <c r="T226" s="1" t="str" cm="1">
        <f t="array" ref="T226">IF($B226="","",IF(M226=0,"",SUMPRODUCT(--($B$2:$B$313=B226),--(J226&lt;$J$2:$J$313))+1))</f>
        <v/>
      </c>
      <c r="U226" s="1" t="str">
        <f t="shared" si="202"/>
        <v/>
      </c>
      <c r="V226" s="1" t="str">
        <f t="shared" si="203"/>
        <v/>
      </c>
      <c r="W226" s="1" t="str">
        <f t="shared" si="204"/>
        <v/>
      </c>
      <c r="X226" s="1" t="str">
        <f t="shared" si="189"/>
        <v/>
      </c>
      <c r="Y226" s="1" t="str">
        <f>IF($B226="","",MAX(_xlfn.MAXIFS($J$2:J226,$I$2:I226,$I226),_xlfn.MAXIFS($K$2:K226,$I$2:I226,$I226)))</f>
        <v/>
      </c>
      <c r="Z226" s="1" t="str">
        <f t="shared" si="205"/>
        <v/>
      </c>
      <c r="AA226" s="1" t="str">
        <f t="shared" si="206"/>
        <v/>
      </c>
      <c r="AB226" s="1" t="str">
        <f t="shared" si="207"/>
        <v/>
      </c>
      <c r="AC226" s="1" t="str">
        <f t="shared" si="208"/>
        <v/>
      </c>
      <c r="AD226" s="1" t="str">
        <f>IF($B226="","",MIN(_xlfn.MINIFS($J$2:J226,$I$2:I226,$I226),_xlfn.MINIFS($K$2:K226,$I$2:I226,$I226)))</f>
        <v/>
      </c>
      <c r="AE226" s="1" t="str">
        <f t="shared" si="209"/>
        <v/>
      </c>
      <c r="AF226" s="1" t="str">
        <f t="shared" si="210"/>
        <v/>
      </c>
      <c r="AG226" s="1" t="str">
        <f t="shared" si="211"/>
        <v/>
      </c>
      <c r="AH226" s="1" t="str">
        <f t="shared" si="212"/>
        <v/>
      </c>
      <c r="AI226" s="1" t="str">
        <f ca="1">IF($B226="","",IF($K226="",0,OFFSET($CO$17,R226,W226)))</f>
        <v/>
      </c>
      <c r="AJ226" s="1" t="str">
        <f t="shared" ca="1" si="213"/>
        <v/>
      </c>
      <c r="AK226" s="1" t="str">
        <f ca="1">IF(AJ226="","",IF(AJ226=0,0,IF(W226=1,0,SUM(OFFSET($CO$17,N226,1):OFFSET($CO$17,N226+W226-2,1))/W226)))</f>
        <v/>
      </c>
      <c r="AL226" s="1" t="str">
        <f t="shared" si="214"/>
        <v/>
      </c>
      <c r="AM226" s="1" t="str">
        <f>IF($B226="","",SUMIFS($AL$2:AL226,$I$2:I226,$I226))</f>
        <v/>
      </c>
      <c r="AN226" s="1" t="str">
        <f t="shared" si="215"/>
        <v/>
      </c>
      <c r="AO226" s="1" t="str">
        <f>IFERROR(IF($B226="","",AVERAGEIFS($L$2:L226,$I$2:I226,I226,$L$2:L226,"&lt;&gt;0")),0)</f>
        <v/>
      </c>
      <c r="AP226" s="1" t="str">
        <f t="shared" si="216"/>
        <v/>
      </c>
      <c r="AQ226" s="1" t="str">
        <f>IF($B226="","",COUNTIFS($R$2:R226,1,$I$2:I226,$I226))</f>
        <v/>
      </c>
      <c r="AR226" s="1" t="str">
        <f t="array" ref="AR226">IF($B226="","",SUMPRODUCT(--($B$2:$B$313=B226),--(AM226&lt;$AM$2:$AM$313))+1)</f>
        <v/>
      </c>
      <c r="AS226" s="1" t="str">
        <f t="array" ref="AS226">IF($B226="","",SUMPRODUCT(--($B$2:$B$313=B226),--(AP226&lt;$AP$2:$AP$313))+1)</f>
        <v/>
      </c>
      <c r="AT226" s="1" t="str">
        <f t="array" ref="AT226">IF($B226="","",SUMPRODUCT(--($B$2:$B$313=B226),--(AQ226&lt;$AQ$2:$AQ$313))+1)</f>
        <v/>
      </c>
      <c r="AU226" s="1" t="str">
        <f t="shared" si="217"/>
        <v/>
      </c>
      <c r="AV226" s="1" t="str">
        <f t="shared" si="218"/>
        <v/>
      </c>
      <c r="AW226" s="1" t="str">
        <f t="shared" si="190"/>
        <v/>
      </c>
      <c r="AX226" s="1" t="str">
        <f t="shared" si="219"/>
        <v/>
      </c>
      <c r="AY226" s="8" t="str">
        <f t="shared" si="220"/>
        <v/>
      </c>
      <c r="AZ226" s="1" t="str" cm="1">
        <f t="array" ref="AZ226">IF($B226="","",SUMPRODUCT(--($B$2:$B$313=B226),--(AY226&gt;$AY$2:$AY$313))+1)</f>
        <v/>
      </c>
      <c r="BA226" s="1" t="str">
        <f t="shared" si="221"/>
        <v/>
      </c>
      <c r="BB226" s="1" t="str">
        <f t="shared" si="222"/>
        <v/>
      </c>
      <c r="BC226" s="1" t="str">
        <f t="shared" si="223"/>
        <v/>
      </c>
      <c r="BD226" s="1" t="str">
        <f t="shared" si="224"/>
        <v/>
      </c>
      <c r="BE226" s="1" t="str">
        <f t="shared" si="225"/>
        <v/>
      </c>
      <c r="BF226" s="1" t="str">
        <f t="shared" si="226"/>
        <v/>
      </c>
      <c r="BG226" s="1" t="str">
        <f t="shared" si="227"/>
        <v/>
      </c>
      <c r="BH226" s="1" t="str">
        <f t="shared" si="228"/>
        <v/>
      </c>
      <c r="BI226" s="1" t="str">
        <f t="shared" si="229"/>
        <v/>
      </c>
      <c r="BJ226" s="1" t="str">
        <f t="shared" si="230"/>
        <v/>
      </c>
      <c r="BK226" s="1" t="str">
        <f t="shared" si="231"/>
        <v/>
      </c>
      <c r="BL226" s="1" t="str">
        <f t="shared" si="232"/>
        <v/>
      </c>
      <c r="BM226" s="1" t="str">
        <f t="shared" si="233"/>
        <v/>
      </c>
      <c r="BN226" s="1" t="str">
        <f t="shared" si="234"/>
        <v/>
      </c>
      <c r="BO226" s="1" t="str">
        <f t="shared" si="191"/>
        <v/>
      </c>
      <c r="BP226" s="1" t="str">
        <f t="shared" si="192"/>
        <v/>
      </c>
      <c r="BQ226" s="1" t="str" cm="1">
        <f t="array" ref="BQ226">IF(I226="","",IF(BP226=1,"",IF(L226=0,"",IF(B226=1,"",_xlfn.XLOOKUP(1,($I$2:$I$313=$I226)*($B$2:$B$313=($B226-1)),$BO$2:$BO$313)))))</f>
        <v/>
      </c>
      <c r="BR226" s="1" t="str">
        <f>IF(I226="","",IF($B226=1,_xlfn.MINIFS($BO$2:$BO$313,$B$2:$B$313,$B226),_xlfn.MINIFS(BQ$2:$BQ$313,$B$2:$B$313,$B226)))</f>
        <v/>
      </c>
      <c r="BS226" s="1" t="str">
        <f t="shared" si="235"/>
        <v/>
      </c>
      <c r="BT226" s="1" t="str" cm="1">
        <f t="array" ref="BT226">IF($I226="","",IF($B226=1,_xlfn.XLOOKUP(1,($B$2:$B$313=$B226)*($BO$2:$BO$313=BR226),Data!$I$2:$I$313,,0),_xlfn.XLOOKUP(1,($B$2:$B$313=$B226)*($BQ$2:$BQ$313=$BR226),$I$2:$I$313,,0)))</f>
        <v/>
      </c>
      <c r="BU226" s="1" t="str" cm="1">
        <f t="array" ref="BU226">IF(I226="","",IF($B226=1,_xlfn.XLOOKUP(1,($B$2:$B$313=$B226)*($BO$2:$BO$313=$BS226),$I$2:$I$313,,0),_xlfn.XLOOKUP(1,($B$2:$B$313=$B226)*($BQ$2:$BQ$313=$BS226),$I$2:$I$313,,0)))</f>
        <v/>
      </c>
      <c r="BV226" s="1" t="str" cm="1">
        <f t="array" ref="BV226">IF($I226="","",IF($B226=1,"",IF($B226=2,_xlfn.XLOOKUP(1,($B$2:$B$313=1)*($BO$2:$BO$313=1),$I$2:$I$313,,0),_xlfn.XLOOKUP($B226-1,$B$2:$B$313,$CH$2:$CH$313,,0))))</f>
        <v/>
      </c>
      <c r="BW226" s="1" t="str" cm="1">
        <f t="array" ref="BW226">IF($I226="","",IF($B226=1,"",IF(_xlfn.XLOOKUP(1,($B$2:$B$313=$B226)*($I$2:$I$313=$BV226),$BQ$2:$BQ$313,,0)="","NOK","OK")))</f>
        <v/>
      </c>
      <c r="BX226" s="1" t="str">
        <f t="shared" si="236"/>
        <v/>
      </c>
      <c r="BY226" s="1" t="str">
        <f t="shared" si="237"/>
        <v/>
      </c>
      <c r="BZ226" s="1" t="str">
        <f t="shared" si="238"/>
        <v/>
      </c>
      <c r="CA226" s="1" t="str">
        <f t="shared" si="239"/>
        <v/>
      </c>
      <c r="CB226" s="1" t="str">
        <f t="shared" si="240"/>
        <v/>
      </c>
      <c r="CC226" s="1" t="str">
        <f t="shared" si="241"/>
        <v/>
      </c>
      <c r="CD226" s="1" t="str">
        <f t="shared" si="242"/>
        <v/>
      </c>
      <c r="CE226" s="1" t="str">
        <f t="shared" si="243"/>
        <v/>
      </c>
      <c r="CF226" s="1" t="str">
        <f t="shared" si="244"/>
        <v/>
      </c>
      <c r="CG226" s="1" t="str">
        <f t="shared" si="245"/>
        <v/>
      </c>
      <c r="CH226" s="1" t="str">
        <f t="shared" si="246"/>
        <v/>
      </c>
      <c r="CI226" s="1" t="str">
        <f t="shared" si="247"/>
        <v/>
      </c>
      <c r="CJ226" s="1" t="str">
        <f>IF(B226="","",IF(SUM(AI226:AK226)&gt;0,"+SP","")&amp;IF(CI226&gt;0,"+KK","")&amp;IF(AB226&gt;0,"+KGP1","")&amp;IF(AC226&gt;0,"+KGP2","")&amp;IF(AG226&lt;0,"-KGP1","")&amp;IF(AH226&lt;0,"-KGP2",""))</f>
        <v/>
      </c>
    </row>
    <row r="227" spans="1:88" x14ac:dyDescent="0.25">
      <c r="A227" s="1">
        <f>IFERROR(IF(ROW(A226)=1,1,IF(1+A226&lt;=$CP$1*$CP$2,1+A226,"")),"")</f>
        <v>226</v>
      </c>
      <c r="B227" s="1" t="str">
        <f>IF($I227="","",IF(ROW(B226)=1,1,ROUNDUP(A227/$CP$2,0)))</f>
        <v/>
      </c>
      <c r="C227" s="4" t="str">
        <f t="shared" si="193"/>
        <v/>
      </c>
      <c r="D227" s="4" t="str">
        <f t="shared" si="187"/>
        <v/>
      </c>
      <c r="E227" s="1" t="str">
        <f>IF($B227="","",COUNTIF($B$2:B227,B227))</f>
        <v/>
      </c>
      <c r="F227" s="1" t="str">
        <f t="shared" si="188"/>
        <v/>
      </c>
      <c r="G227" s="1" t="str">
        <f t="shared" si="194"/>
        <v/>
      </c>
      <c r="H227" s="1">
        <f t="shared" si="195"/>
        <v>0</v>
      </c>
      <c r="I227" s="3"/>
      <c r="J227" s="3"/>
      <c r="K227" s="3"/>
      <c r="L227" s="1" t="str">
        <f t="shared" si="196"/>
        <v/>
      </c>
      <c r="M227" s="1" t="str">
        <f t="shared" si="197"/>
        <v/>
      </c>
      <c r="N227" s="1" t="str">
        <f t="shared" si="198"/>
        <v/>
      </c>
      <c r="O227" s="1" t="str">
        <f t="shared" si="199"/>
        <v/>
      </c>
      <c r="P227" s="1" t="str">
        <f t="shared" si="200"/>
        <v/>
      </c>
      <c r="Q227" s="1" t="str">
        <f t="array" ref="Q227">IF($B227="","",IF(MAX(IF(B227=$B$2:$B$313,$L$2:$L$313))-L227=0,"",MAX(IF(B227=$B$2:$B$313,$L$2:$L$313))-L227))</f>
        <v/>
      </c>
      <c r="R227" s="1" t="str">
        <f t="array" ref="R227">IF($B227="","",SUMPRODUCT(--($B$2:$B$313=B227),--(L227&lt;$L$2:$L$313))+1)</f>
        <v/>
      </c>
      <c r="S227" s="1" t="str">
        <f t="shared" si="201"/>
        <v/>
      </c>
      <c r="T227" s="1" t="str" cm="1">
        <f t="array" ref="T227">IF($B227="","",IF(M227=0,"",SUMPRODUCT(--($B$2:$B$313=B227),--(J227&lt;$J$2:$J$313))+1))</f>
        <v/>
      </c>
      <c r="U227" s="1" t="str">
        <f t="shared" si="202"/>
        <v/>
      </c>
      <c r="V227" s="1" t="str">
        <f t="shared" si="203"/>
        <v/>
      </c>
      <c r="W227" s="1" t="str">
        <f t="shared" si="204"/>
        <v/>
      </c>
      <c r="X227" s="1" t="str">
        <f t="shared" si="189"/>
        <v/>
      </c>
      <c r="Y227" s="1" t="str">
        <f>IF($B227="","",MAX(_xlfn.MAXIFS($J$2:J227,$I$2:I227,$I227),_xlfn.MAXIFS($K$2:K227,$I$2:I227,$I227)))</f>
        <v/>
      </c>
      <c r="Z227" s="1" t="str">
        <f t="shared" si="205"/>
        <v/>
      </c>
      <c r="AA227" s="1" t="str">
        <f t="shared" si="206"/>
        <v/>
      </c>
      <c r="AB227" s="1" t="str">
        <f t="shared" si="207"/>
        <v/>
      </c>
      <c r="AC227" s="1" t="str">
        <f t="shared" si="208"/>
        <v/>
      </c>
      <c r="AD227" s="1" t="str">
        <f>IF($B227="","",MIN(_xlfn.MINIFS($J$2:J227,$I$2:I227,$I227),_xlfn.MINIFS($K$2:K227,$I$2:I227,$I227)))</f>
        <v/>
      </c>
      <c r="AE227" s="1" t="str">
        <f t="shared" si="209"/>
        <v/>
      </c>
      <c r="AF227" s="1" t="str">
        <f t="shared" si="210"/>
        <v/>
      </c>
      <c r="AG227" s="1" t="str">
        <f t="shared" si="211"/>
        <v/>
      </c>
      <c r="AH227" s="1" t="str">
        <f t="shared" si="212"/>
        <v/>
      </c>
      <c r="AI227" s="1" t="str">
        <f ca="1">IF($B227="","",IF($K227="",0,OFFSET($CO$17,R227,W227)))</f>
        <v/>
      </c>
      <c r="AJ227" s="1" t="str">
        <f t="shared" ca="1" si="213"/>
        <v/>
      </c>
      <c r="AK227" s="1" t="str">
        <f ca="1">IF(AJ227="","",IF(AJ227=0,0,IF(W227=1,0,SUM(OFFSET($CO$17,N227,1):OFFSET($CO$17,N227+W227-2,1))/W227)))</f>
        <v/>
      </c>
      <c r="AL227" s="1" t="str">
        <f t="shared" si="214"/>
        <v/>
      </c>
      <c r="AM227" s="1" t="str">
        <f>IF($B227="","",SUMIFS($AL$2:AL227,$I$2:I227,$I227))</f>
        <v/>
      </c>
      <c r="AN227" s="1" t="str">
        <f t="shared" si="215"/>
        <v/>
      </c>
      <c r="AO227" s="1" t="str">
        <f>IFERROR(IF($B227="","",AVERAGEIFS($L$2:L227,$I$2:I227,I227,$L$2:L227,"&lt;&gt;0")),0)</f>
        <v/>
      </c>
      <c r="AP227" s="1" t="str">
        <f t="shared" si="216"/>
        <v/>
      </c>
      <c r="AQ227" s="1" t="str">
        <f>IF($B227="","",COUNTIFS($R$2:R227,1,$I$2:I227,$I227))</f>
        <v/>
      </c>
      <c r="AR227" s="1" t="str">
        <f t="array" ref="AR227">IF($B227="","",SUMPRODUCT(--($B$2:$B$313=B227),--(AM227&lt;$AM$2:$AM$313))+1)</f>
        <v/>
      </c>
      <c r="AS227" s="1" t="str">
        <f t="array" ref="AS227">IF($B227="","",SUMPRODUCT(--($B$2:$B$313=B227),--(AP227&lt;$AP$2:$AP$313))+1)</f>
        <v/>
      </c>
      <c r="AT227" s="1" t="str">
        <f t="array" ref="AT227">IF($B227="","",SUMPRODUCT(--($B$2:$B$313=B227),--(AQ227&lt;$AQ$2:$AQ$313))+1)</f>
        <v/>
      </c>
      <c r="AU227" s="1" t="str">
        <f t="shared" si="217"/>
        <v/>
      </c>
      <c r="AV227" s="1" t="str">
        <f t="shared" si="218"/>
        <v/>
      </c>
      <c r="AW227" s="1" t="str">
        <f t="shared" si="190"/>
        <v/>
      </c>
      <c r="AX227" s="1" t="str">
        <f t="shared" si="219"/>
        <v/>
      </c>
      <c r="AY227" s="8" t="str">
        <f t="shared" si="220"/>
        <v/>
      </c>
      <c r="AZ227" s="1" t="str" cm="1">
        <f t="array" ref="AZ227">IF($B227="","",SUMPRODUCT(--($B$2:$B$313=B227),--(AY227&gt;$AY$2:$AY$313))+1)</f>
        <v/>
      </c>
      <c r="BA227" s="1" t="str">
        <f t="shared" si="221"/>
        <v/>
      </c>
      <c r="BB227" s="1" t="str">
        <f t="shared" si="222"/>
        <v/>
      </c>
      <c r="BC227" s="1" t="str">
        <f t="shared" si="223"/>
        <v/>
      </c>
      <c r="BD227" s="1" t="str">
        <f t="shared" si="224"/>
        <v/>
      </c>
      <c r="BE227" s="1" t="str">
        <f t="shared" si="225"/>
        <v/>
      </c>
      <c r="BF227" s="1" t="str">
        <f t="shared" si="226"/>
        <v/>
      </c>
      <c r="BG227" s="1" t="str">
        <f t="shared" si="227"/>
        <v/>
      </c>
      <c r="BH227" s="1" t="str">
        <f t="shared" si="228"/>
        <v/>
      </c>
      <c r="BI227" s="1" t="str">
        <f t="shared" si="229"/>
        <v/>
      </c>
      <c r="BJ227" s="1" t="str">
        <f t="shared" si="230"/>
        <v/>
      </c>
      <c r="BK227" s="1" t="str">
        <f t="shared" si="231"/>
        <v/>
      </c>
      <c r="BL227" s="1" t="str">
        <f t="shared" si="232"/>
        <v/>
      </c>
      <c r="BM227" s="1" t="str">
        <f t="shared" si="233"/>
        <v/>
      </c>
      <c r="BN227" s="1" t="str">
        <f t="shared" si="234"/>
        <v/>
      </c>
      <c r="BO227" s="1" t="str">
        <f t="shared" si="191"/>
        <v/>
      </c>
      <c r="BP227" s="1" t="str">
        <f t="shared" si="192"/>
        <v/>
      </c>
      <c r="BQ227" s="1" t="str" cm="1">
        <f t="array" ref="BQ227">IF(I227="","",IF(BP227=1,"",IF(L227=0,"",IF(B227=1,"",_xlfn.XLOOKUP(1,($I$2:$I$313=$I227)*($B$2:$B$313=($B227-1)),$BO$2:$BO$313)))))</f>
        <v/>
      </c>
      <c r="BR227" s="1" t="str">
        <f>IF(I227="","",IF($B227=1,_xlfn.MINIFS($BO$2:$BO$313,$B$2:$B$313,$B227),_xlfn.MINIFS(BQ$2:$BQ$313,$B$2:$B$313,$B227)))</f>
        <v/>
      </c>
      <c r="BS227" s="1" t="str">
        <f t="shared" si="235"/>
        <v/>
      </c>
      <c r="BT227" s="1" t="str" cm="1">
        <f t="array" ref="BT227">IF($I227="","",IF($B227=1,_xlfn.XLOOKUP(1,($B$2:$B$313=$B227)*($BO$2:$BO$313=BR227),Data!$I$2:$I$313,,0),_xlfn.XLOOKUP(1,($B$2:$B$313=$B227)*($BQ$2:$BQ$313=$BR227),$I$2:$I$313,,0)))</f>
        <v/>
      </c>
      <c r="BU227" s="1" t="str" cm="1">
        <f t="array" ref="BU227">IF(I227="","",IF($B227=1,_xlfn.XLOOKUP(1,($B$2:$B$313=$B227)*($BO$2:$BO$313=$BS227),$I$2:$I$313,,0),_xlfn.XLOOKUP(1,($B$2:$B$313=$B227)*($BQ$2:$BQ$313=$BS227),$I$2:$I$313,,0)))</f>
        <v/>
      </c>
      <c r="BV227" s="1" t="str" cm="1">
        <f t="array" ref="BV227">IF($I227="","",IF($B227=1,"",IF($B227=2,_xlfn.XLOOKUP(1,($B$2:$B$313=1)*($BO$2:$BO$313=1),$I$2:$I$313,,0),_xlfn.XLOOKUP($B227-1,$B$2:$B$313,$CH$2:$CH$313,,0))))</f>
        <v/>
      </c>
      <c r="BW227" s="1" t="str" cm="1">
        <f t="array" ref="BW227">IF($I227="","",IF($B227=1,"",IF(_xlfn.XLOOKUP(1,($B$2:$B$313=$B227)*($I$2:$I$313=$BV227),$BQ$2:$BQ$313,,0)="","NOK","OK")))</f>
        <v/>
      </c>
      <c r="BX227" s="1" t="str">
        <f t="shared" si="236"/>
        <v/>
      </c>
      <c r="BY227" s="1" t="str">
        <f t="shared" si="237"/>
        <v/>
      </c>
      <c r="BZ227" s="1" t="str">
        <f t="shared" si="238"/>
        <v/>
      </c>
      <c r="CA227" s="1" t="str">
        <f t="shared" si="239"/>
        <v/>
      </c>
      <c r="CB227" s="1" t="str">
        <f t="shared" si="240"/>
        <v/>
      </c>
      <c r="CC227" s="1" t="str">
        <f t="shared" si="241"/>
        <v/>
      </c>
      <c r="CD227" s="1" t="str">
        <f t="shared" si="242"/>
        <v/>
      </c>
      <c r="CE227" s="1" t="str">
        <f t="shared" si="243"/>
        <v/>
      </c>
      <c r="CF227" s="1" t="str">
        <f t="shared" si="244"/>
        <v/>
      </c>
      <c r="CG227" s="1" t="str">
        <f t="shared" si="245"/>
        <v/>
      </c>
      <c r="CH227" s="1" t="str">
        <f t="shared" si="246"/>
        <v/>
      </c>
      <c r="CI227" s="1" t="str">
        <f t="shared" si="247"/>
        <v/>
      </c>
      <c r="CJ227" s="1" t="str">
        <f>IF(B227="","",IF(SUM(AI227:AK227)&gt;0,"+SP","")&amp;IF(CI227&gt;0,"+KK","")&amp;IF(AB227&gt;0,"+KGP1","")&amp;IF(AC227&gt;0,"+KGP2","")&amp;IF(AG227&lt;0,"-KGP1","")&amp;IF(AH227&lt;0,"-KGP2",""))</f>
        <v/>
      </c>
    </row>
    <row r="228" spans="1:88" x14ac:dyDescent="0.25">
      <c r="A228" s="1">
        <f>IFERROR(IF(ROW(A227)=1,1,IF(1+A227&lt;=$CP$1*$CP$2,1+A227,"")),"")</f>
        <v>227</v>
      </c>
      <c r="B228" s="1" t="str">
        <f>IF($I228="","",IF(ROW(B227)=1,1,ROUNDUP(A228/$CP$2,0)))</f>
        <v/>
      </c>
      <c r="C228" s="4" t="str">
        <f t="shared" si="193"/>
        <v/>
      </c>
      <c r="D228" s="4" t="str">
        <f t="shared" si="187"/>
        <v/>
      </c>
      <c r="E228" s="1" t="str">
        <f>IF($B228="","",COUNTIF($B$2:B228,B228))</f>
        <v/>
      </c>
      <c r="F228" s="1" t="str">
        <f t="shared" si="188"/>
        <v/>
      </c>
      <c r="G228" s="1" t="str">
        <f t="shared" si="194"/>
        <v/>
      </c>
      <c r="H228" s="1">
        <f t="shared" si="195"/>
        <v>0</v>
      </c>
      <c r="I228" s="3"/>
      <c r="J228" s="3"/>
      <c r="K228" s="3"/>
      <c r="L228" s="1" t="str">
        <f t="shared" si="196"/>
        <v/>
      </c>
      <c r="M228" s="1" t="str">
        <f t="shared" si="197"/>
        <v/>
      </c>
      <c r="N228" s="1" t="str">
        <f t="shared" si="198"/>
        <v/>
      </c>
      <c r="O228" s="1" t="str">
        <f t="shared" si="199"/>
        <v/>
      </c>
      <c r="P228" s="1" t="str">
        <f t="shared" si="200"/>
        <v/>
      </c>
      <c r="Q228" s="1" t="str">
        <f t="array" ref="Q228">IF($B228="","",IF(MAX(IF(B228=$B$2:$B$313,$L$2:$L$313))-L228=0,"",MAX(IF(B228=$B$2:$B$313,$L$2:$L$313))-L228))</f>
        <v/>
      </c>
      <c r="R228" s="1" t="str">
        <f t="array" ref="R228">IF($B228="","",SUMPRODUCT(--($B$2:$B$313=B228),--(L228&lt;$L$2:$L$313))+1)</f>
        <v/>
      </c>
      <c r="S228" s="1" t="str">
        <f t="shared" si="201"/>
        <v/>
      </c>
      <c r="T228" s="1" t="str" cm="1">
        <f t="array" ref="T228">IF($B228="","",IF(M228=0,"",SUMPRODUCT(--($B$2:$B$313=B228),--(J228&lt;$J$2:$J$313))+1))</f>
        <v/>
      </c>
      <c r="U228" s="1" t="str">
        <f t="shared" si="202"/>
        <v/>
      </c>
      <c r="V228" s="1" t="str">
        <f t="shared" si="203"/>
        <v/>
      </c>
      <c r="W228" s="1" t="str">
        <f t="shared" si="204"/>
        <v/>
      </c>
      <c r="X228" s="1" t="str">
        <f t="shared" si="189"/>
        <v/>
      </c>
      <c r="Y228" s="1" t="str">
        <f>IF($B228="","",MAX(_xlfn.MAXIFS($J$2:J228,$I$2:I228,$I228),_xlfn.MAXIFS($K$2:K228,$I$2:I228,$I228)))</f>
        <v/>
      </c>
      <c r="Z228" s="1" t="str">
        <f t="shared" si="205"/>
        <v/>
      </c>
      <c r="AA228" s="1" t="str">
        <f t="shared" si="206"/>
        <v/>
      </c>
      <c r="AB228" s="1" t="str">
        <f t="shared" si="207"/>
        <v/>
      </c>
      <c r="AC228" s="1" t="str">
        <f t="shared" si="208"/>
        <v/>
      </c>
      <c r="AD228" s="1" t="str">
        <f>IF($B228="","",MIN(_xlfn.MINIFS($J$2:J228,$I$2:I228,$I228),_xlfn.MINIFS($K$2:K228,$I$2:I228,$I228)))</f>
        <v/>
      </c>
      <c r="AE228" s="1" t="str">
        <f t="shared" si="209"/>
        <v/>
      </c>
      <c r="AF228" s="1" t="str">
        <f t="shared" si="210"/>
        <v/>
      </c>
      <c r="AG228" s="1" t="str">
        <f t="shared" si="211"/>
        <v/>
      </c>
      <c r="AH228" s="1" t="str">
        <f t="shared" si="212"/>
        <v/>
      </c>
      <c r="AI228" s="1" t="str">
        <f ca="1">IF($B228="","",IF($K228="",0,OFFSET($CO$17,R228,W228)))</f>
        <v/>
      </c>
      <c r="AJ228" s="1" t="str">
        <f t="shared" ca="1" si="213"/>
        <v/>
      </c>
      <c r="AK228" s="1" t="str">
        <f ca="1">IF(AJ228="","",IF(AJ228=0,0,IF(W228=1,0,SUM(OFFSET($CO$17,N228,1):OFFSET($CO$17,N228+W228-2,1))/W228)))</f>
        <v/>
      </c>
      <c r="AL228" s="1" t="str">
        <f t="shared" si="214"/>
        <v/>
      </c>
      <c r="AM228" s="1" t="str">
        <f>IF($B228="","",SUMIFS($AL$2:AL228,$I$2:I228,$I228))</f>
        <v/>
      </c>
      <c r="AN228" s="1" t="str">
        <f t="shared" si="215"/>
        <v/>
      </c>
      <c r="AO228" s="1" t="str">
        <f>IFERROR(IF($B228="","",AVERAGEIFS($L$2:L228,$I$2:I228,I228,$L$2:L228,"&lt;&gt;0")),0)</f>
        <v/>
      </c>
      <c r="AP228" s="1" t="str">
        <f t="shared" si="216"/>
        <v/>
      </c>
      <c r="AQ228" s="1" t="str">
        <f>IF($B228="","",COUNTIFS($R$2:R228,1,$I$2:I228,$I228))</f>
        <v/>
      </c>
      <c r="AR228" s="1" t="str">
        <f t="array" ref="AR228">IF($B228="","",SUMPRODUCT(--($B$2:$B$313=B228),--(AM228&lt;$AM$2:$AM$313))+1)</f>
        <v/>
      </c>
      <c r="AS228" s="1" t="str">
        <f t="array" ref="AS228">IF($B228="","",SUMPRODUCT(--($B$2:$B$313=B228),--(AP228&lt;$AP$2:$AP$313))+1)</f>
        <v/>
      </c>
      <c r="AT228" s="1" t="str">
        <f t="array" ref="AT228">IF($B228="","",SUMPRODUCT(--($B$2:$B$313=B228),--(AQ228&lt;$AQ$2:$AQ$313))+1)</f>
        <v/>
      </c>
      <c r="AU228" s="1" t="str">
        <f t="shared" si="217"/>
        <v/>
      </c>
      <c r="AV228" s="1" t="str">
        <f t="shared" si="218"/>
        <v/>
      </c>
      <c r="AW228" s="1" t="str">
        <f t="shared" si="190"/>
        <v/>
      </c>
      <c r="AX228" s="1" t="str">
        <f t="shared" si="219"/>
        <v/>
      </c>
      <c r="AY228" s="8" t="str">
        <f t="shared" si="220"/>
        <v/>
      </c>
      <c r="AZ228" s="1" t="str" cm="1">
        <f t="array" ref="AZ228">IF($B228="","",SUMPRODUCT(--($B$2:$B$313=B228),--(AY228&gt;$AY$2:$AY$313))+1)</f>
        <v/>
      </c>
      <c r="BA228" s="1" t="str">
        <f t="shared" si="221"/>
        <v/>
      </c>
      <c r="BB228" s="1" t="str">
        <f t="shared" si="222"/>
        <v/>
      </c>
      <c r="BC228" s="1" t="str">
        <f t="shared" si="223"/>
        <v/>
      </c>
      <c r="BD228" s="1" t="str">
        <f t="shared" si="224"/>
        <v/>
      </c>
      <c r="BE228" s="1" t="str">
        <f t="shared" si="225"/>
        <v/>
      </c>
      <c r="BF228" s="1" t="str">
        <f t="shared" si="226"/>
        <v/>
      </c>
      <c r="BG228" s="1" t="str">
        <f t="shared" si="227"/>
        <v/>
      </c>
      <c r="BH228" s="1" t="str">
        <f t="shared" si="228"/>
        <v/>
      </c>
      <c r="BI228" s="1" t="str">
        <f t="shared" si="229"/>
        <v/>
      </c>
      <c r="BJ228" s="1" t="str">
        <f t="shared" si="230"/>
        <v/>
      </c>
      <c r="BK228" s="1" t="str">
        <f t="shared" si="231"/>
        <v/>
      </c>
      <c r="BL228" s="1" t="str">
        <f t="shared" si="232"/>
        <v/>
      </c>
      <c r="BM228" s="1" t="str">
        <f t="shared" si="233"/>
        <v/>
      </c>
      <c r="BN228" s="1" t="str">
        <f t="shared" si="234"/>
        <v/>
      </c>
      <c r="BO228" s="1" t="str">
        <f t="shared" si="191"/>
        <v/>
      </c>
      <c r="BP228" s="1" t="str">
        <f t="shared" si="192"/>
        <v/>
      </c>
      <c r="BQ228" s="1" t="str" cm="1">
        <f t="array" ref="BQ228">IF(I228="","",IF(BP228=1,"",IF(L228=0,"",IF(B228=1,"",_xlfn.XLOOKUP(1,($I$2:$I$313=$I228)*($B$2:$B$313=($B228-1)),$BO$2:$BO$313)))))</f>
        <v/>
      </c>
      <c r="BR228" s="1" t="str">
        <f>IF(I228="","",IF($B228=1,_xlfn.MINIFS($BO$2:$BO$313,$B$2:$B$313,$B228),_xlfn.MINIFS(BQ$2:$BQ$313,$B$2:$B$313,$B228)))</f>
        <v/>
      </c>
      <c r="BS228" s="1" t="str">
        <f t="shared" si="235"/>
        <v/>
      </c>
      <c r="BT228" s="1" t="str" cm="1">
        <f t="array" ref="BT228">IF($I228="","",IF($B228=1,_xlfn.XLOOKUP(1,($B$2:$B$313=$B228)*($BO$2:$BO$313=BR228),Data!$I$2:$I$313,,0),_xlfn.XLOOKUP(1,($B$2:$B$313=$B228)*($BQ$2:$BQ$313=$BR228),$I$2:$I$313,,0)))</f>
        <v/>
      </c>
      <c r="BU228" s="1" t="str" cm="1">
        <f t="array" ref="BU228">IF(I228="","",IF($B228=1,_xlfn.XLOOKUP(1,($B$2:$B$313=$B228)*($BO$2:$BO$313=$BS228),$I$2:$I$313,,0),_xlfn.XLOOKUP(1,($B$2:$B$313=$B228)*($BQ$2:$BQ$313=$BS228),$I$2:$I$313,,0)))</f>
        <v/>
      </c>
      <c r="BV228" s="1" t="str" cm="1">
        <f t="array" ref="BV228">IF($I228="","",IF($B228=1,"",IF($B228=2,_xlfn.XLOOKUP(1,($B$2:$B$313=1)*($BO$2:$BO$313=1),$I$2:$I$313,,0),_xlfn.XLOOKUP($B228-1,$B$2:$B$313,$CH$2:$CH$313,,0))))</f>
        <v/>
      </c>
      <c r="BW228" s="1" t="str" cm="1">
        <f t="array" ref="BW228">IF($I228="","",IF($B228=1,"",IF(_xlfn.XLOOKUP(1,($B$2:$B$313=$B228)*($I$2:$I$313=$BV228),$BQ$2:$BQ$313,,0)="","NOK","OK")))</f>
        <v/>
      </c>
      <c r="BX228" s="1" t="str">
        <f t="shared" si="236"/>
        <v/>
      </c>
      <c r="BY228" s="1" t="str">
        <f t="shared" si="237"/>
        <v/>
      </c>
      <c r="BZ228" s="1" t="str">
        <f t="shared" si="238"/>
        <v/>
      </c>
      <c r="CA228" s="1" t="str">
        <f t="shared" si="239"/>
        <v/>
      </c>
      <c r="CB228" s="1" t="str">
        <f t="shared" si="240"/>
        <v/>
      </c>
      <c r="CC228" s="1" t="str">
        <f t="shared" si="241"/>
        <v/>
      </c>
      <c r="CD228" s="1" t="str">
        <f t="shared" si="242"/>
        <v/>
      </c>
      <c r="CE228" s="1" t="str">
        <f t="shared" si="243"/>
        <v/>
      </c>
      <c r="CF228" s="1" t="str">
        <f t="shared" si="244"/>
        <v/>
      </c>
      <c r="CG228" s="1" t="str">
        <f t="shared" si="245"/>
        <v/>
      </c>
      <c r="CH228" s="1" t="str">
        <f t="shared" si="246"/>
        <v/>
      </c>
      <c r="CI228" s="1" t="str">
        <f t="shared" si="247"/>
        <v/>
      </c>
      <c r="CJ228" s="1" t="str">
        <f>IF(B228="","",IF(SUM(AI228:AK228)&gt;0,"+SP","")&amp;IF(CI228&gt;0,"+KK","")&amp;IF(AB228&gt;0,"+KGP1","")&amp;IF(AC228&gt;0,"+KGP2","")&amp;IF(AG228&lt;0,"-KGP1","")&amp;IF(AH228&lt;0,"-KGP2",""))</f>
        <v/>
      </c>
    </row>
    <row r="229" spans="1:88" x14ac:dyDescent="0.25">
      <c r="A229" s="1">
        <f>IFERROR(IF(ROW(A228)=1,1,IF(1+A228&lt;=$CP$1*$CP$2,1+A228,"")),"")</f>
        <v>228</v>
      </c>
      <c r="B229" s="1" t="str">
        <f>IF($I229="","",IF(ROW(B228)=1,1,ROUNDUP(A229/$CP$2,0)))</f>
        <v/>
      </c>
      <c r="C229" s="4" t="str">
        <f t="shared" si="193"/>
        <v/>
      </c>
      <c r="D229" s="4" t="str">
        <f t="shared" si="187"/>
        <v/>
      </c>
      <c r="E229" s="1" t="str">
        <f>IF($B229="","",COUNTIF($B$2:B229,B229))</f>
        <v/>
      </c>
      <c r="F229" s="1" t="str">
        <f t="shared" si="188"/>
        <v/>
      </c>
      <c r="G229" s="1" t="str">
        <f t="shared" si="194"/>
        <v/>
      </c>
      <c r="H229" s="1">
        <f t="shared" si="195"/>
        <v>0</v>
      </c>
      <c r="I229" s="3"/>
      <c r="J229" s="3"/>
      <c r="K229" s="3"/>
      <c r="L229" s="1" t="str">
        <f t="shared" si="196"/>
        <v/>
      </c>
      <c r="M229" s="1" t="str">
        <f t="shared" si="197"/>
        <v/>
      </c>
      <c r="N229" s="1" t="str">
        <f t="shared" si="198"/>
        <v/>
      </c>
      <c r="O229" s="1" t="str">
        <f t="shared" si="199"/>
        <v/>
      </c>
      <c r="P229" s="1" t="str">
        <f t="shared" si="200"/>
        <v/>
      </c>
      <c r="Q229" s="1" t="str">
        <f t="array" ref="Q229">IF($B229="","",IF(MAX(IF(B229=$B$2:$B$313,$L$2:$L$313))-L229=0,"",MAX(IF(B229=$B$2:$B$313,$L$2:$L$313))-L229))</f>
        <v/>
      </c>
      <c r="R229" s="1" t="str">
        <f t="array" ref="R229">IF($B229="","",SUMPRODUCT(--($B$2:$B$313=B229),--(L229&lt;$L$2:$L$313))+1)</f>
        <v/>
      </c>
      <c r="S229" s="1" t="str">
        <f t="shared" si="201"/>
        <v/>
      </c>
      <c r="T229" s="1" t="str" cm="1">
        <f t="array" ref="T229">IF($B229="","",IF(M229=0,"",SUMPRODUCT(--($B$2:$B$313=B229),--(J229&lt;$J$2:$J$313))+1))</f>
        <v/>
      </c>
      <c r="U229" s="1" t="str">
        <f t="shared" si="202"/>
        <v/>
      </c>
      <c r="V229" s="1" t="str">
        <f t="shared" si="203"/>
        <v/>
      </c>
      <c r="W229" s="1" t="str">
        <f t="shared" si="204"/>
        <v/>
      </c>
      <c r="X229" s="1" t="str">
        <f t="shared" si="189"/>
        <v/>
      </c>
      <c r="Y229" s="1" t="str">
        <f>IF($B229="","",MAX(_xlfn.MAXIFS($J$2:J229,$I$2:I229,$I229),_xlfn.MAXIFS($K$2:K229,$I$2:I229,$I229)))</f>
        <v/>
      </c>
      <c r="Z229" s="1" t="str">
        <f t="shared" si="205"/>
        <v/>
      </c>
      <c r="AA229" s="1" t="str">
        <f t="shared" si="206"/>
        <v/>
      </c>
      <c r="AB229" s="1" t="str">
        <f t="shared" si="207"/>
        <v/>
      </c>
      <c r="AC229" s="1" t="str">
        <f t="shared" si="208"/>
        <v/>
      </c>
      <c r="AD229" s="1" t="str">
        <f>IF($B229="","",MIN(_xlfn.MINIFS($J$2:J229,$I$2:I229,$I229),_xlfn.MINIFS($K$2:K229,$I$2:I229,$I229)))</f>
        <v/>
      </c>
      <c r="AE229" s="1" t="str">
        <f t="shared" si="209"/>
        <v/>
      </c>
      <c r="AF229" s="1" t="str">
        <f t="shared" si="210"/>
        <v/>
      </c>
      <c r="AG229" s="1" t="str">
        <f t="shared" si="211"/>
        <v/>
      </c>
      <c r="AH229" s="1" t="str">
        <f t="shared" si="212"/>
        <v/>
      </c>
      <c r="AI229" s="1" t="str">
        <f ca="1">IF($B229="","",IF($K229="",0,OFFSET($CO$17,R229,W229)))</f>
        <v/>
      </c>
      <c r="AJ229" s="1" t="str">
        <f t="shared" ca="1" si="213"/>
        <v/>
      </c>
      <c r="AK229" s="1" t="str">
        <f ca="1">IF(AJ229="","",IF(AJ229=0,0,IF(W229=1,0,SUM(OFFSET($CO$17,N229,1):OFFSET($CO$17,N229+W229-2,1))/W229)))</f>
        <v/>
      </c>
      <c r="AL229" s="1" t="str">
        <f t="shared" si="214"/>
        <v/>
      </c>
      <c r="AM229" s="1" t="str">
        <f>IF($B229="","",SUMIFS($AL$2:AL229,$I$2:I229,$I229))</f>
        <v/>
      </c>
      <c r="AN229" s="1" t="str">
        <f t="shared" si="215"/>
        <v/>
      </c>
      <c r="AO229" s="1" t="str">
        <f>IFERROR(IF($B229="","",AVERAGEIFS($L$2:L229,$I$2:I229,I229,$L$2:L229,"&lt;&gt;0")),0)</f>
        <v/>
      </c>
      <c r="AP229" s="1" t="str">
        <f t="shared" si="216"/>
        <v/>
      </c>
      <c r="AQ229" s="1" t="str">
        <f>IF($B229="","",COUNTIFS($R$2:R229,1,$I$2:I229,$I229))</f>
        <v/>
      </c>
      <c r="AR229" s="1" t="str">
        <f t="array" ref="AR229">IF($B229="","",SUMPRODUCT(--($B$2:$B$313=B229),--(AM229&lt;$AM$2:$AM$313))+1)</f>
        <v/>
      </c>
      <c r="AS229" s="1" t="str">
        <f t="array" ref="AS229">IF($B229="","",SUMPRODUCT(--($B$2:$B$313=B229),--(AP229&lt;$AP$2:$AP$313))+1)</f>
        <v/>
      </c>
      <c r="AT229" s="1" t="str">
        <f t="array" ref="AT229">IF($B229="","",SUMPRODUCT(--($B$2:$B$313=B229),--(AQ229&lt;$AQ$2:$AQ$313))+1)</f>
        <v/>
      </c>
      <c r="AU229" s="1" t="str">
        <f t="shared" si="217"/>
        <v/>
      </c>
      <c r="AV229" s="1" t="str">
        <f t="shared" si="218"/>
        <v/>
      </c>
      <c r="AW229" s="1" t="str">
        <f t="shared" si="190"/>
        <v/>
      </c>
      <c r="AX229" s="1" t="str">
        <f t="shared" si="219"/>
        <v/>
      </c>
      <c r="AY229" s="8" t="str">
        <f t="shared" si="220"/>
        <v/>
      </c>
      <c r="AZ229" s="1" t="str" cm="1">
        <f t="array" ref="AZ229">IF($B229="","",SUMPRODUCT(--($B$2:$B$313=B229),--(AY229&gt;$AY$2:$AY$313))+1)</f>
        <v/>
      </c>
      <c r="BA229" s="1" t="str">
        <f t="shared" si="221"/>
        <v/>
      </c>
      <c r="BB229" s="1" t="str">
        <f t="shared" si="222"/>
        <v/>
      </c>
      <c r="BC229" s="1" t="str">
        <f t="shared" si="223"/>
        <v/>
      </c>
      <c r="BD229" s="1" t="str">
        <f t="shared" si="224"/>
        <v/>
      </c>
      <c r="BE229" s="1" t="str">
        <f t="shared" si="225"/>
        <v/>
      </c>
      <c r="BF229" s="1" t="str">
        <f t="shared" si="226"/>
        <v/>
      </c>
      <c r="BG229" s="1" t="str">
        <f t="shared" si="227"/>
        <v/>
      </c>
      <c r="BH229" s="1" t="str">
        <f t="shared" si="228"/>
        <v/>
      </c>
      <c r="BI229" s="1" t="str">
        <f t="shared" si="229"/>
        <v/>
      </c>
      <c r="BJ229" s="1" t="str">
        <f t="shared" si="230"/>
        <v/>
      </c>
      <c r="BK229" s="1" t="str">
        <f t="shared" si="231"/>
        <v/>
      </c>
      <c r="BL229" s="1" t="str">
        <f t="shared" si="232"/>
        <v/>
      </c>
      <c r="BM229" s="1" t="str">
        <f t="shared" si="233"/>
        <v/>
      </c>
      <c r="BN229" s="1" t="str">
        <f t="shared" si="234"/>
        <v/>
      </c>
      <c r="BO229" s="1" t="str">
        <f t="shared" si="191"/>
        <v/>
      </c>
      <c r="BP229" s="1" t="str">
        <f t="shared" si="192"/>
        <v/>
      </c>
      <c r="BQ229" s="1" t="str" cm="1">
        <f t="array" ref="BQ229">IF(I229="","",IF(BP229=1,"",IF(L229=0,"",IF(B229=1,"",_xlfn.XLOOKUP(1,($I$2:$I$313=$I229)*($B$2:$B$313=($B229-1)),$BO$2:$BO$313)))))</f>
        <v/>
      </c>
      <c r="BR229" s="1" t="str">
        <f>IF(I229="","",IF($B229=1,_xlfn.MINIFS($BO$2:$BO$313,$B$2:$B$313,$B229),_xlfn.MINIFS(BQ$2:$BQ$313,$B$2:$B$313,$B229)))</f>
        <v/>
      </c>
      <c r="BS229" s="1" t="str">
        <f t="shared" si="235"/>
        <v/>
      </c>
      <c r="BT229" s="1" t="str" cm="1">
        <f t="array" ref="BT229">IF($I229="","",IF($B229=1,_xlfn.XLOOKUP(1,($B$2:$B$313=$B229)*($BO$2:$BO$313=BR229),Data!$I$2:$I$313,,0),_xlfn.XLOOKUP(1,($B$2:$B$313=$B229)*($BQ$2:$BQ$313=$BR229),$I$2:$I$313,,0)))</f>
        <v/>
      </c>
      <c r="BU229" s="1" t="str" cm="1">
        <f t="array" ref="BU229">IF(I229="","",IF($B229=1,_xlfn.XLOOKUP(1,($B$2:$B$313=$B229)*($BO$2:$BO$313=$BS229),$I$2:$I$313,,0),_xlfn.XLOOKUP(1,($B$2:$B$313=$B229)*($BQ$2:$BQ$313=$BS229),$I$2:$I$313,,0)))</f>
        <v/>
      </c>
      <c r="BV229" s="1" t="str" cm="1">
        <f t="array" ref="BV229">IF($I229="","",IF($B229=1,"",IF($B229=2,_xlfn.XLOOKUP(1,($B$2:$B$313=1)*($BO$2:$BO$313=1),$I$2:$I$313,,0),_xlfn.XLOOKUP($B229-1,$B$2:$B$313,$CH$2:$CH$313,,0))))</f>
        <v/>
      </c>
      <c r="BW229" s="1" t="str" cm="1">
        <f t="array" ref="BW229">IF($I229="","",IF($B229=1,"",IF(_xlfn.XLOOKUP(1,($B$2:$B$313=$B229)*($I$2:$I$313=$BV229),$BQ$2:$BQ$313,,0)="","NOK","OK")))</f>
        <v/>
      </c>
      <c r="BX229" s="1" t="str">
        <f t="shared" si="236"/>
        <v/>
      </c>
      <c r="BY229" s="1" t="str">
        <f t="shared" si="237"/>
        <v/>
      </c>
      <c r="BZ229" s="1" t="str">
        <f t="shared" si="238"/>
        <v/>
      </c>
      <c r="CA229" s="1" t="str">
        <f t="shared" si="239"/>
        <v/>
      </c>
      <c r="CB229" s="1" t="str">
        <f t="shared" si="240"/>
        <v/>
      </c>
      <c r="CC229" s="1" t="str">
        <f t="shared" si="241"/>
        <v/>
      </c>
      <c r="CD229" s="1" t="str">
        <f t="shared" si="242"/>
        <v/>
      </c>
      <c r="CE229" s="1" t="str">
        <f t="shared" si="243"/>
        <v/>
      </c>
      <c r="CF229" s="1" t="str">
        <f t="shared" si="244"/>
        <v/>
      </c>
      <c r="CG229" s="1" t="str">
        <f t="shared" si="245"/>
        <v/>
      </c>
      <c r="CH229" s="1" t="str">
        <f t="shared" si="246"/>
        <v/>
      </c>
      <c r="CI229" s="1" t="str">
        <f t="shared" si="247"/>
        <v/>
      </c>
      <c r="CJ229" s="1" t="str">
        <f>IF(B229="","",IF(SUM(AI229:AK229)&gt;0,"+SP","")&amp;IF(CI229&gt;0,"+KK","")&amp;IF(AB229&gt;0,"+KGP1","")&amp;IF(AC229&gt;0,"+KGP2","")&amp;IF(AG229&lt;0,"-KGP1","")&amp;IF(AH229&lt;0,"-KGP2",""))</f>
        <v/>
      </c>
    </row>
    <row r="230" spans="1:88" x14ac:dyDescent="0.25">
      <c r="A230" s="1">
        <f>IFERROR(IF(ROW(A229)=1,1,IF(1+A229&lt;=$CP$1*$CP$2,1+A229,"")),"")</f>
        <v>229</v>
      </c>
      <c r="B230" s="1" t="str">
        <f>IF($I230="","",IF(ROW(B229)=1,1,ROUNDUP(A230/$CP$2,0)))</f>
        <v/>
      </c>
      <c r="C230" s="4" t="str">
        <f t="shared" si="193"/>
        <v/>
      </c>
      <c r="D230" s="4" t="str">
        <f t="shared" si="187"/>
        <v/>
      </c>
      <c r="E230" s="1" t="str">
        <f>IF($B230="","",COUNTIF($B$2:B230,B230))</f>
        <v/>
      </c>
      <c r="F230" s="1" t="str">
        <f t="shared" si="188"/>
        <v/>
      </c>
      <c r="G230" s="1" t="str">
        <f t="shared" si="194"/>
        <v/>
      </c>
      <c r="H230" s="1">
        <f t="shared" si="195"/>
        <v>0</v>
      </c>
      <c r="I230" s="3"/>
      <c r="J230" s="3"/>
      <c r="K230" s="3"/>
      <c r="L230" s="1" t="str">
        <f t="shared" si="196"/>
        <v/>
      </c>
      <c r="M230" s="1" t="str">
        <f t="shared" si="197"/>
        <v/>
      </c>
      <c r="N230" s="1" t="str">
        <f t="shared" si="198"/>
        <v/>
      </c>
      <c r="O230" s="1" t="str">
        <f t="shared" si="199"/>
        <v/>
      </c>
      <c r="P230" s="1" t="str">
        <f t="shared" si="200"/>
        <v/>
      </c>
      <c r="Q230" s="1" t="str">
        <f t="array" ref="Q230">IF($B230="","",IF(MAX(IF(B230=$B$2:$B$313,$L$2:$L$313))-L230=0,"",MAX(IF(B230=$B$2:$B$313,$L$2:$L$313))-L230))</f>
        <v/>
      </c>
      <c r="R230" s="1" t="str">
        <f t="array" ref="R230">IF($B230="","",SUMPRODUCT(--($B$2:$B$313=B230),--(L230&lt;$L$2:$L$313))+1)</f>
        <v/>
      </c>
      <c r="S230" s="1" t="str">
        <f t="shared" si="201"/>
        <v/>
      </c>
      <c r="T230" s="1" t="str" cm="1">
        <f t="array" ref="T230">IF($B230="","",IF(M230=0,"",SUMPRODUCT(--($B$2:$B$313=B230),--(J230&lt;$J$2:$J$313))+1))</f>
        <v/>
      </c>
      <c r="U230" s="1" t="str">
        <f t="shared" si="202"/>
        <v/>
      </c>
      <c r="V230" s="1" t="str">
        <f t="shared" si="203"/>
        <v/>
      </c>
      <c r="W230" s="1" t="str">
        <f t="shared" si="204"/>
        <v/>
      </c>
      <c r="X230" s="1" t="str">
        <f t="shared" si="189"/>
        <v/>
      </c>
      <c r="Y230" s="1" t="str">
        <f>IF($B230="","",MAX(_xlfn.MAXIFS($J$2:J230,$I$2:I230,$I230),_xlfn.MAXIFS($K$2:K230,$I$2:I230,$I230)))</f>
        <v/>
      </c>
      <c r="Z230" s="1" t="str">
        <f t="shared" si="205"/>
        <v/>
      </c>
      <c r="AA230" s="1" t="str">
        <f t="shared" si="206"/>
        <v/>
      </c>
      <c r="AB230" s="1" t="str">
        <f t="shared" si="207"/>
        <v/>
      </c>
      <c r="AC230" s="1" t="str">
        <f t="shared" si="208"/>
        <v/>
      </c>
      <c r="AD230" s="1" t="str">
        <f>IF($B230="","",MIN(_xlfn.MINIFS($J$2:J230,$I$2:I230,$I230),_xlfn.MINIFS($K$2:K230,$I$2:I230,$I230)))</f>
        <v/>
      </c>
      <c r="AE230" s="1" t="str">
        <f t="shared" si="209"/>
        <v/>
      </c>
      <c r="AF230" s="1" t="str">
        <f t="shared" si="210"/>
        <v/>
      </c>
      <c r="AG230" s="1" t="str">
        <f t="shared" si="211"/>
        <v/>
      </c>
      <c r="AH230" s="1" t="str">
        <f t="shared" si="212"/>
        <v/>
      </c>
      <c r="AI230" s="1" t="str">
        <f ca="1">IF($B230="","",IF($K230="",0,OFFSET($CO$17,R230,W230)))</f>
        <v/>
      </c>
      <c r="AJ230" s="1" t="str">
        <f t="shared" ca="1" si="213"/>
        <v/>
      </c>
      <c r="AK230" s="1" t="str">
        <f ca="1">IF(AJ230="","",IF(AJ230=0,0,IF(W230=1,0,SUM(OFFSET($CO$17,N230,1):OFFSET($CO$17,N230+W230-2,1))/W230)))</f>
        <v/>
      </c>
      <c r="AL230" s="1" t="str">
        <f t="shared" si="214"/>
        <v/>
      </c>
      <c r="AM230" s="1" t="str">
        <f>IF($B230="","",SUMIFS($AL$2:AL230,$I$2:I230,$I230))</f>
        <v/>
      </c>
      <c r="AN230" s="1" t="str">
        <f t="shared" si="215"/>
        <v/>
      </c>
      <c r="AO230" s="1" t="str">
        <f>IFERROR(IF($B230="","",AVERAGEIFS($L$2:L230,$I$2:I230,I230,$L$2:L230,"&lt;&gt;0")),0)</f>
        <v/>
      </c>
      <c r="AP230" s="1" t="str">
        <f t="shared" si="216"/>
        <v/>
      </c>
      <c r="AQ230" s="1" t="str">
        <f>IF($B230="","",COUNTIFS($R$2:R230,1,$I$2:I230,$I230))</f>
        <v/>
      </c>
      <c r="AR230" s="1" t="str">
        <f t="array" ref="AR230">IF($B230="","",SUMPRODUCT(--($B$2:$B$313=B230),--(AM230&lt;$AM$2:$AM$313))+1)</f>
        <v/>
      </c>
      <c r="AS230" s="1" t="str">
        <f t="array" ref="AS230">IF($B230="","",SUMPRODUCT(--($B$2:$B$313=B230),--(AP230&lt;$AP$2:$AP$313))+1)</f>
        <v/>
      </c>
      <c r="AT230" s="1" t="str">
        <f t="array" ref="AT230">IF($B230="","",SUMPRODUCT(--($B$2:$B$313=B230),--(AQ230&lt;$AQ$2:$AQ$313))+1)</f>
        <v/>
      </c>
      <c r="AU230" s="1" t="str">
        <f t="shared" si="217"/>
        <v/>
      </c>
      <c r="AV230" s="1" t="str">
        <f t="shared" si="218"/>
        <v/>
      </c>
      <c r="AW230" s="1" t="str">
        <f t="shared" si="190"/>
        <v/>
      </c>
      <c r="AX230" s="1" t="str">
        <f t="shared" si="219"/>
        <v/>
      </c>
      <c r="AY230" s="8" t="str">
        <f t="shared" si="220"/>
        <v/>
      </c>
      <c r="AZ230" s="1" t="str" cm="1">
        <f t="array" ref="AZ230">IF($B230="","",SUMPRODUCT(--($B$2:$B$313=B230),--(AY230&gt;$AY$2:$AY$313))+1)</f>
        <v/>
      </c>
      <c r="BA230" s="1" t="str">
        <f t="shared" si="221"/>
        <v/>
      </c>
      <c r="BB230" s="1" t="str">
        <f t="shared" si="222"/>
        <v/>
      </c>
      <c r="BC230" s="1" t="str">
        <f t="shared" si="223"/>
        <v/>
      </c>
      <c r="BD230" s="1" t="str">
        <f t="shared" si="224"/>
        <v/>
      </c>
      <c r="BE230" s="1" t="str">
        <f t="shared" si="225"/>
        <v/>
      </c>
      <c r="BF230" s="1" t="str">
        <f t="shared" si="226"/>
        <v/>
      </c>
      <c r="BG230" s="1" t="str">
        <f t="shared" si="227"/>
        <v/>
      </c>
      <c r="BH230" s="1" t="str">
        <f t="shared" si="228"/>
        <v/>
      </c>
      <c r="BI230" s="1" t="str">
        <f t="shared" si="229"/>
        <v/>
      </c>
      <c r="BJ230" s="1" t="str">
        <f t="shared" si="230"/>
        <v/>
      </c>
      <c r="BK230" s="1" t="str">
        <f t="shared" si="231"/>
        <v/>
      </c>
      <c r="BL230" s="1" t="str">
        <f t="shared" si="232"/>
        <v/>
      </c>
      <c r="BM230" s="1" t="str">
        <f t="shared" si="233"/>
        <v/>
      </c>
      <c r="BN230" s="1" t="str">
        <f t="shared" si="234"/>
        <v/>
      </c>
      <c r="BO230" s="1" t="str">
        <f t="shared" si="191"/>
        <v/>
      </c>
      <c r="BP230" s="1" t="str">
        <f t="shared" si="192"/>
        <v/>
      </c>
      <c r="BQ230" s="1" t="str" cm="1">
        <f t="array" ref="BQ230">IF(I230="","",IF(BP230=1,"",IF(L230=0,"",IF(B230=1,"",_xlfn.XLOOKUP(1,($I$2:$I$313=$I230)*($B$2:$B$313=($B230-1)),$BO$2:$BO$313)))))</f>
        <v/>
      </c>
      <c r="BR230" s="1" t="str">
        <f>IF(I230="","",IF($B230=1,_xlfn.MINIFS($BO$2:$BO$313,$B$2:$B$313,$B230),_xlfn.MINIFS(BQ$2:$BQ$313,$B$2:$B$313,$B230)))</f>
        <v/>
      </c>
      <c r="BS230" s="1" t="str">
        <f t="shared" si="235"/>
        <v/>
      </c>
      <c r="BT230" s="1" t="str" cm="1">
        <f t="array" ref="BT230">IF($I230="","",IF($B230=1,_xlfn.XLOOKUP(1,($B$2:$B$313=$B230)*($BO$2:$BO$313=BR230),Data!$I$2:$I$313,,0),_xlfn.XLOOKUP(1,($B$2:$B$313=$B230)*($BQ$2:$BQ$313=$BR230),$I$2:$I$313,,0)))</f>
        <v/>
      </c>
      <c r="BU230" s="1" t="str" cm="1">
        <f t="array" ref="BU230">IF(I230="","",IF($B230=1,_xlfn.XLOOKUP(1,($B$2:$B$313=$B230)*($BO$2:$BO$313=$BS230),$I$2:$I$313,,0),_xlfn.XLOOKUP(1,($B$2:$B$313=$B230)*($BQ$2:$BQ$313=$BS230),$I$2:$I$313,,0)))</f>
        <v/>
      </c>
      <c r="BV230" s="1" t="str" cm="1">
        <f t="array" ref="BV230">IF($I230="","",IF($B230=1,"",IF($B230=2,_xlfn.XLOOKUP(1,($B$2:$B$313=1)*($BO$2:$BO$313=1),$I$2:$I$313,,0),_xlfn.XLOOKUP($B230-1,$B$2:$B$313,$CH$2:$CH$313,,0))))</f>
        <v/>
      </c>
      <c r="BW230" s="1" t="str" cm="1">
        <f t="array" ref="BW230">IF($I230="","",IF($B230=1,"",IF(_xlfn.XLOOKUP(1,($B$2:$B$313=$B230)*($I$2:$I$313=$BV230),$BQ$2:$BQ$313,,0)="","NOK","OK")))</f>
        <v/>
      </c>
      <c r="BX230" s="1" t="str">
        <f t="shared" si="236"/>
        <v/>
      </c>
      <c r="BY230" s="1" t="str">
        <f t="shared" si="237"/>
        <v/>
      </c>
      <c r="BZ230" s="1" t="str">
        <f t="shared" si="238"/>
        <v/>
      </c>
      <c r="CA230" s="1" t="str">
        <f t="shared" si="239"/>
        <v/>
      </c>
      <c r="CB230" s="1" t="str">
        <f t="shared" si="240"/>
        <v/>
      </c>
      <c r="CC230" s="1" t="str">
        <f t="shared" si="241"/>
        <v/>
      </c>
      <c r="CD230" s="1" t="str">
        <f t="shared" si="242"/>
        <v/>
      </c>
      <c r="CE230" s="1" t="str">
        <f t="shared" si="243"/>
        <v/>
      </c>
      <c r="CF230" s="1" t="str">
        <f t="shared" si="244"/>
        <v/>
      </c>
      <c r="CG230" s="1" t="str">
        <f t="shared" si="245"/>
        <v/>
      </c>
      <c r="CH230" s="1" t="str">
        <f t="shared" si="246"/>
        <v/>
      </c>
      <c r="CI230" s="1" t="str">
        <f t="shared" si="247"/>
        <v/>
      </c>
      <c r="CJ230" s="1" t="str">
        <f>IF(B230="","",IF(SUM(AI230:AK230)&gt;0,"+SP","")&amp;IF(CI230&gt;0,"+KK","")&amp;IF(AB230&gt;0,"+KGP1","")&amp;IF(AC230&gt;0,"+KGP2","")&amp;IF(AG230&lt;0,"-KGP1","")&amp;IF(AH230&lt;0,"-KGP2",""))</f>
        <v/>
      </c>
    </row>
    <row r="231" spans="1:88" x14ac:dyDescent="0.25">
      <c r="A231" s="1">
        <f>IFERROR(IF(ROW(A230)=1,1,IF(1+A230&lt;=$CP$1*$CP$2,1+A230,"")),"")</f>
        <v>230</v>
      </c>
      <c r="B231" s="1" t="str">
        <f>IF($I231="","",IF(ROW(B230)=1,1,ROUNDUP(A231/$CP$2,0)))</f>
        <v/>
      </c>
      <c r="C231" s="4" t="str">
        <f t="shared" si="193"/>
        <v/>
      </c>
      <c r="D231" s="4" t="str">
        <f t="shared" si="187"/>
        <v/>
      </c>
      <c r="E231" s="1" t="str">
        <f>IF($B231="","",COUNTIF($B$2:B231,B231))</f>
        <v/>
      </c>
      <c r="F231" s="1" t="str">
        <f t="shared" si="188"/>
        <v/>
      </c>
      <c r="G231" s="1" t="str">
        <f t="shared" si="194"/>
        <v/>
      </c>
      <c r="H231" s="1">
        <f t="shared" si="195"/>
        <v>0</v>
      </c>
      <c r="I231" s="3"/>
      <c r="J231" s="3"/>
      <c r="K231" s="3"/>
      <c r="L231" s="1" t="str">
        <f t="shared" si="196"/>
        <v/>
      </c>
      <c r="M231" s="1" t="str">
        <f t="shared" si="197"/>
        <v/>
      </c>
      <c r="N231" s="1" t="str">
        <f t="shared" si="198"/>
        <v/>
      </c>
      <c r="O231" s="1" t="str">
        <f t="shared" si="199"/>
        <v/>
      </c>
      <c r="P231" s="1" t="str">
        <f t="shared" si="200"/>
        <v/>
      </c>
      <c r="Q231" s="1" t="str">
        <f t="array" ref="Q231">IF($B231="","",IF(MAX(IF(B231=$B$2:$B$313,$L$2:$L$313))-L231=0,"",MAX(IF(B231=$B$2:$B$313,$L$2:$L$313))-L231))</f>
        <v/>
      </c>
      <c r="R231" s="1" t="str">
        <f t="array" ref="R231">IF($B231="","",SUMPRODUCT(--($B$2:$B$313=B231),--(L231&lt;$L$2:$L$313))+1)</f>
        <v/>
      </c>
      <c r="S231" s="1" t="str">
        <f t="shared" si="201"/>
        <v/>
      </c>
      <c r="T231" s="1" t="str" cm="1">
        <f t="array" ref="T231">IF($B231="","",IF(M231=0,"",SUMPRODUCT(--($B$2:$B$313=B231),--(J231&lt;$J$2:$J$313))+1))</f>
        <v/>
      </c>
      <c r="U231" s="1" t="str">
        <f t="shared" si="202"/>
        <v/>
      </c>
      <c r="V231" s="1" t="str">
        <f t="shared" si="203"/>
        <v/>
      </c>
      <c r="W231" s="1" t="str">
        <f t="shared" si="204"/>
        <v/>
      </c>
      <c r="X231" s="1" t="str">
        <f t="shared" si="189"/>
        <v/>
      </c>
      <c r="Y231" s="1" t="str">
        <f>IF($B231="","",MAX(_xlfn.MAXIFS($J$2:J231,$I$2:I231,$I231),_xlfn.MAXIFS($K$2:K231,$I$2:I231,$I231)))</f>
        <v/>
      </c>
      <c r="Z231" s="1" t="str">
        <f t="shared" si="205"/>
        <v/>
      </c>
      <c r="AA231" s="1" t="str">
        <f t="shared" si="206"/>
        <v/>
      </c>
      <c r="AB231" s="1" t="str">
        <f t="shared" si="207"/>
        <v/>
      </c>
      <c r="AC231" s="1" t="str">
        <f t="shared" si="208"/>
        <v/>
      </c>
      <c r="AD231" s="1" t="str">
        <f>IF($B231="","",MIN(_xlfn.MINIFS($J$2:J231,$I$2:I231,$I231),_xlfn.MINIFS($K$2:K231,$I$2:I231,$I231)))</f>
        <v/>
      </c>
      <c r="AE231" s="1" t="str">
        <f t="shared" si="209"/>
        <v/>
      </c>
      <c r="AF231" s="1" t="str">
        <f t="shared" si="210"/>
        <v/>
      </c>
      <c r="AG231" s="1" t="str">
        <f t="shared" si="211"/>
        <v/>
      </c>
      <c r="AH231" s="1" t="str">
        <f t="shared" si="212"/>
        <v/>
      </c>
      <c r="AI231" s="1" t="str">
        <f ca="1">IF($B231="","",IF($K231="",0,OFFSET($CO$17,R231,W231)))</f>
        <v/>
      </c>
      <c r="AJ231" s="1" t="str">
        <f t="shared" ca="1" si="213"/>
        <v/>
      </c>
      <c r="AK231" s="1" t="str">
        <f ca="1">IF(AJ231="","",IF(AJ231=0,0,IF(W231=1,0,SUM(OFFSET($CO$17,N231,1):OFFSET($CO$17,N231+W231-2,1))/W231)))</f>
        <v/>
      </c>
      <c r="AL231" s="1" t="str">
        <f t="shared" si="214"/>
        <v/>
      </c>
      <c r="AM231" s="1" t="str">
        <f>IF($B231="","",SUMIFS($AL$2:AL231,$I$2:I231,$I231))</f>
        <v/>
      </c>
      <c r="AN231" s="1" t="str">
        <f t="shared" si="215"/>
        <v/>
      </c>
      <c r="AO231" s="1" t="str">
        <f>IFERROR(IF($B231="","",AVERAGEIFS($L$2:L231,$I$2:I231,I231,$L$2:L231,"&lt;&gt;0")),0)</f>
        <v/>
      </c>
      <c r="AP231" s="1" t="str">
        <f t="shared" si="216"/>
        <v/>
      </c>
      <c r="AQ231" s="1" t="str">
        <f>IF($B231="","",COUNTIFS($R$2:R231,1,$I$2:I231,$I231))</f>
        <v/>
      </c>
      <c r="AR231" s="1" t="str">
        <f t="array" ref="AR231">IF($B231="","",SUMPRODUCT(--($B$2:$B$313=B231),--(AM231&lt;$AM$2:$AM$313))+1)</f>
        <v/>
      </c>
      <c r="AS231" s="1" t="str">
        <f t="array" ref="AS231">IF($B231="","",SUMPRODUCT(--($B$2:$B$313=B231),--(AP231&lt;$AP$2:$AP$313))+1)</f>
        <v/>
      </c>
      <c r="AT231" s="1" t="str">
        <f t="array" ref="AT231">IF($B231="","",SUMPRODUCT(--($B$2:$B$313=B231),--(AQ231&lt;$AQ$2:$AQ$313))+1)</f>
        <v/>
      </c>
      <c r="AU231" s="1" t="str">
        <f t="shared" si="217"/>
        <v/>
      </c>
      <c r="AV231" s="1" t="str">
        <f t="shared" si="218"/>
        <v/>
      </c>
      <c r="AW231" s="1" t="str">
        <f t="shared" si="190"/>
        <v/>
      </c>
      <c r="AX231" s="1" t="str">
        <f t="shared" si="219"/>
        <v/>
      </c>
      <c r="AY231" s="8" t="str">
        <f t="shared" si="220"/>
        <v/>
      </c>
      <c r="AZ231" s="1" t="str" cm="1">
        <f t="array" ref="AZ231">IF($B231="","",SUMPRODUCT(--($B$2:$B$313=B231),--(AY231&gt;$AY$2:$AY$313))+1)</f>
        <v/>
      </c>
      <c r="BA231" s="1" t="str">
        <f t="shared" si="221"/>
        <v/>
      </c>
      <c r="BB231" s="1" t="str">
        <f t="shared" si="222"/>
        <v/>
      </c>
      <c r="BC231" s="1" t="str">
        <f t="shared" si="223"/>
        <v/>
      </c>
      <c r="BD231" s="1" t="str">
        <f t="shared" si="224"/>
        <v/>
      </c>
      <c r="BE231" s="1" t="str">
        <f t="shared" si="225"/>
        <v/>
      </c>
      <c r="BF231" s="1" t="str">
        <f t="shared" si="226"/>
        <v/>
      </c>
      <c r="BG231" s="1" t="str">
        <f t="shared" si="227"/>
        <v/>
      </c>
      <c r="BH231" s="1" t="str">
        <f t="shared" si="228"/>
        <v/>
      </c>
      <c r="BI231" s="1" t="str">
        <f t="shared" si="229"/>
        <v/>
      </c>
      <c r="BJ231" s="1" t="str">
        <f t="shared" si="230"/>
        <v/>
      </c>
      <c r="BK231" s="1" t="str">
        <f t="shared" si="231"/>
        <v/>
      </c>
      <c r="BL231" s="1" t="str">
        <f t="shared" si="232"/>
        <v/>
      </c>
      <c r="BM231" s="1" t="str">
        <f t="shared" si="233"/>
        <v/>
      </c>
      <c r="BN231" s="1" t="str">
        <f t="shared" si="234"/>
        <v/>
      </c>
      <c r="BO231" s="1" t="str">
        <f t="shared" si="191"/>
        <v/>
      </c>
      <c r="BP231" s="1" t="str">
        <f t="shared" si="192"/>
        <v/>
      </c>
      <c r="BQ231" s="1" t="str" cm="1">
        <f t="array" ref="BQ231">IF(I231="","",IF(BP231=1,"",IF(L231=0,"",IF(B231=1,"",_xlfn.XLOOKUP(1,($I$2:$I$313=$I231)*($B$2:$B$313=($B231-1)),$BO$2:$BO$313)))))</f>
        <v/>
      </c>
      <c r="BR231" s="1" t="str">
        <f>IF(I231="","",IF($B231=1,_xlfn.MINIFS($BO$2:$BO$313,$B$2:$B$313,$B231),_xlfn.MINIFS(BQ$2:$BQ$313,$B$2:$B$313,$B231)))</f>
        <v/>
      </c>
      <c r="BS231" s="1" t="str">
        <f t="shared" si="235"/>
        <v/>
      </c>
      <c r="BT231" s="1" t="str" cm="1">
        <f t="array" ref="BT231">IF($I231="","",IF($B231=1,_xlfn.XLOOKUP(1,($B$2:$B$313=$B231)*($BO$2:$BO$313=BR231),Data!$I$2:$I$313,,0),_xlfn.XLOOKUP(1,($B$2:$B$313=$B231)*($BQ$2:$BQ$313=$BR231),$I$2:$I$313,,0)))</f>
        <v/>
      </c>
      <c r="BU231" s="1" t="str" cm="1">
        <f t="array" ref="BU231">IF(I231="","",IF($B231=1,_xlfn.XLOOKUP(1,($B$2:$B$313=$B231)*($BO$2:$BO$313=$BS231),$I$2:$I$313,,0),_xlfn.XLOOKUP(1,($B$2:$B$313=$B231)*($BQ$2:$BQ$313=$BS231),$I$2:$I$313,,0)))</f>
        <v/>
      </c>
      <c r="BV231" s="1" t="str" cm="1">
        <f t="array" ref="BV231">IF($I231="","",IF($B231=1,"",IF($B231=2,_xlfn.XLOOKUP(1,($B$2:$B$313=1)*($BO$2:$BO$313=1),$I$2:$I$313,,0),_xlfn.XLOOKUP($B231-1,$B$2:$B$313,$CH$2:$CH$313,,0))))</f>
        <v/>
      </c>
      <c r="BW231" s="1" t="str" cm="1">
        <f t="array" ref="BW231">IF($I231="","",IF($B231=1,"",IF(_xlfn.XLOOKUP(1,($B$2:$B$313=$B231)*($I$2:$I$313=$BV231),$BQ$2:$BQ$313,,0)="","NOK","OK")))</f>
        <v/>
      </c>
      <c r="BX231" s="1" t="str">
        <f t="shared" si="236"/>
        <v/>
      </c>
      <c r="BY231" s="1" t="str">
        <f t="shared" si="237"/>
        <v/>
      </c>
      <c r="BZ231" s="1" t="str">
        <f t="shared" si="238"/>
        <v/>
      </c>
      <c r="CA231" s="1" t="str">
        <f t="shared" si="239"/>
        <v/>
      </c>
      <c r="CB231" s="1" t="str">
        <f t="shared" si="240"/>
        <v/>
      </c>
      <c r="CC231" s="1" t="str">
        <f t="shared" si="241"/>
        <v/>
      </c>
      <c r="CD231" s="1" t="str">
        <f t="shared" si="242"/>
        <v/>
      </c>
      <c r="CE231" s="1" t="str">
        <f t="shared" si="243"/>
        <v/>
      </c>
      <c r="CF231" s="1" t="str">
        <f t="shared" si="244"/>
        <v/>
      </c>
      <c r="CG231" s="1" t="str">
        <f t="shared" si="245"/>
        <v/>
      </c>
      <c r="CH231" s="1" t="str">
        <f t="shared" si="246"/>
        <v/>
      </c>
      <c r="CI231" s="1" t="str">
        <f t="shared" si="247"/>
        <v/>
      </c>
      <c r="CJ231" s="1" t="str">
        <f>IF(B231="","",IF(SUM(AI231:AK231)&gt;0,"+SP","")&amp;IF(CI231&gt;0,"+KK","")&amp;IF(AB231&gt;0,"+KGP1","")&amp;IF(AC231&gt;0,"+KGP2","")&amp;IF(AG231&lt;0,"-KGP1","")&amp;IF(AH231&lt;0,"-KGP2",""))</f>
        <v/>
      </c>
    </row>
    <row r="232" spans="1:88" x14ac:dyDescent="0.25">
      <c r="A232" s="1">
        <f>IFERROR(IF(ROW(A231)=1,1,IF(1+A231&lt;=$CP$1*$CP$2,1+A231,"")),"")</f>
        <v>231</v>
      </c>
      <c r="B232" s="1" t="str">
        <f>IF($I232="","",IF(ROW(B231)=1,1,ROUNDUP(A232/$CP$2,0)))</f>
        <v/>
      </c>
      <c r="C232" s="4" t="str">
        <f t="shared" si="193"/>
        <v/>
      </c>
      <c r="D232" s="4" t="str">
        <f t="shared" si="187"/>
        <v/>
      </c>
      <c r="E232" s="1" t="str">
        <f>IF($B232="","",COUNTIF($B$2:B232,B232))</f>
        <v/>
      </c>
      <c r="F232" s="1" t="str">
        <f t="shared" si="188"/>
        <v/>
      </c>
      <c r="G232" s="1" t="str">
        <f t="shared" si="194"/>
        <v/>
      </c>
      <c r="H232" s="1">
        <f t="shared" si="195"/>
        <v>0</v>
      </c>
      <c r="I232" s="3"/>
      <c r="J232" s="3"/>
      <c r="K232" s="3"/>
      <c r="L232" s="1" t="str">
        <f t="shared" si="196"/>
        <v/>
      </c>
      <c r="M232" s="1" t="str">
        <f t="shared" si="197"/>
        <v/>
      </c>
      <c r="N232" s="1" t="str">
        <f t="shared" si="198"/>
        <v/>
      </c>
      <c r="O232" s="1" t="str">
        <f t="shared" si="199"/>
        <v/>
      </c>
      <c r="P232" s="1" t="str">
        <f t="shared" si="200"/>
        <v/>
      </c>
      <c r="Q232" s="1" t="str">
        <f t="array" ref="Q232">IF($B232="","",IF(MAX(IF(B232=$B$2:$B$313,$L$2:$L$313))-L232=0,"",MAX(IF(B232=$B$2:$B$313,$L$2:$L$313))-L232))</f>
        <v/>
      </c>
      <c r="R232" s="1" t="str">
        <f t="array" ref="R232">IF($B232="","",SUMPRODUCT(--($B$2:$B$313=B232),--(L232&lt;$L$2:$L$313))+1)</f>
        <v/>
      </c>
      <c r="S232" s="1" t="str">
        <f t="shared" si="201"/>
        <v/>
      </c>
      <c r="T232" s="1" t="str" cm="1">
        <f t="array" ref="T232">IF($B232="","",IF(M232=0,"",SUMPRODUCT(--($B$2:$B$313=B232),--(J232&lt;$J$2:$J$313))+1))</f>
        <v/>
      </c>
      <c r="U232" s="1" t="str">
        <f t="shared" si="202"/>
        <v/>
      </c>
      <c r="V232" s="1" t="str">
        <f t="shared" si="203"/>
        <v/>
      </c>
      <c r="W232" s="1" t="str">
        <f t="shared" si="204"/>
        <v/>
      </c>
      <c r="X232" s="1" t="str">
        <f t="shared" si="189"/>
        <v/>
      </c>
      <c r="Y232" s="1" t="str">
        <f>IF($B232="","",MAX(_xlfn.MAXIFS($J$2:J232,$I$2:I232,$I232),_xlfn.MAXIFS($K$2:K232,$I$2:I232,$I232)))</f>
        <v/>
      </c>
      <c r="Z232" s="1" t="str">
        <f t="shared" si="205"/>
        <v/>
      </c>
      <c r="AA232" s="1" t="str">
        <f t="shared" si="206"/>
        <v/>
      </c>
      <c r="AB232" s="1" t="str">
        <f t="shared" si="207"/>
        <v/>
      </c>
      <c r="AC232" s="1" t="str">
        <f t="shared" si="208"/>
        <v/>
      </c>
      <c r="AD232" s="1" t="str">
        <f>IF($B232="","",MIN(_xlfn.MINIFS($J$2:J232,$I$2:I232,$I232),_xlfn.MINIFS($K$2:K232,$I$2:I232,$I232)))</f>
        <v/>
      </c>
      <c r="AE232" s="1" t="str">
        <f t="shared" si="209"/>
        <v/>
      </c>
      <c r="AF232" s="1" t="str">
        <f t="shared" si="210"/>
        <v/>
      </c>
      <c r="AG232" s="1" t="str">
        <f t="shared" si="211"/>
        <v/>
      </c>
      <c r="AH232" s="1" t="str">
        <f t="shared" si="212"/>
        <v/>
      </c>
      <c r="AI232" s="1" t="str">
        <f ca="1">IF($B232="","",IF($K232="",0,OFFSET($CO$17,R232,W232)))</f>
        <v/>
      </c>
      <c r="AJ232" s="1" t="str">
        <f t="shared" ca="1" si="213"/>
        <v/>
      </c>
      <c r="AK232" s="1" t="str">
        <f ca="1">IF(AJ232="","",IF(AJ232=0,0,IF(W232=1,0,SUM(OFFSET($CO$17,N232,1):OFFSET($CO$17,N232+W232-2,1))/W232)))</f>
        <v/>
      </c>
      <c r="AL232" s="1" t="str">
        <f t="shared" si="214"/>
        <v/>
      </c>
      <c r="AM232" s="1" t="str">
        <f>IF($B232="","",SUMIFS($AL$2:AL232,$I$2:I232,$I232))</f>
        <v/>
      </c>
      <c r="AN232" s="1" t="str">
        <f t="shared" si="215"/>
        <v/>
      </c>
      <c r="AO232" s="1" t="str">
        <f>IFERROR(IF($B232="","",AVERAGEIFS($L$2:L232,$I$2:I232,I232,$L$2:L232,"&lt;&gt;0")),0)</f>
        <v/>
      </c>
      <c r="AP232" s="1" t="str">
        <f t="shared" si="216"/>
        <v/>
      </c>
      <c r="AQ232" s="1" t="str">
        <f>IF($B232="","",COUNTIFS($R$2:R232,1,$I$2:I232,$I232))</f>
        <v/>
      </c>
      <c r="AR232" s="1" t="str">
        <f t="array" ref="AR232">IF($B232="","",SUMPRODUCT(--($B$2:$B$313=B232),--(AM232&lt;$AM$2:$AM$313))+1)</f>
        <v/>
      </c>
      <c r="AS232" s="1" t="str">
        <f t="array" ref="AS232">IF($B232="","",SUMPRODUCT(--($B$2:$B$313=B232),--(AP232&lt;$AP$2:$AP$313))+1)</f>
        <v/>
      </c>
      <c r="AT232" s="1" t="str">
        <f t="array" ref="AT232">IF($B232="","",SUMPRODUCT(--($B$2:$B$313=B232),--(AQ232&lt;$AQ$2:$AQ$313))+1)</f>
        <v/>
      </c>
      <c r="AU232" s="1" t="str">
        <f t="shared" si="217"/>
        <v/>
      </c>
      <c r="AV232" s="1" t="str">
        <f t="shared" si="218"/>
        <v/>
      </c>
      <c r="AW232" s="1" t="str">
        <f t="shared" si="190"/>
        <v/>
      </c>
      <c r="AX232" s="1" t="str">
        <f t="shared" si="219"/>
        <v/>
      </c>
      <c r="AY232" s="8" t="str">
        <f t="shared" si="220"/>
        <v/>
      </c>
      <c r="AZ232" s="1" t="str" cm="1">
        <f t="array" ref="AZ232">IF($B232="","",SUMPRODUCT(--($B$2:$B$313=B232),--(AY232&gt;$AY$2:$AY$313))+1)</f>
        <v/>
      </c>
      <c r="BA232" s="1" t="str">
        <f t="shared" si="221"/>
        <v/>
      </c>
      <c r="BB232" s="1" t="str">
        <f t="shared" si="222"/>
        <v/>
      </c>
      <c r="BC232" s="1" t="str">
        <f t="shared" si="223"/>
        <v/>
      </c>
      <c r="BD232" s="1" t="str">
        <f t="shared" si="224"/>
        <v/>
      </c>
      <c r="BE232" s="1" t="str">
        <f t="shared" si="225"/>
        <v/>
      </c>
      <c r="BF232" s="1" t="str">
        <f t="shared" si="226"/>
        <v/>
      </c>
      <c r="BG232" s="1" t="str">
        <f t="shared" si="227"/>
        <v/>
      </c>
      <c r="BH232" s="1" t="str">
        <f t="shared" si="228"/>
        <v/>
      </c>
      <c r="BI232" s="1" t="str">
        <f t="shared" si="229"/>
        <v/>
      </c>
      <c r="BJ232" s="1" t="str">
        <f t="shared" si="230"/>
        <v/>
      </c>
      <c r="BK232" s="1" t="str">
        <f t="shared" si="231"/>
        <v/>
      </c>
      <c r="BL232" s="1" t="str">
        <f t="shared" si="232"/>
        <v/>
      </c>
      <c r="BM232" s="1" t="str">
        <f t="shared" si="233"/>
        <v/>
      </c>
      <c r="BN232" s="1" t="str">
        <f t="shared" si="234"/>
        <v/>
      </c>
      <c r="BO232" s="1" t="str">
        <f t="shared" si="191"/>
        <v/>
      </c>
      <c r="BP232" s="1" t="str">
        <f t="shared" si="192"/>
        <v/>
      </c>
      <c r="BQ232" s="1" t="str" cm="1">
        <f t="array" ref="BQ232">IF(I232="","",IF(BP232=1,"",IF(L232=0,"",IF(B232=1,"",_xlfn.XLOOKUP(1,($I$2:$I$313=$I232)*($B$2:$B$313=($B232-1)),$BO$2:$BO$313)))))</f>
        <v/>
      </c>
      <c r="BR232" s="1" t="str">
        <f>IF(I232="","",IF($B232=1,_xlfn.MINIFS($BO$2:$BO$313,$B$2:$B$313,$B232),_xlfn.MINIFS(BQ$2:$BQ$313,$B$2:$B$313,$B232)))</f>
        <v/>
      </c>
      <c r="BS232" s="1" t="str">
        <f t="shared" si="235"/>
        <v/>
      </c>
      <c r="BT232" s="1" t="str" cm="1">
        <f t="array" ref="BT232">IF($I232="","",IF($B232=1,_xlfn.XLOOKUP(1,($B$2:$B$313=$B232)*($BO$2:$BO$313=BR232),Data!$I$2:$I$313,,0),_xlfn.XLOOKUP(1,($B$2:$B$313=$B232)*($BQ$2:$BQ$313=$BR232),$I$2:$I$313,,0)))</f>
        <v/>
      </c>
      <c r="BU232" s="1" t="str" cm="1">
        <f t="array" ref="BU232">IF(I232="","",IF($B232=1,_xlfn.XLOOKUP(1,($B$2:$B$313=$B232)*($BO$2:$BO$313=$BS232),$I$2:$I$313,,0),_xlfn.XLOOKUP(1,($B$2:$B$313=$B232)*($BQ$2:$BQ$313=$BS232),$I$2:$I$313,,0)))</f>
        <v/>
      </c>
      <c r="BV232" s="1" t="str" cm="1">
        <f t="array" ref="BV232">IF($I232="","",IF($B232=1,"",IF($B232=2,_xlfn.XLOOKUP(1,($B$2:$B$313=1)*($BO$2:$BO$313=1),$I$2:$I$313,,0),_xlfn.XLOOKUP($B232-1,$B$2:$B$313,$CH$2:$CH$313,,0))))</f>
        <v/>
      </c>
      <c r="BW232" s="1" t="str" cm="1">
        <f t="array" ref="BW232">IF($I232="","",IF($B232=1,"",IF(_xlfn.XLOOKUP(1,($B$2:$B$313=$B232)*($I$2:$I$313=$BV232),$BQ$2:$BQ$313,,0)="","NOK","OK")))</f>
        <v/>
      </c>
      <c r="BX232" s="1" t="str">
        <f t="shared" si="236"/>
        <v/>
      </c>
      <c r="BY232" s="1" t="str">
        <f t="shared" si="237"/>
        <v/>
      </c>
      <c r="BZ232" s="1" t="str">
        <f t="shared" si="238"/>
        <v/>
      </c>
      <c r="CA232" s="1" t="str">
        <f t="shared" si="239"/>
        <v/>
      </c>
      <c r="CB232" s="1" t="str">
        <f t="shared" si="240"/>
        <v/>
      </c>
      <c r="CC232" s="1" t="str">
        <f t="shared" si="241"/>
        <v/>
      </c>
      <c r="CD232" s="1" t="str">
        <f t="shared" si="242"/>
        <v/>
      </c>
      <c r="CE232" s="1" t="str">
        <f t="shared" si="243"/>
        <v/>
      </c>
      <c r="CF232" s="1" t="str">
        <f t="shared" si="244"/>
        <v/>
      </c>
      <c r="CG232" s="1" t="str">
        <f t="shared" si="245"/>
        <v/>
      </c>
      <c r="CH232" s="1" t="str">
        <f t="shared" si="246"/>
        <v/>
      </c>
      <c r="CI232" s="1" t="str">
        <f t="shared" si="247"/>
        <v/>
      </c>
      <c r="CJ232" s="1" t="str">
        <f>IF(B232="","",IF(SUM(AI232:AK232)&gt;0,"+SP","")&amp;IF(CI232&gt;0,"+KK","")&amp;IF(AB232&gt;0,"+KGP1","")&amp;IF(AC232&gt;0,"+KGP2","")&amp;IF(AG232&lt;0,"-KGP1","")&amp;IF(AH232&lt;0,"-KGP2",""))</f>
        <v/>
      </c>
    </row>
    <row r="233" spans="1:88" x14ac:dyDescent="0.25">
      <c r="A233" s="1">
        <f>IFERROR(IF(ROW(A232)=1,1,IF(1+A232&lt;=$CP$1*$CP$2,1+A232,"")),"")</f>
        <v>232</v>
      </c>
      <c r="B233" s="1" t="str">
        <f>IF($I233="","",IF(ROW(B232)=1,1,ROUNDUP(A233/$CP$2,0)))</f>
        <v/>
      </c>
      <c r="C233" s="4" t="str">
        <f t="shared" si="193"/>
        <v/>
      </c>
      <c r="D233" s="4" t="str">
        <f t="shared" si="187"/>
        <v/>
      </c>
      <c r="E233" s="1" t="str">
        <f>IF($B233="","",COUNTIF($B$2:B233,B233))</f>
        <v/>
      </c>
      <c r="F233" s="1" t="str">
        <f t="shared" si="188"/>
        <v/>
      </c>
      <c r="G233" s="1" t="str">
        <f t="shared" si="194"/>
        <v/>
      </c>
      <c r="H233" s="1">
        <f t="shared" si="195"/>
        <v>0</v>
      </c>
      <c r="I233" s="3"/>
      <c r="J233" s="3"/>
      <c r="K233" s="3"/>
      <c r="L233" s="1" t="str">
        <f t="shared" si="196"/>
        <v/>
      </c>
      <c r="M233" s="1" t="str">
        <f t="shared" si="197"/>
        <v/>
      </c>
      <c r="N233" s="1" t="str">
        <f t="shared" si="198"/>
        <v/>
      </c>
      <c r="O233" s="1" t="str">
        <f t="shared" si="199"/>
        <v/>
      </c>
      <c r="P233" s="1" t="str">
        <f t="shared" si="200"/>
        <v/>
      </c>
      <c r="Q233" s="1" t="str">
        <f t="array" ref="Q233">IF($B233="","",IF(MAX(IF(B233=$B$2:$B$313,$L$2:$L$313))-L233=0,"",MAX(IF(B233=$B$2:$B$313,$L$2:$L$313))-L233))</f>
        <v/>
      </c>
      <c r="R233" s="1" t="str">
        <f t="array" ref="R233">IF($B233="","",SUMPRODUCT(--($B$2:$B$313=B233),--(L233&lt;$L$2:$L$313))+1)</f>
        <v/>
      </c>
      <c r="S233" s="1" t="str">
        <f t="shared" si="201"/>
        <v/>
      </c>
      <c r="T233" s="1" t="str" cm="1">
        <f t="array" ref="T233">IF($B233="","",IF(M233=0,"",SUMPRODUCT(--($B$2:$B$313=B233),--(J233&lt;$J$2:$J$313))+1))</f>
        <v/>
      </c>
      <c r="U233" s="1" t="str">
        <f t="shared" si="202"/>
        <v/>
      </c>
      <c r="V233" s="1" t="str">
        <f t="shared" si="203"/>
        <v/>
      </c>
      <c r="W233" s="1" t="str">
        <f t="shared" si="204"/>
        <v/>
      </c>
      <c r="X233" s="1" t="str">
        <f t="shared" si="189"/>
        <v/>
      </c>
      <c r="Y233" s="1" t="str">
        <f>IF($B233="","",MAX(_xlfn.MAXIFS($J$2:J233,$I$2:I233,$I233),_xlfn.MAXIFS($K$2:K233,$I$2:I233,$I233)))</f>
        <v/>
      </c>
      <c r="Z233" s="1" t="str">
        <f t="shared" si="205"/>
        <v/>
      </c>
      <c r="AA233" s="1" t="str">
        <f t="shared" si="206"/>
        <v/>
      </c>
      <c r="AB233" s="1" t="str">
        <f t="shared" si="207"/>
        <v/>
      </c>
      <c r="AC233" s="1" t="str">
        <f t="shared" si="208"/>
        <v/>
      </c>
      <c r="AD233" s="1" t="str">
        <f>IF($B233="","",MIN(_xlfn.MINIFS($J$2:J233,$I$2:I233,$I233),_xlfn.MINIFS($K$2:K233,$I$2:I233,$I233)))</f>
        <v/>
      </c>
      <c r="AE233" s="1" t="str">
        <f t="shared" si="209"/>
        <v/>
      </c>
      <c r="AF233" s="1" t="str">
        <f t="shared" si="210"/>
        <v/>
      </c>
      <c r="AG233" s="1" t="str">
        <f t="shared" si="211"/>
        <v/>
      </c>
      <c r="AH233" s="1" t="str">
        <f t="shared" si="212"/>
        <v/>
      </c>
      <c r="AI233" s="1" t="str">
        <f ca="1">IF($B233="","",IF($K233="",0,OFFSET($CO$17,R233,W233)))</f>
        <v/>
      </c>
      <c r="AJ233" s="1" t="str">
        <f t="shared" ca="1" si="213"/>
        <v/>
      </c>
      <c r="AK233" s="1" t="str">
        <f ca="1">IF(AJ233="","",IF(AJ233=0,0,IF(W233=1,0,SUM(OFFSET($CO$17,N233,1):OFFSET($CO$17,N233+W233-2,1))/W233)))</f>
        <v/>
      </c>
      <c r="AL233" s="1" t="str">
        <f t="shared" si="214"/>
        <v/>
      </c>
      <c r="AM233" s="1" t="str">
        <f>IF($B233="","",SUMIFS($AL$2:AL233,$I$2:I233,$I233))</f>
        <v/>
      </c>
      <c r="AN233" s="1" t="str">
        <f t="shared" si="215"/>
        <v/>
      </c>
      <c r="AO233" s="1" t="str">
        <f>IFERROR(IF($B233="","",AVERAGEIFS($L$2:L233,$I$2:I233,I233,$L$2:L233,"&lt;&gt;0")),0)</f>
        <v/>
      </c>
      <c r="AP233" s="1" t="str">
        <f t="shared" si="216"/>
        <v/>
      </c>
      <c r="AQ233" s="1" t="str">
        <f>IF($B233="","",COUNTIFS($R$2:R233,1,$I$2:I233,$I233))</f>
        <v/>
      </c>
      <c r="AR233" s="1" t="str">
        <f t="array" ref="AR233">IF($B233="","",SUMPRODUCT(--($B$2:$B$313=B233),--(AM233&lt;$AM$2:$AM$313))+1)</f>
        <v/>
      </c>
      <c r="AS233" s="1" t="str">
        <f t="array" ref="AS233">IF($B233="","",SUMPRODUCT(--($B$2:$B$313=B233),--(AP233&lt;$AP$2:$AP$313))+1)</f>
        <v/>
      </c>
      <c r="AT233" s="1" t="str">
        <f t="array" ref="AT233">IF($B233="","",SUMPRODUCT(--($B$2:$B$313=B233),--(AQ233&lt;$AQ$2:$AQ$313))+1)</f>
        <v/>
      </c>
      <c r="AU233" s="1" t="str">
        <f t="shared" si="217"/>
        <v/>
      </c>
      <c r="AV233" s="1" t="str">
        <f t="shared" si="218"/>
        <v/>
      </c>
      <c r="AW233" s="1" t="str">
        <f t="shared" si="190"/>
        <v/>
      </c>
      <c r="AX233" s="1" t="str">
        <f t="shared" si="219"/>
        <v/>
      </c>
      <c r="AY233" s="8" t="str">
        <f t="shared" si="220"/>
        <v/>
      </c>
      <c r="AZ233" s="1" t="str" cm="1">
        <f t="array" ref="AZ233">IF($B233="","",SUMPRODUCT(--($B$2:$B$313=B233),--(AY233&gt;$AY$2:$AY$313))+1)</f>
        <v/>
      </c>
      <c r="BA233" s="1" t="str">
        <f t="shared" si="221"/>
        <v/>
      </c>
      <c r="BB233" s="1" t="str">
        <f t="shared" si="222"/>
        <v/>
      </c>
      <c r="BC233" s="1" t="str">
        <f t="shared" si="223"/>
        <v/>
      </c>
      <c r="BD233" s="1" t="str">
        <f t="shared" si="224"/>
        <v/>
      </c>
      <c r="BE233" s="1" t="str">
        <f t="shared" si="225"/>
        <v/>
      </c>
      <c r="BF233" s="1" t="str">
        <f t="shared" si="226"/>
        <v/>
      </c>
      <c r="BG233" s="1" t="str">
        <f t="shared" si="227"/>
        <v/>
      </c>
      <c r="BH233" s="1" t="str">
        <f t="shared" si="228"/>
        <v/>
      </c>
      <c r="BI233" s="1" t="str">
        <f t="shared" si="229"/>
        <v/>
      </c>
      <c r="BJ233" s="1" t="str">
        <f t="shared" si="230"/>
        <v/>
      </c>
      <c r="BK233" s="1" t="str">
        <f t="shared" si="231"/>
        <v/>
      </c>
      <c r="BL233" s="1" t="str">
        <f t="shared" si="232"/>
        <v/>
      </c>
      <c r="BM233" s="1" t="str">
        <f t="shared" si="233"/>
        <v/>
      </c>
      <c r="BN233" s="1" t="str">
        <f t="shared" si="234"/>
        <v/>
      </c>
      <c r="BO233" s="1" t="str">
        <f t="shared" si="191"/>
        <v/>
      </c>
      <c r="BP233" s="1" t="str">
        <f t="shared" si="192"/>
        <v/>
      </c>
      <c r="BQ233" s="1" t="str" cm="1">
        <f t="array" ref="BQ233">IF(I233="","",IF(BP233=1,"",IF(L233=0,"",IF(B233=1,"",_xlfn.XLOOKUP(1,($I$2:$I$313=$I233)*($B$2:$B$313=($B233-1)),$BO$2:$BO$313)))))</f>
        <v/>
      </c>
      <c r="BR233" s="1" t="str">
        <f>IF(I233="","",IF($B233=1,_xlfn.MINIFS($BO$2:$BO$313,$B$2:$B$313,$B233),_xlfn.MINIFS(BQ$2:$BQ$313,$B$2:$B$313,$B233)))</f>
        <v/>
      </c>
      <c r="BS233" s="1" t="str">
        <f t="shared" si="235"/>
        <v/>
      </c>
      <c r="BT233" s="1" t="str" cm="1">
        <f t="array" ref="BT233">IF($I233="","",IF($B233=1,_xlfn.XLOOKUP(1,($B$2:$B$313=$B233)*($BO$2:$BO$313=BR233),Data!$I$2:$I$313,,0),_xlfn.XLOOKUP(1,($B$2:$B$313=$B233)*($BQ$2:$BQ$313=$BR233),$I$2:$I$313,,0)))</f>
        <v/>
      </c>
      <c r="BU233" s="1" t="str" cm="1">
        <f t="array" ref="BU233">IF(I233="","",IF($B233=1,_xlfn.XLOOKUP(1,($B$2:$B$313=$B233)*($BO$2:$BO$313=$BS233),$I$2:$I$313,,0),_xlfn.XLOOKUP(1,($B$2:$B$313=$B233)*($BQ$2:$BQ$313=$BS233),$I$2:$I$313,,0)))</f>
        <v/>
      </c>
      <c r="BV233" s="1" t="str" cm="1">
        <f t="array" ref="BV233">IF($I233="","",IF($B233=1,"",IF($B233=2,_xlfn.XLOOKUP(1,($B$2:$B$313=1)*($BO$2:$BO$313=1),$I$2:$I$313,,0),_xlfn.XLOOKUP($B233-1,$B$2:$B$313,$CH$2:$CH$313,,0))))</f>
        <v/>
      </c>
      <c r="BW233" s="1" t="str" cm="1">
        <f t="array" ref="BW233">IF($I233="","",IF($B233=1,"",IF(_xlfn.XLOOKUP(1,($B$2:$B$313=$B233)*($I$2:$I$313=$BV233),$BQ$2:$BQ$313,,0)="","NOK","OK")))</f>
        <v/>
      </c>
      <c r="BX233" s="1" t="str">
        <f t="shared" si="236"/>
        <v/>
      </c>
      <c r="BY233" s="1" t="str">
        <f t="shared" si="237"/>
        <v/>
      </c>
      <c r="BZ233" s="1" t="str">
        <f t="shared" si="238"/>
        <v/>
      </c>
      <c r="CA233" s="1" t="str">
        <f t="shared" si="239"/>
        <v/>
      </c>
      <c r="CB233" s="1" t="str">
        <f t="shared" si="240"/>
        <v/>
      </c>
      <c r="CC233" s="1" t="str">
        <f t="shared" si="241"/>
        <v/>
      </c>
      <c r="CD233" s="1" t="str">
        <f t="shared" si="242"/>
        <v/>
      </c>
      <c r="CE233" s="1" t="str">
        <f t="shared" si="243"/>
        <v/>
      </c>
      <c r="CF233" s="1" t="str">
        <f t="shared" si="244"/>
        <v/>
      </c>
      <c r="CG233" s="1" t="str">
        <f t="shared" si="245"/>
        <v/>
      </c>
      <c r="CH233" s="1" t="str">
        <f t="shared" si="246"/>
        <v/>
      </c>
      <c r="CI233" s="1" t="str">
        <f t="shared" si="247"/>
        <v/>
      </c>
      <c r="CJ233" s="1" t="str">
        <f>IF(B233="","",IF(SUM(AI233:AK233)&gt;0,"+SP","")&amp;IF(CI233&gt;0,"+KK","")&amp;IF(AB233&gt;0,"+KGP1","")&amp;IF(AC233&gt;0,"+KGP2","")&amp;IF(AG233&lt;0,"-KGP1","")&amp;IF(AH233&lt;0,"-KGP2",""))</f>
        <v/>
      </c>
    </row>
    <row r="234" spans="1:88" x14ac:dyDescent="0.25">
      <c r="A234" s="1">
        <f>IFERROR(IF(ROW(A233)=1,1,IF(1+A233&lt;=$CP$1*$CP$2,1+A233,"")),"")</f>
        <v>233</v>
      </c>
      <c r="B234" s="1" t="str">
        <f>IF($I234="","",IF(ROW(B233)=1,1,ROUNDUP(A234/$CP$2,0)))</f>
        <v/>
      </c>
      <c r="C234" s="4" t="str">
        <f t="shared" si="193"/>
        <v/>
      </c>
      <c r="D234" s="4" t="str">
        <f t="shared" si="187"/>
        <v/>
      </c>
      <c r="E234" s="1" t="str">
        <f>IF($B234="","",COUNTIF($B$2:B234,B234))</f>
        <v/>
      </c>
      <c r="F234" s="1" t="str">
        <f t="shared" si="188"/>
        <v/>
      </c>
      <c r="G234" s="1" t="str">
        <f t="shared" si="194"/>
        <v/>
      </c>
      <c r="H234" s="1">
        <f t="shared" si="195"/>
        <v>0</v>
      </c>
      <c r="I234" s="3"/>
      <c r="J234" s="3"/>
      <c r="K234" s="3"/>
      <c r="L234" s="1" t="str">
        <f t="shared" si="196"/>
        <v/>
      </c>
      <c r="M234" s="1" t="str">
        <f t="shared" si="197"/>
        <v/>
      </c>
      <c r="N234" s="1" t="str">
        <f t="shared" si="198"/>
        <v/>
      </c>
      <c r="O234" s="1" t="str">
        <f t="shared" si="199"/>
        <v/>
      </c>
      <c r="P234" s="1" t="str">
        <f t="shared" si="200"/>
        <v/>
      </c>
      <c r="Q234" s="1" t="str">
        <f t="array" ref="Q234">IF($B234="","",IF(MAX(IF(B234=$B$2:$B$313,$L$2:$L$313))-L234=0,"",MAX(IF(B234=$B$2:$B$313,$L$2:$L$313))-L234))</f>
        <v/>
      </c>
      <c r="R234" s="1" t="str">
        <f t="array" ref="R234">IF($B234="","",SUMPRODUCT(--($B$2:$B$313=B234),--(L234&lt;$L$2:$L$313))+1)</f>
        <v/>
      </c>
      <c r="S234" s="1" t="str">
        <f t="shared" si="201"/>
        <v/>
      </c>
      <c r="T234" s="1" t="str" cm="1">
        <f t="array" ref="T234">IF($B234="","",IF(M234=0,"",SUMPRODUCT(--($B$2:$B$313=B234),--(J234&lt;$J$2:$J$313))+1))</f>
        <v/>
      </c>
      <c r="U234" s="1" t="str">
        <f t="shared" si="202"/>
        <v/>
      </c>
      <c r="V234" s="1" t="str">
        <f t="shared" si="203"/>
        <v/>
      </c>
      <c r="W234" s="1" t="str">
        <f t="shared" si="204"/>
        <v/>
      </c>
      <c r="X234" s="1" t="str">
        <f t="shared" si="189"/>
        <v/>
      </c>
      <c r="Y234" s="1" t="str">
        <f>IF($B234="","",MAX(_xlfn.MAXIFS($J$2:J234,$I$2:I234,$I234),_xlfn.MAXIFS($K$2:K234,$I$2:I234,$I234)))</f>
        <v/>
      </c>
      <c r="Z234" s="1" t="str">
        <f t="shared" si="205"/>
        <v/>
      </c>
      <c r="AA234" s="1" t="str">
        <f t="shared" si="206"/>
        <v/>
      </c>
      <c r="AB234" s="1" t="str">
        <f t="shared" si="207"/>
        <v/>
      </c>
      <c r="AC234" s="1" t="str">
        <f t="shared" si="208"/>
        <v/>
      </c>
      <c r="AD234" s="1" t="str">
        <f>IF($B234="","",MIN(_xlfn.MINIFS($J$2:J234,$I$2:I234,$I234),_xlfn.MINIFS($K$2:K234,$I$2:I234,$I234)))</f>
        <v/>
      </c>
      <c r="AE234" s="1" t="str">
        <f t="shared" si="209"/>
        <v/>
      </c>
      <c r="AF234" s="1" t="str">
        <f t="shared" si="210"/>
        <v/>
      </c>
      <c r="AG234" s="1" t="str">
        <f t="shared" si="211"/>
        <v/>
      </c>
      <c r="AH234" s="1" t="str">
        <f t="shared" si="212"/>
        <v/>
      </c>
      <c r="AI234" s="1" t="str">
        <f ca="1">IF($B234="","",IF($K234="",0,OFFSET($CO$17,R234,W234)))</f>
        <v/>
      </c>
      <c r="AJ234" s="1" t="str">
        <f t="shared" ca="1" si="213"/>
        <v/>
      </c>
      <c r="AK234" s="1" t="str">
        <f ca="1">IF(AJ234="","",IF(AJ234=0,0,IF(W234=1,0,SUM(OFFSET($CO$17,N234,1):OFFSET($CO$17,N234+W234-2,1))/W234)))</f>
        <v/>
      </c>
      <c r="AL234" s="1" t="str">
        <f t="shared" si="214"/>
        <v/>
      </c>
      <c r="AM234" s="1" t="str">
        <f>IF($B234="","",SUMIFS($AL$2:AL234,$I$2:I234,$I234))</f>
        <v/>
      </c>
      <c r="AN234" s="1" t="str">
        <f t="shared" si="215"/>
        <v/>
      </c>
      <c r="AO234" s="1" t="str">
        <f>IFERROR(IF($B234="","",AVERAGEIFS($L$2:L234,$I$2:I234,I234,$L$2:L234,"&lt;&gt;0")),0)</f>
        <v/>
      </c>
      <c r="AP234" s="1" t="str">
        <f t="shared" si="216"/>
        <v/>
      </c>
      <c r="AQ234" s="1" t="str">
        <f>IF($B234="","",COUNTIFS($R$2:R234,1,$I$2:I234,$I234))</f>
        <v/>
      </c>
      <c r="AR234" s="1" t="str">
        <f t="array" ref="AR234">IF($B234="","",SUMPRODUCT(--($B$2:$B$313=B234),--(AM234&lt;$AM$2:$AM$313))+1)</f>
        <v/>
      </c>
      <c r="AS234" s="1" t="str">
        <f t="array" ref="AS234">IF($B234="","",SUMPRODUCT(--($B$2:$B$313=B234),--(AP234&lt;$AP$2:$AP$313))+1)</f>
        <v/>
      </c>
      <c r="AT234" s="1" t="str">
        <f t="array" ref="AT234">IF($B234="","",SUMPRODUCT(--($B$2:$B$313=B234),--(AQ234&lt;$AQ$2:$AQ$313))+1)</f>
        <v/>
      </c>
      <c r="AU234" s="1" t="str">
        <f t="shared" si="217"/>
        <v/>
      </c>
      <c r="AV234" s="1" t="str">
        <f t="shared" si="218"/>
        <v/>
      </c>
      <c r="AW234" s="1" t="str">
        <f t="shared" si="190"/>
        <v/>
      </c>
      <c r="AX234" s="1" t="str">
        <f t="shared" si="219"/>
        <v/>
      </c>
      <c r="AY234" s="8" t="str">
        <f t="shared" si="220"/>
        <v/>
      </c>
      <c r="AZ234" s="1" t="str" cm="1">
        <f t="array" ref="AZ234">IF($B234="","",SUMPRODUCT(--($B$2:$B$313=B234),--(AY234&gt;$AY$2:$AY$313))+1)</f>
        <v/>
      </c>
      <c r="BA234" s="1" t="str">
        <f t="shared" si="221"/>
        <v/>
      </c>
      <c r="BB234" s="1" t="str">
        <f t="shared" si="222"/>
        <v/>
      </c>
      <c r="BC234" s="1" t="str">
        <f t="shared" si="223"/>
        <v/>
      </c>
      <c r="BD234" s="1" t="str">
        <f t="shared" si="224"/>
        <v/>
      </c>
      <c r="BE234" s="1" t="str">
        <f t="shared" si="225"/>
        <v/>
      </c>
      <c r="BF234" s="1" t="str">
        <f t="shared" si="226"/>
        <v/>
      </c>
      <c r="BG234" s="1" t="str">
        <f t="shared" si="227"/>
        <v/>
      </c>
      <c r="BH234" s="1" t="str">
        <f t="shared" si="228"/>
        <v/>
      </c>
      <c r="BI234" s="1" t="str">
        <f t="shared" si="229"/>
        <v/>
      </c>
      <c r="BJ234" s="1" t="str">
        <f t="shared" si="230"/>
        <v/>
      </c>
      <c r="BK234" s="1" t="str">
        <f t="shared" si="231"/>
        <v/>
      </c>
      <c r="BL234" s="1" t="str">
        <f t="shared" si="232"/>
        <v/>
      </c>
      <c r="BM234" s="1" t="str">
        <f t="shared" si="233"/>
        <v/>
      </c>
      <c r="BN234" s="1" t="str">
        <f t="shared" si="234"/>
        <v/>
      </c>
      <c r="BO234" s="1" t="str">
        <f t="shared" si="191"/>
        <v/>
      </c>
      <c r="BP234" s="1" t="str">
        <f t="shared" si="192"/>
        <v/>
      </c>
      <c r="BQ234" s="1" t="str" cm="1">
        <f t="array" ref="BQ234">IF(I234="","",IF(BP234=1,"",IF(L234=0,"",IF(B234=1,"",_xlfn.XLOOKUP(1,($I$2:$I$313=$I234)*($B$2:$B$313=($B234-1)),$BO$2:$BO$313)))))</f>
        <v/>
      </c>
      <c r="BR234" s="1" t="str">
        <f>IF(I234="","",IF($B234=1,_xlfn.MINIFS($BO$2:$BO$313,$B$2:$B$313,$B234),_xlfn.MINIFS(BQ$2:$BQ$313,$B$2:$B$313,$B234)))</f>
        <v/>
      </c>
      <c r="BS234" s="1" t="str">
        <f t="shared" si="235"/>
        <v/>
      </c>
      <c r="BT234" s="1" t="str" cm="1">
        <f t="array" ref="BT234">IF($I234="","",IF($B234=1,_xlfn.XLOOKUP(1,($B$2:$B$313=$B234)*($BO$2:$BO$313=BR234),Data!$I$2:$I$313,,0),_xlfn.XLOOKUP(1,($B$2:$B$313=$B234)*($BQ$2:$BQ$313=$BR234),$I$2:$I$313,,0)))</f>
        <v/>
      </c>
      <c r="BU234" s="1" t="str" cm="1">
        <f t="array" ref="BU234">IF(I234="","",IF($B234=1,_xlfn.XLOOKUP(1,($B$2:$B$313=$B234)*($BO$2:$BO$313=$BS234),$I$2:$I$313,,0),_xlfn.XLOOKUP(1,($B$2:$B$313=$B234)*($BQ$2:$BQ$313=$BS234),$I$2:$I$313,,0)))</f>
        <v/>
      </c>
      <c r="BV234" s="1" t="str" cm="1">
        <f t="array" ref="BV234">IF($I234="","",IF($B234=1,"",IF($B234=2,_xlfn.XLOOKUP(1,($B$2:$B$313=1)*($BO$2:$BO$313=1),$I$2:$I$313,,0),_xlfn.XLOOKUP($B234-1,$B$2:$B$313,$CH$2:$CH$313,,0))))</f>
        <v/>
      </c>
      <c r="BW234" s="1" t="str" cm="1">
        <f t="array" ref="BW234">IF($I234="","",IF($B234=1,"",IF(_xlfn.XLOOKUP(1,($B$2:$B$313=$B234)*($I$2:$I$313=$BV234),$BQ$2:$BQ$313,,0)="","NOK","OK")))</f>
        <v/>
      </c>
      <c r="BX234" s="1" t="str">
        <f t="shared" si="236"/>
        <v/>
      </c>
      <c r="BY234" s="1" t="str">
        <f t="shared" si="237"/>
        <v/>
      </c>
      <c r="BZ234" s="1" t="str">
        <f t="shared" si="238"/>
        <v/>
      </c>
      <c r="CA234" s="1" t="str">
        <f t="shared" si="239"/>
        <v/>
      </c>
      <c r="CB234" s="1" t="str">
        <f t="shared" si="240"/>
        <v/>
      </c>
      <c r="CC234" s="1" t="str">
        <f t="shared" si="241"/>
        <v/>
      </c>
      <c r="CD234" s="1" t="str">
        <f t="shared" si="242"/>
        <v/>
      </c>
      <c r="CE234" s="1" t="str">
        <f t="shared" si="243"/>
        <v/>
      </c>
      <c r="CF234" s="1" t="str">
        <f t="shared" si="244"/>
        <v/>
      </c>
      <c r="CG234" s="1" t="str">
        <f t="shared" si="245"/>
        <v/>
      </c>
      <c r="CH234" s="1" t="str">
        <f t="shared" si="246"/>
        <v/>
      </c>
      <c r="CI234" s="1" t="str">
        <f t="shared" si="247"/>
        <v/>
      </c>
      <c r="CJ234" s="1" t="str">
        <f>IF(B234="","",IF(SUM(AI234:AK234)&gt;0,"+SP","")&amp;IF(CI234&gt;0,"+KK","")&amp;IF(AB234&gt;0,"+KGP1","")&amp;IF(AC234&gt;0,"+KGP2","")&amp;IF(AG234&lt;0,"-KGP1","")&amp;IF(AH234&lt;0,"-KGP2",""))</f>
        <v/>
      </c>
    </row>
    <row r="235" spans="1:88" x14ac:dyDescent="0.25">
      <c r="A235" s="1">
        <f>IFERROR(IF(ROW(A234)=1,1,IF(1+A234&lt;=$CP$1*$CP$2,1+A234,"")),"")</f>
        <v>234</v>
      </c>
      <c r="B235" s="1" t="str">
        <f>IF($I235="","",IF(ROW(B234)=1,1,ROUNDUP(A235/$CP$2,0)))</f>
        <v/>
      </c>
      <c r="C235" s="4" t="str">
        <f t="shared" si="193"/>
        <v/>
      </c>
      <c r="D235" s="4" t="str">
        <f t="shared" si="187"/>
        <v/>
      </c>
      <c r="E235" s="1" t="str">
        <f>IF($B235="","",COUNTIF($B$2:B235,B235))</f>
        <v/>
      </c>
      <c r="F235" s="1" t="str">
        <f t="shared" si="188"/>
        <v/>
      </c>
      <c r="G235" s="1" t="str">
        <f t="shared" si="194"/>
        <v/>
      </c>
      <c r="H235" s="1">
        <f t="shared" si="195"/>
        <v>0</v>
      </c>
      <c r="I235" s="3"/>
      <c r="J235" s="3"/>
      <c r="K235" s="3"/>
      <c r="L235" s="1" t="str">
        <f t="shared" si="196"/>
        <v/>
      </c>
      <c r="M235" s="1" t="str">
        <f t="shared" si="197"/>
        <v/>
      </c>
      <c r="N235" s="1" t="str">
        <f t="shared" si="198"/>
        <v/>
      </c>
      <c r="O235" s="1" t="str">
        <f t="shared" si="199"/>
        <v/>
      </c>
      <c r="P235" s="1" t="str">
        <f t="shared" si="200"/>
        <v/>
      </c>
      <c r="Q235" s="1" t="str">
        <f t="array" ref="Q235">IF($B235="","",IF(MAX(IF(B235=$B$2:$B$313,$L$2:$L$313))-L235=0,"",MAX(IF(B235=$B$2:$B$313,$L$2:$L$313))-L235))</f>
        <v/>
      </c>
      <c r="R235" s="1" t="str">
        <f t="array" ref="R235">IF($B235="","",SUMPRODUCT(--($B$2:$B$313=B235),--(L235&lt;$L$2:$L$313))+1)</f>
        <v/>
      </c>
      <c r="S235" s="1" t="str">
        <f t="shared" si="201"/>
        <v/>
      </c>
      <c r="T235" s="1" t="str" cm="1">
        <f t="array" ref="T235">IF($B235="","",IF(M235=0,"",SUMPRODUCT(--($B$2:$B$313=B235),--(J235&lt;$J$2:$J$313))+1))</f>
        <v/>
      </c>
      <c r="U235" s="1" t="str">
        <f t="shared" si="202"/>
        <v/>
      </c>
      <c r="V235" s="1" t="str">
        <f t="shared" si="203"/>
        <v/>
      </c>
      <c r="W235" s="1" t="str">
        <f t="shared" si="204"/>
        <v/>
      </c>
      <c r="X235" s="1" t="str">
        <f t="shared" si="189"/>
        <v/>
      </c>
      <c r="Y235" s="1" t="str">
        <f>IF($B235="","",MAX(_xlfn.MAXIFS($J$2:J235,$I$2:I235,$I235),_xlfn.MAXIFS($K$2:K235,$I$2:I235,$I235)))</f>
        <v/>
      </c>
      <c r="Z235" s="1" t="str">
        <f t="shared" si="205"/>
        <v/>
      </c>
      <c r="AA235" s="1" t="str">
        <f t="shared" si="206"/>
        <v/>
      </c>
      <c r="AB235" s="1" t="str">
        <f t="shared" si="207"/>
        <v/>
      </c>
      <c r="AC235" s="1" t="str">
        <f t="shared" si="208"/>
        <v/>
      </c>
      <c r="AD235" s="1" t="str">
        <f>IF($B235="","",MIN(_xlfn.MINIFS($J$2:J235,$I$2:I235,$I235),_xlfn.MINIFS($K$2:K235,$I$2:I235,$I235)))</f>
        <v/>
      </c>
      <c r="AE235" s="1" t="str">
        <f t="shared" si="209"/>
        <v/>
      </c>
      <c r="AF235" s="1" t="str">
        <f t="shared" si="210"/>
        <v/>
      </c>
      <c r="AG235" s="1" t="str">
        <f t="shared" si="211"/>
        <v/>
      </c>
      <c r="AH235" s="1" t="str">
        <f t="shared" si="212"/>
        <v/>
      </c>
      <c r="AI235" s="1" t="str">
        <f ca="1">IF($B235="","",IF($K235="",0,OFFSET($CO$17,R235,W235)))</f>
        <v/>
      </c>
      <c r="AJ235" s="1" t="str">
        <f t="shared" ca="1" si="213"/>
        <v/>
      </c>
      <c r="AK235" s="1" t="str">
        <f ca="1">IF(AJ235="","",IF(AJ235=0,0,IF(W235=1,0,SUM(OFFSET($CO$17,N235,1):OFFSET($CO$17,N235+W235-2,1))/W235)))</f>
        <v/>
      </c>
      <c r="AL235" s="1" t="str">
        <f t="shared" si="214"/>
        <v/>
      </c>
      <c r="AM235" s="1" t="str">
        <f>IF($B235="","",SUMIFS($AL$2:AL235,$I$2:I235,$I235))</f>
        <v/>
      </c>
      <c r="AN235" s="1" t="str">
        <f t="shared" si="215"/>
        <v/>
      </c>
      <c r="AO235" s="1" t="str">
        <f>IFERROR(IF($B235="","",AVERAGEIFS($L$2:L235,$I$2:I235,I235,$L$2:L235,"&lt;&gt;0")),0)</f>
        <v/>
      </c>
      <c r="AP235" s="1" t="str">
        <f t="shared" si="216"/>
        <v/>
      </c>
      <c r="AQ235" s="1" t="str">
        <f>IF($B235="","",COUNTIFS($R$2:R235,1,$I$2:I235,$I235))</f>
        <v/>
      </c>
      <c r="AR235" s="1" t="str">
        <f t="array" ref="AR235">IF($B235="","",SUMPRODUCT(--($B$2:$B$313=B235),--(AM235&lt;$AM$2:$AM$313))+1)</f>
        <v/>
      </c>
      <c r="AS235" s="1" t="str">
        <f t="array" ref="AS235">IF($B235="","",SUMPRODUCT(--($B$2:$B$313=B235),--(AP235&lt;$AP$2:$AP$313))+1)</f>
        <v/>
      </c>
      <c r="AT235" s="1" t="str">
        <f t="array" ref="AT235">IF($B235="","",SUMPRODUCT(--($B$2:$B$313=B235),--(AQ235&lt;$AQ$2:$AQ$313))+1)</f>
        <v/>
      </c>
      <c r="AU235" s="1" t="str">
        <f t="shared" si="217"/>
        <v/>
      </c>
      <c r="AV235" s="1" t="str">
        <f t="shared" si="218"/>
        <v/>
      </c>
      <c r="AW235" s="1" t="str">
        <f t="shared" si="190"/>
        <v/>
      </c>
      <c r="AX235" s="1" t="str">
        <f t="shared" si="219"/>
        <v/>
      </c>
      <c r="AY235" s="8" t="str">
        <f t="shared" si="220"/>
        <v/>
      </c>
      <c r="AZ235" s="1" t="str" cm="1">
        <f t="array" ref="AZ235">IF($B235="","",SUMPRODUCT(--($B$2:$B$313=B235),--(AY235&gt;$AY$2:$AY$313))+1)</f>
        <v/>
      </c>
      <c r="BA235" s="1" t="str">
        <f t="shared" si="221"/>
        <v/>
      </c>
      <c r="BB235" s="1" t="str">
        <f t="shared" si="222"/>
        <v/>
      </c>
      <c r="BC235" s="1" t="str">
        <f t="shared" si="223"/>
        <v/>
      </c>
      <c r="BD235" s="1" t="str">
        <f t="shared" si="224"/>
        <v/>
      </c>
      <c r="BE235" s="1" t="str">
        <f t="shared" si="225"/>
        <v/>
      </c>
      <c r="BF235" s="1" t="str">
        <f t="shared" si="226"/>
        <v/>
      </c>
      <c r="BG235" s="1" t="str">
        <f t="shared" si="227"/>
        <v/>
      </c>
      <c r="BH235" s="1" t="str">
        <f t="shared" si="228"/>
        <v/>
      </c>
      <c r="BI235" s="1" t="str">
        <f t="shared" si="229"/>
        <v/>
      </c>
      <c r="BJ235" s="1" t="str">
        <f t="shared" si="230"/>
        <v/>
      </c>
      <c r="BK235" s="1" t="str">
        <f t="shared" si="231"/>
        <v/>
      </c>
      <c r="BL235" s="1" t="str">
        <f t="shared" si="232"/>
        <v/>
      </c>
      <c r="BM235" s="1" t="str">
        <f t="shared" si="233"/>
        <v/>
      </c>
      <c r="BN235" s="1" t="str">
        <f t="shared" si="234"/>
        <v/>
      </c>
      <c r="BO235" s="1" t="str">
        <f t="shared" si="191"/>
        <v/>
      </c>
      <c r="BP235" s="1" t="str">
        <f t="shared" si="192"/>
        <v/>
      </c>
      <c r="BQ235" s="1" t="str" cm="1">
        <f t="array" ref="BQ235">IF(I235="","",IF(BP235=1,"",IF(L235=0,"",IF(B235=1,"",_xlfn.XLOOKUP(1,($I$2:$I$313=$I235)*($B$2:$B$313=($B235-1)),$BO$2:$BO$313)))))</f>
        <v/>
      </c>
      <c r="BR235" s="1" t="str">
        <f>IF(I235="","",IF($B235=1,_xlfn.MINIFS($BO$2:$BO$313,$B$2:$B$313,$B235),_xlfn.MINIFS(BQ$2:$BQ$313,$B$2:$B$313,$B235)))</f>
        <v/>
      </c>
      <c r="BS235" s="1" t="str">
        <f t="shared" si="235"/>
        <v/>
      </c>
      <c r="BT235" s="1" t="str" cm="1">
        <f t="array" ref="BT235">IF($I235="","",IF($B235=1,_xlfn.XLOOKUP(1,($B$2:$B$313=$B235)*($BO$2:$BO$313=BR235),Data!$I$2:$I$313,,0),_xlfn.XLOOKUP(1,($B$2:$B$313=$B235)*($BQ$2:$BQ$313=$BR235),$I$2:$I$313,,0)))</f>
        <v/>
      </c>
      <c r="BU235" s="1" t="str" cm="1">
        <f t="array" ref="BU235">IF(I235="","",IF($B235=1,_xlfn.XLOOKUP(1,($B$2:$B$313=$B235)*($BO$2:$BO$313=$BS235),$I$2:$I$313,,0),_xlfn.XLOOKUP(1,($B$2:$B$313=$B235)*($BQ$2:$BQ$313=$BS235),$I$2:$I$313,,0)))</f>
        <v/>
      </c>
      <c r="BV235" s="1" t="str" cm="1">
        <f t="array" ref="BV235">IF($I235="","",IF($B235=1,"",IF($B235=2,_xlfn.XLOOKUP(1,($B$2:$B$313=1)*($BO$2:$BO$313=1),$I$2:$I$313,,0),_xlfn.XLOOKUP($B235-1,$B$2:$B$313,$CH$2:$CH$313,,0))))</f>
        <v/>
      </c>
      <c r="BW235" s="1" t="str" cm="1">
        <f t="array" ref="BW235">IF($I235="","",IF($B235=1,"",IF(_xlfn.XLOOKUP(1,($B$2:$B$313=$B235)*($I$2:$I$313=$BV235),$BQ$2:$BQ$313,,0)="","NOK","OK")))</f>
        <v/>
      </c>
      <c r="BX235" s="1" t="str">
        <f t="shared" si="236"/>
        <v/>
      </c>
      <c r="BY235" s="1" t="str">
        <f t="shared" si="237"/>
        <v/>
      </c>
      <c r="BZ235" s="1" t="str">
        <f t="shared" si="238"/>
        <v/>
      </c>
      <c r="CA235" s="1" t="str">
        <f t="shared" si="239"/>
        <v/>
      </c>
      <c r="CB235" s="1" t="str">
        <f t="shared" si="240"/>
        <v/>
      </c>
      <c r="CC235" s="1" t="str">
        <f t="shared" si="241"/>
        <v/>
      </c>
      <c r="CD235" s="1" t="str">
        <f t="shared" si="242"/>
        <v/>
      </c>
      <c r="CE235" s="1" t="str">
        <f t="shared" si="243"/>
        <v/>
      </c>
      <c r="CF235" s="1" t="str">
        <f t="shared" si="244"/>
        <v/>
      </c>
      <c r="CG235" s="1" t="str">
        <f t="shared" si="245"/>
        <v/>
      </c>
      <c r="CH235" s="1" t="str">
        <f t="shared" si="246"/>
        <v/>
      </c>
      <c r="CI235" s="1" t="str">
        <f t="shared" si="247"/>
        <v/>
      </c>
      <c r="CJ235" s="1" t="str">
        <f>IF(B235="","",IF(SUM(AI235:AK235)&gt;0,"+SP","")&amp;IF(CI235&gt;0,"+KK","")&amp;IF(AB235&gt;0,"+KGP1","")&amp;IF(AC235&gt;0,"+KGP2","")&amp;IF(AG235&lt;0,"-KGP1","")&amp;IF(AH235&lt;0,"-KGP2",""))</f>
        <v/>
      </c>
    </row>
    <row r="236" spans="1:88" x14ac:dyDescent="0.25">
      <c r="A236" s="1" t="str">
        <f>IFERROR(IF(ROW(A235)=1,1,IF(1+A235&lt;=$CP$1*$CP$2,1+A235,"")),"")</f>
        <v/>
      </c>
      <c r="B236" s="1" t="str">
        <f>IF($I236="","",IF(ROW(B235)=1,1,ROUNDUP(A236/$CP$2,0)))</f>
        <v/>
      </c>
      <c r="C236" s="4" t="str">
        <f t="shared" si="193"/>
        <v/>
      </c>
      <c r="D236" s="4" t="str">
        <f t="shared" si="187"/>
        <v/>
      </c>
      <c r="E236" s="1" t="str">
        <f>IF($B236="","",COUNTIF($B$2:B236,B236))</f>
        <v/>
      </c>
      <c r="F236" s="1" t="str">
        <f t="shared" si="188"/>
        <v/>
      </c>
      <c r="G236" s="1" t="str">
        <f t="shared" si="194"/>
        <v/>
      </c>
      <c r="H236" s="1">
        <f t="shared" si="195"/>
        <v>0</v>
      </c>
      <c r="I236" s="3"/>
      <c r="J236" s="3"/>
      <c r="K236" s="3"/>
      <c r="L236" s="1" t="str">
        <f t="shared" si="196"/>
        <v/>
      </c>
      <c r="M236" s="1" t="str">
        <f t="shared" si="197"/>
        <v/>
      </c>
      <c r="N236" s="1" t="str">
        <f t="shared" si="198"/>
        <v/>
      </c>
      <c r="O236" s="1" t="str">
        <f t="shared" si="199"/>
        <v/>
      </c>
      <c r="P236" s="1" t="str">
        <f t="shared" si="200"/>
        <v/>
      </c>
      <c r="Q236" s="1" t="str">
        <f t="array" ref="Q236">IF($B236="","",IF(MAX(IF(B236=$B$2:$B$313,$L$2:$L$313))-L236=0,"",MAX(IF(B236=$B$2:$B$313,$L$2:$L$313))-L236))</f>
        <v/>
      </c>
      <c r="R236" s="1" t="str">
        <f t="array" ref="R236">IF($B236="","",SUMPRODUCT(--($B$2:$B$313=B236),--(L236&lt;$L$2:$L$313))+1)</f>
        <v/>
      </c>
      <c r="S236" s="1" t="str">
        <f t="shared" si="201"/>
        <v/>
      </c>
      <c r="T236" s="1" t="str" cm="1">
        <f t="array" ref="T236">IF($B236="","",IF(M236=0,"",SUMPRODUCT(--($B$2:$B$313=B236),--(J236&lt;$J$2:$J$313))+1))</f>
        <v/>
      </c>
      <c r="U236" s="1" t="str">
        <f t="shared" si="202"/>
        <v/>
      </c>
      <c r="V236" s="1" t="str">
        <f t="shared" si="203"/>
        <v/>
      </c>
      <c r="W236" s="1" t="str">
        <f t="shared" si="204"/>
        <v/>
      </c>
      <c r="X236" s="1" t="str">
        <f t="shared" si="189"/>
        <v/>
      </c>
      <c r="Y236" s="1" t="str">
        <f>IF($B236="","",MAX(_xlfn.MAXIFS($J$2:J236,$I$2:I236,$I236),_xlfn.MAXIFS($K$2:K236,$I$2:I236,$I236)))</f>
        <v/>
      </c>
      <c r="Z236" s="1" t="str">
        <f t="shared" si="205"/>
        <v/>
      </c>
      <c r="AA236" s="1" t="str">
        <f t="shared" si="206"/>
        <v/>
      </c>
      <c r="AB236" s="1" t="str">
        <f t="shared" si="207"/>
        <v/>
      </c>
      <c r="AC236" s="1" t="str">
        <f t="shared" si="208"/>
        <v/>
      </c>
      <c r="AD236" s="1" t="str">
        <f>IF($B236="","",MIN(_xlfn.MINIFS($J$2:J236,$I$2:I236,$I236),_xlfn.MINIFS($K$2:K236,$I$2:I236,$I236)))</f>
        <v/>
      </c>
      <c r="AE236" s="1" t="str">
        <f t="shared" si="209"/>
        <v/>
      </c>
      <c r="AF236" s="1" t="str">
        <f t="shared" si="210"/>
        <v/>
      </c>
      <c r="AG236" s="1" t="str">
        <f t="shared" si="211"/>
        <v/>
      </c>
      <c r="AH236" s="1" t="str">
        <f t="shared" si="212"/>
        <v/>
      </c>
      <c r="AI236" s="1" t="str">
        <f ca="1">IF($B236="","",IF($K236="",0,OFFSET($CO$17,R236,W236)))</f>
        <v/>
      </c>
      <c r="AJ236" s="1" t="str">
        <f t="shared" ca="1" si="213"/>
        <v/>
      </c>
      <c r="AK236" s="1" t="str">
        <f ca="1">IF(AJ236="","",IF(AJ236=0,0,IF(W236=1,0,SUM(OFFSET($CO$17,N236,1):OFFSET($CO$17,N236+W236-2,1))/W236)))</f>
        <v/>
      </c>
      <c r="AL236" s="1" t="str">
        <f t="shared" si="214"/>
        <v/>
      </c>
      <c r="AM236" s="1" t="str">
        <f>IF($B236="","",SUMIFS($AL$2:AL236,$I$2:I236,$I236))</f>
        <v/>
      </c>
      <c r="AN236" s="1" t="str">
        <f t="shared" si="215"/>
        <v/>
      </c>
      <c r="AO236" s="1" t="str">
        <f>IFERROR(IF($B236="","",AVERAGEIFS($L$2:L236,$I$2:I236,I236,$L$2:L236,"&lt;&gt;0")),0)</f>
        <v/>
      </c>
      <c r="AP236" s="1" t="str">
        <f t="shared" si="216"/>
        <v/>
      </c>
      <c r="AQ236" s="1" t="str">
        <f>IF($B236="","",COUNTIFS($R$2:R236,1,$I$2:I236,$I236))</f>
        <v/>
      </c>
      <c r="AR236" s="1" t="str">
        <f t="array" ref="AR236">IF($B236="","",SUMPRODUCT(--($B$2:$B$313=B236),--(AM236&lt;$AM$2:$AM$313))+1)</f>
        <v/>
      </c>
      <c r="AS236" s="1" t="str">
        <f t="array" ref="AS236">IF($B236="","",SUMPRODUCT(--($B$2:$B$313=B236),--(AP236&lt;$AP$2:$AP$313))+1)</f>
        <v/>
      </c>
      <c r="AT236" s="1" t="str">
        <f t="array" ref="AT236">IF($B236="","",SUMPRODUCT(--($B$2:$B$313=B236),--(AQ236&lt;$AQ$2:$AQ$313))+1)</f>
        <v/>
      </c>
      <c r="AU236" s="1" t="str">
        <f t="shared" si="217"/>
        <v/>
      </c>
      <c r="AV236" s="1" t="str">
        <f t="shared" si="218"/>
        <v/>
      </c>
      <c r="AW236" s="1" t="str">
        <f t="shared" si="190"/>
        <v/>
      </c>
      <c r="AX236" s="1" t="str">
        <f t="shared" si="219"/>
        <v/>
      </c>
      <c r="AY236" s="8" t="str">
        <f t="shared" si="220"/>
        <v/>
      </c>
      <c r="AZ236" s="1" t="str" cm="1">
        <f t="array" ref="AZ236">IF($B236="","",SUMPRODUCT(--($B$2:$B$313=B236),--(AY236&gt;$AY$2:$AY$313))+1)</f>
        <v/>
      </c>
      <c r="BA236" s="1" t="str">
        <f t="shared" si="221"/>
        <v/>
      </c>
      <c r="BB236" s="1" t="str">
        <f t="shared" si="222"/>
        <v/>
      </c>
      <c r="BC236" s="1" t="str">
        <f t="shared" si="223"/>
        <v/>
      </c>
      <c r="BD236" s="1" t="str">
        <f t="shared" si="224"/>
        <v/>
      </c>
      <c r="BE236" s="1" t="str">
        <f t="shared" si="225"/>
        <v/>
      </c>
      <c r="BF236" s="1" t="str">
        <f t="shared" si="226"/>
        <v/>
      </c>
      <c r="BG236" s="1" t="str">
        <f t="shared" si="227"/>
        <v/>
      </c>
      <c r="BH236" s="1" t="str">
        <f t="shared" si="228"/>
        <v/>
      </c>
      <c r="BI236" s="1" t="str">
        <f t="shared" si="229"/>
        <v/>
      </c>
      <c r="BJ236" s="1" t="str">
        <f t="shared" si="230"/>
        <v/>
      </c>
      <c r="BK236" s="1" t="str">
        <f t="shared" si="231"/>
        <v/>
      </c>
      <c r="BL236" s="1" t="str">
        <f t="shared" si="232"/>
        <v/>
      </c>
      <c r="BM236" s="1" t="str">
        <f t="shared" si="233"/>
        <v/>
      </c>
      <c r="BN236" s="1" t="str">
        <f t="shared" si="234"/>
        <v/>
      </c>
      <c r="BO236" s="1" t="str">
        <f t="shared" si="191"/>
        <v/>
      </c>
      <c r="BP236" s="1" t="str">
        <f t="shared" si="192"/>
        <v/>
      </c>
      <c r="BQ236" s="1" t="str" cm="1">
        <f t="array" ref="BQ236">IF(I236="","",IF(BP236=1,"",IF(L236=0,"",IF(B236=1,"",_xlfn.XLOOKUP(1,($I$2:$I$313=$I236)*($B$2:$B$313=($B236-1)),$BO$2:$BO$313)))))</f>
        <v/>
      </c>
      <c r="BR236" s="1" t="str">
        <f>IF(I236="","",IF($B236=1,_xlfn.MINIFS($BO$2:$BO$313,$B$2:$B$313,$B236),_xlfn.MINIFS(BQ$2:$BQ$313,$B$2:$B$313,$B236)))</f>
        <v/>
      </c>
      <c r="BS236" s="1" t="str">
        <f t="shared" si="235"/>
        <v/>
      </c>
      <c r="BT236" s="1" t="str" cm="1">
        <f t="array" ref="BT236">IF($I236="","",IF($B236=1,_xlfn.XLOOKUP(1,($B$2:$B$313=$B236)*($BO$2:$BO$313=BR236),Data!$I$2:$I$313,,0),_xlfn.XLOOKUP(1,($B$2:$B$313=$B236)*($BQ$2:$BQ$313=$BR236),$I$2:$I$313,,0)))</f>
        <v/>
      </c>
      <c r="BU236" s="1" t="str" cm="1">
        <f t="array" ref="BU236">IF(I236="","",IF($B236=1,_xlfn.XLOOKUP(1,($B$2:$B$313=$B236)*($BO$2:$BO$313=$BS236),$I$2:$I$313,,0),_xlfn.XLOOKUP(1,($B$2:$B$313=$B236)*($BQ$2:$BQ$313=$BS236),$I$2:$I$313,,0)))</f>
        <v/>
      </c>
      <c r="BV236" s="1" t="str" cm="1">
        <f t="array" ref="BV236">IF($I236="","",IF($B236=1,"",IF($B236=2,_xlfn.XLOOKUP(1,($B$2:$B$313=1)*($BO$2:$BO$313=1),$I$2:$I$313,,0),_xlfn.XLOOKUP($B236-1,$B$2:$B$313,$CH$2:$CH$313,,0))))</f>
        <v/>
      </c>
      <c r="BW236" s="1" t="str" cm="1">
        <f t="array" ref="BW236">IF($I236="","",IF($B236=1,"",IF(_xlfn.XLOOKUP(1,($B$2:$B$313=$B236)*($I$2:$I$313=$BV236),$BQ$2:$BQ$313,,0)="","NOK","OK")))</f>
        <v/>
      </c>
      <c r="BX236" s="1" t="str">
        <f t="shared" si="236"/>
        <v/>
      </c>
      <c r="BY236" s="1" t="str">
        <f t="shared" si="237"/>
        <v/>
      </c>
      <c r="BZ236" s="1" t="str">
        <f t="shared" si="238"/>
        <v/>
      </c>
      <c r="CA236" s="1" t="str">
        <f t="shared" si="239"/>
        <v/>
      </c>
      <c r="CB236" s="1" t="str">
        <f t="shared" si="240"/>
        <v/>
      </c>
      <c r="CC236" s="1" t="str">
        <f t="shared" si="241"/>
        <v/>
      </c>
      <c r="CD236" s="1" t="str">
        <f t="shared" si="242"/>
        <v/>
      </c>
      <c r="CE236" s="1" t="str">
        <f t="shared" si="243"/>
        <v/>
      </c>
      <c r="CF236" s="1" t="str">
        <f t="shared" si="244"/>
        <v/>
      </c>
      <c r="CG236" s="1" t="str">
        <f t="shared" si="245"/>
        <v/>
      </c>
      <c r="CH236" s="1" t="str">
        <f t="shared" si="246"/>
        <v/>
      </c>
      <c r="CI236" s="1" t="str">
        <f t="shared" si="247"/>
        <v/>
      </c>
      <c r="CJ236" s="1" t="str">
        <f>IF(B236="","",IF(SUM(AI236:AK236)&gt;0,"+SP","")&amp;IF(CI236&gt;0,"+KK","")&amp;IF(AB236&gt;0,"+KGP1","")&amp;IF(AC236&gt;0,"+KGP2","")&amp;IF(AG236&lt;0,"-KGP1","")&amp;IF(AH236&lt;0,"-KGP2",""))</f>
        <v/>
      </c>
    </row>
    <row r="237" spans="1:88" x14ac:dyDescent="0.25">
      <c r="A237" s="1" t="str">
        <f>IFERROR(IF(ROW(A236)=1,1,IF(1+A236&lt;=$CP$1*$CP$2,1+A236,"")),"")</f>
        <v/>
      </c>
      <c r="B237" s="1" t="str">
        <f>IF($I237="","",IF(ROW(B236)=1,1,ROUNDUP(A237/$CP$2,0)))</f>
        <v/>
      </c>
      <c r="C237" s="4" t="str">
        <f t="shared" si="193"/>
        <v/>
      </c>
      <c r="D237" s="4" t="str">
        <f t="shared" si="187"/>
        <v/>
      </c>
      <c r="E237" s="1" t="str">
        <f>IF($B237="","",COUNTIF($B$2:B237,B237))</f>
        <v/>
      </c>
      <c r="F237" s="1" t="str">
        <f t="shared" si="188"/>
        <v/>
      </c>
      <c r="G237" s="1" t="str">
        <f t="shared" si="194"/>
        <v/>
      </c>
      <c r="H237" s="1">
        <f t="shared" si="195"/>
        <v>0</v>
      </c>
      <c r="I237" s="3"/>
      <c r="J237" s="3"/>
      <c r="K237" s="3"/>
      <c r="L237" s="1" t="str">
        <f t="shared" si="196"/>
        <v/>
      </c>
      <c r="M237" s="1" t="str">
        <f t="shared" si="197"/>
        <v/>
      </c>
      <c r="N237" s="1" t="str">
        <f t="shared" si="198"/>
        <v/>
      </c>
      <c r="O237" s="1" t="str">
        <f t="shared" si="199"/>
        <v/>
      </c>
      <c r="P237" s="1" t="str">
        <f t="shared" si="200"/>
        <v/>
      </c>
      <c r="Q237" s="1" t="str">
        <f t="array" ref="Q237">IF($B237="","",IF(MAX(IF(B237=$B$2:$B$313,$L$2:$L$313))-L237=0,"",MAX(IF(B237=$B$2:$B$313,$L$2:$L$313))-L237))</f>
        <v/>
      </c>
      <c r="R237" s="1" t="str">
        <f t="array" ref="R237">IF($B237="","",SUMPRODUCT(--($B$2:$B$313=B237),--(L237&lt;$L$2:$L$313))+1)</f>
        <v/>
      </c>
      <c r="S237" s="1" t="str">
        <f t="shared" si="201"/>
        <v/>
      </c>
      <c r="T237" s="1" t="str" cm="1">
        <f t="array" ref="T237">IF($B237="","",IF(M237=0,"",SUMPRODUCT(--($B$2:$B$313=B237),--(J237&lt;$J$2:$J$313))+1))</f>
        <v/>
      </c>
      <c r="U237" s="1" t="str">
        <f t="shared" si="202"/>
        <v/>
      </c>
      <c r="V237" s="1" t="str">
        <f t="shared" si="203"/>
        <v/>
      </c>
      <c r="W237" s="1" t="str">
        <f t="shared" si="204"/>
        <v/>
      </c>
      <c r="X237" s="1" t="str">
        <f t="shared" si="189"/>
        <v/>
      </c>
      <c r="Y237" s="1" t="str">
        <f>IF($B237="","",MAX(_xlfn.MAXIFS($J$2:J237,$I$2:I237,$I237),_xlfn.MAXIFS($K$2:K237,$I$2:I237,$I237)))</f>
        <v/>
      </c>
      <c r="Z237" s="1" t="str">
        <f t="shared" si="205"/>
        <v/>
      </c>
      <c r="AA237" s="1" t="str">
        <f t="shared" si="206"/>
        <v/>
      </c>
      <c r="AB237" s="1" t="str">
        <f t="shared" si="207"/>
        <v/>
      </c>
      <c r="AC237" s="1" t="str">
        <f t="shared" si="208"/>
        <v/>
      </c>
      <c r="AD237" s="1" t="str">
        <f>IF($B237="","",MIN(_xlfn.MINIFS($J$2:J237,$I$2:I237,$I237),_xlfn.MINIFS($K$2:K237,$I$2:I237,$I237)))</f>
        <v/>
      </c>
      <c r="AE237" s="1" t="str">
        <f t="shared" si="209"/>
        <v/>
      </c>
      <c r="AF237" s="1" t="str">
        <f t="shared" si="210"/>
        <v/>
      </c>
      <c r="AG237" s="1" t="str">
        <f t="shared" si="211"/>
        <v/>
      </c>
      <c r="AH237" s="1" t="str">
        <f t="shared" si="212"/>
        <v/>
      </c>
      <c r="AI237" s="1" t="str">
        <f ca="1">IF($B237="","",IF($K237="",0,OFFSET($CO$17,R237,W237)))</f>
        <v/>
      </c>
      <c r="AJ237" s="1" t="str">
        <f t="shared" ca="1" si="213"/>
        <v/>
      </c>
      <c r="AK237" s="1" t="str">
        <f ca="1">IF(AJ237="","",IF(AJ237=0,0,IF(W237=1,0,SUM(OFFSET($CO$17,N237,1):OFFSET($CO$17,N237+W237-2,1))/W237)))</f>
        <v/>
      </c>
      <c r="AL237" s="1" t="str">
        <f t="shared" si="214"/>
        <v/>
      </c>
      <c r="AM237" s="1" t="str">
        <f>IF($B237="","",SUMIFS($AL$2:AL237,$I$2:I237,$I237))</f>
        <v/>
      </c>
      <c r="AN237" s="1" t="str">
        <f t="shared" si="215"/>
        <v/>
      </c>
      <c r="AO237" s="1" t="str">
        <f>IFERROR(IF($B237="","",AVERAGEIFS($L$2:L237,$I$2:I237,I237,$L$2:L237,"&lt;&gt;0")),0)</f>
        <v/>
      </c>
      <c r="AP237" s="1" t="str">
        <f t="shared" si="216"/>
        <v/>
      </c>
      <c r="AQ237" s="1" t="str">
        <f>IF($B237="","",COUNTIFS($R$2:R237,1,$I$2:I237,$I237))</f>
        <v/>
      </c>
      <c r="AR237" s="1" t="str">
        <f t="array" ref="AR237">IF($B237="","",SUMPRODUCT(--($B$2:$B$313=B237),--(AM237&lt;$AM$2:$AM$313))+1)</f>
        <v/>
      </c>
      <c r="AS237" s="1" t="str">
        <f t="array" ref="AS237">IF($B237="","",SUMPRODUCT(--($B$2:$B$313=B237),--(AP237&lt;$AP$2:$AP$313))+1)</f>
        <v/>
      </c>
      <c r="AT237" s="1" t="str">
        <f t="array" ref="AT237">IF($B237="","",SUMPRODUCT(--($B$2:$B$313=B237),--(AQ237&lt;$AQ$2:$AQ$313))+1)</f>
        <v/>
      </c>
      <c r="AU237" s="1" t="str">
        <f t="shared" si="217"/>
        <v/>
      </c>
      <c r="AV237" s="1" t="str">
        <f t="shared" si="218"/>
        <v/>
      </c>
      <c r="AW237" s="1" t="str">
        <f t="shared" si="190"/>
        <v/>
      </c>
      <c r="AX237" s="1" t="str">
        <f t="shared" si="219"/>
        <v/>
      </c>
      <c r="AY237" s="8" t="str">
        <f t="shared" si="220"/>
        <v/>
      </c>
      <c r="AZ237" s="1" t="str" cm="1">
        <f t="array" ref="AZ237">IF($B237="","",SUMPRODUCT(--($B$2:$B$313=B237),--(AY237&gt;$AY$2:$AY$313))+1)</f>
        <v/>
      </c>
      <c r="BA237" s="1" t="str">
        <f t="shared" si="221"/>
        <v/>
      </c>
      <c r="BB237" s="1" t="str">
        <f t="shared" si="222"/>
        <v/>
      </c>
      <c r="BC237" s="1" t="str">
        <f t="shared" si="223"/>
        <v/>
      </c>
      <c r="BD237" s="1" t="str">
        <f t="shared" si="224"/>
        <v/>
      </c>
      <c r="BE237" s="1" t="str">
        <f t="shared" si="225"/>
        <v/>
      </c>
      <c r="BF237" s="1" t="str">
        <f t="shared" si="226"/>
        <v/>
      </c>
      <c r="BG237" s="1" t="str">
        <f t="shared" si="227"/>
        <v/>
      </c>
      <c r="BH237" s="1" t="str">
        <f t="shared" si="228"/>
        <v/>
      </c>
      <c r="BI237" s="1" t="str">
        <f t="shared" si="229"/>
        <v/>
      </c>
      <c r="BJ237" s="1" t="str">
        <f t="shared" si="230"/>
        <v/>
      </c>
      <c r="BK237" s="1" t="str">
        <f t="shared" si="231"/>
        <v/>
      </c>
      <c r="BL237" s="1" t="str">
        <f t="shared" si="232"/>
        <v/>
      </c>
      <c r="BM237" s="1" t="str">
        <f t="shared" si="233"/>
        <v/>
      </c>
      <c r="BN237" s="1" t="str">
        <f t="shared" si="234"/>
        <v/>
      </c>
      <c r="BO237" s="1" t="str">
        <f t="shared" si="191"/>
        <v/>
      </c>
      <c r="BP237" s="1" t="str">
        <f t="shared" si="192"/>
        <v/>
      </c>
      <c r="BQ237" s="1" t="str" cm="1">
        <f t="array" ref="BQ237">IF(I237="","",IF(BP237=1,"",IF(L237=0,"",IF(B237=1,"",_xlfn.XLOOKUP(1,($I$2:$I$313=$I237)*($B$2:$B$313=($B237-1)),$BO$2:$BO$313)))))</f>
        <v/>
      </c>
      <c r="BR237" s="1" t="str">
        <f>IF(I237="","",IF($B237=1,_xlfn.MINIFS($BO$2:$BO$313,$B$2:$B$313,$B237),_xlfn.MINIFS(BQ$2:$BQ$313,$B$2:$B$313,$B237)))</f>
        <v/>
      </c>
      <c r="BS237" s="1" t="str">
        <f t="shared" si="235"/>
        <v/>
      </c>
      <c r="BT237" s="1" t="str" cm="1">
        <f t="array" ref="BT237">IF($I237="","",IF($B237=1,_xlfn.XLOOKUP(1,($B$2:$B$313=$B237)*($BO$2:$BO$313=BR237),Data!$I$2:$I$313,,0),_xlfn.XLOOKUP(1,($B$2:$B$313=$B237)*($BQ$2:$BQ$313=$BR237),$I$2:$I$313,,0)))</f>
        <v/>
      </c>
      <c r="BU237" s="1" t="str" cm="1">
        <f t="array" ref="BU237">IF(I237="","",IF($B237=1,_xlfn.XLOOKUP(1,($B$2:$B$313=$B237)*($BO$2:$BO$313=$BS237),$I$2:$I$313,,0),_xlfn.XLOOKUP(1,($B$2:$B$313=$B237)*($BQ$2:$BQ$313=$BS237),$I$2:$I$313,,0)))</f>
        <v/>
      </c>
      <c r="BV237" s="1" t="str" cm="1">
        <f t="array" ref="BV237">IF($I237="","",IF($B237=1,"",IF($B237=2,_xlfn.XLOOKUP(1,($B$2:$B$313=1)*($BO$2:$BO$313=1),$I$2:$I$313,,0),_xlfn.XLOOKUP($B237-1,$B$2:$B$313,$CH$2:$CH$313,,0))))</f>
        <v/>
      </c>
      <c r="BW237" s="1" t="str" cm="1">
        <f t="array" ref="BW237">IF($I237="","",IF($B237=1,"",IF(_xlfn.XLOOKUP(1,($B$2:$B$313=$B237)*($I$2:$I$313=$BV237),$BQ$2:$BQ$313,,0)="","NOK","OK")))</f>
        <v/>
      </c>
      <c r="BX237" s="1" t="str">
        <f t="shared" si="236"/>
        <v/>
      </c>
      <c r="BY237" s="1" t="str">
        <f t="shared" si="237"/>
        <v/>
      </c>
      <c r="BZ237" s="1" t="str">
        <f t="shared" si="238"/>
        <v/>
      </c>
      <c r="CA237" s="1" t="str">
        <f t="shared" si="239"/>
        <v/>
      </c>
      <c r="CB237" s="1" t="str">
        <f t="shared" si="240"/>
        <v/>
      </c>
      <c r="CC237" s="1" t="str">
        <f t="shared" si="241"/>
        <v/>
      </c>
      <c r="CD237" s="1" t="str">
        <f t="shared" si="242"/>
        <v/>
      </c>
      <c r="CE237" s="1" t="str">
        <f t="shared" si="243"/>
        <v/>
      </c>
      <c r="CF237" s="1" t="str">
        <f t="shared" si="244"/>
        <v/>
      </c>
      <c r="CG237" s="1" t="str">
        <f t="shared" si="245"/>
        <v/>
      </c>
      <c r="CH237" s="1" t="str">
        <f t="shared" si="246"/>
        <v/>
      </c>
      <c r="CI237" s="1" t="str">
        <f t="shared" si="247"/>
        <v/>
      </c>
      <c r="CJ237" s="1" t="str">
        <f>IF(B237="","",IF(SUM(AI237:AK237)&gt;0,"+SP","")&amp;IF(CI237&gt;0,"+KK","")&amp;IF(AB237&gt;0,"+KGP1","")&amp;IF(AC237&gt;0,"+KGP2","")&amp;IF(AG237&lt;0,"-KGP1","")&amp;IF(AH237&lt;0,"-KGP2",""))</f>
        <v/>
      </c>
    </row>
    <row r="238" spans="1:88" x14ac:dyDescent="0.25">
      <c r="A238" s="1" t="str">
        <f>IFERROR(IF(ROW(A237)=1,1,IF(1+A237&lt;=$CP$1*$CP$2,1+A237,"")),"")</f>
        <v/>
      </c>
      <c r="B238" s="1" t="str">
        <f>IF($I238="","",IF(ROW(B237)=1,1,ROUNDUP(A238/$CP$2,0)))</f>
        <v/>
      </c>
      <c r="C238" s="4" t="str">
        <f t="shared" si="193"/>
        <v/>
      </c>
      <c r="D238" s="4" t="str">
        <f t="shared" si="187"/>
        <v/>
      </c>
      <c r="E238" s="1" t="str">
        <f>IF($B238="","",COUNTIF($B$2:B238,B238))</f>
        <v/>
      </c>
      <c r="F238" s="1" t="str">
        <f t="shared" si="188"/>
        <v/>
      </c>
      <c r="G238" s="1" t="str">
        <f t="shared" si="194"/>
        <v/>
      </c>
      <c r="H238" s="1">
        <f t="shared" si="195"/>
        <v>0</v>
      </c>
      <c r="I238" s="3"/>
      <c r="J238" s="3"/>
      <c r="K238" s="3"/>
      <c r="L238" s="1" t="str">
        <f t="shared" si="196"/>
        <v/>
      </c>
      <c r="M238" s="1" t="str">
        <f t="shared" si="197"/>
        <v/>
      </c>
      <c r="N238" s="1" t="str">
        <f t="shared" si="198"/>
        <v/>
      </c>
      <c r="O238" s="1" t="str">
        <f t="shared" si="199"/>
        <v/>
      </c>
      <c r="P238" s="1" t="str">
        <f t="shared" si="200"/>
        <v/>
      </c>
      <c r="Q238" s="1" t="str">
        <f t="array" ref="Q238">IF($B238="","",IF(MAX(IF(B238=$B$2:$B$313,$L$2:$L$313))-L238=0,"",MAX(IF(B238=$B$2:$B$313,$L$2:$L$313))-L238))</f>
        <v/>
      </c>
      <c r="R238" s="1" t="str">
        <f t="array" ref="R238">IF($B238="","",SUMPRODUCT(--($B$2:$B$313=B238),--(L238&lt;$L$2:$L$313))+1)</f>
        <v/>
      </c>
      <c r="S238" s="1" t="str">
        <f t="shared" si="201"/>
        <v/>
      </c>
      <c r="T238" s="1" t="str" cm="1">
        <f t="array" ref="T238">IF($B238="","",IF(M238=0,"",SUMPRODUCT(--($B$2:$B$313=B238),--(J238&lt;$J$2:$J$313))+1))</f>
        <v/>
      </c>
      <c r="U238" s="1" t="str">
        <f t="shared" si="202"/>
        <v/>
      </c>
      <c r="V238" s="1" t="str">
        <f t="shared" si="203"/>
        <v/>
      </c>
      <c r="W238" s="1" t="str">
        <f t="shared" si="204"/>
        <v/>
      </c>
      <c r="X238" s="1" t="str">
        <f t="shared" si="189"/>
        <v/>
      </c>
      <c r="Y238" s="1" t="str">
        <f>IF($B238="","",MAX(_xlfn.MAXIFS($J$2:J238,$I$2:I238,$I238),_xlfn.MAXIFS($K$2:K238,$I$2:I238,$I238)))</f>
        <v/>
      </c>
      <c r="Z238" s="1" t="str">
        <f t="shared" si="205"/>
        <v/>
      </c>
      <c r="AA238" s="1" t="str">
        <f t="shared" si="206"/>
        <v/>
      </c>
      <c r="AB238" s="1" t="str">
        <f t="shared" si="207"/>
        <v/>
      </c>
      <c r="AC238" s="1" t="str">
        <f t="shared" si="208"/>
        <v/>
      </c>
      <c r="AD238" s="1" t="str">
        <f>IF($B238="","",MIN(_xlfn.MINIFS($J$2:J238,$I$2:I238,$I238),_xlfn.MINIFS($K$2:K238,$I$2:I238,$I238)))</f>
        <v/>
      </c>
      <c r="AE238" s="1" t="str">
        <f t="shared" si="209"/>
        <v/>
      </c>
      <c r="AF238" s="1" t="str">
        <f t="shared" si="210"/>
        <v/>
      </c>
      <c r="AG238" s="1" t="str">
        <f t="shared" si="211"/>
        <v/>
      </c>
      <c r="AH238" s="1" t="str">
        <f t="shared" si="212"/>
        <v/>
      </c>
      <c r="AI238" s="1" t="str">
        <f ca="1">IF($B238="","",IF($K238="",0,OFFSET($CO$17,R238,W238)))</f>
        <v/>
      </c>
      <c r="AJ238" s="1" t="str">
        <f t="shared" ca="1" si="213"/>
        <v/>
      </c>
      <c r="AK238" s="1" t="str">
        <f ca="1">IF(AJ238="","",IF(AJ238=0,0,IF(W238=1,0,SUM(OFFSET($CO$17,N238,1):OFFSET($CO$17,N238+W238-2,1))/W238)))</f>
        <v/>
      </c>
      <c r="AL238" s="1" t="str">
        <f t="shared" si="214"/>
        <v/>
      </c>
      <c r="AM238" s="1" t="str">
        <f>IF($B238="","",SUMIFS($AL$2:AL238,$I$2:I238,$I238))</f>
        <v/>
      </c>
      <c r="AN238" s="1" t="str">
        <f t="shared" si="215"/>
        <v/>
      </c>
      <c r="AO238" s="1" t="str">
        <f>IFERROR(IF($B238="","",AVERAGEIFS($L$2:L238,$I$2:I238,I238,$L$2:L238,"&lt;&gt;0")),0)</f>
        <v/>
      </c>
      <c r="AP238" s="1" t="str">
        <f t="shared" si="216"/>
        <v/>
      </c>
      <c r="AQ238" s="1" t="str">
        <f>IF($B238="","",COUNTIFS($R$2:R238,1,$I$2:I238,$I238))</f>
        <v/>
      </c>
      <c r="AR238" s="1" t="str">
        <f t="array" ref="AR238">IF($B238="","",SUMPRODUCT(--($B$2:$B$313=B238),--(AM238&lt;$AM$2:$AM$313))+1)</f>
        <v/>
      </c>
      <c r="AS238" s="1" t="str">
        <f t="array" ref="AS238">IF($B238="","",SUMPRODUCT(--($B$2:$B$313=B238),--(AP238&lt;$AP$2:$AP$313))+1)</f>
        <v/>
      </c>
      <c r="AT238" s="1" t="str">
        <f t="array" ref="AT238">IF($B238="","",SUMPRODUCT(--($B$2:$B$313=B238),--(AQ238&lt;$AQ$2:$AQ$313))+1)</f>
        <v/>
      </c>
      <c r="AU238" s="1" t="str">
        <f t="shared" si="217"/>
        <v/>
      </c>
      <c r="AV238" s="1" t="str">
        <f t="shared" si="218"/>
        <v/>
      </c>
      <c r="AW238" s="1" t="str">
        <f t="shared" si="190"/>
        <v/>
      </c>
      <c r="AX238" s="1" t="str">
        <f t="shared" si="219"/>
        <v/>
      </c>
      <c r="AY238" s="8" t="str">
        <f t="shared" si="220"/>
        <v/>
      </c>
      <c r="AZ238" s="1" t="str" cm="1">
        <f t="array" ref="AZ238">IF($B238="","",SUMPRODUCT(--($B$2:$B$313=B238),--(AY238&gt;$AY$2:$AY$313))+1)</f>
        <v/>
      </c>
      <c r="BA238" s="1" t="str">
        <f t="shared" si="221"/>
        <v/>
      </c>
      <c r="BB238" s="1" t="str">
        <f t="shared" si="222"/>
        <v/>
      </c>
      <c r="BC238" s="1" t="str">
        <f t="shared" si="223"/>
        <v/>
      </c>
      <c r="BD238" s="1" t="str">
        <f t="shared" si="224"/>
        <v/>
      </c>
      <c r="BE238" s="1" t="str">
        <f t="shared" si="225"/>
        <v/>
      </c>
      <c r="BF238" s="1" t="str">
        <f t="shared" si="226"/>
        <v/>
      </c>
      <c r="BG238" s="1" t="str">
        <f t="shared" si="227"/>
        <v/>
      </c>
      <c r="BH238" s="1" t="str">
        <f t="shared" si="228"/>
        <v/>
      </c>
      <c r="BI238" s="1" t="str">
        <f t="shared" si="229"/>
        <v/>
      </c>
      <c r="BJ238" s="1" t="str">
        <f t="shared" si="230"/>
        <v/>
      </c>
      <c r="BK238" s="1" t="str">
        <f t="shared" si="231"/>
        <v/>
      </c>
      <c r="BL238" s="1" t="str">
        <f t="shared" si="232"/>
        <v/>
      </c>
      <c r="BM238" s="1" t="str">
        <f t="shared" si="233"/>
        <v/>
      </c>
      <c r="BN238" s="1" t="str">
        <f t="shared" si="234"/>
        <v/>
      </c>
      <c r="BO238" s="1" t="str">
        <f t="shared" si="191"/>
        <v/>
      </c>
      <c r="BP238" s="1" t="str">
        <f t="shared" si="192"/>
        <v/>
      </c>
      <c r="BQ238" s="1" t="str" cm="1">
        <f t="array" ref="BQ238">IF(I238="","",IF(BP238=1,"",IF(L238=0,"",IF(B238=1,"",_xlfn.XLOOKUP(1,($I$2:$I$313=$I238)*($B$2:$B$313=($B238-1)),$BO$2:$BO$313)))))</f>
        <v/>
      </c>
      <c r="BR238" s="1" t="str">
        <f>IF(I238="","",IF($B238=1,_xlfn.MINIFS($BO$2:$BO$313,$B$2:$B$313,$B238),_xlfn.MINIFS(BQ$2:$BQ$313,$B$2:$B$313,$B238)))</f>
        <v/>
      </c>
      <c r="BS238" s="1" t="str">
        <f t="shared" si="235"/>
        <v/>
      </c>
      <c r="BT238" s="1" t="str" cm="1">
        <f t="array" ref="BT238">IF($I238="","",IF($B238=1,_xlfn.XLOOKUP(1,($B$2:$B$313=$B238)*($BO$2:$BO$313=BR238),Data!$I$2:$I$313,,0),_xlfn.XLOOKUP(1,($B$2:$B$313=$B238)*($BQ$2:$BQ$313=$BR238),$I$2:$I$313,,0)))</f>
        <v/>
      </c>
      <c r="BU238" s="1" t="str" cm="1">
        <f t="array" ref="BU238">IF(I238="","",IF($B238=1,_xlfn.XLOOKUP(1,($B$2:$B$313=$B238)*($BO$2:$BO$313=$BS238),$I$2:$I$313,,0),_xlfn.XLOOKUP(1,($B$2:$B$313=$B238)*($BQ$2:$BQ$313=$BS238),$I$2:$I$313,,0)))</f>
        <v/>
      </c>
      <c r="BV238" s="1" t="str" cm="1">
        <f t="array" ref="BV238">IF($I238="","",IF($B238=1,"",IF($B238=2,_xlfn.XLOOKUP(1,($B$2:$B$313=1)*($BO$2:$BO$313=1),$I$2:$I$313,,0),_xlfn.XLOOKUP($B238-1,$B$2:$B$313,$CH$2:$CH$313,,0))))</f>
        <v/>
      </c>
      <c r="BW238" s="1" t="str" cm="1">
        <f t="array" ref="BW238">IF($I238="","",IF($B238=1,"",IF(_xlfn.XLOOKUP(1,($B$2:$B$313=$B238)*($I$2:$I$313=$BV238),$BQ$2:$BQ$313,,0)="","NOK","OK")))</f>
        <v/>
      </c>
      <c r="BX238" s="1" t="str">
        <f t="shared" si="236"/>
        <v/>
      </c>
      <c r="BY238" s="1" t="str">
        <f t="shared" si="237"/>
        <v/>
      </c>
      <c r="BZ238" s="1" t="str">
        <f t="shared" si="238"/>
        <v/>
      </c>
      <c r="CA238" s="1" t="str">
        <f t="shared" si="239"/>
        <v/>
      </c>
      <c r="CB238" s="1" t="str">
        <f t="shared" si="240"/>
        <v/>
      </c>
      <c r="CC238" s="1" t="str">
        <f t="shared" si="241"/>
        <v/>
      </c>
      <c r="CD238" s="1" t="str">
        <f t="shared" si="242"/>
        <v/>
      </c>
      <c r="CE238" s="1" t="str">
        <f t="shared" si="243"/>
        <v/>
      </c>
      <c r="CF238" s="1" t="str">
        <f t="shared" si="244"/>
        <v/>
      </c>
      <c r="CG238" s="1" t="str">
        <f t="shared" si="245"/>
        <v/>
      </c>
      <c r="CH238" s="1" t="str">
        <f t="shared" si="246"/>
        <v/>
      </c>
      <c r="CI238" s="1" t="str">
        <f t="shared" si="247"/>
        <v/>
      </c>
      <c r="CJ238" s="1" t="str">
        <f>IF(B238="","",IF(SUM(AI238:AK238)&gt;0,"+SP","")&amp;IF(CI238&gt;0,"+KK","")&amp;IF(AB238&gt;0,"+KGP1","")&amp;IF(AC238&gt;0,"+KGP2","")&amp;IF(AG238&lt;0,"-KGP1","")&amp;IF(AH238&lt;0,"-KGP2",""))</f>
        <v/>
      </c>
    </row>
    <row r="239" spans="1:88" x14ac:dyDescent="0.25">
      <c r="A239" s="1" t="str">
        <f>IFERROR(IF(ROW(A238)=1,1,IF(1+A238&lt;=$CP$1*$CP$2,1+A238,"")),"")</f>
        <v/>
      </c>
      <c r="B239" s="1" t="str">
        <f>IF($I239="","",IF(ROW(B238)=1,1,ROUNDUP(A239/$CP$2,0)))</f>
        <v/>
      </c>
      <c r="C239" s="4" t="str">
        <f t="shared" si="193"/>
        <v/>
      </c>
      <c r="D239" s="4" t="str">
        <f t="shared" si="187"/>
        <v/>
      </c>
      <c r="E239" s="1" t="str">
        <f>IF($B239="","",COUNTIF($B$2:B239,B239))</f>
        <v/>
      </c>
      <c r="F239" s="1" t="str">
        <f t="shared" si="188"/>
        <v/>
      </c>
      <c r="G239" s="1" t="str">
        <f t="shared" si="194"/>
        <v/>
      </c>
      <c r="H239" s="1">
        <f t="shared" si="195"/>
        <v>0</v>
      </c>
      <c r="I239" s="3"/>
      <c r="J239" s="3"/>
      <c r="K239" s="3"/>
      <c r="L239" s="1" t="str">
        <f t="shared" si="196"/>
        <v/>
      </c>
      <c r="M239" s="1" t="str">
        <f t="shared" si="197"/>
        <v/>
      </c>
      <c r="N239" s="1" t="str">
        <f t="shared" si="198"/>
        <v/>
      </c>
      <c r="O239" s="1" t="str">
        <f t="shared" si="199"/>
        <v/>
      </c>
      <c r="P239" s="1" t="str">
        <f t="shared" si="200"/>
        <v/>
      </c>
      <c r="Q239" s="1" t="str">
        <f t="array" ref="Q239">IF($B239="","",IF(MAX(IF(B239=$B$2:$B$313,$L$2:$L$313))-L239=0,"",MAX(IF(B239=$B$2:$B$313,$L$2:$L$313))-L239))</f>
        <v/>
      </c>
      <c r="R239" s="1" t="str">
        <f t="array" ref="R239">IF($B239="","",SUMPRODUCT(--($B$2:$B$313=B239),--(L239&lt;$L$2:$L$313))+1)</f>
        <v/>
      </c>
      <c r="S239" s="1" t="str">
        <f t="shared" si="201"/>
        <v/>
      </c>
      <c r="T239" s="1" t="str" cm="1">
        <f t="array" ref="T239">IF($B239="","",IF(M239=0,"",SUMPRODUCT(--($B$2:$B$313=B239),--(J239&lt;$J$2:$J$313))+1))</f>
        <v/>
      </c>
      <c r="U239" s="1" t="str">
        <f t="shared" si="202"/>
        <v/>
      </c>
      <c r="V239" s="1" t="str">
        <f t="shared" si="203"/>
        <v/>
      </c>
      <c r="W239" s="1" t="str">
        <f t="shared" si="204"/>
        <v/>
      </c>
      <c r="X239" s="1" t="str">
        <f t="shared" si="189"/>
        <v/>
      </c>
      <c r="Y239" s="1" t="str">
        <f>IF($B239="","",MAX(_xlfn.MAXIFS($J$2:J239,$I$2:I239,$I239),_xlfn.MAXIFS($K$2:K239,$I$2:I239,$I239)))</f>
        <v/>
      </c>
      <c r="Z239" s="1" t="str">
        <f t="shared" si="205"/>
        <v/>
      </c>
      <c r="AA239" s="1" t="str">
        <f t="shared" si="206"/>
        <v/>
      </c>
      <c r="AB239" s="1" t="str">
        <f t="shared" si="207"/>
        <v/>
      </c>
      <c r="AC239" s="1" t="str">
        <f t="shared" si="208"/>
        <v/>
      </c>
      <c r="AD239" s="1" t="str">
        <f>IF($B239="","",MIN(_xlfn.MINIFS($J$2:J239,$I$2:I239,$I239),_xlfn.MINIFS($K$2:K239,$I$2:I239,$I239)))</f>
        <v/>
      </c>
      <c r="AE239" s="1" t="str">
        <f t="shared" si="209"/>
        <v/>
      </c>
      <c r="AF239" s="1" t="str">
        <f t="shared" si="210"/>
        <v/>
      </c>
      <c r="AG239" s="1" t="str">
        <f t="shared" si="211"/>
        <v/>
      </c>
      <c r="AH239" s="1" t="str">
        <f t="shared" si="212"/>
        <v/>
      </c>
      <c r="AI239" s="1" t="str">
        <f ca="1">IF($B239="","",IF($K239="",0,OFFSET($CO$17,R239,W239)))</f>
        <v/>
      </c>
      <c r="AJ239" s="1" t="str">
        <f t="shared" ca="1" si="213"/>
        <v/>
      </c>
      <c r="AK239" s="1" t="str">
        <f ca="1">IF(AJ239="","",IF(AJ239=0,0,IF(W239=1,0,SUM(OFFSET($CO$17,N239,1):OFFSET($CO$17,N239+W239-2,1))/W239)))</f>
        <v/>
      </c>
      <c r="AL239" s="1" t="str">
        <f t="shared" si="214"/>
        <v/>
      </c>
      <c r="AM239" s="1" t="str">
        <f>IF($B239="","",SUMIFS($AL$2:AL239,$I$2:I239,$I239))</f>
        <v/>
      </c>
      <c r="AN239" s="1" t="str">
        <f t="shared" si="215"/>
        <v/>
      </c>
      <c r="AO239" s="1" t="str">
        <f>IFERROR(IF($B239="","",AVERAGEIFS($L$2:L239,$I$2:I239,I239,$L$2:L239,"&lt;&gt;0")),0)</f>
        <v/>
      </c>
      <c r="AP239" s="1" t="str">
        <f t="shared" si="216"/>
        <v/>
      </c>
      <c r="AQ239" s="1" t="str">
        <f>IF($B239="","",COUNTIFS($R$2:R239,1,$I$2:I239,$I239))</f>
        <v/>
      </c>
      <c r="AR239" s="1" t="str">
        <f t="array" ref="AR239">IF($B239="","",SUMPRODUCT(--($B$2:$B$313=B239),--(AM239&lt;$AM$2:$AM$313))+1)</f>
        <v/>
      </c>
      <c r="AS239" s="1" t="str">
        <f t="array" ref="AS239">IF($B239="","",SUMPRODUCT(--($B$2:$B$313=B239),--(AP239&lt;$AP$2:$AP$313))+1)</f>
        <v/>
      </c>
      <c r="AT239" s="1" t="str">
        <f t="array" ref="AT239">IF($B239="","",SUMPRODUCT(--($B$2:$B$313=B239),--(AQ239&lt;$AQ$2:$AQ$313))+1)</f>
        <v/>
      </c>
      <c r="AU239" s="1" t="str">
        <f t="shared" si="217"/>
        <v/>
      </c>
      <c r="AV239" s="1" t="str">
        <f t="shared" si="218"/>
        <v/>
      </c>
      <c r="AW239" s="1" t="str">
        <f t="shared" si="190"/>
        <v/>
      </c>
      <c r="AX239" s="1" t="str">
        <f t="shared" si="219"/>
        <v/>
      </c>
      <c r="AY239" s="8" t="str">
        <f t="shared" si="220"/>
        <v/>
      </c>
      <c r="AZ239" s="1" t="str" cm="1">
        <f t="array" ref="AZ239">IF($B239="","",SUMPRODUCT(--($B$2:$B$313=B239),--(AY239&gt;$AY$2:$AY$313))+1)</f>
        <v/>
      </c>
      <c r="BA239" s="1" t="str">
        <f t="shared" si="221"/>
        <v/>
      </c>
      <c r="BB239" s="1" t="str">
        <f t="shared" si="222"/>
        <v/>
      </c>
      <c r="BC239" s="1" t="str">
        <f t="shared" si="223"/>
        <v/>
      </c>
      <c r="BD239" s="1" t="str">
        <f t="shared" si="224"/>
        <v/>
      </c>
      <c r="BE239" s="1" t="str">
        <f t="shared" si="225"/>
        <v/>
      </c>
      <c r="BF239" s="1" t="str">
        <f t="shared" si="226"/>
        <v/>
      </c>
      <c r="BG239" s="1" t="str">
        <f t="shared" si="227"/>
        <v/>
      </c>
      <c r="BH239" s="1" t="str">
        <f t="shared" si="228"/>
        <v/>
      </c>
      <c r="BI239" s="1" t="str">
        <f t="shared" si="229"/>
        <v/>
      </c>
      <c r="BJ239" s="1" t="str">
        <f t="shared" si="230"/>
        <v/>
      </c>
      <c r="BK239" s="1" t="str">
        <f t="shared" si="231"/>
        <v/>
      </c>
      <c r="BL239" s="1" t="str">
        <f t="shared" si="232"/>
        <v/>
      </c>
      <c r="BM239" s="1" t="str">
        <f t="shared" si="233"/>
        <v/>
      </c>
      <c r="BN239" s="1" t="str">
        <f t="shared" si="234"/>
        <v/>
      </c>
      <c r="BO239" s="1" t="str">
        <f t="shared" si="191"/>
        <v/>
      </c>
      <c r="BP239" s="1" t="str">
        <f t="shared" si="192"/>
        <v/>
      </c>
      <c r="BQ239" s="1" t="str" cm="1">
        <f t="array" ref="BQ239">IF(I239="","",IF(BP239=1,"",IF(L239=0,"",IF(B239=1,"",_xlfn.XLOOKUP(1,($I$2:$I$313=$I239)*($B$2:$B$313=($B239-1)),$BO$2:$BO$313)))))</f>
        <v/>
      </c>
      <c r="BR239" s="1" t="str">
        <f>IF(I239="","",IF($B239=1,_xlfn.MINIFS($BO$2:$BO$313,$B$2:$B$313,$B239),_xlfn.MINIFS(BQ$2:$BQ$313,$B$2:$B$313,$B239)))</f>
        <v/>
      </c>
      <c r="BS239" s="1" t="str">
        <f t="shared" si="235"/>
        <v/>
      </c>
      <c r="BT239" s="1" t="str" cm="1">
        <f t="array" ref="BT239">IF($I239="","",IF($B239=1,_xlfn.XLOOKUP(1,($B$2:$B$313=$B239)*($BO$2:$BO$313=BR239),Data!$I$2:$I$313,,0),_xlfn.XLOOKUP(1,($B$2:$B$313=$B239)*($BQ$2:$BQ$313=$BR239),$I$2:$I$313,,0)))</f>
        <v/>
      </c>
      <c r="BU239" s="1" t="str" cm="1">
        <f t="array" ref="BU239">IF(I239="","",IF($B239=1,_xlfn.XLOOKUP(1,($B$2:$B$313=$B239)*($BO$2:$BO$313=$BS239),$I$2:$I$313,,0),_xlfn.XLOOKUP(1,($B$2:$B$313=$B239)*($BQ$2:$BQ$313=$BS239),$I$2:$I$313,,0)))</f>
        <v/>
      </c>
      <c r="BV239" s="1" t="str" cm="1">
        <f t="array" ref="BV239">IF($I239="","",IF($B239=1,"",IF($B239=2,_xlfn.XLOOKUP(1,($B$2:$B$313=1)*($BO$2:$BO$313=1),$I$2:$I$313,,0),_xlfn.XLOOKUP($B239-1,$B$2:$B$313,$CH$2:$CH$313,,0))))</f>
        <v/>
      </c>
      <c r="BW239" s="1" t="str" cm="1">
        <f t="array" ref="BW239">IF($I239="","",IF($B239=1,"",IF(_xlfn.XLOOKUP(1,($B$2:$B$313=$B239)*($I$2:$I$313=$BV239),$BQ$2:$BQ$313,,0)="","NOK","OK")))</f>
        <v/>
      </c>
      <c r="BX239" s="1" t="str">
        <f t="shared" si="236"/>
        <v/>
      </c>
      <c r="BY239" s="1" t="str">
        <f t="shared" si="237"/>
        <v/>
      </c>
      <c r="BZ239" s="1" t="str">
        <f t="shared" si="238"/>
        <v/>
      </c>
      <c r="CA239" s="1" t="str">
        <f t="shared" si="239"/>
        <v/>
      </c>
      <c r="CB239" s="1" t="str">
        <f t="shared" si="240"/>
        <v/>
      </c>
      <c r="CC239" s="1" t="str">
        <f t="shared" si="241"/>
        <v/>
      </c>
      <c r="CD239" s="1" t="str">
        <f t="shared" si="242"/>
        <v/>
      </c>
      <c r="CE239" s="1" t="str">
        <f t="shared" si="243"/>
        <v/>
      </c>
      <c r="CF239" s="1" t="str">
        <f t="shared" si="244"/>
        <v/>
      </c>
      <c r="CG239" s="1" t="str">
        <f t="shared" si="245"/>
        <v/>
      </c>
      <c r="CH239" s="1" t="str">
        <f t="shared" si="246"/>
        <v/>
      </c>
      <c r="CI239" s="1" t="str">
        <f t="shared" si="247"/>
        <v/>
      </c>
      <c r="CJ239" s="1" t="str">
        <f>IF(B239="","",IF(SUM(AI239:AK239)&gt;0,"+SP","")&amp;IF(CI239&gt;0,"+KK","")&amp;IF(AB239&gt;0,"+KGP1","")&amp;IF(AC239&gt;0,"+KGP2","")&amp;IF(AG239&lt;0,"-KGP1","")&amp;IF(AH239&lt;0,"-KGP2",""))</f>
        <v/>
      </c>
    </row>
    <row r="240" spans="1:88" x14ac:dyDescent="0.25">
      <c r="A240" s="1" t="str">
        <f>IFERROR(IF(ROW(A239)=1,1,IF(1+A239&lt;=$CP$1*$CP$2,1+A239,"")),"")</f>
        <v/>
      </c>
      <c r="B240" s="1" t="str">
        <f>IF($I240="","",IF(ROW(B239)=1,1,ROUNDUP(A240/$CP$2,0)))</f>
        <v/>
      </c>
      <c r="C240" s="4" t="str">
        <f t="shared" si="193"/>
        <v/>
      </c>
      <c r="D240" s="4" t="str">
        <f t="shared" si="187"/>
        <v/>
      </c>
      <c r="E240" s="1" t="str">
        <f>IF($B240="","",COUNTIF($B$2:B240,B240))</f>
        <v/>
      </c>
      <c r="F240" s="1" t="str">
        <f t="shared" si="188"/>
        <v/>
      </c>
      <c r="G240" s="1" t="str">
        <f t="shared" si="194"/>
        <v/>
      </c>
      <c r="H240" s="1">
        <f t="shared" si="195"/>
        <v>0</v>
      </c>
      <c r="I240" s="3"/>
      <c r="J240" s="3"/>
      <c r="K240" s="3"/>
      <c r="L240" s="1" t="str">
        <f t="shared" si="196"/>
        <v/>
      </c>
      <c r="M240" s="1" t="str">
        <f t="shared" si="197"/>
        <v/>
      </c>
      <c r="N240" s="1" t="str">
        <f t="shared" si="198"/>
        <v/>
      </c>
      <c r="O240" s="1" t="str">
        <f t="shared" si="199"/>
        <v/>
      </c>
      <c r="P240" s="1" t="str">
        <f t="shared" si="200"/>
        <v/>
      </c>
      <c r="Q240" s="1" t="str">
        <f t="array" ref="Q240">IF($B240="","",IF(MAX(IF(B240=$B$2:$B$313,$L$2:$L$313))-L240=0,"",MAX(IF(B240=$B$2:$B$313,$L$2:$L$313))-L240))</f>
        <v/>
      </c>
      <c r="R240" s="1" t="str">
        <f t="array" ref="R240">IF($B240="","",SUMPRODUCT(--($B$2:$B$313=B240),--(L240&lt;$L$2:$L$313))+1)</f>
        <v/>
      </c>
      <c r="S240" s="1" t="str">
        <f t="shared" si="201"/>
        <v/>
      </c>
      <c r="T240" s="1" t="str" cm="1">
        <f t="array" ref="T240">IF($B240="","",IF(M240=0,"",SUMPRODUCT(--($B$2:$B$313=B240),--(J240&lt;$J$2:$J$313))+1))</f>
        <v/>
      </c>
      <c r="U240" s="1" t="str">
        <f t="shared" si="202"/>
        <v/>
      </c>
      <c r="V240" s="1" t="str">
        <f t="shared" si="203"/>
        <v/>
      </c>
      <c r="W240" s="1" t="str">
        <f t="shared" si="204"/>
        <v/>
      </c>
      <c r="X240" s="1" t="str">
        <f t="shared" si="189"/>
        <v/>
      </c>
      <c r="Y240" s="1" t="str">
        <f>IF($B240="","",MAX(_xlfn.MAXIFS($J$2:J240,$I$2:I240,$I240),_xlfn.MAXIFS($K$2:K240,$I$2:I240,$I240)))</f>
        <v/>
      </c>
      <c r="Z240" s="1" t="str">
        <f t="shared" si="205"/>
        <v/>
      </c>
      <c r="AA240" s="1" t="str">
        <f t="shared" si="206"/>
        <v/>
      </c>
      <c r="AB240" s="1" t="str">
        <f t="shared" si="207"/>
        <v/>
      </c>
      <c r="AC240" s="1" t="str">
        <f t="shared" si="208"/>
        <v/>
      </c>
      <c r="AD240" s="1" t="str">
        <f>IF($B240="","",MIN(_xlfn.MINIFS($J$2:J240,$I$2:I240,$I240),_xlfn.MINIFS($K$2:K240,$I$2:I240,$I240)))</f>
        <v/>
      </c>
      <c r="AE240" s="1" t="str">
        <f t="shared" si="209"/>
        <v/>
      </c>
      <c r="AF240" s="1" t="str">
        <f t="shared" si="210"/>
        <v/>
      </c>
      <c r="AG240" s="1" t="str">
        <f t="shared" si="211"/>
        <v/>
      </c>
      <c r="AH240" s="1" t="str">
        <f t="shared" si="212"/>
        <v/>
      </c>
      <c r="AI240" s="1" t="str">
        <f ca="1">IF($B240="","",IF($K240="",0,OFFSET($CO$17,R240,W240)))</f>
        <v/>
      </c>
      <c r="AJ240" s="1" t="str">
        <f t="shared" ca="1" si="213"/>
        <v/>
      </c>
      <c r="AK240" s="1" t="str">
        <f ca="1">IF(AJ240="","",IF(AJ240=0,0,IF(W240=1,0,SUM(OFFSET($CO$17,N240,1):OFFSET($CO$17,N240+W240-2,1))/W240)))</f>
        <v/>
      </c>
      <c r="AL240" s="1" t="str">
        <f t="shared" si="214"/>
        <v/>
      </c>
      <c r="AM240" s="1" t="str">
        <f>IF($B240="","",SUMIFS($AL$2:AL240,$I$2:I240,$I240))</f>
        <v/>
      </c>
      <c r="AN240" s="1" t="str">
        <f t="shared" si="215"/>
        <v/>
      </c>
      <c r="AO240" s="1" t="str">
        <f>IFERROR(IF($B240="","",AVERAGEIFS($L$2:L240,$I$2:I240,I240,$L$2:L240,"&lt;&gt;0")),0)</f>
        <v/>
      </c>
      <c r="AP240" s="1" t="str">
        <f t="shared" si="216"/>
        <v/>
      </c>
      <c r="AQ240" s="1" t="str">
        <f>IF($B240="","",COUNTIFS($R$2:R240,1,$I$2:I240,$I240))</f>
        <v/>
      </c>
      <c r="AR240" s="1" t="str">
        <f t="array" ref="AR240">IF($B240="","",SUMPRODUCT(--($B$2:$B$313=B240),--(AM240&lt;$AM$2:$AM$313))+1)</f>
        <v/>
      </c>
      <c r="AS240" s="1" t="str">
        <f t="array" ref="AS240">IF($B240="","",SUMPRODUCT(--($B$2:$B$313=B240),--(AP240&lt;$AP$2:$AP$313))+1)</f>
        <v/>
      </c>
      <c r="AT240" s="1" t="str">
        <f t="array" ref="AT240">IF($B240="","",SUMPRODUCT(--($B$2:$B$313=B240),--(AQ240&lt;$AQ$2:$AQ$313))+1)</f>
        <v/>
      </c>
      <c r="AU240" s="1" t="str">
        <f t="shared" si="217"/>
        <v/>
      </c>
      <c r="AV240" s="1" t="str">
        <f t="shared" si="218"/>
        <v/>
      </c>
      <c r="AW240" s="1" t="str">
        <f t="shared" si="190"/>
        <v/>
      </c>
      <c r="AX240" s="1" t="str">
        <f t="shared" si="219"/>
        <v/>
      </c>
      <c r="AY240" s="8" t="str">
        <f t="shared" si="220"/>
        <v/>
      </c>
      <c r="AZ240" s="1" t="str" cm="1">
        <f t="array" ref="AZ240">IF($B240="","",SUMPRODUCT(--($B$2:$B$313=B240),--(AY240&gt;$AY$2:$AY$313))+1)</f>
        <v/>
      </c>
      <c r="BA240" s="1" t="str">
        <f t="shared" si="221"/>
        <v/>
      </c>
      <c r="BB240" s="1" t="str">
        <f t="shared" si="222"/>
        <v/>
      </c>
      <c r="BC240" s="1" t="str">
        <f t="shared" si="223"/>
        <v/>
      </c>
      <c r="BD240" s="1" t="str">
        <f t="shared" si="224"/>
        <v/>
      </c>
      <c r="BE240" s="1" t="str">
        <f t="shared" si="225"/>
        <v/>
      </c>
      <c r="BF240" s="1" t="str">
        <f t="shared" si="226"/>
        <v/>
      </c>
      <c r="BG240" s="1" t="str">
        <f t="shared" si="227"/>
        <v/>
      </c>
      <c r="BH240" s="1" t="str">
        <f t="shared" si="228"/>
        <v/>
      </c>
      <c r="BI240" s="1" t="str">
        <f t="shared" si="229"/>
        <v/>
      </c>
      <c r="BJ240" s="1" t="str">
        <f t="shared" si="230"/>
        <v/>
      </c>
      <c r="BK240" s="1" t="str">
        <f t="shared" si="231"/>
        <v/>
      </c>
      <c r="BL240" s="1" t="str">
        <f t="shared" si="232"/>
        <v/>
      </c>
      <c r="BM240" s="1" t="str">
        <f t="shared" si="233"/>
        <v/>
      </c>
      <c r="BN240" s="1" t="str">
        <f t="shared" si="234"/>
        <v/>
      </c>
      <c r="BO240" s="1" t="str">
        <f t="shared" si="191"/>
        <v/>
      </c>
      <c r="BP240" s="1" t="str">
        <f t="shared" si="192"/>
        <v/>
      </c>
      <c r="BQ240" s="1" t="str" cm="1">
        <f t="array" ref="BQ240">IF(I240="","",IF(BP240=1,"",IF(L240=0,"",IF(B240=1,"",_xlfn.XLOOKUP(1,($I$2:$I$313=$I240)*($B$2:$B$313=($B240-1)),$BO$2:$BO$313)))))</f>
        <v/>
      </c>
      <c r="BR240" s="1" t="str">
        <f>IF(I240="","",IF($B240=1,_xlfn.MINIFS($BO$2:$BO$313,$B$2:$B$313,$B240),_xlfn.MINIFS(BQ$2:$BQ$313,$B$2:$B$313,$B240)))</f>
        <v/>
      </c>
      <c r="BS240" s="1" t="str">
        <f t="shared" si="235"/>
        <v/>
      </c>
      <c r="BT240" s="1" t="str" cm="1">
        <f t="array" ref="BT240">IF($I240="","",IF($B240=1,_xlfn.XLOOKUP(1,($B$2:$B$313=$B240)*($BO$2:$BO$313=BR240),Data!$I$2:$I$313,,0),_xlfn.XLOOKUP(1,($B$2:$B$313=$B240)*($BQ$2:$BQ$313=$BR240),$I$2:$I$313,,0)))</f>
        <v/>
      </c>
      <c r="BU240" s="1" t="str" cm="1">
        <f t="array" ref="BU240">IF(I240="","",IF($B240=1,_xlfn.XLOOKUP(1,($B$2:$B$313=$B240)*($BO$2:$BO$313=$BS240),$I$2:$I$313,,0),_xlfn.XLOOKUP(1,($B$2:$B$313=$B240)*($BQ$2:$BQ$313=$BS240),$I$2:$I$313,,0)))</f>
        <v/>
      </c>
      <c r="BV240" s="1" t="str" cm="1">
        <f t="array" ref="BV240">IF($I240="","",IF($B240=1,"",IF($B240=2,_xlfn.XLOOKUP(1,($B$2:$B$313=1)*($BO$2:$BO$313=1),$I$2:$I$313,,0),_xlfn.XLOOKUP($B240-1,$B$2:$B$313,$CH$2:$CH$313,,0))))</f>
        <v/>
      </c>
      <c r="BW240" s="1" t="str" cm="1">
        <f t="array" ref="BW240">IF($I240="","",IF($B240=1,"",IF(_xlfn.XLOOKUP(1,($B$2:$B$313=$B240)*($I$2:$I$313=$BV240),$BQ$2:$BQ$313,,0)="","NOK","OK")))</f>
        <v/>
      </c>
      <c r="BX240" s="1" t="str">
        <f t="shared" si="236"/>
        <v/>
      </c>
      <c r="BY240" s="1" t="str">
        <f t="shared" si="237"/>
        <v/>
      </c>
      <c r="BZ240" s="1" t="str">
        <f t="shared" si="238"/>
        <v/>
      </c>
      <c r="CA240" s="1" t="str">
        <f t="shared" si="239"/>
        <v/>
      </c>
      <c r="CB240" s="1" t="str">
        <f t="shared" si="240"/>
        <v/>
      </c>
      <c r="CC240" s="1" t="str">
        <f t="shared" si="241"/>
        <v/>
      </c>
      <c r="CD240" s="1" t="str">
        <f t="shared" si="242"/>
        <v/>
      </c>
      <c r="CE240" s="1" t="str">
        <f t="shared" si="243"/>
        <v/>
      </c>
      <c r="CF240" s="1" t="str">
        <f t="shared" si="244"/>
        <v/>
      </c>
      <c r="CG240" s="1" t="str">
        <f t="shared" si="245"/>
        <v/>
      </c>
      <c r="CH240" s="1" t="str">
        <f t="shared" si="246"/>
        <v/>
      </c>
      <c r="CI240" s="1" t="str">
        <f t="shared" si="247"/>
        <v/>
      </c>
      <c r="CJ240" s="1" t="str">
        <f>IF(B240="","",IF(SUM(AI240:AK240)&gt;0,"+SP","")&amp;IF(CI240&gt;0,"+KK","")&amp;IF(AB240&gt;0,"+KGP1","")&amp;IF(AC240&gt;0,"+KGP2","")&amp;IF(AG240&lt;0,"-KGP1","")&amp;IF(AH240&lt;0,"-KGP2",""))</f>
        <v/>
      </c>
    </row>
    <row r="241" spans="1:88" x14ac:dyDescent="0.25">
      <c r="A241" s="1" t="str">
        <f>IFERROR(IF(ROW(A240)=1,1,IF(1+A240&lt;=$CP$1*$CP$2,1+A240,"")),"")</f>
        <v/>
      </c>
      <c r="B241" s="1" t="str">
        <f>IF($I241="","",IF(ROW(B240)=1,1,ROUNDUP(A241/$CP$2,0)))</f>
        <v/>
      </c>
      <c r="C241" s="4" t="str">
        <f t="shared" si="193"/>
        <v/>
      </c>
      <c r="D241" s="4" t="str">
        <f t="shared" si="187"/>
        <v/>
      </c>
      <c r="E241" s="1" t="str">
        <f>IF($B241="","",COUNTIF($B$2:B241,B241))</f>
        <v/>
      </c>
      <c r="F241" s="1" t="str">
        <f t="shared" si="188"/>
        <v/>
      </c>
      <c r="G241" s="1" t="str">
        <f t="shared" si="194"/>
        <v/>
      </c>
      <c r="H241" s="1">
        <f t="shared" si="195"/>
        <v>0</v>
      </c>
      <c r="I241" s="3"/>
      <c r="J241" s="3"/>
      <c r="K241" s="3"/>
      <c r="L241" s="1" t="str">
        <f t="shared" si="196"/>
        <v/>
      </c>
      <c r="M241" s="1" t="str">
        <f t="shared" si="197"/>
        <v/>
      </c>
      <c r="N241" s="1" t="str">
        <f t="shared" si="198"/>
        <v/>
      </c>
      <c r="O241" s="1" t="str">
        <f t="shared" si="199"/>
        <v/>
      </c>
      <c r="P241" s="1" t="str">
        <f t="shared" si="200"/>
        <v/>
      </c>
      <c r="Q241" s="1" t="str">
        <f t="array" ref="Q241">IF($B241="","",IF(MAX(IF(B241=$B$2:$B$313,$L$2:$L$313))-L241=0,"",MAX(IF(B241=$B$2:$B$313,$L$2:$L$313))-L241))</f>
        <v/>
      </c>
      <c r="R241" s="1" t="str">
        <f t="array" ref="R241">IF($B241="","",SUMPRODUCT(--($B$2:$B$313=B241),--(L241&lt;$L$2:$L$313))+1)</f>
        <v/>
      </c>
      <c r="S241" s="1" t="str">
        <f t="shared" si="201"/>
        <v/>
      </c>
      <c r="T241" s="1" t="str" cm="1">
        <f t="array" ref="T241">IF($B241="","",IF(M241=0,"",SUMPRODUCT(--($B$2:$B$313=B241),--(J241&lt;$J$2:$J$313))+1))</f>
        <v/>
      </c>
      <c r="U241" s="1" t="str">
        <f t="shared" si="202"/>
        <v/>
      </c>
      <c r="V241" s="1" t="str">
        <f t="shared" si="203"/>
        <v/>
      </c>
      <c r="W241" s="1" t="str">
        <f t="shared" si="204"/>
        <v/>
      </c>
      <c r="X241" s="1" t="str">
        <f t="shared" si="189"/>
        <v/>
      </c>
      <c r="Y241" s="1" t="str">
        <f>IF($B241="","",MAX(_xlfn.MAXIFS($J$2:J241,$I$2:I241,$I241),_xlfn.MAXIFS($K$2:K241,$I$2:I241,$I241)))</f>
        <v/>
      </c>
      <c r="Z241" s="1" t="str">
        <f t="shared" si="205"/>
        <v/>
      </c>
      <c r="AA241" s="1" t="str">
        <f t="shared" si="206"/>
        <v/>
      </c>
      <c r="AB241" s="1" t="str">
        <f t="shared" si="207"/>
        <v/>
      </c>
      <c r="AC241" s="1" t="str">
        <f t="shared" si="208"/>
        <v/>
      </c>
      <c r="AD241" s="1" t="str">
        <f>IF($B241="","",MIN(_xlfn.MINIFS($J$2:J241,$I$2:I241,$I241),_xlfn.MINIFS($K$2:K241,$I$2:I241,$I241)))</f>
        <v/>
      </c>
      <c r="AE241" s="1" t="str">
        <f t="shared" si="209"/>
        <v/>
      </c>
      <c r="AF241" s="1" t="str">
        <f t="shared" si="210"/>
        <v/>
      </c>
      <c r="AG241" s="1" t="str">
        <f t="shared" si="211"/>
        <v/>
      </c>
      <c r="AH241" s="1" t="str">
        <f t="shared" si="212"/>
        <v/>
      </c>
      <c r="AI241" s="1" t="str">
        <f ca="1">IF($B241="","",IF($K241="",0,OFFSET($CO$17,R241,W241)))</f>
        <v/>
      </c>
      <c r="AJ241" s="1" t="str">
        <f t="shared" ca="1" si="213"/>
        <v/>
      </c>
      <c r="AK241" s="1" t="str">
        <f ca="1">IF(AJ241="","",IF(AJ241=0,0,IF(W241=1,0,SUM(OFFSET($CO$17,N241,1):OFFSET($CO$17,N241+W241-2,1))/W241)))</f>
        <v/>
      </c>
      <c r="AL241" s="1" t="str">
        <f t="shared" si="214"/>
        <v/>
      </c>
      <c r="AM241" s="1" t="str">
        <f>IF($B241="","",SUMIFS($AL$2:AL241,$I$2:I241,$I241))</f>
        <v/>
      </c>
      <c r="AN241" s="1" t="str">
        <f t="shared" si="215"/>
        <v/>
      </c>
      <c r="AO241" s="1" t="str">
        <f>IFERROR(IF($B241="","",AVERAGEIFS($L$2:L241,$I$2:I241,I241,$L$2:L241,"&lt;&gt;0")),0)</f>
        <v/>
      </c>
      <c r="AP241" s="1" t="str">
        <f t="shared" si="216"/>
        <v/>
      </c>
      <c r="AQ241" s="1" t="str">
        <f>IF($B241="","",COUNTIFS($R$2:R241,1,$I$2:I241,$I241))</f>
        <v/>
      </c>
      <c r="AR241" s="1" t="str">
        <f t="array" ref="AR241">IF($B241="","",SUMPRODUCT(--($B$2:$B$313=B241),--(AM241&lt;$AM$2:$AM$313))+1)</f>
        <v/>
      </c>
      <c r="AS241" s="1" t="str">
        <f t="array" ref="AS241">IF($B241="","",SUMPRODUCT(--($B$2:$B$313=B241),--(AP241&lt;$AP$2:$AP$313))+1)</f>
        <v/>
      </c>
      <c r="AT241" s="1" t="str">
        <f t="array" ref="AT241">IF($B241="","",SUMPRODUCT(--($B$2:$B$313=B241),--(AQ241&lt;$AQ$2:$AQ$313))+1)</f>
        <v/>
      </c>
      <c r="AU241" s="1" t="str">
        <f t="shared" si="217"/>
        <v/>
      </c>
      <c r="AV241" s="1" t="str">
        <f t="shared" si="218"/>
        <v/>
      </c>
      <c r="AW241" s="1" t="str">
        <f t="shared" si="190"/>
        <v/>
      </c>
      <c r="AX241" s="1" t="str">
        <f t="shared" si="219"/>
        <v/>
      </c>
      <c r="AY241" s="8" t="str">
        <f t="shared" si="220"/>
        <v/>
      </c>
      <c r="AZ241" s="1" t="str" cm="1">
        <f t="array" ref="AZ241">IF($B241="","",SUMPRODUCT(--($B$2:$B$313=B241),--(AY241&gt;$AY$2:$AY$313))+1)</f>
        <v/>
      </c>
      <c r="BA241" s="1" t="str">
        <f t="shared" si="221"/>
        <v/>
      </c>
      <c r="BB241" s="1" t="str">
        <f t="shared" si="222"/>
        <v/>
      </c>
      <c r="BC241" s="1" t="str">
        <f t="shared" si="223"/>
        <v/>
      </c>
      <c r="BD241" s="1" t="str">
        <f t="shared" si="224"/>
        <v/>
      </c>
      <c r="BE241" s="1" t="str">
        <f t="shared" si="225"/>
        <v/>
      </c>
      <c r="BF241" s="1" t="str">
        <f t="shared" si="226"/>
        <v/>
      </c>
      <c r="BG241" s="1" t="str">
        <f t="shared" si="227"/>
        <v/>
      </c>
      <c r="BH241" s="1" t="str">
        <f t="shared" si="228"/>
        <v/>
      </c>
      <c r="BI241" s="1" t="str">
        <f t="shared" si="229"/>
        <v/>
      </c>
      <c r="BJ241" s="1" t="str">
        <f t="shared" si="230"/>
        <v/>
      </c>
      <c r="BK241" s="1" t="str">
        <f t="shared" si="231"/>
        <v/>
      </c>
      <c r="BL241" s="1" t="str">
        <f t="shared" si="232"/>
        <v/>
      </c>
      <c r="BM241" s="1" t="str">
        <f t="shared" si="233"/>
        <v/>
      </c>
      <c r="BN241" s="1" t="str">
        <f t="shared" si="234"/>
        <v/>
      </c>
      <c r="BO241" s="1" t="str">
        <f t="shared" si="191"/>
        <v/>
      </c>
      <c r="BP241" s="1" t="str">
        <f t="shared" si="192"/>
        <v/>
      </c>
      <c r="BQ241" s="1" t="str" cm="1">
        <f t="array" ref="BQ241">IF(I241="","",IF(BP241=1,"",IF(L241=0,"",IF(B241=1,"",_xlfn.XLOOKUP(1,($I$2:$I$313=$I241)*($B$2:$B$313=($B241-1)),$BO$2:$BO$313)))))</f>
        <v/>
      </c>
      <c r="BR241" s="1" t="str">
        <f>IF(I241="","",IF($B241=1,_xlfn.MINIFS($BO$2:$BO$313,$B$2:$B$313,$B241),_xlfn.MINIFS(BQ$2:$BQ$313,$B$2:$B$313,$B241)))</f>
        <v/>
      </c>
      <c r="BS241" s="1" t="str">
        <f t="shared" si="235"/>
        <v/>
      </c>
      <c r="BT241" s="1" t="str" cm="1">
        <f t="array" ref="BT241">IF($I241="","",IF($B241=1,_xlfn.XLOOKUP(1,($B$2:$B$313=$B241)*($BO$2:$BO$313=BR241),Data!$I$2:$I$313,,0),_xlfn.XLOOKUP(1,($B$2:$B$313=$B241)*($BQ$2:$BQ$313=$BR241),$I$2:$I$313,,0)))</f>
        <v/>
      </c>
      <c r="BU241" s="1" t="str" cm="1">
        <f t="array" ref="BU241">IF(I241="","",IF($B241=1,_xlfn.XLOOKUP(1,($B$2:$B$313=$B241)*($BO$2:$BO$313=$BS241),$I$2:$I$313,,0),_xlfn.XLOOKUP(1,($B$2:$B$313=$B241)*($BQ$2:$BQ$313=$BS241),$I$2:$I$313,,0)))</f>
        <v/>
      </c>
      <c r="BV241" s="1" t="str" cm="1">
        <f t="array" ref="BV241">IF($I241="","",IF($B241=1,"",IF($B241=2,_xlfn.XLOOKUP(1,($B$2:$B$313=1)*($BO$2:$BO$313=1),$I$2:$I$313,,0),_xlfn.XLOOKUP($B241-1,$B$2:$B$313,$CH$2:$CH$313,,0))))</f>
        <v/>
      </c>
      <c r="BW241" s="1" t="str" cm="1">
        <f t="array" ref="BW241">IF($I241="","",IF($B241=1,"",IF(_xlfn.XLOOKUP(1,($B$2:$B$313=$B241)*($I$2:$I$313=$BV241),$BQ$2:$BQ$313,,0)="","NOK","OK")))</f>
        <v/>
      </c>
      <c r="BX241" s="1" t="str">
        <f t="shared" si="236"/>
        <v/>
      </c>
      <c r="BY241" s="1" t="str">
        <f t="shared" si="237"/>
        <v/>
      </c>
      <c r="BZ241" s="1" t="str">
        <f t="shared" si="238"/>
        <v/>
      </c>
      <c r="CA241" s="1" t="str">
        <f t="shared" si="239"/>
        <v/>
      </c>
      <c r="CB241" s="1" t="str">
        <f t="shared" si="240"/>
        <v/>
      </c>
      <c r="CC241" s="1" t="str">
        <f t="shared" si="241"/>
        <v/>
      </c>
      <c r="CD241" s="1" t="str">
        <f t="shared" si="242"/>
        <v/>
      </c>
      <c r="CE241" s="1" t="str">
        <f t="shared" si="243"/>
        <v/>
      </c>
      <c r="CF241" s="1" t="str">
        <f t="shared" si="244"/>
        <v/>
      </c>
      <c r="CG241" s="1" t="str">
        <f t="shared" si="245"/>
        <v/>
      </c>
      <c r="CH241" s="1" t="str">
        <f t="shared" si="246"/>
        <v/>
      </c>
      <c r="CI241" s="1" t="str">
        <f t="shared" si="247"/>
        <v/>
      </c>
      <c r="CJ241" s="1" t="str">
        <f>IF(B241="","",IF(SUM(AI241:AK241)&gt;0,"+SP","")&amp;IF(CI241&gt;0,"+KK","")&amp;IF(AB241&gt;0,"+KGP1","")&amp;IF(AC241&gt;0,"+KGP2","")&amp;IF(AG241&lt;0,"-KGP1","")&amp;IF(AH241&lt;0,"-KGP2",""))</f>
        <v/>
      </c>
    </row>
    <row r="242" spans="1:88" x14ac:dyDescent="0.25">
      <c r="A242" s="1" t="str">
        <f>IFERROR(IF(ROW(A241)=1,1,IF(1+A241&lt;=$CP$1*$CP$2,1+A241,"")),"")</f>
        <v/>
      </c>
      <c r="B242" s="1" t="str">
        <f>IF($I242="","",IF(ROW(B241)=1,1,ROUNDUP(A242/$CP$2,0)))</f>
        <v/>
      </c>
      <c r="C242" s="4" t="str">
        <f t="shared" si="193"/>
        <v/>
      </c>
      <c r="D242" s="4" t="str">
        <f t="shared" si="187"/>
        <v/>
      </c>
      <c r="E242" s="1" t="str">
        <f>IF($B242="","",COUNTIF($B$2:B242,B242))</f>
        <v/>
      </c>
      <c r="F242" s="1" t="str">
        <f t="shared" si="188"/>
        <v/>
      </c>
      <c r="G242" s="1" t="str">
        <f t="shared" si="194"/>
        <v/>
      </c>
      <c r="H242" s="1">
        <f t="shared" si="195"/>
        <v>0</v>
      </c>
      <c r="I242" s="3"/>
      <c r="J242" s="3"/>
      <c r="K242" s="3"/>
      <c r="L242" s="1" t="str">
        <f t="shared" si="196"/>
        <v/>
      </c>
      <c r="M242" s="1" t="str">
        <f t="shared" si="197"/>
        <v/>
      </c>
      <c r="N242" s="1" t="str">
        <f t="shared" si="198"/>
        <v/>
      </c>
      <c r="O242" s="1" t="str">
        <f t="shared" si="199"/>
        <v/>
      </c>
      <c r="P242" s="1" t="str">
        <f t="shared" si="200"/>
        <v/>
      </c>
      <c r="Q242" s="1" t="str">
        <f t="array" ref="Q242">IF($B242="","",IF(MAX(IF(B242=$B$2:$B$313,$L$2:$L$313))-L242=0,"",MAX(IF(B242=$B$2:$B$313,$L$2:$L$313))-L242))</f>
        <v/>
      </c>
      <c r="R242" s="1" t="str">
        <f t="array" ref="R242">IF($B242="","",SUMPRODUCT(--($B$2:$B$313=B242),--(L242&lt;$L$2:$L$313))+1)</f>
        <v/>
      </c>
      <c r="S242" s="1" t="str">
        <f t="shared" si="201"/>
        <v/>
      </c>
      <c r="T242" s="1" t="str" cm="1">
        <f t="array" ref="T242">IF($B242="","",IF(M242=0,"",SUMPRODUCT(--($B$2:$B$313=B242),--(J242&lt;$J$2:$J$313))+1))</f>
        <v/>
      </c>
      <c r="U242" s="1" t="str">
        <f t="shared" si="202"/>
        <v/>
      </c>
      <c r="V242" s="1" t="str">
        <f t="shared" si="203"/>
        <v/>
      </c>
      <c r="W242" s="1" t="str">
        <f t="shared" si="204"/>
        <v/>
      </c>
      <c r="X242" s="1" t="str">
        <f t="shared" si="189"/>
        <v/>
      </c>
      <c r="Y242" s="1" t="str">
        <f>IF($B242="","",MAX(_xlfn.MAXIFS($J$2:J242,$I$2:I242,$I242),_xlfn.MAXIFS($K$2:K242,$I$2:I242,$I242)))</f>
        <v/>
      </c>
      <c r="Z242" s="1" t="str">
        <f t="shared" si="205"/>
        <v/>
      </c>
      <c r="AA242" s="1" t="str">
        <f t="shared" si="206"/>
        <v/>
      </c>
      <c r="AB242" s="1" t="str">
        <f t="shared" si="207"/>
        <v/>
      </c>
      <c r="AC242" s="1" t="str">
        <f t="shared" si="208"/>
        <v/>
      </c>
      <c r="AD242" s="1" t="str">
        <f>IF($B242="","",MIN(_xlfn.MINIFS($J$2:J242,$I$2:I242,$I242),_xlfn.MINIFS($K$2:K242,$I$2:I242,$I242)))</f>
        <v/>
      </c>
      <c r="AE242" s="1" t="str">
        <f t="shared" si="209"/>
        <v/>
      </c>
      <c r="AF242" s="1" t="str">
        <f t="shared" si="210"/>
        <v/>
      </c>
      <c r="AG242" s="1" t="str">
        <f t="shared" si="211"/>
        <v/>
      </c>
      <c r="AH242" s="1" t="str">
        <f t="shared" si="212"/>
        <v/>
      </c>
      <c r="AI242" s="1" t="str">
        <f ca="1">IF($B242="","",IF($K242="",0,OFFSET($CO$17,R242,W242)))</f>
        <v/>
      </c>
      <c r="AJ242" s="1" t="str">
        <f t="shared" ca="1" si="213"/>
        <v/>
      </c>
      <c r="AK242" s="1" t="str">
        <f ca="1">IF(AJ242="","",IF(AJ242=0,0,IF(W242=1,0,SUM(OFFSET($CO$17,N242,1):OFFSET($CO$17,N242+W242-2,1))/W242)))</f>
        <v/>
      </c>
      <c r="AL242" s="1" t="str">
        <f t="shared" si="214"/>
        <v/>
      </c>
      <c r="AM242" s="1" t="str">
        <f>IF($B242="","",SUMIFS($AL$2:AL242,$I$2:I242,$I242))</f>
        <v/>
      </c>
      <c r="AN242" s="1" t="str">
        <f t="shared" si="215"/>
        <v/>
      </c>
      <c r="AO242" s="1" t="str">
        <f>IFERROR(IF($B242="","",AVERAGEIFS($L$2:L242,$I$2:I242,I242,$L$2:L242,"&lt;&gt;0")),0)</f>
        <v/>
      </c>
      <c r="AP242" s="1" t="str">
        <f t="shared" si="216"/>
        <v/>
      </c>
      <c r="AQ242" s="1" t="str">
        <f>IF($B242="","",COUNTIFS($R$2:R242,1,$I$2:I242,$I242))</f>
        <v/>
      </c>
      <c r="AR242" s="1" t="str">
        <f t="array" ref="AR242">IF($B242="","",SUMPRODUCT(--($B$2:$B$313=B242),--(AM242&lt;$AM$2:$AM$313))+1)</f>
        <v/>
      </c>
      <c r="AS242" s="1" t="str">
        <f t="array" ref="AS242">IF($B242="","",SUMPRODUCT(--($B$2:$B$313=B242),--(AP242&lt;$AP$2:$AP$313))+1)</f>
        <v/>
      </c>
      <c r="AT242" s="1" t="str">
        <f t="array" ref="AT242">IF($B242="","",SUMPRODUCT(--($B$2:$B$313=B242),--(AQ242&lt;$AQ$2:$AQ$313))+1)</f>
        <v/>
      </c>
      <c r="AU242" s="1" t="str">
        <f t="shared" si="217"/>
        <v/>
      </c>
      <c r="AV242" s="1" t="str">
        <f t="shared" si="218"/>
        <v/>
      </c>
      <c r="AW242" s="1" t="str">
        <f t="shared" si="190"/>
        <v/>
      </c>
      <c r="AX242" s="1" t="str">
        <f t="shared" si="219"/>
        <v/>
      </c>
      <c r="AY242" s="8" t="str">
        <f t="shared" si="220"/>
        <v/>
      </c>
      <c r="AZ242" s="1" t="str" cm="1">
        <f t="array" ref="AZ242">IF($B242="","",SUMPRODUCT(--($B$2:$B$313=B242),--(AY242&gt;$AY$2:$AY$313))+1)</f>
        <v/>
      </c>
      <c r="BA242" s="1" t="str">
        <f t="shared" si="221"/>
        <v/>
      </c>
      <c r="BB242" s="1" t="str">
        <f t="shared" si="222"/>
        <v/>
      </c>
      <c r="BC242" s="1" t="str">
        <f t="shared" si="223"/>
        <v/>
      </c>
      <c r="BD242" s="1" t="str">
        <f t="shared" si="224"/>
        <v/>
      </c>
      <c r="BE242" s="1" t="str">
        <f t="shared" si="225"/>
        <v/>
      </c>
      <c r="BF242" s="1" t="str">
        <f t="shared" si="226"/>
        <v/>
      </c>
      <c r="BG242" s="1" t="str">
        <f t="shared" si="227"/>
        <v/>
      </c>
      <c r="BH242" s="1" t="str">
        <f t="shared" si="228"/>
        <v/>
      </c>
      <c r="BI242" s="1" t="str">
        <f t="shared" si="229"/>
        <v/>
      </c>
      <c r="BJ242" s="1" t="str">
        <f t="shared" si="230"/>
        <v/>
      </c>
      <c r="BK242" s="1" t="str">
        <f t="shared" si="231"/>
        <v/>
      </c>
      <c r="BL242" s="1" t="str">
        <f t="shared" si="232"/>
        <v/>
      </c>
      <c r="BM242" s="1" t="str">
        <f t="shared" si="233"/>
        <v/>
      </c>
      <c r="BN242" s="1" t="str">
        <f t="shared" si="234"/>
        <v/>
      </c>
      <c r="BO242" s="1" t="str">
        <f t="shared" si="191"/>
        <v/>
      </c>
      <c r="BP242" s="1" t="str">
        <f t="shared" si="192"/>
        <v/>
      </c>
      <c r="BQ242" s="1" t="str" cm="1">
        <f t="array" ref="BQ242">IF(I242="","",IF(BP242=1,"",IF(L242=0,"",IF(B242=1,"",_xlfn.XLOOKUP(1,($I$2:$I$313=$I242)*($B$2:$B$313=($B242-1)),$BO$2:$BO$313)))))</f>
        <v/>
      </c>
      <c r="BR242" s="1" t="str">
        <f>IF(I242="","",IF($B242=1,_xlfn.MINIFS($BO$2:$BO$313,$B$2:$B$313,$B242),_xlfn.MINIFS(BQ$2:$BQ$313,$B$2:$B$313,$B242)))</f>
        <v/>
      </c>
      <c r="BS242" s="1" t="str">
        <f t="shared" si="235"/>
        <v/>
      </c>
      <c r="BT242" s="1" t="str" cm="1">
        <f t="array" ref="BT242">IF($I242="","",IF($B242=1,_xlfn.XLOOKUP(1,($B$2:$B$313=$B242)*($BO$2:$BO$313=BR242),Data!$I$2:$I$313,,0),_xlfn.XLOOKUP(1,($B$2:$B$313=$B242)*($BQ$2:$BQ$313=$BR242),$I$2:$I$313,,0)))</f>
        <v/>
      </c>
      <c r="BU242" s="1" t="str" cm="1">
        <f t="array" ref="BU242">IF(I242="","",IF($B242=1,_xlfn.XLOOKUP(1,($B$2:$B$313=$B242)*($BO$2:$BO$313=$BS242),$I$2:$I$313,,0),_xlfn.XLOOKUP(1,($B$2:$B$313=$B242)*($BQ$2:$BQ$313=$BS242),$I$2:$I$313,,0)))</f>
        <v/>
      </c>
      <c r="BV242" s="1" t="str" cm="1">
        <f t="array" ref="BV242">IF($I242="","",IF($B242=1,"",IF($B242=2,_xlfn.XLOOKUP(1,($B$2:$B$313=1)*($BO$2:$BO$313=1),$I$2:$I$313,,0),_xlfn.XLOOKUP($B242-1,$B$2:$B$313,$CH$2:$CH$313,,0))))</f>
        <v/>
      </c>
      <c r="BW242" s="1" t="str" cm="1">
        <f t="array" ref="BW242">IF($I242="","",IF($B242=1,"",IF(_xlfn.XLOOKUP(1,($B$2:$B$313=$B242)*($I$2:$I$313=$BV242),$BQ$2:$BQ$313,,0)="","NOK","OK")))</f>
        <v/>
      </c>
      <c r="BX242" s="1" t="str">
        <f t="shared" si="236"/>
        <v/>
      </c>
      <c r="BY242" s="1" t="str">
        <f t="shared" si="237"/>
        <v/>
      </c>
      <c r="BZ242" s="1" t="str">
        <f t="shared" si="238"/>
        <v/>
      </c>
      <c r="CA242" s="1" t="str">
        <f t="shared" si="239"/>
        <v/>
      </c>
      <c r="CB242" s="1" t="str">
        <f t="shared" si="240"/>
        <v/>
      </c>
      <c r="CC242" s="1" t="str">
        <f t="shared" si="241"/>
        <v/>
      </c>
      <c r="CD242" s="1" t="str">
        <f t="shared" si="242"/>
        <v/>
      </c>
      <c r="CE242" s="1" t="str">
        <f t="shared" si="243"/>
        <v/>
      </c>
      <c r="CF242" s="1" t="str">
        <f t="shared" si="244"/>
        <v/>
      </c>
      <c r="CG242" s="1" t="str">
        <f t="shared" si="245"/>
        <v/>
      </c>
      <c r="CH242" s="1" t="str">
        <f t="shared" si="246"/>
        <v/>
      </c>
      <c r="CI242" s="1" t="str">
        <f t="shared" si="247"/>
        <v/>
      </c>
      <c r="CJ242" s="1" t="str">
        <f>IF(B242="","",IF(SUM(AI242:AK242)&gt;0,"+SP","")&amp;IF(CI242&gt;0,"+KK","")&amp;IF(AB242&gt;0,"+KGP1","")&amp;IF(AC242&gt;0,"+KGP2","")&amp;IF(AG242&lt;0,"-KGP1","")&amp;IF(AH242&lt;0,"-KGP2",""))</f>
        <v/>
      </c>
    </row>
    <row r="243" spans="1:88" x14ac:dyDescent="0.25">
      <c r="A243" s="1" t="str">
        <f>IFERROR(IF(ROW(A242)=1,1,IF(1+A242&lt;=$CP$1*$CP$2,1+A242,"")),"")</f>
        <v/>
      </c>
      <c r="B243" s="1" t="str">
        <f>IF($I243="","",IF(ROW(B242)=1,1,ROUNDUP(A243/$CP$2,0)))</f>
        <v/>
      </c>
      <c r="C243" s="4" t="str">
        <f t="shared" si="193"/>
        <v/>
      </c>
      <c r="D243" s="4" t="str">
        <f t="shared" si="187"/>
        <v/>
      </c>
      <c r="E243" s="1" t="str">
        <f>IF($B243="","",COUNTIF($B$2:B243,B243))</f>
        <v/>
      </c>
      <c r="F243" s="1" t="str">
        <f t="shared" si="188"/>
        <v/>
      </c>
      <c r="G243" s="1" t="str">
        <f t="shared" si="194"/>
        <v/>
      </c>
      <c r="H243" s="1">
        <f t="shared" si="195"/>
        <v>0</v>
      </c>
      <c r="I243" s="3"/>
      <c r="J243" s="3"/>
      <c r="K243" s="3"/>
      <c r="L243" s="1" t="str">
        <f t="shared" si="196"/>
        <v/>
      </c>
      <c r="M243" s="1" t="str">
        <f t="shared" si="197"/>
        <v/>
      </c>
      <c r="N243" s="1" t="str">
        <f t="shared" si="198"/>
        <v/>
      </c>
      <c r="O243" s="1" t="str">
        <f t="shared" si="199"/>
        <v/>
      </c>
      <c r="P243" s="1" t="str">
        <f t="shared" si="200"/>
        <v/>
      </c>
      <c r="Q243" s="1" t="str">
        <f t="array" ref="Q243">IF($B243="","",IF(MAX(IF(B243=$B$2:$B$313,$L$2:$L$313))-L243=0,"",MAX(IF(B243=$B$2:$B$313,$L$2:$L$313))-L243))</f>
        <v/>
      </c>
      <c r="R243" s="1" t="str">
        <f t="array" ref="R243">IF($B243="","",SUMPRODUCT(--($B$2:$B$313=B243),--(L243&lt;$L$2:$L$313))+1)</f>
        <v/>
      </c>
      <c r="S243" s="1" t="str">
        <f t="shared" si="201"/>
        <v/>
      </c>
      <c r="T243" s="1" t="str" cm="1">
        <f t="array" ref="T243">IF($B243="","",IF(M243=0,"",SUMPRODUCT(--($B$2:$B$313=B243),--(J243&lt;$J$2:$J$313))+1))</f>
        <v/>
      </c>
      <c r="U243" s="1" t="str">
        <f t="shared" si="202"/>
        <v/>
      </c>
      <c r="V243" s="1" t="str">
        <f t="shared" si="203"/>
        <v/>
      </c>
      <c r="W243" s="1" t="str">
        <f t="shared" si="204"/>
        <v/>
      </c>
      <c r="X243" s="1" t="str">
        <f t="shared" si="189"/>
        <v/>
      </c>
      <c r="Y243" s="1" t="str">
        <f>IF($B243="","",MAX(_xlfn.MAXIFS($J$2:J243,$I$2:I243,$I243),_xlfn.MAXIFS($K$2:K243,$I$2:I243,$I243)))</f>
        <v/>
      </c>
      <c r="Z243" s="1" t="str">
        <f t="shared" si="205"/>
        <v/>
      </c>
      <c r="AA243" s="1" t="str">
        <f t="shared" si="206"/>
        <v/>
      </c>
      <c r="AB243" s="1" t="str">
        <f t="shared" si="207"/>
        <v/>
      </c>
      <c r="AC243" s="1" t="str">
        <f t="shared" si="208"/>
        <v/>
      </c>
      <c r="AD243" s="1" t="str">
        <f>IF($B243="","",MIN(_xlfn.MINIFS($J$2:J243,$I$2:I243,$I243),_xlfn.MINIFS($K$2:K243,$I$2:I243,$I243)))</f>
        <v/>
      </c>
      <c r="AE243" s="1" t="str">
        <f t="shared" si="209"/>
        <v/>
      </c>
      <c r="AF243" s="1" t="str">
        <f t="shared" si="210"/>
        <v/>
      </c>
      <c r="AG243" s="1" t="str">
        <f t="shared" si="211"/>
        <v/>
      </c>
      <c r="AH243" s="1" t="str">
        <f t="shared" si="212"/>
        <v/>
      </c>
      <c r="AI243" s="1" t="str">
        <f ca="1">IF($B243="","",IF($K243="",0,OFFSET($CO$17,R243,W243)))</f>
        <v/>
      </c>
      <c r="AJ243" s="1" t="str">
        <f t="shared" ca="1" si="213"/>
        <v/>
      </c>
      <c r="AK243" s="1" t="str">
        <f ca="1">IF(AJ243="","",IF(AJ243=0,0,IF(W243=1,0,SUM(OFFSET($CO$17,N243,1):OFFSET($CO$17,N243+W243-2,1))/W243)))</f>
        <v/>
      </c>
      <c r="AL243" s="1" t="str">
        <f t="shared" si="214"/>
        <v/>
      </c>
      <c r="AM243" s="1" t="str">
        <f>IF($B243="","",SUMIFS($AL$2:AL243,$I$2:I243,$I243))</f>
        <v/>
      </c>
      <c r="AN243" s="1" t="str">
        <f t="shared" si="215"/>
        <v/>
      </c>
      <c r="AO243" s="1" t="str">
        <f>IFERROR(IF($B243="","",AVERAGEIFS($L$2:L243,$I$2:I243,I243,$L$2:L243,"&lt;&gt;0")),0)</f>
        <v/>
      </c>
      <c r="AP243" s="1" t="str">
        <f t="shared" si="216"/>
        <v/>
      </c>
      <c r="AQ243" s="1" t="str">
        <f>IF($B243="","",COUNTIFS($R$2:R243,1,$I$2:I243,$I243))</f>
        <v/>
      </c>
      <c r="AR243" s="1" t="str">
        <f t="array" ref="AR243">IF($B243="","",SUMPRODUCT(--($B$2:$B$313=B243),--(AM243&lt;$AM$2:$AM$313))+1)</f>
        <v/>
      </c>
      <c r="AS243" s="1" t="str">
        <f t="array" ref="AS243">IF($B243="","",SUMPRODUCT(--($B$2:$B$313=B243),--(AP243&lt;$AP$2:$AP$313))+1)</f>
        <v/>
      </c>
      <c r="AT243" s="1" t="str">
        <f t="array" ref="AT243">IF($B243="","",SUMPRODUCT(--($B$2:$B$313=B243),--(AQ243&lt;$AQ$2:$AQ$313))+1)</f>
        <v/>
      </c>
      <c r="AU243" s="1" t="str">
        <f t="shared" si="217"/>
        <v/>
      </c>
      <c r="AV243" s="1" t="str">
        <f t="shared" si="218"/>
        <v/>
      </c>
      <c r="AW243" s="1" t="str">
        <f t="shared" si="190"/>
        <v/>
      </c>
      <c r="AX243" s="1" t="str">
        <f t="shared" si="219"/>
        <v/>
      </c>
      <c r="AY243" s="8" t="str">
        <f t="shared" si="220"/>
        <v/>
      </c>
      <c r="AZ243" s="1" t="str" cm="1">
        <f t="array" ref="AZ243">IF($B243="","",SUMPRODUCT(--($B$2:$B$313=B243),--(AY243&gt;$AY$2:$AY$313))+1)</f>
        <v/>
      </c>
      <c r="BA243" s="1" t="str">
        <f t="shared" si="221"/>
        <v/>
      </c>
      <c r="BB243" s="1" t="str">
        <f t="shared" si="222"/>
        <v/>
      </c>
      <c r="BC243" s="1" t="str">
        <f t="shared" si="223"/>
        <v/>
      </c>
      <c r="BD243" s="1" t="str">
        <f t="shared" si="224"/>
        <v/>
      </c>
      <c r="BE243" s="1" t="str">
        <f t="shared" si="225"/>
        <v/>
      </c>
      <c r="BF243" s="1" t="str">
        <f t="shared" si="226"/>
        <v/>
      </c>
      <c r="BG243" s="1" t="str">
        <f t="shared" si="227"/>
        <v/>
      </c>
      <c r="BH243" s="1" t="str">
        <f t="shared" si="228"/>
        <v/>
      </c>
      <c r="BI243" s="1" t="str">
        <f t="shared" si="229"/>
        <v/>
      </c>
      <c r="BJ243" s="1" t="str">
        <f t="shared" si="230"/>
        <v/>
      </c>
      <c r="BK243" s="1" t="str">
        <f t="shared" si="231"/>
        <v/>
      </c>
      <c r="BL243" s="1" t="str">
        <f t="shared" si="232"/>
        <v/>
      </c>
      <c r="BM243" s="1" t="str">
        <f t="shared" si="233"/>
        <v/>
      </c>
      <c r="BN243" s="1" t="str">
        <f t="shared" si="234"/>
        <v/>
      </c>
      <c r="BO243" s="1" t="str">
        <f t="shared" si="191"/>
        <v/>
      </c>
      <c r="BP243" s="1" t="str">
        <f t="shared" si="192"/>
        <v/>
      </c>
      <c r="BQ243" s="1" t="str" cm="1">
        <f t="array" ref="BQ243">IF(I243="","",IF(BP243=1,"",IF(L243=0,"",IF(B243=1,"",_xlfn.XLOOKUP(1,($I$2:$I$313=$I243)*($B$2:$B$313=($B243-1)),$BO$2:$BO$313)))))</f>
        <v/>
      </c>
      <c r="BR243" s="1" t="str">
        <f>IF(I243="","",IF($B243=1,_xlfn.MINIFS($BO$2:$BO$313,$B$2:$B$313,$B243),_xlfn.MINIFS(BQ$2:$BQ$313,$B$2:$B$313,$B243)))</f>
        <v/>
      </c>
      <c r="BS243" s="1" t="str">
        <f t="shared" si="235"/>
        <v/>
      </c>
      <c r="BT243" s="1" t="str" cm="1">
        <f t="array" ref="BT243">IF($I243="","",IF($B243=1,_xlfn.XLOOKUP(1,($B$2:$B$313=$B243)*($BO$2:$BO$313=BR243),Data!$I$2:$I$313,,0),_xlfn.XLOOKUP(1,($B$2:$B$313=$B243)*($BQ$2:$BQ$313=$BR243),$I$2:$I$313,,0)))</f>
        <v/>
      </c>
      <c r="BU243" s="1" t="str" cm="1">
        <f t="array" ref="BU243">IF(I243="","",IF($B243=1,_xlfn.XLOOKUP(1,($B$2:$B$313=$B243)*($BO$2:$BO$313=$BS243),$I$2:$I$313,,0),_xlfn.XLOOKUP(1,($B$2:$B$313=$B243)*($BQ$2:$BQ$313=$BS243),$I$2:$I$313,,0)))</f>
        <v/>
      </c>
      <c r="BV243" s="1" t="str" cm="1">
        <f t="array" ref="BV243">IF($I243="","",IF($B243=1,"",IF($B243=2,_xlfn.XLOOKUP(1,($B$2:$B$313=1)*($BO$2:$BO$313=1),$I$2:$I$313,,0),_xlfn.XLOOKUP($B243-1,$B$2:$B$313,$CH$2:$CH$313,,0))))</f>
        <v/>
      </c>
      <c r="BW243" s="1" t="str" cm="1">
        <f t="array" ref="BW243">IF($I243="","",IF($B243=1,"",IF(_xlfn.XLOOKUP(1,($B$2:$B$313=$B243)*($I$2:$I$313=$BV243),$BQ$2:$BQ$313,,0)="","NOK","OK")))</f>
        <v/>
      </c>
      <c r="BX243" s="1" t="str">
        <f t="shared" si="236"/>
        <v/>
      </c>
      <c r="BY243" s="1" t="str">
        <f t="shared" si="237"/>
        <v/>
      </c>
      <c r="BZ243" s="1" t="str">
        <f t="shared" si="238"/>
        <v/>
      </c>
      <c r="CA243" s="1" t="str">
        <f t="shared" si="239"/>
        <v/>
      </c>
      <c r="CB243" s="1" t="str">
        <f t="shared" si="240"/>
        <v/>
      </c>
      <c r="CC243" s="1" t="str">
        <f t="shared" si="241"/>
        <v/>
      </c>
      <c r="CD243" s="1" t="str">
        <f t="shared" si="242"/>
        <v/>
      </c>
      <c r="CE243" s="1" t="str">
        <f t="shared" si="243"/>
        <v/>
      </c>
      <c r="CF243" s="1" t="str">
        <f t="shared" si="244"/>
        <v/>
      </c>
      <c r="CG243" s="1" t="str">
        <f t="shared" si="245"/>
        <v/>
      </c>
      <c r="CH243" s="1" t="str">
        <f t="shared" si="246"/>
        <v/>
      </c>
      <c r="CI243" s="1" t="str">
        <f t="shared" si="247"/>
        <v/>
      </c>
      <c r="CJ243" s="1" t="str">
        <f>IF(B243="","",IF(SUM(AI243:AK243)&gt;0,"+SP","")&amp;IF(CI243&gt;0,"+KK","")&amp;IF(AB243&gt;0,"+KGP1","")&amp;IF(AC243&gt;0,"+KGP2","")&amp;IF(AG243&lt;0,"-KGP1","")&amp;IF(AH243&lt;0,"-KGP2",""))</f>
        <v/>
      </c>
    </row>
    <row r="244" spans="1:88" x14ac:dyDescent="0.25">
      <c r="A244" s="1" t="str">
        <f>IFERROR(IF(ROW(A243)=1,1,IF(1+A243&lt;=$CP$1*$CP$2,1+A243,"")),"")</f>
        <v/>
      </c>
      <c r="B244" s="1" t="str">
        <f>IF($I244="","",IF(ROW(B243)=1,1,ROUNDUP(A244/$CP$2,0)))</f>
        <v/>
      </c>
      <c r="C244" s="4" t="str">
        <f t="shared" si="193"/>
        <v/>
      </c>
      <c r="D244" s="4" t="str">
        <f t="shared" si="187"/>
        <v/>
      </c>
      <c r="E244" s="1" t="str">
        <f>IF($B244="","",COUNTIF($B$2:B244,B244))</f>
        <v/>
      </c>
      <c r="F244" s="1" t="str">
        <f t="shared" si="188"/>
        <v/>
      </c>
      <c r="G244" s="1" t="str">
        <f t="shared" si="194"/>
        <v/>
      </c>
      <c r="H244" s="1">
        <f t="shared" si="195"/>
        <v>0</v>
      </c>
      <c r="I244" s="3"/>
      <c r="J244" s="3"/>
      <c r="K244" s="3"/>
      <c r="L244" s="1" t="str">
        <f t="shared" si="196"/>
        <v/>
      </c>
      <c r="M244" s="1" t="str">
        <f t="shared" si="197"/>
        <v/>
      </c>
      <c r="N244" s="1" t="str">
        <f t="shared" si="198"/>
        <v/>
      </c>
      <c r="O244" s="1" t="str">
        <f t="shared" si="199"/>
        <v/>
      </c>
      <c r="P244" s="1" t="str">
        <f t="shared" si="200"/>
        <v/>
      </c>
      <c r="Q244" s="1" t="str">
        <f t="array" ref="Q244">IF($B244="","",IF(MAX(IF(B244=$B$2:$B$313,$L$2:$L$313))-L244=0,"",MAX(IF(B244=$B$2:$B$313,$L$2:$L$313))-L244))</f>
        <v/>
      </c>
      <c r="R244" s="1" t="str">
        <f t="array" ref="R244">IF($B244="","",SUMPRODUCT(--($B$2:$B$313=B244),--(L244&lt;$L$2:$L$313))+1)</f>
        <v/>
      </c>
      <c r="S244" s="1" t="str">
        <f t="shared" si="201"/>
        <v/>
      </c>
      <c r="T244" s="1" t="str" cm="1">
        <f t="array" ref="T244">IF($B244="","",IF(M244=0,"",SUMPRODUCT(--($B$2:$B$313=B244),--(J244&lt;$J$2:$J$313))+1))</f>
        <v/>
      </c>
      <c r="U244" s="1" t="str">
        <f t="shared" si="202"/>
        <v/>
      </c>
      <c r="V244" s="1" t="str">
        <f t="shared" si="203"/>
        <v/>
      </c>
      <c r="W244" s="1" t="str">
        <f t="shared" si="204"/>
        <v/>
      </c>
      <c r="X244" s="1" t="str">
        <f t="shared" si="189"/>
        <v/>
      </c>
      <c r="Y244" s="1" t="str">
        <f>IF($B244="","",MAX(_xlfn.MAXIFS($J$2:J244,$I$2:I244,$I244),_xlfn.MAXIFS($K$2:K244,$I$2:I244,$I244)))</f>
        <v/>
      </c>
      <c r="Z244" s="1" t="str">
        <f t="shared" si="205"/>
        <v/>
      </c>
      <c r="AA244" s="1" t="str">
        <f t="shared" si="206"/>
        <v/>
      </c>
      <c r="AB244" s="1" t="str">
        <f t="shared" si="207"/>
        <v/>
      </c>
      <c r="AC244" s="1" t="str">
        <f t="shared" si="208"/>
        <v/>
      </c>
      <c r="AD244" s="1" t="str">
        <f>IF($B244="","",MIN(_xlfn.MINIFS($J$2:J244,$I$2:I244,$I244),_xlfn.MINIFS($K$2:K244,$I$2:I244,$I244)))</f>
        <v/>
      </c>
      <c r="AE244" s="1" t="str">
        <f t="shared" si="209"/>
        <v/>
      </c>
      <c r="AF244" s="1" t="str">
        <f t="shared" si="210"/>
        <v/>
      </c>
      <c r="AG244" s="1" t="str">
        <f t="shared" si="211"/>
        <v/>
      </c>
      <c r="AH244" s="1" t="str">
        <f t="shared" si="212"/>
        <v/>
      </c>
      <c r="AI244" s="1" t="str">
        <f ca="1">IF($B244="","",IF($K244="",0,OFFSET($CO$17,R244,W244)))</f>
        <v/>
      </c>
      <c r="AJ244" s="1" t="str">
        <f t="shared" ca="1" si="213"/>
        <v/>
      </c>
      <c r="AK244" s="1" t="str">
        <f ca="1">IF(AJ244="","",IF(AJ244=0,0,IF(W244=1,0,SUM(OFFSET($CO$17,N244,1):OFFSET($CO$17,N244+W244-2,1))/W244)))</f>
        <v/>
      </c>
      <c r="AL244" s="1" t="str">
        <f t="shared" si="214"/>
        <v/>
      </c>
      <c r="AM244" s="1" t="str">
        <f>IF($B244="","",SUMIFS($AL$2:AL244,$I$2:I244,$I244))</f>
        <v/>
      </c>
      <c r="AN244" s="1" t="str">
        <f t="shared" si="215"/>
        <v/>
      </c>
      <c r="AO244" s="1" t="str">
        <f>IFERROR(IF($B244="","",AVERAGEIFS($L$2:L244,$I$2:I244,I244,$L$2:L244,"&lt;&gt;0")),0)</f>
        <v/>
      </c>
      <c r="AP244" s="1" t="str">
        <f t="shared" si="216"/>
        <v/>
      </c>
      <c r="AQ244" s="1" t="str">
        <f>IF($B244="","",COUNTIFS($R$2:R244,1,$I$2:I244,$I244))</f>
        <v/>
      </c>
      <c r="AR244" s="1" t="str">
        <f t="array" ref="AR244">IF($B244="","",SUMPRODUCT(--($B$2:$B$313=B244),--(AM244&lt;$AM$2:$AM$313))+1)</f>
        <v/>
      </c>
      <c r="AS244" s="1" t="str">
        <f t="array" ref="AS244">IF($B244="","",SUMPRODUCT(--($B$2:$B$313=B244),--(AP244&lt;$AP$2:$AP$313))+1)</f>
        <v/>
      </c>
      <c r="AT244" s="1" t="str">
        <f t="array" ref="AT244">IF($B244="","",SUMPRODUCT(--($B$2:$B$313=B244),--(AQ244&lt;$AQ$2:$AQ$313))+1)</f>
        <v/>
      </c>
      <c r="AU244" s="1" t="str">
        <f t="shared" si="217"/>
        <v/>
      </c>
      <c r="AV244" s="1" t="str">
        <f t="shared" si="218"/>
        <v/>
      </c>
      <c r="AW244" s="1" t="str">
        <f t="shared" si="190"/>
        <v/>
      </c>
      <c r="AX244" s="1" t="str">
        <f t="shared" si="219"/>
        <v/>
      </c>
      <c r="AY244" s="8" t="str">
        <f t="shared" si="220"/>
        <v/>
      </c>
      <c r="AZ244" s="1" t="str" cm="1">
        <f t="array" ref="AZ244">IF($B244="","",SUMPRODUCT(--($B$2:$B$313=B244),--(AY244&gt;$AY$2:$AY$313))+1)</f>
        <v/>
      </c>
      <c r="BA244" s="1" t="str">
        <f t="shared" si="221"/>
        <v/>
      </c>
      <c r="BB244" s="1" t="str">
        <f t="shared" si="222"/>
        <v/>
      </c>
      <c r="BC244" s="1" t="str">
        <f t="shared" si="223"/>
        <v/>
      </c>
      <c r="BD244" s="1" t="str">
        <f t="shared" si="224"/>
        <v/>
      </c>
      <c r="BE244" s="1" t="str">
        <f t="shared" si="225"/>
        <v/>
      </c>
      <c r="BF244" s="1" t="str">
        <f t="shared" si="226"/>
        <v/>
      </c>
      <c r="BG244" s="1" t="str">
        <f t="shared" si="227"/>
        <v/>
      </c>
      <c r="BH244" s="1" t="str">
        <f t="shared" si="228"/>
        <v/>
      </c>
      <c r="BI244" s="1" t="str">
        <f t="shared" si="229"/>
        <v/>
      </c>
      <c r="BJ244" s="1" t="str">
        <f t="shared" si="230"/>
        <v/>
      </c>
      <c r="BK244" s="1" t="str">
        <f t="shared" si="231"/>
        <v/>
      </c>
      <c r="BL244" s="1" t="str">
        <f t="shared" si="232"/>
        <v/>
      </c>
      <c r="BM244" s="1" t="str">
        <f t="shared" si="233"/>
        <v/>
      </c>
      <c r="BN244" s="1" t="str">
        <f t="shared" si="234"/>
        <v/>
      </c>
      <c r="BO244" s="1" t="str">
        <f t="shared" si="191"/>
        <v/>
      </c>
      <c r="BP244" s="1" t="str">
        <f t="shared" si="192"/>
        <v/>
      </c>
      <c r="BQ244" s="1" t="str" cm="1">
        <f t="array" ref="BQ244">IF(I244="","",IF(BP244=1,"",IF(L244=0,"",IF(B244=1,"",_xlfn.XLOOKUP(1,($I$2:$I$313=$I244)*($B$2:$B$313=($B244-1)),$BO$2:$BO$313)))))</f>
        <v/>
      </c>
      <c r="BR244" s="1" t="str">
        <f>IF(I244="","",IF($B244=1,_xlfn.MINIFS($BO$2:$BO$313,$B$2:$B$313,$B244),_xlfn.MINIFS(BQ$2:$BQ$313,$B$2:$B$313,$B244)))</f>
        <v/>
      </c>
      <c r="BS244" s="1" t="str">
        <f t="shared" si="235"/>
        <v/>
      </c>
      <c r="BT244" s="1" t="str" cm="1">
        <f t="array" ref="BT244">IF($I244="","",IF($B244=1,_xlfn.XLOOKUP(1,($B$2:$B$313=$B244)*($BO$2:$BO$313=BR244),Data!$I$2:$I$313,,0),_xlfn.XLOOKUP(1,($B$2:$B$313=$B244)*($BQ$2:$BQ$313=$BR244),$I$2:$I$313,,0)))</f>
        <v/>
      </c>
      <c r="BU244" s="1" t="str" cm="1">
        <f t="array" ref="BU244">IF(I244="","",IF($B244=1,_xlfn.XLOOKUP(1,($B$2:$B$313=$B244)*($BO$2:$BO$313=$BS244),$I$2:$I$313,,0),_xlfn.XLOOKUP(1,($B$2:$B$313=$B244)*($BQ$2:$BQ$313=$BS244),$I$2:$I$313,,0)))</f>
        <v/>
      </c>
      <c r="BV244" s="1" t="str" cm="1">
        <f t="array" ref="BV244">IF($I244="","",IF($B244=1,"",IF($B244=2,_xlfn.XLOOKUP(1,($B$2:$B$313=1)*($BO$2:$BO$313=1),$I$2:$I$313,,0),_xlfn.XLOOKUP($B244-1,$B$2:$B$313,$CH$2:$CH$313,,0))))</f>
        <v/>
      </c>
      <c r="BW244" s="1" t="str" cm="1">
        <f t="array" ref="BW244">IF($I244="","",IF($B244=1,"",IF(_xlfn.XLOOKUP(1,($B$2:$B$313=$B244)*($I$2:$I$313=$BV244),$BQ$2:$BQ$313,,0)="","NOK","OK")))</f>
        <v/>
      </c>
      <c r="BX244" s="1" t="str">
        <f t="shared" si="236"/>
        <v/>
      </c>
      <c r="BY244" s="1" t="str">
        <f t="shared" si="237"/>
        <v/>
      </c>
      <c r="BZ244" s="1" t="str">
        <f t="shared" si="238"/>
        <v/>
      </c>
      <c r="CA244" s="1" t="str">
        <f t="shared" si="239"/>
        <v/>
      </c>
      <c r="CB244" s="1" t="str">
        <f t="shared" si="240"/>
        <v/>
      </c>
      <c r="CC244" s="1" t="str">
        <f t="shared" si="241"/>
        <v/>
      </c>
      <c r="CD244" s="1" t="str">
        <f t="shared" si="242"/>
        <v/>
      </c>
      <c r="CE244" s="1" t="str">
        <f t="shared" si="243"/>
        <v/>
      </c>
      <c r="CF244" s="1" t="str">
        <f t="shared" si="244"/>
        <v/>
      </c>
      <c r="CG244" s="1" t="str">
        <f t="shared" si="245"/>
        <v/>
      </c>
      <c r="CH244" s="1" t="str">
        <f t="shared" si="246"/>
        <v/>
      </c>
      <c r="CI244" s="1" t="str">
        <f t="shared" si="247"/>
        <v/>
      </c>
      <c r="CJ244" s="1" t="str">
        <f>IF(B244="","",IF(SUM(AI244:AK244)&gt;0,"+SP","")&amp;IF(CI244&gt;0,"+KK","")&amp;IF(AB244&gt;0,"+KGP1","")&amp;IF(AC244&gt;0,"+KGP2","")&amp;IF(AG244&lt;0,"-KGP1","")&amp;IF(AH244&lt;0,"-KGP2",""))</f>
        <v/>
      </c>
    </row>
    <row r="245" spans="1:88" x14ac:dyDescent="0.25">
      <c r="A245" s="1" t="str">
        <f>IFERROR(IF(ROW(A244)=1,1,IF(1+A244&lt;=$CP$1*$CP$2,1+A244,"")),"")</f>
        <v/>
      </c>
      <c r="B245" s="1" t="str">
        <f>IF($I245="","",IF(ROW(B244)=1,1,ROUNDUP(A245/$CP$2,0)))</f>
        <v/>
      </c>
      <c r="C245" s="4" t="str">
        <f t="shared" si="193"/>
        <v/>
      </c>
      <c r="D245" s="4" t="str">
        <f t="shared" si="187"/>
        <v/>
      </c>
      <c r="E245" s="1" t="str">
        <f>IF($B245="","",COUNTIF($B$2:B245,B245))</f>
        <v/>
      </c>
      <c r="F245" s="1" t="str">
        <f t="shared" si="188"/>
        <v/>
      </c>
      <c r="G245" s="1" t="str">
        <f t="shared" si="194"/>
        <v/>
      </c>
      <c r="H245" s="1">
        <f t="shared" si="195"/>
        <v>0</v>
      </c>
      <c r="I245" s="3"/>
      <c r="J245" s="3"/>
      <c r="K245" s="3"/>
      <c r="L245" s="1" t="str">
        <f t="shared" si="196"/>
        <v/>
      </c>
      <c r="M245" s="1" t="str">
        <f t="shared" si="197"/>
        <v/>
      </c>
      <c r="N245" s="1" t="str">
        <f t="shared" si="198"/>
        <v/>
      </c>
      <c r="O245" s="1" t="str">
        <f t="shared" si="199"/>
        <v/>
      </c>
      <c r="P245" s="1" t="str">
        <f t="shared" si="200"/>
        <v/>
      </c>
      <c r="Q245" s="1" t="str">
        <f t="array" ref="Q245">IF($B245="","",IF(MAX(IF(B245=$B$2:$B$313,$L$2:$L$313))-L245=0,"",MAX(IF(B245=$B$2:$B$313,$L$2:$L$313))-L245))</f>
        <v/>
      </c>
      <c r="R245" s="1" t="str">
        <f t="array" ref="R245">IF($B245="","",SUMPRODUCT(--($B$2:$B$313=B245),--(L245&lt;$L$2:$L$313))+1)</f>
        <v/>
      </c>
      <c r="S245" s="1" t="str">
        <f t="shared" si="201"/>
        <v/>
      </c>
      <c r="T245" s="1" t="str" cm="1">
        <f t="array" ref="T245">IF($B245="","",IF(M245=0,"",SUMPRODUCT(--($B$2:$B$313=B245),--(J245&lt;$J$2:$J$313))+1))</f>
        <v/>
      </c>
      <c r="U245" s="1" t="str">
        <f t="shared" si="202"/>
        <v/>
      </c>
      <c r="V245" s="1" t="str">
        <f t="shared" si="203"/>
        <v/>
      </c>
      <c r="W245" s="1" t="str">
        <f t="shared" si="204"/>
        <v/>
      </c>
      <c r="X245" s="1" t="str">
        <f t="shared" si="189"/>
        <v/>
      </c>
      <c r="Y245" s="1" t="str">
        <f>IF($B245="","",MAX(_xlfn.MAXIFS($J$2:J245,$I$2:I245,$I245),_xlfn.MAXIFS($K$2:K245,$I$2:I245,$I245)))</f>
        <v/>
      </c>
      <c r="Z245" s="1" t="str">
        <f t="shared" si="205"/>
        <v/>
      </c>
      <c r="AA245" s="1" t="str">
        <f t="shared" si="206"/>
        <v/>
      </c>
      <c r="AB245" s="1" t="str">
        <f t="shared" si="207"/>
        <v/>
      </c>
      <c r="AC245" s="1" t="str">
        <f t="shared" si="208"/>
        <v/>
      </c>
      <c r="AD245" s="1" t="str">
        <f>IF($B245="","",MIN(_xlfn.MINIFS($J$2:J245,$I$2:I245,$I245),_xlfn.MINIFS($K$2:K245,$I$2:I245,$I245)))</f>
        <v/>
      </c>
      <c r="AE245" s="1" t="str">
        <f t="shared" si="209"/>
        <v/>
      </c>
      <c r="AF245" s="1" t="str">
        <f t="shared" si="210"/>
        <v/>
      </c>
      <c r="AG245" s="1" t="str">
        <f t="shared" si="211"/>
        <v/>
      </c>
      <c r="AH245" s="1" t="str">
        <f t="shared" si="212"/>
        <v/>
      </c>
      <c r="AI245" s="1" t="str">
        <f ca="1">IF($B245="","",IF($K245="",0,OFFSET($CO$17,R245,W245)))</f>
        <v/>
      </c>
      <c r="AJ245" s="1" t="str">
        <f t="shared" ca="1" si="213"/>
        <v/>
      </c>
      <c r="AK245" s="1" t="str">
        <f ca="1">IF(AJ245="","",IF(AJ245=0,0,IF(W245=1,0,SUM(OFFSET($CO$17,N245,1):OFFSET($CO$17,N245+W245-2,1))/W245)))</f>
        <v/>
      </c>
      <c r="AL245" s="1" t="str">
        <f t="shared" si="214"/>
        <v/>
      </c>
      <c r="AM245" s="1" t="str">
        <f>IF($B245="","",SUMIFS($AL$2:AL245,$I$2:I245,$I245))</f>
        <v/>
      </c>
      <c r="AN245" s="1" t="str">
        <f t="shared" si="215"/>
        <v/>
      </c>
      <c r="AO245" s="1" t="str">
        <f>IFERROR(IF($B245="","",AVERAGEIFS($L$2:L245,$I$2:I245,I245,$L$2:L245,"&lt;&gt;0")),0)</f>
        <v/>
      </c>
      <c r="AP245" s="1" t="str">
        <f t="shared" si="216"/>
        <v/>
      </c>
      <c r="AQ245" s="1" t="str">
        <f>IF($B245="","",COUNTIFS($R$2:R245,1,$I$2:I245,$I245))</f>
        <v/>
      </c>
      <c r="AR245" s="1" t="str">
        <f t="array" ref="AR245">IF($B245="","",SUMPRODUCT(--($B$2:$B$313=B245),--(AM245&lt;$AM$2:$AM$313))+1)</f>
        <v/>
      </c>
      <c r="AS245" s="1" t="str">
        <f t="array" ref="AS245">IF($B245="","",SUMPRODUCT(--($B$2:$B$313=B245),--(AP245&lt;$AP$2:$AP$313))+1)</f>
        <v/>
      </c>
      <c r="AT245" s="1" t="str">
        <f t="array" ref="AT245">IF($B245="","",SUMPRODUCT(--($B$2:$B$313=B245),--(AQ245&lt;$AQ$2:$AQ$313))+1)</f>
        <v/>
      </c>
      <c r="AU245" s="1" t="str">
        <f t="shared" si="217"/>
        <v/>
      </c>
      <c r="AV245" s="1" t="str">
        <f t="shared" si="218"/>
        <v/>
      </c>
      <c r="AW245" s="1" t="str">
        <f t="shared" si="190"/>
        <v/>
      </c>
      <c r="AX245" s="1" t="str">
        <f t="shared" si="219"/>
        <v/>
      </c>
      <c r="AY245" s="8" t="str">
        <f t="shared" si="220"/>
        <v/>
      </c>
      <c r="AZ245" s="1" t="str" cm="1">
        <f t="array" ref="AZ245">IF($B245="","",SUMPRODUCT(--($B$2:$B$313=B245),--(AY245&gt;$AY$2:$AY$313))+1)</f>
        <v/>
      </c>
      <c r="BA245" s="1" t="str">
        <f t="shared" si="221"/>
        <v/>
      </c>
      <c r="BB245" s="1" t="str">
        <f t="shared" si="222"/>
        <v/>
      </c>
      <c r="BC245" s="1" t="str">
        <f t="shared" si="223"/>
        <v/>
      </c>
      <c r="BD245" s="1" t="str">
        <f t="shared" si="224"/>
        <v/>
      </c>
      <c r="BE245" s="1" t="str">
        <f t="shared" si="225"/>
        <v/>
      </c>
      <c r="BF245" s="1" t="str">
        <f t="shared" si="226"/>
        <v/>
      </c>
      <c r="BG245" s="1" t="str">
        <f t="shared" si="227"/>
        <v/>
      </c>
      <c r="BH245" s="1" t="str">
        <f t="shared" si="228"/>
        <v/>
      </c>
      <c r="BI245" s="1" t="str">
        <f t="shared" si="229"/>
        <v/>
      </c>
      <c r="BJ245" s="1" t="str">
        <f t="shared" si="230"/>
        <v/>
      </c>
      <c r="BK245" s="1" t="str">
        <f t="shared" si="231"/>
        <v/>
      </c>
      <c r="BL245" s="1" t="str">
        <f t="shared" si="232"/>
        <v/>
      </c>
      <c r="BM245" s="1" t="str">
        <f t="shared" si="233"/>
        <v/>
      </c>
      <c r="BN245" s="1" t="str">
        <f t="shared" si="234"/>
        <v/>
      </c>
      <c r="BO245" s="1" t="str">
        <f t="shared" si="191"/>
        <v/>
      </c>
      <c r="BP245" s="1" t="str">
        <f t="shared" si="192"/>
        <v/>
      </c>
      <c r="BQ245" s="1" t="str" cm="1">
        <f t="array" ref="BQ245">IF(I245="","",IF(BP245=1,"",IF(L245=0,"",IF(B245=1,"",_xlfn.XLOOKUP(1,($I$2:$I$313=$I245)*($B$2:$B$313=($B245-1)),$BO$2:$BO$313)))))</f>
        <v/>
      </c>
      <c r="BR245" s="1" t="str">
        <f>IF(I245="","",IF($B245=1,_xlfn.MINIFS($BO$2:$BO$313,$B$2:$B$313,$B245),_xlfn.MINIFS(BQ$2:$BQ$313,$B$2:$B$313,$B245)))</f>
        <v/>
      </c>
      <c r="BS245" s="1" t="str">
        <f t="shared" si="235"/>
        <v/>
      </c>
      <c r="BT245" s="1" t="str" cm="1">
        <f t="array" ref="BT245">IF($I245="","",IF($B245=1,_xlfn.XLOOKUP(1,($B$2:$B$313=$B245)*($BO$2:$BO$313=BR245),Data!$I$2:$I$313,,0),_xlfn.XLOOKUP(1,($B$2:$B$313=$B245)*($BQ$2:$BQ$313=$BR245),$I$2:$I$313,,0)))</f>
        <v/>
      </c>
      <c r="BU245" s="1" t="str" cm="1">
        <f t="array" ref="BU245">IF(I245="","",IF($B245=1,_xlfn.XLOOKUP(1,($B$2:$B$313=$B245)*($BO$2:$BO$313=$BS245),$I$2:$I$313,,0),_xlfn.XLOOKUP(1,($B$2:$B$313=$B245)*($BQ$2:$BQ$313=$BS245),$I$2:$I$313,,0)))</f>
        <v/>
      </c>
      <c r="BV245" s="1" t="str" cm="1">
        <f t="array" ref="BV245">IF($I245="","",IF($B245=1,"",IF($B245=2,_xlfn.XLOOKUP(1,($B$2:$B$313=1)*($BO$2:$BO$313=1),$I$2:$I$313,,0),_xlfn.XLOOKUP($B245-1,$B$2:$B$313,$CH$2:$CH$313,,0))))</f>
        <v/>
      </c>
      <c r="BW245" s="1" t="str" cm="1">
        <f t="array" ref="BW245">IF($I245="","",IF($B245=1,"",IF(_xlfn.XLOOKUP(1,($B$2:$B$313=$B245)*($I$2:$I$313=$BV245),$BQ$2:$BQ$313,,0)="","NOK","OK")))</f>
        <v/>
      </c>
      <c r="BX245" s="1" t="str">
        <f t="shared" si="236"/>
        <v/>
      </c>
      <c r="BY245" s="1" t="str">
        <f t="shared" si="237"/>
        <v/>
      </c>
      <c r="BZ245" s="1" t="str">
        <f t="shared" si="238"/>
        <v/>
      </c>
      <c r="CA245" s="1" t="str">
        <f t="shared" si="239"/>
        <v/>
      </c>
      <c r="CB245" s="1" t="str">
        <f t="shared" si="240"/>
        <v/>
      </c>
      <c r="CC245" s="1" t="str">
        <f t="shared" si="241"/>
        <v/>
      </c>
      <c r="CD245" s="1" t="str">
        <f t="shared" si="242"/>
        <v/>
      </c>
      <c r="CE245" s="1" t="str">
        <f t="shared" si="243"/>
        <v/>
      </c>
      <c r="CF245" s="1" t="str">
        <f t="shared" si="244"/>
        <v/>
      </c>
      <c r="CG245" s="1" t="str">
        <f t="shared" si="245"/>
        <v/>
      </c>
      <c r="CH245" s="1" t="str">
        <f t="shared" si="246"/>
        <v/>
      </c>
      <c r="CI245" s="1" t="str">
        <f t="shared" si="247"/>
        <v/>
      </c>
      <c r="CJ245" s="1" t="str">
        <f>IF(B245="","",IF(SUM(AI245:AK245)&gt;0,"+SP","")&amp;IF(CI245&gt;0,"+KK","")&amp;IF(AB245&gt;0,"+KGP1","")&amp;IF(AC245&gt;0,"+KGP2","")&amp;IF(AG245&lt;0,"-KGP1","")&amp;IF(AH245&lt;0,"-KGP2",""))</f>
        <v/>
      </c>
    </row>
    <row r="246" spans="1:88" x14ac:dyDescent="0.25">
      <c r="A246" s="1" t="str">
        <f>IFERROR(IF(ROW(A245)=1,1,IF(1+A245&lt;=$CP$1*$CP$2,1+A245,"")),"")</f>
        <v/>
      </c>
      <c r="B246" s="1" t="str">
        <f>IF($I246="","",IF(ROW(B245)=1,1,ROUNDUP(A246/$CP$2,0)))</f>
        <v/>
      </c>
      <c r="C246" s="4" t="str">
        <f t="shared" si="193"/>
        <v/>
      </c>
      <c r="D246" s="4" t="str">
        <f t="shared" si="187"/>
        <v/>
      </c>
      <c r="E246" s="1" t="str">
        <f>IF($B246="","",COUNTIF($B$2:B246,B246))</f>
        <v/>
      </c>
      <c r="F246" s="1" t="str">
        <f t="shared" si="188"/>
        <v/>
      </c>
      <c r="G246" s="1" t="str">
        <f t="shared" si="194"/>
        <v/>
      </c>
      <c r="H246" s="1">
        <f t="shared" si="195"/>
        <v>0</v>
      </c>
      <c r="I246" s="3"/>
      <c r="J246" s="3"/>
      <c r="K246" s="3"/>
      <c r="L246" s="1" t="str">
        <f t="shared" si="196"/>
        <v/>
      </c>
      <c r="M246" s="1" t="str">
        <f t="shared" si="197"/>
        <v/>
      </c>
      <c r="N246" s="1" t="str">
        <f t="shared" si="198"/>
        <v/>
      </c>
      <c r="O246" s="1" t="str">
        <f t="shared" si="199"/>
        <v/>
      </c>
      <c r="P246" s="1" t="str">
        <f t="shared" si="200"/>
        <v/>
      </c>
      <c r="Q246" s="1" t="str">
        <f t="array" ref="Q246">IF($B246="","",IF(MAX(IF(B246=$B$2:$B$313,$L$2:$L$313))-L246=0,"",MAX(IF(B246=$B$2:$B$313,$L$2:$L$313))-L246))</f>
        <v/>
      </c>
      <c r="R246" s="1" t="str">
        <f t="array" ref="R246">IF($B246="","",SUMPRODUCT(--($B$2:$B$313=B246),--(L246&lt;$L$2:$L$313))+1)</f>
        <v/>
      </c>
      <c r="S246" s="1" t="str">
        <f t="shared" si="201"/>
        <v/>
      </c>
      <c r="T246" s="1" t="str" cm="1">
        <f t="array" ref="T246">IF($B246="","",IF(M246=0,"",SUMPRODUCT(--($B$2:$B$313=B246),--(J246&lt;$J$2:$J$313))+1))</f>
        <v/>
      </c>
      <c r="U246" s="1" t="str">
        <f t="shared" si="202"/>
        <v/>
      </c>
      <c r="V246" s="1" t="str">
        <f t="shared" si="203"/>
        <v/>
      </c>
      <c r="W246" s="1" t="str">
        <f t="shared" si="204"/>
        <v/>
      </c>
      <c r="X246" s="1" t="str">
        <f t="shared" si="189"/>
        <v/>
      </c>
      <c r="Y246" s="1" t="str">
        <f>IF($B246="","",MAX(_xlfn.MAXIFS($J$2:J246,$I$2:I246,$I246),_xlfn.MAXIFS($K$2:K246,$I$2:I246,$I246)))</f>
        <v/>
      </c>
      <c r="Z246" s="1" t="str">
        <f t="shared" si="205"/>
        <v/>
      </c>
      <c r="AA246" s="1" t="str">
        <f t="shared" si="206"/>
        <v/>
      </c>
      <c r="AB246" s="1" t="str">
        <f t="shared" si="207"/>
        <v/>
      </c>
      <c r="AC246" s="1" t="str">
        <f t="shared" si="208"/>
        <v/>
      </c>
      <c r="AD246" s="1" t="str">
        <f>IF($B246="","",MIN(_xlfn.MINIFS($J$2:J246,$I$2:I246,$I246),_xlfn.MINIFS($K$2:K246,$I$2:I246,$I246)))</f>
        <v/>
      </c>
      <c r="AE246" s="1" t="str">
        <f t="shared" si="209"/>
        <v/>
      </c>
      <c r="AF246" s="1" t="str">
        <f t="shared" si="210"/>
        <v/>
      </c>
      <c r="AG246" s="1" t="str">
        <f t="shared" si="211"/>
        <v/>
      </c>
      <c r="AH246" s="1" t="str">
        <f t="shared" si="212"/>
        <v/>
      </c>
      <c r="AI246" s="1" t="str">
        <f ca="1">IF($B246="","",IF($K246="",0,OFFSET($CO$17,R246,W246)))</f>
        <v/>
      </c>
      <c r="AJ246" s="1" t="str">
        <f t="shared" ca="1" si="213"/>
        <v/>
      </c>
      <c r="AK246" s="1" t="str">
        <f ca="1">IF(AJ246="","",IF(AJ246=0,0,IF(W246=1,0,SUM(OFFSET($CO$17,N246,1):OFFSET($CO$17,N246+W246-2,1))/W246)))</f>
        <v/>
      </c>
      <c r="AL246" s="1" t="str">
        <f t="shared" si="214"/>
        <v/>
      </c>
      <c r="AM246" s="1" t="str">
        <f>IF($B246="","",SUMIFS($AL$2:AL246,$I$2:I246,$I246))</f>
        <v/>
      </c>
      <c r="AN246" s="1" t="str">
        <f t="shared" si="215"/>
        <v/>
      </c>
      <c r="AO246" s="1" t="str">
        <f>IFERROR(IF($B246="","",AVERAGEIFS($L$2:L246,$I$2:I246,I246,$L$2:L246,"&lt;&gt;0")),0)</f>
        <v/>
      </c>
      <c r="AP246" s="1" t="str">
        <f t="shared" si="216"/>
        <v/>
      </c>
      <c r="AQ246" s="1" t="str">
        <f>IF($B246="","",COUNTIFS($R$2:R246,1,$I$2:I246,$I246))</f>
        <v/>
      </c>
      <c r="AR246" s="1" t="str">
        <f t="array" ref="AR246">IF($B246="","",SUMPRODUCT(--($B$2:$B$313=B246),--(AM246&lt;$AM$2:$AM$313))+1)</f>
        <v/>
      </c>
      <c r="AS246" s="1" t="str">
        <f t="array" ref="AS246">IF($B246="","",SUMPRODUCT(--($B$2:$B$313=B246),--(AP246&lt;$AP$2:$AP$313))+1)</f>
        <v/>
      </c>
      <c r="AT246" s="1" t="str">
        <f t="array" ref="AT246">IF($B246="","",SUMPRODUCT(--($B$2:$B$313=B246),--(AQ246&lt;$AQ$2:$AQ$313))+1)</f>
        <v/>
      </c>
      <c r="AU246" s="1" t="str">
        <f t="shared" si="217"/>
        <v/>
      </c>
      <c r="AV246" s="1" t="str">
        <f t="shared" si="218"/>
        <v/>
      </c>
      <c r="AW246" s="1" t="str">
        <f t="shared" si="190"/>
        <v/>
      </c>
      <c r="AX246" s="1" t="str">
        <f t="shared" si="219"/>
        <v/>
      </c>
      <c r="AY246" s="8" t="str">
        <f t="shared" si="220"/>
        <v/>
      </c>
      <c r="AZ246" s="1" t="str" cm="1">
        <f t="array" ref="AZ246">IF($B246="","",SUMPRODUCT(--($B$2:$B$313=B246),--(AY246&gt;$AY$2:$AY$313))+1)</f>
        <v/>
      </c>
      <c r="BA246" s="1" t="str">
        <f t="shared" si="221"/>
        <v/>
      </c>
      <c r="BB246" s="1" t="str">
        <f t="shared" si="222"/>
        <v/>
      </c>
      <c r="BC246" s="1" t="str">
        <f t="shared" si="223"/>
        <v/>
      </c>
      <c r="BD246" s="1" t="str">
        <f t="shared" si="224"/>
        <v/>
      </c>
      <c r="BE246" s="1" t="str">
        <f t="shared" si="225"/>
        <v/>
      </c>
      <c r="BF246" s="1" t="str">
        <f t="shared" si="226"/>
        <v/>
      </c>
      <c r="BG246" s="1" t="str">
        <f t="shared" si="227"/>
        <v/>
      </c>
      <c r="BH246" s="1" t="str">
        <f t="shared" si="228"/>
        <v/>
      </c>
      <c r="BI246" s="1" t="str">
        <f t="shared" si="229"/>
        <v/>
      </c>
      <c r="BJ246" s="1" t="str">
        <f t="shared" si="230"/>
        <v/>
      </c>
      <c r="BK246" s="1" t="str">
        <f t="shared" si="231"/>
        <v/>
      </c>
      <c r="BL246" s="1" t="str">
        <f t="shared" si="232"/>
        <v/>
      </c>
      <c r="BM246" s="1" t="str">
        <f t="shared" si="233"/>
        <v/>
      </c>
      <c r="BN246" s="1" t="str">
        <f t="shared" si="234"/>
        <v/>
      </c>
      <c r="BO246" s="1" t="str">
        <f t="shared" si="191"/>
        <v/>
      </c>
      <c r="BP246" s="1" t="str">
        <f t="shared" si="192"/>
        <v/>
      </c>
      <c r="BQ246" s="1" t="str" cm="1">
        <f t="array" ref="BQ246">IF(I246="","",IF(BP246=1,"",IF(L246=0,"",IF(B246=1,"",_xlfn.XLOOKUP(1,($I$2:$I$313=$I246)*($B$2:$B$313=($B246-1)),$BO$2:$BO$313)))))</f>
        <v/>
      </c>
      <c r="BR246" s="1" t="str">
        <f>IF(I246="","",IF($B246=1,_xlfn.MINIFS($BO$2:$BO$313,$B$2:$B$313,$B246),_xlfn.MINIFS(BQ$2:$BQ$313,$B$2:$B$313,$B246)))</f>
        <v/>
      </c>
      <c r="BS246" s="1" t="str">
        <f t="shared" si="235"/>
        <v/>
      </c>
      <c r="BT246" s="1" t="str" cm="1">
        <f t="array" ref="BT246">IF($I246="","",IF($B246=1,_xlfn.XLOOKUP(1,($B$2:$B$313=$B246)*($BO$2:$BO$313=BR246),Data!$I$2:$I$313,,0),_xlfn.XLOOKUP(1,($B$2:$B$313=$B246)*($BQ$2:$BQ$313=$BR246),$I$2:$I$313,,0)))</f>
        <v/>
      </c>
      <c r="BU246" s="1" t="str" cm="1">
        <f t="array" ref="BU246">IF(I246="","",IF($B246=1,_xlfn.XLOOKUP(1,($B$2:$B$313=$B246)*($BO$2:$BO$313=$BS246),$I$2:$I$313,,0),_xlfn.XLOOKUP(1,($B$2:$B$313=$B246)*($BQ$2:$BQ$313=$BS246),$I$2:$I$313,,0)))</f>
        <v/>
      </c>
      <c r="BV246" s="1" t="str" cm="1">
        <f t="array" ref="BV246">IF($I246="","",IF($B246=1,"",IF($B246=2,_xlfn.XLOOKUP(1,($B$2:$B$313=1)*($BO$2:$BO$313=1),$I$2:$I$313,,0),_xlfn.XLOOKUP($B246-1,$B$2:$B$313,$CH$2:$CH$313,,0))))</f>
        <v/>
      </c>
      <c r="BW246" s="1" t="str" cm="1">
        <f t="array" ref="BW246">IF($I246="","",IF($B246=1,"",IF(_xlfn.XLOOKUP(1,($B$2:$B$313=$B246)*($I$2:$I$313=$BV246),$BQ$2:$BQ$313,,0)="","NOK","OK")))</f>
        <v/>
      </c>
      <c r="BX246" s="1" t="str">
        <f t="shared" si="236"/>
        <v/>
      </c>
      <c r="BY246" s="1" t="str">
        <f t="shared" si="237"/>
        <v/>
      </c>
      <c r="BZ246" s="1" t="str">
        <f t="shared" si="238"/>
        <v/>
      </c>
      <c r="CA246" s="1" t="str">
        <f t="shared" si="239"/>
        <v/>
      </c>
      <c r="CB246" s="1" t="str">
        <f t="shared" si="240"/>
        <v/>
      </c>
      <c r="CC246" s="1" t="str">
        <f t="shared" si="241"/>
        <v/>
      </c>
      <c r="CD246" s="1" t="str">
        <f t="shared" si="242"/>
        <v/>
      </c>
      <c r="CE246" s="1" t="str">
        <f t="shared" si="243"/>
        <v/>
      </c>
      <c r="CF246" s="1" t="str">
        <f t="shared" si="244"/>
        <v/>
      </c>
      <c r="CG246" s="1" t="str">
        <f t="shared" si="245"/>
        <v/>
      </c>
      <c r="CH246" s="1" t="str">
        <f t="shared" si="246"/>
        <v/>
      </c>
      <c r="CI246" s="1" t="str">
        <f t="shared" si="247"/>
        <v/>
      </c>
      <c r="CJ246" s="1" t="str">
        <f>IF(B246="","",IF(SUM(AI246:AK246)&gt;0,"+SP","")&amp;IF(CI246&gt;0,"+KK","")&amp;IF(AB246&gt;0,"+KGP1","")&amp;IF(AC246&gt;0,"+KGP2","")&amp;IF(AG246&lt;0,"-KGP1","")&amp;IF(AH246&lt;0,"-KGP2",""))</f>
        <v/>
      </c>
    </row>
    <row r="247" spans="1:88" x14ac:dyDescent="0.25">
      <c r="A247" s="1" t="str">
        <f>IFERROR(IF(ROW(A246)=1,1,IF(1+A246&lt;=$CP$1*$CP$2,1+A246,"")),"")</f>
        <v/>
      </c>
      <c r="B247" s="1" t="str">
        <f>IF($I247="","",IF(ROW(B246)=1,1,ROUNDUP(A247/$CP$2,0)))</f>
        <v/>
      </c>
      <c r="C247" s="4" t="str">
        <f t="shared" si="193"/>
        <v/>
      </c>
      <c r="D247" s="4" t="str">
        <f t="shared" si="187"/>
        <v/>
      </c>
      <c r="E247" s="1" t="str">
        <f>IF($B247="","",COUNTIF($B$2:B247,B247))</f>
        <v/>
      </c>
      <c r="F247" s="1" t="str">
        <f t="shared" si="188"/>
        <v/>
      </c>
      <c r="G247" s="1" t="str">
        <f t="shared" si="194"/>
        <v/>
      </c>
      <c r="H247" s="1">
        <f t="shared" si="195"/>
        <v>0</v>
      </c>
      <c r="I247" s="3"/>
      <c r="J247" s="3"/>
      <c r="K247" s="3"/>
      <c r="L247" s="1" t="str">
        <f t="shared" si="196"/>
        <v/>
      </c>
      <c r="M247" s="1" t="str">
        <f t="shared" si="197"/>
        <v/>
      </c>
      <c r="N247" s="1" t="str">
        <f t="shared" si="198"/>
        <v/>
      </c>
      <c r="O247" s="1" t="str">
        <f t="shared" si="199"/>
        <v/>
      </c>
      <c r="P247" s="1" t="str">
        <f t="shared" si="200"/>
        <v/>
      </c>
      <c r="Q247" s="1" t="str">
        <f t="array" ref="Q247">IF($B247="","",IF(MAX(IF(B247=$B$2:$B$313,$L$2:$L$313))-L247=0,"",MAX(IF(B247=$B$2:$B$313,$L$2:$L$313))-L247))</f>
        <v/>
      </c>
      <c r="R247" s="1" t="str">
        <f t="array" ref="R247">IF($B247="","",SUMPRODUCT(--($B$2:$B$313=B247),--(L247&lt;$L$2:$L$313))+1)</f>
        <v/>
      </c>
      <c r="S247" s="1" t="str">
        <f t="shared" si="201"/>
        <v/>
      </c>
      <c r="T247" s="1" t="str" cm="1">
        <f t="array" ref="T247">IF($B247="","",IF(M247=0,"",SUMPRODUCT(--($B$2:$B$313=B247),--(J247&lt;$J$2:$J$313))+1))</f>
        <v/>
      </c>
      <c r="U247" s="1" t="str">
        <f t="shared" si="202"/>
        <v/>
      </c>
      <c r="V247" s="1" t="str">
        <f t="shared" si="203"/>
        <v/>
      </c>
      <c r="W247" s="1" t="str">
        <f t="shared" si="204"/>
        <v/>
      </c>
      <c r="X247" s="1" t="str">
        <f t="shared" si="189"/>
        <v/>
      </c>
      <c r="Y247" s="1" t="str">
        <f>IF($B247="","",MAX(_xlfn.MAXIFS($J$2:J247,$I$2:I247,$I247),_xlfn.MAXIFS($K$2:K247,$I$2:I247,$I247)))</f>
        <v/>
      </c>
      <c r="Z247" s="1" t="str">
        <f t="shared" si="205"/>
        <v/>
      </c>
      <c r="AA247" s="1" t="str">
        <f t="shared" si="206"/>
        <v/>
      </c>
      <c r="AB247" s="1" t="str">
        <f t="shared" si="207"/>
        <v/>
      </c>
      <c r="AC247" s="1" t="str">
        <f t="shared" si="208"/>
        <v/>
      </c>
      <c r="AD247" s="1" t="str">
        <f>IF($B247="","",MIN(_xlfn.MINIFS($J$2:J247,$I$2:I247,$I247),_xlfn.MINIFS($K$2:K247,$I$2:I247,$I247)))</f>
        <v/>
      </c>
      <c r="AE247" s="1" t="str">
        <f t="shared" si="209"/>
        <v/>
      </c>
      <c r="AF247" s="1" t="str">
        <f t="shared" si="210"/>
        <v/>
      </c>
      <c r="AG247" s="1" t="str">
        <f t="shared" si="211"/>
        <v/>
      </c>
      <c r="AH247" s="1" t="str">
        <f t="shared" si="212"/>
        <v/>
      </c>
      <c r="AI247" s="1" t="str">
        <f ca="1">IF($B247="","",IF($K247="",0,OFFSET($CO$17,R247,W247)))</f>
        <v/>
      </c>
      <c r="AJ247" s="1" t="str">
        <f t="shared" ca="1" si="213"/>
        <v/>
      </c>
      <c r="AK247" s="1" t="str">
        <f ca="1">IF(AJ247="","",IF(AJ247=0,0,IF(W247=1,0,SUM(OFFSET($CO$17,N247,1):OFFSET($CO$17,N247+W247-2,1))/W247)))</f>
        <v/>
      </c>
      <c r="AL247" s="1" t="str">
        <f t="shared" si="214"/>
        <v/>
      </c>
      <c r="AM247" s="1" t="str">
        <f>IF($B247="","",SUMIFS($AL$2:AL247,$I$2:I247,$I247))</f>
        <v/>
      </c>
      <c r="AN247" s="1" t="str">
        <f t="shared" si="215"/>
        <v/>
      </c>
      <c r="AO247" s="1" t="str">
        <f>IFERROR(IF($B247="","",AVERAGEIFS($L$2:L247,$I$2:I247,I247,$L$2:L247,"&lt;&gt;0")),0)</f>
        <v/>
      </c>
      <c r="AP247" s="1" t="str">
        <f t="shared" si="216"/>
        <v/>
      </c>
      <c r="AQ247" s="1" t="str">
        <f>IF($B247="","",COUNTIFS($R$2:R247,1,$I$2:I247,$I247))</f>
        <v/>
      </c>
      <c r="AR247" s="1" t="str">
        <f t="array" ref="AR247">IF($B247="","",SUMPRODUCT(--($B$2:$B$313=B247),--(AM247&lt;$AM$2:$AM$313))+1)</f>
        <v/>
      </c>
      <c r="AS247" s="1" t="str">
        <f t="array" ref="AS247">IF($B247="","",SUMPRODUCT(--($B$2:$B$313=B247),--(AP247&lt;$AP$2:$AP$313))+1)</f>
        <v/>
      </c>
      <c r="AT247" s="1" t="str">
        <f t="array" ref="AT247">IF($B247="","",SUMPRODUCT(--($B$2:$B$313=B247),--(AQ247&lt;$AQ$2:$AQ$313))+1)</f>
        <v/>
      </c>
      <c r="AU247" s="1" t="str">
        <f t="shared" si="217"/>
        <v/>
      </c>
      <c r="AV247" s="1" t="str">
        <f t="shared" si="218"/>
        <v/>
      </c>
      <c r="AW247" s="1" t="str">
        <f t="shared" si="190"/>
        <v/>
      </c>
      <c r="AX247" s="1" t="str">
        <f t="shared" si="219"/>
        <v/>
      </c>
      <c r="AY247" s="8" t="str">
        <f t="shared" si="220"/>
        <v/>
      </c>
      <c r="AZ247" s="1" t="str" cm="1">
        <f t="array" ref="AZ247">IF($B247="","",SUMPRODUCT(--($B$2:$B$313=B247),--(AY247&gt;$AY$2:$AY$313))+1)</f>
        <v/>
      </c>
      <c r="BA247" s="1" t="str">
        <f t="shared" si="221"/>
        <v/>
      </c>
      <c r="BB247" s="1" t="str">
        <f t="shared" si="222"/>
        <v/>
      </c>
      <c r="BC247" s="1" t="str">
        <f t="shared" si="223"/>
        <v/>
      </c>
      <c r="BD247" s="1" t="str">
        <f t="shared" si="224"/>
        <v/>
      </c>
      <c r="BE247" s="1" t="str">
        <f t="shared" si="225"/>
        <v/>
      </c>
      <c r="BF247" s="1" t="str">
        <f t="shared" si="226"/>
        <v/>
      </c>
      <c r="BG247" s="1" t="str">
        <f t="shared" si="227"/>
        <v/>
      </c>
      <c r="BH247" s="1" t="str">
        <f t="shared" si="228"/>
        <v/>
      </c>
      <c r="BI247" s="1" t="str">
        <f t="shared" si="229"/>
        <v/>
      </c>
      <c r="BJ247" s="1" t="str">
        <f t="shared" si="230"/>
        <v/>
      </c>
      <c r="BK247" s="1" t="str">
        <f t="shared" si="231"/>
        <v/>
      </c>
      <c r="BL247" s="1" t="str">
        <f t="shared" si="232"/>
        <v/>
      </c>
      <c r="BM247" s="1" t="str">
        <f t="shared" si="233"/>
        <v/>
      </c>
      <c r="BN247" s="1" t="str">
        <f t="shared" si="234"/>
        <v/>
      </c>
      <c r="BO247" s="1" t="str">
        <f t="shared" si="191"/>
        <v/>
      </c>
      <c r="BP247" s="1" t="str">
        <f t="shared" si="192"/>
        <v/>
      </c>
      <c r="BQ247" s="1" t="str" cm="1">
        <f t="array" ref="BQ247">IF(I247="","",IF(BP247=1,"",IF(L247=0,"",IF(B247=1,"",_xlfn.XLOOKUP(1,($I$2:$I$313=$I247)*($B$2:$B$313=($B247-1)),$BO$2:$BO$313)))))</f>
        <v/>
      </c>
      <c r="BR247" s="1" t="str">
        <f>IF(I247="","",IF($B247=1,_xlfn.MINIFS($BO$2:$BO$313,$B$2:$B$313,$B247),_xlfn.MINIFS(BQ$2:$BQ$313,$B$2:$B$313,$B247)))</f>
        <v/>
      </c>
      <c r="BS247" s="1" t="str">
        <f t="shared" si="235"/>
        <v/>
      </c>
      <c r="BT247" s="1" t="str" cm="1">
        <f t="array" ref="BT247">IF($I247="","",IF($B247=1,_xlfn.XLOOKUP(1,($B$2:$B$313=$B247)*($BO$2:$BO$313=BR247),Data!$I$2:$I$313,,0),_xlfn.XLOOKUP(1,($B$2:$B$313=$B247)*($BQ$2:$BQ$313=$BR247),$I$2:$I$313,,0)))</f>
        <v/>
      </c>
      <c r="BU247" s="1" t="str" cm="1">
        <f t="array" ref="BU247">IF(I247="","",IF($B247=1,_xlfn.XLOOKUP(1,($B$2:$B$313=$B247)*($BO$2:$BO$313=$BS247),$I$2:$I$313,,0),_xlfn.XLOOKUP(1,($B$2:$B$313=$B247)*($BQ$2:$BQ$313=$BS247),$I$2:$I$313,,0)))</f>
        <v/>
      </c>
      <c r="BV247" s="1" t="str" cm="1">
        <f t="array" ref="BV247">IF($I247="","",IF($B247=1,"",IF($B247=2,_xlfn.XLOOKUP(1,($B$2:$B$313=1)*($BO$2:$BO$313=1),$I$2:$I$313,,0),_xlfn.XLOOKUP($B247-1,$B$2:$B$313,$CH$2:$CH$313,,0))))</f>
        <v/>
      </c>
      <c r="BW247" s="1" t="str" cm="1">
        <f t="array" ref="BW247">IF($I247="","",IF($B247=1,"",IF(_xlfn.XLOOKUP(1,($B$2:$B$313=$B247)*($I$2:$I$313=$BV247),$BQ$2:$BQ$313,,0)="","NOK","OK")))</f>
        <v/>
      </c>
      <c r="BX247" s="1" t="str">
        <f t="shared" si="236"/>
        <v/>
      </c>
      <c r="BY247" s="1" t="str">
        <f t="shared" si="237"/>
        <v/>
      </c>
      <c r="BZ247" s="1" t="str">
        <f t="shared" si="238"/>
        <v/>
      </c>
      <c r="CA247" s="1" t="str">
        <f t="shared" si="239"/>
        <v/>
      </c>
      <c r="CB247" s="1" t="str">
        <f t="shared" si="240"/>
        <v/>
      </c>
      <c r="CC247" s="1" t="str">
        <f t="shared" si="241"/>
        <v/>
      </c>
      <c r="CD247" s="1" t="str">
        <f t="shared" si="242"/>
        <v/>
      </c>
      <c r="CE247" s="1" t="str">
        <f t="shared" si="243"/>
        <v/>
      </c>
      <c r="CF247" s="1" t="str">
        <f t="shared" si="244"/>
        <v/>
      </c>
      <c r="CG247" s="1" t="str">
        <f t="shared" si="245"/>
        <v/>
      </c>
      <c r="CH247" s="1" t="str">
        <f t="shared" si="246"/>
        <v/>
      </c>
      <c r="CI247" s="1" t="str">
        <f t="shared" si="247"/>
        <v/>
      </c>
      <c r="CJ247" s="1" t="str">
        <f>IF(B247="","",IF(SUM(AI247:AK247)&gt;0,"+SP","")&amp;IF(CI247&gt;0,"+KK","")&amp;IF(AB247&gt;0,"+KGP1","")&amp;IF(AC247&gt;0,"+KGP2","")&amp;IF(AG247&lt;0,"-KGP1","")&amp;IF(AH247&lt;0,"-KGP2",""))</f>
        <v/>
      </c>
    </row>
    <row r="248" spans="1:88" x14ac:dyDescent="0.25">
      <c r="A248" s="1" t="str">
        <f>IFERROR(IF(ROW(A247)=1,1,IF(1+A247&lt;=$CP$1*$CP$2,1+A247,"")),"")</f>
        <v/>
      </c>
      <c r="B248" s="1" t="str">
        <f>IF($I248="","",IF(ROW(B247)=1,1,ROUNDUP(A248/$CP$2,0)))</f>
        <v/>
      </c>
      <c r="C248" s="4" t="str">
        <f t="shared" si="193"/>
        <v/>
      </c>
      <c r="D248" s="4" t="str">
        <f t="shared" si="187"/>
        <v/>
      </c>
      <c r="E248" s="1" t="str">
        <f>IF($B248="","",COUNTIF($B$2:B248,B248))</f>
        <v/>
      </c>
      <c r="F248" s="1" t="str">
        <f t="shared" si="188"/>
        <v/>
      </c>
      <c r="G248" s="1" t="str">
        <f t="shared" si="194"/>
        <v/>
      </c>
      <c r="H248" s="1">
        <f t="shared" si="195"/>
        <v>0</v>
      </c>
      <c r="I248" s="3"/>
      <c r="J248" s="3"/>
      <c r="K248" s="3"/>
      <c r="L248" s="1" t="str">
        <f t="shared" si="196"/>
        <v/>
      </c>
      <c r="M248" s="1" t="str">
        <f t="shared" si="197"/>
        <v/>
      </c>
      <c r="N248" s="1" t="str">
        <f t="shared" si="198"/>
        <v/>
      </c>
      <c r="O248" s="1" t="str">
        <f t="shared" si="199"/>
        <v/>
      </c>
      <c r="P248" s="1" t="str">
        <f t="shared" si="200"/>
        <v/>
      </c>
      <c r="Q248" s="1" t="str">
        <f t="array" ref="Q248">IF($B248="","",IF(MAX(IF(B248=$B$2:$B$313,$L$2:$L$313))-L248=0,"",MAX(IF(B248=$B$2:$B$313,$L$2:$L$313))-L248))</f>
        <v/>
      </c>
      <c r="R248" s="1" t="str">
        <f t="array" ref="R248">IF($B248="","",SUMPRODUCT(--($B$2:$B$313=B248),--(L248&lt;$L$2:$L$313))+1)</f>
        <v/>
      </c>
      <c r="S248" s="1" t="str">
        <f t="shared" si="201"/>
        <v/>
      </c>
      <c r="T248" s="1" t="str" cm="1">
        <f t="array" ref="T248">IF($B248="","",IF(M248=0,"",SUMPRODUCT(--($B$2:$B$313=B248),--(J248&lt;$J$2:$J$313))+1))</f>
        <v/>
      </c>
      <c r="U248" s="1" t="str">
        <f t="shared" si="202"/>
        <v/>
      </c>
      <c r="V248" s="1" t="str">
        <f t="shared" si="203"/>
        <v/>
      </c>
      <c r="W248" s="1" t="str">
        <f t="shared" si="204"/>
        <v/>
      </c>
      <c r="X248" s="1" t="str">
        <f t="shared" si="189"/>
        <v/>
      </c>
      <c r="Y248" s="1" t="str">
        <f>IF($B248="","",MAX(_xlfn.MAXIFS($J$2:J248,$I$2:I248,$I248),_xlfn.MAXIFS($K$2:K248,$I$2:I248,$I248)))</f>
        <v/>
      </c>
      <c r="Z248" s="1" t="str">
        <f t="shared" si="205"/>
        <v/>
      </c>
      <c r="AA248" s="1" t="str">
        <f t="shared" si="206"/>
        <v/>
      </c>
      <c r="AB248" s="1" t="str">
        <f t="shared" si="207"/>
        <v/>
      </c>
      <c r="AC248" s="1" t="str">
        <f t="shared" si="208"/>
        <v/>
      </c>
      <c r="AD248" s="1" t="str">
        <f>IF($B248="","",MIN(_xlfn.MINIFS($J$2:J248,$I$2:I248,$I248),_xlfn.MINIFS($K$2:K248,$I$2:I248,$I248)))</f>
        <v/>
      </c>
      <c r="AE248" s="1" t="str">
        <f t="shared" si="209"/>
        <v/>
      </c>
      <c r="AF248" s="1" t="str">
        <f t="shared" si="210"/>
        <v/>
      </c>
      <c r="AG248" s="1" t="str">
        <f t="shared" si="211"/>
        <v/>
      </c>
      <c r="AH248" s="1" t="str">
        <f t="shared" si="212"/>
        <v/>
      </c>
      <c r="AI248" s="1" t="str">
        <f ca="1">IF($B248="","",IF($K248="",0,OFFSET($CO$17,R248,W248)))</f>
        <v/>
      </c>
      <c r="AJ248" s="1" t="str">
        <f t="shared" ca="1" si="213"/>
        <v/>
      </c>
      <c r="AK248" s="1" t="str">
        <f ca="1">IF(AJ248="","",IF(AJ248=0,0,IF(W248=1,0,SUM(OFFSET($CO$17,N248,1):OFFSET($CO$17,N248+W248-2,1))/W248)))</f>
        <v/>
      </c>
      <c r="AL248" s="1" t="str">
        <f t="shared" si="214"/>
        <v/>
      </c>
      <c r="AM248" s="1" t="str">
        <f>IF($B248="","",SUMIFS($AL$2:AL248,$I$2:I248,$I248))</f>
        <v/>
      </c>
      <c r="AN248" s="1" t="str">
        <f t="shared" si="215"/>
        <v/>
      </c>
      <c r="AO248" s="1" t="str">
        <f>IFERROR(IF($B248="","",AVERAGEIFS($L$2:L248,$I$2:I248,I248,$L$2:L248,"&lt;&gt;0")),0)</f>
        <v/>
      </c>
      <c r="AP248" s="1" t="str">
        <f t="shared" si="216"/>
        <v/>
      </c>
      <c r="AQ248" s="1" t="str">
        <f>IF($B248="","",COUNTIFS($R$2:R248,1,$I$2:I248,$I248))</f>
        <v/>
      </c>
      <c r="AR248" s="1" t="str">
        <f t="array" ref="AR248">IF($B248="","",SUMPRODUCT(--($B$2:$B$313=B248),--(AM248&lt;$AM$2:$AM$313))+1)</f>
        <v/>
      </c>
      <c r="AS248" s="1" t="str">
        <f t="array" ref="AS248">IF($B248="","",SUMPRODUCT(--($B$2:$B$313=B248),--(AP248&lt;$AP$2:$AP$313))+1)</f>
        <v/>
      </c>
      <c r="AT248" s="1" t="str">
        <f t="array" ref="AT248">IF($B248="","",SUMPRODUCT(--($B$2:$B$313=B248),--(AQ248&lt;$AQ$2:$AQ$313))+1)</f>
        <v/>
      </c>
      <c r="AU248" s="1" t="str">
        <f t="shared" si="217"/>
        <v/>
      </c>
      <c r="AV248" s="1" t="str">
        <f t="shared" si="218"/>
        <v/>
      </c>
      <c r="AW248" s="1" t="str">
        <f t="shared" si="190"/>
        <v/>
      </c>
      <c r="AX248" s="1" t="str">
        <f t="shared" si="219"/>
        <v/>
      </c>
      <c r="AY248" s="8" t="str">
        <f t="shared" si="220"/>
        <v/>
      </c>
      <c r="AZ248" s="1" t="str" cm="1">
        <f t="array" ref="AZ248">IF($B248="","",SUMPRODUCT(--($B$2:$B$313=B248),--(AY248&gt;$AY$2:$AY$313))+1)</f>
        <v/>
      </c>
      <c r="BA248" s="1" t="str">
        <f t="shared" si="221"/>
        <v/>
      </c>
      <c r="BB248" s="1" t="str">
        <f t="shared" si="222"/>
        <v/>
      </c>
      <c r="BC248" s="1" t="str">
        <f t="shared" si="223"/>
        <v/>
      </c>
      <c r="BD248" s="1" t="str">
        <f t="shared" si="224"/>
        <v/>
      </c>
      <c r="BE248" s="1" t="str">
        <f t="shared" si="225"/>
        <v/>
      </c>
      <c r="BF248" s="1" t="str">
        <f t="shared" si="226"/>
        <v/>
      </c>
      <c r="BG248" s="1" t="str">
        <f t="shared" si="227"/>
        <v/>
      </c>
      <c r="BH248" s="1" t="str">
        <f t="shared" si="228"/>
        <v/>
      </c>
      <c r="BI248" s="1" t="str">
        <f t="shared" si="229"/>
        <v/>
      </c>
      <c r="BJ248" s="1" t="str">
        <f t="shared" si="230"/>
        <v/>
      </c>
      <c r="BK248" s="1" t="str">
        <f t="shared" si="231"/>
        <v/>
      </c>
      <c r="BL248" s="1" t="str">
        <f t="shared" si="232"/>
        <v/>
      </c>
      <c r="BM248" s="1" t="str">
        <f t="shared" si="233"/>
        <v/>
      </c>
      <c r="BN248" s="1" t="str">
        <f t="shared" si="234"/>
        <v/>
      </c>
      <c r="BO248" s="1" t="str">
        <f t="shared" si="191"/>
        <v/>
      </c>
      <c r="BP248" s="1" t="str">
        <f t="shared" si="192"/>
        <v/>
      </c>
      <c r="BQ248" s="1" t="str" cm="1">
        <f t="array" ref="BQ248">IF(I248="","",IF(BP248=1,"",IF(L248=0,"",IF(B248=1,"",_xlfn.XLOOKUP(1,($I$2:$I$313=$I248)*($B$2:$B$313=($B248-1)),$BO$2:$BO$313)))))</f>
        <v/>
      </c>
      <c r="BR248" s="1" t="str">
        <f>IF(I248="","",IF($B248=1,_xlfn.MINIFS($BO$2:$BO$313,$B$2:$B$313,$B248),_xlfn.MINIFS(BQ$2:$BQ$313,$B$2:$B$313,$B248)))</f>
        <v/>
      </c>
      <c r="BS248" s="1" t="str">
        <f t="shared" si="235"/>
        <v/>
      </c>
      <c r="BT248" s="1" t="str" cm="1">
        <f t="array" ref="BT248">IF($I248="","",IF($B248=1,_xlfn.XLOOKUP(1,($B$2:$B$313=$B248)*($BO$2:$BO$313=BR248),Data!$I$2:$I$313,,0),_xlfn.XLOOKUP(1,($B$2:$B$313=$B248)*($BQ$2:$BQ$313=$BR248),$I$2:$I$313,,0)))</f>
        <v/>
      </c>
      <c r="BU248" s="1" t="str" cm="1">
        <f t="array" ref="BU248">IF(I248="","",IF($B248=1,_xlfn.XLOOKUP(1,($B$2:$B$313=$B248)*($BO$2:$BO$313=$BS248),$I$2:$I$313,,0),_xlfn.XLOOKUP(1,($B$2:$B$313=$B248)*($BQ$2:$BQ$313=$BS248),$I$2:$I$313,,0)))</f>
        <v/>
      </c>
      <c r="BV248" s="1" t="str" cm="1">
        <f t="array" ref="BV248">IF($I248="","",IF($B248=1,"",IF($B248=2,_xlfn.XLOOKUP(1,($B$2:$B$313=1)*($BO$2:$BO$313=1),$I$2:$I$313,,0),_xlfn.XLOOKUP($B248-1,$B$2:$B$313,$CH$2:$CH$313,,0))))</f>
        <v/>
      </c>
      <c r="BW248" s="1" t="str" cm="1">
        <f t="array" ref="BW248">IF($I248="","",IF($B248=1,"",IF(_xlfn.XLOOKUP(1,($B$2:$B$313=$B248)*($I$2:$I$313=$BV248),$BQ$2:$BQ$313,,0)="","NOK","OK")))</f>
        <v/>
      </c>
      <c r="BX248" s="1" t="str">
        <f t="shared" si="236"/>
        <v/>
      </c>
      <c r="BY248" s="1" t="str">
        <f t="shared" si="237"/>
        <v/>
      </c>
      <c r="BZ248" s="1" t="str">
        <f t="shared" si="238"/>
        <v/>
      </c>
      <c r="CA248" s="1" t="str">
        <f t="shared" si="239"/>
        <v/>
      </c>
      <c r="CB248" s="1" t="str">
        <f t="shared" si="240"/>
        <v/>
      </c>
      <c r="CC248" s="1" t="str">
        <f t="shared" si="241"/>
        <v/>
      </c>
      <c r="CD248" s="1" t="str">
        <f t="shared" si="242"/>
        <v/>
      </c>
      <c r="CE248" s="1" t="str">
        <f t="shared" si="243"/>
        <v/>
      </c>
      <c r="CF248" s="1" t="str">
        <f t="shared" si="244"/>
        <v/>
      </c>
      <c r="CG248" s="1" t="str">
        <f t="shared" si="245"/>
        <v/>
      </c>
      <c r="CH248" s="1" t="str">
        <f t="shared" si="246"/>
        <v/>
      </c>
      <c r="CI248" s="1" t="str">
        <f t="shared" si="247"/>
        <v/>
      </c>
      <c r="CJ248" s="1" t="str">
        <f>IF(B248="","",IF(SUM(AI248:AK248)&gt;0,"+SP","")&amp;IF(CI248&gt;0,"+KK","")&amp;IF(AB248&gt;0,"+KGP1","")&amp;IF(AC248&gt;0,"+KGP2","")&amp;IF(AG248&lt;0,"-KGP1","")&amp;IF(AH248&lt;0,"-KGP2",""))</f>
        <v/>
      </c>
    </row>
    <row r="249" spans="1:88" x14ac:dyDescent="0.25">
      <c r="A249" s="1" t="str">
        <f>IFERROR(IF(ROW(A248)=1,1,IF(1+A248&lt;=$CP$1*$CP$2,1+A248,"")),"")</f>
        <v/>
      </c>
      <c r="B249" s="1" t="str">
        <f>IF($I249="","",IF(ROW(B248)=1,1,ROUNDUP(A249/$CP$2,0)))</f>
        <v/>
      </c>
      <c r="C249" s="4" t="str">
        <f t="shared" si="193"/>
        <v/>
      </c>
      <c r="D249" s="4" t="str">
        <f t="shared" si="187"/>
        <v/>
      </c>
      <c r="E249" s="1" t="str">
        <f>IF($B249="","",COUNTIF($B$2:B249,B249))</f>
        <v/>
      </c>
      <c r="F249" s="1" t="str">
        <f t="shared" si="188"/>
        <v/>
      </c>
      <c r="G249" s="1" t="str">
        <f t="shared" si="194"/>
        <v/>
      </c>
      <c r="H249" s="1">
        <f t="shared" si="195"/>
        <v>0</v>
      </c>
      <c r="I249" s="3"/>
      <c r="J249" s="3"/>
      <c r="K249" s="3"/>
      <c r="L249" s="1" t="str">
        <f t="shared" si="196"/>
        <v/>
      </c>
      <c r="M249" s="1" t="str">
        <f t="shared" si="197"/>
        <v/>
      </c>
      <c r="N249" s="1" t="str">
        <f t="shared" si="198"/>
        <v/>
      </c>
      <c r="O249" s="1" t="str">
        <f t="shared" si="199"/>
        <v/>
      </c>
      <c r="P249" s="1" t="str">
        <f t="shared" si="200"/>
        <v/>
      </c>
      <c r="Q249" s="1" t="str">
        <f t="array" ref="Q249">IF($B249="","",IF(MAX(IF(B249=$B$2:$B$313,$L$2:$L$313))-L249=0,"",MAX(IF(B249=$B$2:$B$313,$L$2:$L$313))-L249))</f>
        <v/>
      </c>
      <c r="R249" s="1" t="str">
        <f t="array" ref="R249">IF($B249="","",SUMPRODUCT(--($B$2:$B$313=B249),--(L249&lt;$L$2:$L$313))+1)</f>
        <v/>
      </c>
      <c r="S249" s="1" t="str">
        <f t="shared" si="201"/>
        <v/>
      </c>
      <c r="T249" s="1" t="str" cm="1">
        <f t="array" ref="T249">IF($B249="","",IF(M249=0,"",SUMPRODUCT(--($B$2:$B$313=B249),--(J249&lt;$J$2:$J$313))+1))</f>
        <v/>
      </c>
      <c r="U249" s="1" t="str">
        <f t="shared" si="202"/>
        <v/>
      </c>
      <c r="V249" s="1" t="str">
        <f t="shared" si="203"/>
        <v/>
      </c>
      <c r="W249" s="1" t="str">
        <f t="shared" si="204"/>
        <v/>
      </c>
      <c r="X249" s="1" t="str">
        <f t="shared" si="189"/>
        <v/>
      </c>
      <c r="Y249" s="1" t="str">
        <f>IF($B249="","",MAX(_xlfn.MAXIFS($J$2:J249,$I$2:I249,$I249),_xlfn.MAXIFS($K$2:K249,$I$2:I249,$I249)))</f>
        <v/>
      </c>
      <c r="Z249" s="1" t="str">
        <f t="shared" si="205"/>
        <v/>
      </c>
      <c r="AA249" s="1" t="str">
        <f t="shared" si="206"/>
        <v/>
      </c>
      <c r="AB249" s="1" t="str">
        <f t="shared" si="207"/>
        <v/>
      </c>
      <c r="AC249" s="1" t="str">
        <f t="shared" si="208"/>
        <v/>
      </c>
      <c r="AD249" s="1" t="str">
        <f>IF($B249="","",MIN(_xlfn.MINIFS($J$2:J249,$I$2:I249,$I249),_xlfn.MINIFS($K$2:K249,$I$2:I249,$I249)))</f>
        <v/>
      </c>
      <c r="AE249" s="1" t="str">
        <f t="shared" si="209"/>
        <v/>
      </c>
      <c r="AF249" s="1" t="str">
        <f t="shared" si="210"/>
        <v/>
      </c>
      <c r="AG249" s="1" t="str">
        <f t="shared" si="211"/>
        <v/>
      </c>
      <c r="AH249" s="1" t="str">
        <f t="shared" si="212"/>
        <v/>
      </c>
      <c r="AI249" s="1" t="str">
        <f ca="1">IF($B249="","",IF($K249="",0,OFFSET($CO$17,R249,W249)))</f>
        <v/>
      </c>
      <c r="AJ249" s="1" t="str">
        <f t="shared" ca="1" si="213"/>
        <v/>
      </c>
      <c r="AK249" s="1" t="str">
        <f ca="1">IF(AJ249="","",IF(AJ249=0,0,IF(W249=1,0,SUM(OFFSET($CO$17,N249,1):OFFSET($CO$17,N249+W249-2,1))/W249)))</f>
        <v/>
      </c>
      <c r="AL249" s="1" t="str">
        <f t="shared" si="214"/>
        <v/>
      </c>
      <c r="AM249" s="1" t="str">
        <f>IF($B249="","",SUMIFS($AL$2:AL249,$I$2:I249,$I249))</f>
        <v/>
      </c>
      <c r="AN249" s="1" t="str">
        <f t="shared" si="215"/>
        <v/>
      </c>
      <c r="AO249" s="1" t="str">
        <f>IFERROR(IF($B249="","",AVERAGEIFS($L$2:L249,$I$2:I249,I249,$L$2:L249,"&lt;&gt;0")),0)</f>
        <v/>
      </c>
      <c r="AP249" s="1" t="str">
        <f t="shared" si="216"/>
        <v/>
      </c>
      <c r="AQ249" s="1" t="str">
        <f>IF($B249="","",COUNTIFS($R$2:R249,1,$I$2:I249,$I249))</f>
        <v/>
      </c>
      <c r="AR249" s="1" t="str">
        <f t="array" ref="AR249">IF($B249="","",SUMPRODUCT(--($B$2:$B$313=B249),--(AM249&lt;$AM$2:$AM$313))+1)</f>
        <v/>
      </c>
      <c r="AS249" s="1" t="str">
        <f t="array" ref="AS249">IF($B249="","",SUMPRODUCT(--($B$2:$B$313=B249),--(AP249&lt;$AP$2:$AP$313))+1)</f>
        <v/>
      </c>
      <c r="AT249" s="1" t="str">
        <f t="array" ref="AT249">IF($B249="","",SUMPRODUCT(--($B$2:$B$313=B249),--(AQ249&lt;$AQ$2:$AQ$313))+1)</f>
        <v/>
      </c>
      <c r="AU249" s="1" t="str">
        <f t="shared" si="217"/>
        <v/>
      </c>
      <c r="AV249" s="1" t="str">
        <f t="shared" si="218"/>
        <v/>
      </c>
      <c r="AW249" s="1" t="str">
        <f t="shared" si="190"/>
        <v/>
      </c>
      <c r="AX249" s="1" t="str">
        <f t="shared" si="219"/>
        <v/>
      </c>
      <c r="AY249" s="8" t="str">
        <f t="shared" si="220"/>
        <v/>
      </c>
      <c r="AZ249" s="1" t="str" cm="1">
        <f t="array" ref="AZ249">IF($B249="","",SUMPRODUCT(--($B$2:$B$313=B249),--(AY249&gt;$AY$2:$AY$313))+1)</f>
        <v/>
      </c>
      <c r="BA249" s="1" t="str">
        <f t="shared" si="221"/>
        <v/>
      </c>
      <c r="BB249" s="1" t="str">
        <f t="shared" si="222"/>
        <v/>
      </c>
      <c r="BC249" s="1" t="str">
        <f t="shared" si="223"/>
        <v/>
      </c>
      <c r="BD249" s="1" t="str">
        <f t="shared" si="224"/>
        <v/>
      </c>
      <c r="BE249" s="1" t="str">
        <f t="shared" si="225"/>
        <v/>
      </c>
      <c r="BF249" s="1" t="str">
        <f t="shared" si="226"/>
        <v/>
      </c>
      <c r="BG249" s="1" t="str">
        <f t="shared" si="227"/>
        <v/>
      </c>
      <c r="BH249" s="1" t="str">
        <f t="shared" si="228"/>
        <v/>
      </c>
      <c r="BI249" s="1" t="str">
        <f t="shared" si="229"/>
        <v/>
      </c>
      <c r="BJ249" s="1" t="str">
        <f t="shared" si="230"/>
        <v/>
      </c>
      <c r="BK249" s="1" t="str">
        <f t="shared" si="231"/>
        <v/>
      </c>
      <c r="BL249" s="1" t="str">
        <f t="shared" si="232"/>
        <v/>
      </c>
      <c r="BM249" s="1" t="str">
        <f t="shared" si="233"/>
        <v/>
      </c>
      <c r="BN249" s="1" t="str">
        <f t="shared" si="234"/>
        <v/>
      </c>
      <c r="BO249" s="1" t="str">
        <f t="shared" si="191"/>
        <v/>
      </c>
      <c r="BP249" s="1" t="str">
        <f t="shared" si="192"/>
        <v/>
      </c>
      <c r="BQ249" s="1" t="str" cm="1">
        <f t="array" ref="BQ249">IF(I249="","",IF(BP249=1,"",IF(L249=0,"",IF(B249=1,"",_xlfn.XLOOKUP(1,($I$2:$I$313=$I249)*($B$2:$B$313=($B249-1)),$BO$2:$BO$313)))))</f>
        <v/>
      </c>
      <c r="BR249" s="1" t="str">
        <f>IF(I249="","",IF($B249=1,_xlfn.MINIFS($BO$2:$BO$313,$B$2:$B$313,$B249),_xlfn.MINIFS(BQ$2:$BQ$313,$B$2:$B$313,$B249)))</f>
        <v/>
      </c>
      <c r="BS249" s="1" t="str">
        <f t="shared" si="235"/>
        <v/>
      </c>
      <c r="BT249" s="1" t="str" cm="1">
        <f t="array" ref="BT249">IF($I249="","",IF($B249=1,_xlfn.XLOOKUP(1,($B$2:$B$313=$B249)*($BO$2:$BO$313=BR249),Data!$I$2:$I$313,,0),_xlfn.XLOOKUP(1,($B$2:$B$313=$B249)*($BQ$2:$BQ$313=$BR249),$I$2:$I$313,,0)))</f>
        <v/>
      </c>
      <c r="BU249" s="1" t="str" cm="1">
        <f t="array" ref="BU249">IF(I249="","",IF($B249=1,_xlfn.XLOOKUP(1,($B$2:$B$313=$B249)*($BO$2:$BO$313=$BS249),$I$2:$I$313,,0),_xlfn.XLOOKUP(1,($B$2:$B$313=$B249)*($BQ$2:$BQ$313=$BS249),$I$2:$I$313,,0)))</f>
        <v/>
      </c>
      <c r="BV249" s="1" t="str" cm="1">
        <f t="array" ref="BV249">IF($I249="","",IF($B249=1,"",IF($B249=2,_xlfn.XLOOKUP(1,($B$2:$B$313=1)*($BO$2:$BO$313=1),$I$2:$I$313,,0),_xlfn.XLOOKUP($B249-1,$B$2:$B$313,$CH$2:$CH$313,,0))))</f>
        <v/>
      </c>
      <c r="BW249" s="1" t="str" cm="1">
        <f t="array" ref="BW249">IF($I249="","",IF($B249=1,"",IF(_xlfn.XLOOKUP(1,($B$2:$B$313=$B249)*($I$2:$I$313=$BV249),$BQ$2:$BQ$313,,0)="","NOK","OK")))</f>
        <v/>
      </c>
      <c r="BX249" s="1" t="str">
        <f t="shared" si="236"/>
        <v/>
      </c>
      <c r="BY249" s="1" t="str">
        <f t="shared" si="237"/>
        <v/>
      </c>
      <c r="BZ249" s="1" t="str">
        <f t="shared" si="238"/>
        <v/>
      </c>
      <c r="CA249" s="1" t="str">
        <f t="shared" si="239"/>
        <v/>
      </c>
      <c r="CB249" s="1" t="str">
        <f t="shared" si="240"/>
        <v/>
      </c>
      <c r="CC249" s="1" t="str">
        <f t="shared" si="241"/>
        <v/>
      </c>
      <c r="CD249" s="1" t="str">
        <f t="shared" si="242"/>
        <v/>
      </c>
      <c r="CE249" s="1" t="str">
        <f t="shared" si="243"/>
        <v/>
      </c>
      <c r="CF249" s="1" t="str">
        <f t="shared" si="244"/>
        <v/>
      </c>
      <c r="CG249" s="1" t="str">
        <f t="shared" si="245"/>
        <v/>
      </c>
      <c r="CH249" s="1" t="str">
        <f t="shared" si="246"/>
        <v/>
      </c>
      <c r="CI249" s="1" t="str">
        <f t="shared" si="247"/>
        <v/>
      </c>
      <c r="CJ249" s="1" t="str">
        <f>IF(B249="","",IF(SUM(AI249:AK249)&gt;0,"+SP","")&amp;IF(CI249&gt;0,"+KK","")&amp;IF(AB249&gt;0,"+KGP1","")&amp;IF(AC249&gt;0,"+KGP2","")&amp;IF(AG249&lt;0,"-KGP1","")&amp;IF(AH249&lt;0,"-KGP2",""))</f>
        <v/>
      </c>
    </row>
    <row r="250" spans="1:88" x14ac:dyDescent="0.25">
      <c r="A250" s="1" t="str">
        <f>IFERROR(IF(ROW(A249)=1,1,IF(1+A249&lt;=$CP$1*$CP$2,1+A249,"")),"")</f>
        <v/>
      </c>
      <c r="B250" s="1" t="str">
        <f>IF($I250="","",IF(ROW(B249)=1,1,ROUNDUP(A250/$CP$2,0)))</f>
        <v/>
      </c>
      <c r="C250" s="4" t="str">
        <f t="shared" si="193"/>
        <v/>
      </c>
      <c r="D250" s="4" t="str">
        <f t="shared" si="187"/>
        <v/>
      </c>
      <c r="E250" s="1" t="str">
        <f>IF($B250="","",COUNTIF($B$2:B250,B250))</f>
        <v/>
      </c>
      <c r="F250" s="1" t="str">
        <f t="shared" si="188"/>
        <v/>
      </c>
      <c r="G250" s="1" t="str">
        <f t="shared" si="194"/>
        <v/>
      </c>
      <c r="H250" s="1">
        <f t="shared" si="195"/>
        <v>0</v>
      </c>
      <c r="I250" s="3"/>
      <c r="J250" s="3"/>
      <c r="K250" s="3"/>
      <c r="L250" s="1" t="str">
        <f t="shared" si="196"/>
        <v/>
      </c>
      <c r="M250" s="1" t="str">
        <f t="shared" si="197"/>
        <v/>
      </c>
      <c r="N250" s="1" t="str">
        <f t="shared" si="198"/>
        <v/>
      </c>
      <c r="O250" s="1" t="str">
        <f t="shared" si="199"/>
        <v/>
      </c>
      <c r="P250" s="1" t="str">
        <f t="shared" si="200"/>
        <v/>
      </c>
      <c r="Q250" s="1" t="str">
        <f t="array" ref="Q250">IF($B250="","",IF(MAX(IF(B250=$B$2:$B$313,$L$2:$L$313))-L250=0,"",MAX(IF(B250=$B$2:$B$313,$L$2:$L$313))-L250))</f>
        <v/>
      </c>
      <c r="R250" s="1" t="str">
        <f t="array" ref="R250">IF($B250="","",SUMPRODUCT(--($B$2:$B$313=B250),--(L250&lt;$L$2:$L$313))+1)</f>
        <v/>
      </c>
      <c r="S250" s="1" t="str">
        <f t="shared" si="201"/>
        <v/>
      </c>
      <c r="T250" s="1" t="str" cm="1">
        <f t="array" ref="T250">IF($B250="","",IF(M250=0,"",SUMPRODUCT(--($B$2:$B$313=B250),--(J250&lt;$J$2:$J$313))+1))</f>
        <v/>
      </c>
      <c r="U250" s="1" t="str">
        <f t="shared" si="202"/>
        <v/>
      </c>
      <c r="V250" s="1" t="str">
        <f t="shared" si="203"/>
        <v/>
      </c>
      <c r="W250" s="1" t="str">
        <f t="shared" si="204"/>
        <v/>
      </c>
      <c r="X250" s="1" t="str">
        <f t="shared" si="189"/>
        <v/>
      </c>
      <c r="Y250" s="1" t="str">
        <f>IF($B250="","",MAX(_xlfn.MAXIFS($J$2:J250,$I$2:I250,$I250),_xlfn.MAXIFS($K$2:K250,$I$2:I250,$I250)))</f>
        <v/>
      </c>
      <c r="Z250" s="1" t="str">
        <f t="shared" si="205"/>
        <v/>
      </c>
      <c r="AA250" s="1" t="str">
        <f t="shared" si="206"/>
        <v/>
      </c>
      <c r="AB250" s="1" t="str">
        <f t="shared" si="207"/>
        <v/>
      </c>
      <c r="AC250" s="1" t="str">
        <f t="shared" si="208"/>
        <v/>
      </c>
      <c r="AD250" s="1" t="str">
        <f>IF($B250="","",MIN(_xlfn.MINIFS($J$2:J250,$I$2:I250,$I250),_xlfn.MINIFS($K$2:K250,$I$2:I250,$I250)))</f>
        <v/>
      </c>
      <c r="AE250" s="1" t="str">
        <f t="shared" si="209"/>
        <v/>
      </c>
      <c r="AF250" s="1" t="str">
        <f t="shared" si="210"/>
        <v/>
      </c>
      <c r="AG250" s="1" t="str">
        <f t="shared" si="211"/>
        <v/>
      </c>
      <c r="AH250" s="1" t="str">
        <f t="shared" si="212"/>
        <v/>
      </c>
      <c r="AI250" s="1" t="str">
        <f ca="1">IF($B250="","",IF($K250="",0,OFFSET($CO$17,R250,W250)))</f>
        <v/>
      </c>
      <c r="AJ250" s="1" t="str">
        <f t="shared" ca="1" si="213"/>
        <v/>
      </c>
      <c r="AK250" s="1" t="str">
        <f ca="1">IF(AJ250="","",IF(AJ250=0,0,IF(W250=1,0,SUM(OFFSET($CO$17,N250,1):OFFSET($CO$17,N250+W250-2,1))/W250)))</f>
        <v/>
      </c>
      <c r="AL250" s="1" t="str">
        <f t="shared" si="214"/>
        <v/>
      </c>
      <c r="AM250" s="1" t="str">
        <f>IF($B250="","",SUMIFS($AL$2:AL250,$I$2:I250,$I250))</f>
        <v/>
      </c>
      <c r="AN250" s="1" t="str">
        <f t="shared" si="215"/>
        <v/>
      </c>
      <c r="AO250" s="1" t="str">
        <f>IFERROR(IF($B250="","",AVERAGEIFS($L$2:L250,$I$2:I250,I250,$L$2:L250,"&lt;&gt;0")),0)</f>
        <v/>
      </c>
      <c r="AP250" s="1" t="str">
        <f t="shared" si="216"/>
        <v/>
      </c>
      <c r="AQ250" s="1" t="str">
        <f>IF($B250="","",COUNTIFS($R$2:R250,1,$I$2:I250,$I250))</f>
        <v/>
      </c>
      <c r="AR250" s="1" t="str">
        <f t="array" ref="AR250">IF($B250="","",SUMPRODUCT(--($B$2:$B$313=B250),--(AM250&lt;$AM$2:$AM$313))+1)</f>
        <v/>
      </c>
      <c r="AS250" s="1" t="str">
        <f t="array" ref="AS250">IF($B250="","",SUMPRODUCT(--($B$2:$B$313=B250),--(AP250&lt;$AP$2:$AP$313))+1)</f>
        <v/>
      </c>
      <c r="AT250" s="1" t="str">
        <f t="array" ref="AT250">IF($B250="","",SUMPRODUCT(--($B$2:$B$313=B250),--(AQ250&lt;$AQ$2:$AQ$313))+1)</f>
        <v/>
      </c>
      <c r="AU250" s="1" t="str">
        <f t="shared" si="217"/>
        <v/>
      </c>
      <c r="AV250" s="1" t="str">
        <f t="shared" si="218"/>
        <v/>
      </c>
      <c r="AW250" s="1" t="str">
        <f t="shared" si="190"/>
        <v/>
      </c>
      <c r="AX250" s="1" t="str">
        <f t="shared" si="219"/>
        <v/>
      </c>
      <c r="AY250" s="8" t="str">
        <f t="shared" si="220"/>
        <v/>
      </c>
      <c r="AZ250" s="1" t="str" cm="1">
        <f t="array" ref="AZ250">IF($B250="","",SUMPRODUCT(--($B$2:$B$313=B250),--(AY250&gt;$AY$2:$AY$313))+1)</f>
        <v/>
      </c>
      <c r="BA250" s="1" t="str">
        <f t="shared" si="221"/>
        <v/>
      </c>
      <c r="BB250" s="1" t="str">
        <f t="shared" si="222"/>
        <v/>
      </c>
      <c r="BC250" s="1" t="str">
        <f t="shared" si="223"/>
        <v/>
      </c>
      <c r="BD250" s="1" t="str">
        <f t="shared" si="224"/>
        <v/>
      </c>
      <c r="BE250" s="1" t="str">
        <f t="shared" si="225"/>
        <v/>
      </c>
      <c r="BF250" s="1" t="str">
        <f t="shared" si="226"/>
        <v/>
      </c>
      <c r="BG250" s="1" t="str">
        <f t="shared" si="227"/>
        <v/>
      </c>
      <c r="BH250" s="1" t="str">
        <f t="shared" si="228"/>
        <v/>
      </c>
      <c r="BI250" s="1" t="str">
        <f t="shared" si="229"/>
        <v/>
      </c>
      <c r="BJ250" s="1" t="str">
        <f t="shared" si="230"/>
        <v/>
      </c>
      <c r="BK250" s="1" t="str">
        <f t="shared" si="231"/>
        <v/>
      </c>
      <c r="BL250" s="1" t="str">
        <f t="shared" si="232"/>
        <v/>
      </c>
      <c r="BM250" s="1" t="str">
        <f t="shared" si="233"/>
        <v/>
      </c>
      <c r="BN250" s="1" t="str">
        <f t="shared" si="234"/>
        <v/>
      </c>
      <c r="BO250" s="1" t="str">
        <f t="shared" si="191"/>
        <v/>
      </c>
      <c r="BP250" s="1" t="str">
        <f t="shared" si="192"/>
        <v/>
      </c>
      <c r="BQ250" s="1" t="str" cm="1">
        <f t="array" ref="BQ250">IF(I250="","",IF(BP250=1,"",IF(L250=0,"",IF(B250=1,"",_xlfn.XLOOKUP(1,($I$2:$I$313=$I250)*($B$2:$B$313=($B250-1)),$BO$2:$BO$313)))))</f>
        <v/>
      </c>
      <c r="BR250" s="1" t="str">
        <f>IF(I250="","",IF($B250=1,_xlfn.MINIFS($BO$2:$BO$313,$B$2:$B$313,$B250),_xlfn.MINIFS(BQ$2:$BQ$313,$B$2:$B$313,$B250)))</f>
        <v/>
      </c>
      <c r="BS250" s="1" t="str">
        <f t="shared" si="235"/>
        <v/>
      </c>
      <c r="BT250" s="1" t="str" cm="1">
        <f t="array" ref="BT250">IF($I250="","",IF($B250=1,_xlfn.XLOOKUP(1,($B$2:$B$313=$B250)*($BO$2:$BO$313=BR250),Data!$I$2:$I$313,,0),_xlfn.XLOOKUP(1,($B$2:$B$313=$B250)*($BQ$2:$BQ$313=$BR250),$I$2:$I$313,,0)))</f>
        <v/>
      </c>
      <c r="BU250" s="1" t="str" cm="1">
        <f t="array" ref="BU250">IF(I250="","",IF($B250=1,_xlfn.XLOOKUP(1,($B$2:$B$313=$B250)*($BO$2:$BO$313=$BS250),$I$2:$I$313,,0),_xlfn.XLOOKUP(1,($B$2:$B$313=$B250)*($BQ$2:$BQ$313=$BS250),$I$2:$I$313,,0)))</f>
        <v/>
      </c>
      <c r="BV250" s="1" t="str" cm="1">
        <f t="array" ref="BV250">IF($I250="","",IF($B250=1,"",IF($B250=2,_xlfn.XLOOKUP(1,($B$2:$B$313=1)*($BO$2:$BO$313=1),$I$2:$I$313,,0),_xlfn.XLOOKUP($B250-1,$B$2:$B$313,$CH$2:$CH$313,,0))))</f>
        <v/>
      </c>
      <c r="BW250" s="1" t="str" cm="1">
        <f t="array" ref="BW250">IF($I250="","",IF($B250=1,"",IF(_xlfn.XLOOKUP(1,($B$2:$B$313=$B250)*($I$2:$I$313=$BV250),$BQ$2:$BQ$313,,0)="","NOK","OK")))</f>
        <v/>
      </c>
      <c r="BX250" s="1" t="str">
        <f t="shared" si="236"/>
        <v/>
      </c>
      <c r="BY250" s="1" t="str">
        <f t="shared" si="237"/>
        <v/>
      </c>
      <c r="BZ250" s="1" t="str">
        <f t="shared" si="238"/>
        <v/>
      </c>
      <c r="CA250" s="1" t="str">
        <f t="shared" si="239"/>
        <v/>
      </c>
      <c r="CB250" s="1" t="str">
        <f t="shared" si="240"/>
        <v/>
      </c>
      <c r="CC250" s="1" t="str">
        <f t="shared" si="241"/>
        <v/>
      </c>
      <c r="CD250" s="1" t="str">
        <f t="shared" si="242"/>
        <v/>
      </c>
      <c r="CE250" s="1" t="str">
        <f t="shared" si="243"/>
        <v/>
      </c>
      <c r="CF250" s="1" t="str">
        <f t="shared" si="244"/>
        <v/>
      </c>
      <c r="CG250" s="1" t="str">
        <f t="shared" si="245"/>
        <v/>
      </c>
      <c r="CH250" s="1" t="str">
        <f t="shared" si="246"/>
        <v/>
      </c>
      <c r="CI250" s="1" t="str">
        <f t="shared" si="247"/>
        <v/>
      </c>
      <c r="CJ250" s="1" t="str">
        <f>IF(B250="","",IF(SUM(AI250:AK250)&gt;0,"+SP","")&amp;IF(CI250&gt;0,"+KK","")&amp;IF(AB250&gt;0,"+KGP1","")&amp;IF(AC250&gt;0,"+KGP2","")&amp;IF(AG250&lt;0,"-KGP1","")&amp;IF(AH250&lt;0,"-KGP2",""))</f>
        <v/>
      </c>
    </row>
    <row r="251" spans="1:88" x14ac:dyDescent="0.25">
      <c r="A251" s="1" t="str">
        <f>IFERROR(IF(ROW(A250)=1,1,IF(1+A250&lt;=$CP$1*$CP$2,1+A250,"")),"")</f>
        <v/>
      </c>
      <c r="B251" s="1" t="str">
        <f>IF($I251="","",IF(ROW(B250)=1,1,ROUNDUP(A251/$CP$2,0)))</f>
        <v/>
      </c>
      <c r="C251" s="4" t="str">
        <f t="shared" si="193"/>
        <v/>
      </c>
      <c r="D251" s="4" t="str">
        <f t="shared" si="187"/>
        <v/>
      </c>
      <c r="E251" s="1" t="str">
        <f>IF($B251="","",COUNTIF($B$2:B251,B251))</f>
        <v/>
      </c>
      <c r="F251" s="1" t="str">
        <f t="shared" si="188"/>
        <v/>
      </c>
      <c r="G251" s="1" t="str">
        <f t="shared" si="194"/>
        <v/>
      </c>
      <c r="H251" s="1">
        <f t="shared" si="195"/>
        <v>0</v>
      </c>
      <c r="I251" s="3"/>
      <c r="J251" s="3"/>
      <c r="K251" s="3"/>
      <c r="L251" s="1" t="str">
        <f t="shared" si="196"/>
        <v/>
      </c>
      <c r="M251" s="1" t="str">
        <f t="shared" si="197"/>
        <v/>
      </c>
      <c r="N251" s="1" t="str">
        <f t="shared" si="198"/>
        <v/>
      </c>
      <c r="O251" s="1" t="str">
        <f t="shared" si="199"/>
        <v/>
      </c>
      <c r="P251" s="1" t="str">
        <f t="shared" si="200"/>
        <v/>
      </c>
      <c r="Q251" s="1" t="str">
        <f t="array" ref="Q251">IF($B251="","",IF(MAX(IF(B251=$B$2:$B$313,$L$2:$L$313))-L251=0,"",MAX(IF(B251=$B$2:$B$313,$L$2:$L$313))-L251))</f>
        <v/>
      </c>
      <c r="R251" s="1" t="str">
        <f t="array" ref="R251">IF($B251="","",SUMPRODUCT(--($B$2:$B$313=B251),--(L251&lt;$L$2:$L$313))+1)</f>
        <v/>
      </c>
      <c r="S251" s="1" t="str">
        <f t="shared" si="201"/>
        <v/>
      </c>
      <c r="T251" s="1" t="str" cm="1">
        <f t="array" ref="T251">IF($B251="","",IF(M251=0,"",SUMPRODUCT(--($B$2:$B$313=B251),--(J251&lt;$J$2:$J$313))+1))</f>
        <v/>
      </c>
      <c r="U251" s="1" t="str">
        <f t="shared" si="202"/>
        <v/>
      </c>
      <c r="V251" s="1" t="str">
        <f t="shared" si="203"/>
        <v/>
      </c>
      <c r="W251" s="1" t="str">
        <f t="shared" si="204"/>
        <v/>
      </c>
      <c r="X251" s="1" t="str">
        <f t="shared" si="189"/>
        <v/>
      </c>
      <c r="Y251" s="1" t="str">
        <f>IF($B251="","",MAX(_xlfn.MAXIFS($J$2:J251,$I$2:I251,$I251),_xlfn.MAXIFS($K$2:K251,$I$2:I251,$I251)))</f>
        <v/>
      </c>
      <c r="Z251" s="1" t="str">
        <f t="shared" si="205"/>
        <v/>
      </c>
      <c r="AA251" s="1" t="str">
        <f t="shared" si="206"/>
        <v/>
      </c>
      <c r="AB251" s="1" t="str">
        <f t="shared" si="207"/>
        <v/>
      </c>
      <c r="AC251" s="1" t="str">
        <f t="shared" si="208"/>
        <v/>
      </c>
      <c r="AD251" s="1" t="str">
        <f>IF($B251="","",MIN(_xlfn.MINIFS($J$2:J251,$I$2:I251,$I251),_xlfn.MINIFS($K$2:K251,$I$2:I251,$I251)))</f>
        <v/>
      </c>
      <c r="AE251" s="1" t="str">
        <f t="shared" si="209"/>
        <v/>
      </c>
      <c r="AF251" s="1" t="str">
        <f t="shared" si="210"/>
        <v/>
      </c>
      <c r="AG251" s="1" t="str">
        <f t="shared" si="211"/>
        <v/>
      </c>
      <c r="AH251" s="1" t="str">
        <f t="shared" si="212"/>
        <v/>
      </c>
      <c r="AI251" s="1" t="str">
        <f ca="1">IF($B251="","",IF($K251="",0,OFFSET($CO$17,R251,W251)))</f>
        <v/>
      </c>
      <c r="AJ251" s="1" t="str">
        <f t="shared" ca="1" si="213"/>
        <v/>
      </c>
      <c r="AK251" s="1" t="str">
        <f ca="1">IF(AJ251="","",IF(AJ251=0,0,IF(W251=1,0,SUM(OFFSET($CO$17,N251,1):OFFSET($CO$17,N251+W251-2,1))/W251)))</f>
        <v/>
      </c>
      <c r="AL251" s="1" t="str">
        <f t="shared" si="214"/>
        <v/>
      </c>
      <c r="AM251" s="1" t="str">
        <f>IF($B251="","",SUMIFS($AL$2:AL251,$I$2:I251,$I251))</f>
        <v/>
      </c>
      <c r="AN251" s="1" t="str">
        <f t="shared" si="215"/>
        <v/>
      </c>
      <c r="AO251" s="1" t="str">
        <f>IFERROR(IF($B251="","",AVERAGEIFS($L$2:L251,$I$2:I251,I251,$L$2:L251,"&lt;&gt;0")),0)</f>
        <v/>
      </c>
      <c r="AP251" s="1" t="str">
        <f t="shared" si="216"/>
        <v/>
      </c>
      <c r="AQ251" s="1" t="str">
        <f>IF($B251="","",COUNTIFS($R$2:R251,1,$I$2:I251,$I251))</f>
        <v/>
      </c>
      <c r="AR251" s="1" t="str">
        <f t="array" ref="AR251">IF($B251="","",SUMPRODUCT(--($B$2:$B$313=B251),--(AM251&lt;$AM$2:$AM$313))+1)</f>
        <v/>
      </c>
      <c r="AS251" s="1" t="str">
        <f t="array" ref="AS251">IF($B251="","",SUMPRODUCT(--($B$2:$B$313=B251),--(AP251&lt;$AP$2:$AP$313))+1)</f>
        <v/>
      </c>
      <c r="AT251" s="1" t="str">
        <f t="array" ref="AT251">IF($B251="","",SUMPRODUCT(--($B$2:$B$313=B251),--(AQ251&lt;$AQ$2:$AQ$313))+1)</f>
        <v/>
      </c>
      <c r="AU251" s="1" t="str">
        <f t="shared" si="217"/>
        <v/>
      </c>
      <c r="AV251" s="1" t="str">
        <f t="shared" si="218"/>
        <v/>
      </c>
      <c r="AW251" s="1" t="str">
        <f t="shared" si="190"/>
        <v/>
      </c>
      <c r="AX251" s="1" t="str">
        <f t="shared" si="219"/>
        <v/>
      </c>
      <c r="AY251" s="8" t="str">
        <f t="shared" si="220"/>
        <v/>
      </c>
      <c r="AZ251" s="1" t="str" cm="1">
        <f t="array" ref="AZ251">IF($B251="","",SUMPRODUCT(--($B$2:$B$313=B251),--(AY251&gt;$AY$2:$AY$313))+1)</f>
        <v/>
      </c>
      <c r="BA251" s="1" t="str">
        <f t="shared" si="221"/>
        <v/>
      </c>
      <c r="BB251" s="1" t="str">
        <f t="shared" si="222"/>
        <v/>
      </c>
      <c r="BC251" s="1" t="str">
        <f t="shared" si="223"/>
        <v/>
      </c>
      <c r="BD251" s="1" t="str">
        <f t="shared" si="224"/>
        <v/>
      </c>
      <c r="BE251" s="1" t="str">
        <f t="shared" si="225"/>
        <v/>
      </c>
      <c r="BF251" s="1" t="str">
        <f t="shared" si="226"/>
        <v/>
      </c>
      <c r="BG251" s="1" t="str">
        <f t="shared" si="227"/>
        <v/>
      </c>
      <c r="BH251" s="1" t="str">
        <f t="shared" si="228"/>
        <v/>
      </c>
      <c r="BI251" s="1" t="str">
        <f t="shared" si="229"/>
        <v/>
      </c>
      <c r="BJ251" s="1" t="str">
        <f t="shared" si="230"/>
        <v/>
      </c>
      <c r="BK251" s="1" t="str">
        <f t="shared" si="231"/>
        <v/>
      </c>
      <c r="BL251" s="1" t="str">
        <f t="shared" si="232"/>
        <v/>
      </c>
      <c r="BM251" s="1" t="str">
        <f t="shared" si="233"/>
        <v/>
      </c>
      <c r="BN251" s="1" t="str">
        <f t="shared" si="234"/>
        <v/>
      </c>
      <c r="BO251" s="1" t="str">
        <f t="shared" si="191"/>
        <v/>
      </c>
      <c r="BP251" s="1" t="str">
        <f t="shared" si="192"/>
        <v/>
      </c>
      <c r="BQ251" s="1" t="str" cm="1">
        <f t="array" ref="BQ251">IF(I251="","",IF(BP251=1,"",IF(L251=0,"",IF(B251=1,"",_xlfn.XLOOKUP(1,($I$2:$I$313=$I251)*($B$2:$B$313=($B251-1)),$BO$2:$BO$313)))))</f>
        <v/>
      </c>
      <c r="BR251" s="1" t="str">
        <f>IF(I251="","",IF($B251=1,_xlfn.MINIFS($BO$2:$BO$313,$B$2:$B$313,$B251),_xlfn.MINIFS(BQ$2:$BQ$313,$B$2:$B$313,$B251)))</f>
        <v/>
      </c>
      <c r="BS251" s="1" t="str">
        <f t="shared" si="235"/>
        <v/>
      </c>
      <c r="BT251" s="1" t="str" cm="1">
        <f t="array" ref="BT251">IF($I251="","",IF($B251=1,_xlfn.XLOOKUP(1,($B$2:$B$313=$B251)*($BO$2:$BO$313=BR251),Data!$I$2:$I$313,,0),_xlfn.XLOOKUP(1,($B$2:$B$313=$B251)*($BQ$2:$BQ$313=$BR251),$I$2:$I$313,,0)))</f>
        <v/>
      </c>
      <c r="BU251" s="1" t="str" cm="1">
        <f t="array" ref="BU251">IF(I251="","",IF($B251=1,_xlfn.XLOOKUP(1,($B$2:$B$313=$B251)*($BO$2:$BO$313=$BS251),$I$2:$I$313,,0),_xlfn.XLOOKUP(1,($B$2:$B$313=$B251)*($BQ$2:$BQ$313=$BS251),$I$2:$I$313,,0)))</f>
        <v/>
      </c>
      <c r="BV251" s="1" t="str" cm="1">
        <f t="array" ref="BV251">IF($I251="","",IF($B251=1,"",IF($B251=2,_xlfn.XLOOKUP(1,($B$2:$B$313=1)*($BO$2:$BO$313=1),$I$2:$I$313,,0),_xlfn.XLOOKUP($B251-1,$B$2:$B$313,$CH$2:$CH$313,,0))))</f>
        <v/>
      </c>
      <c r="BW251" s="1" t="str" cm="1">
        <f t="array" ref="BW251">IF($I251="","",IF($B251=1,"",IF(_xlfn.XLOOKUP(1,($B$2:$B$313=$B251)*($I$2:$I$313=$BV251),$BQ$2:$BQ$313,,0)="","NOK","OK")))</f>
        <v/>
      </c>
      <c r="BX251" s="1" t="str">
        <f t="shared" si="236"/>
        <v/>
      </c>
      <c r="BY251" s="1" t="str">
        <f t="shared" si="237"/>
        <v/>
      </c>
      <c r="BZ251" s="1" t="str">
        <f t="shared" si="238"/>
        <v/>
      </c>
      <c r="CA251" s="1" t="str">
        <f t="shared" si="239"/>
        <v/>
      </c>
      <c r="CB251" s="1" t="str">
        <f t="shared" si="240"/>
        <v/>
      </c>
      <c r="CC251" s="1" t="str">
        <f t="shared" si="241"/>
        <v/>
      </c>
      <c r="CD251" s="1" t="str">
        <f t="shared" si="242"/>
        <v/>
      </c>
      <c r="CE251" s="1" t="str">
        <f t="shared" si="243"/>
        <v/>
      </c>
      <c r="CF251" s="1" t="str">
        <f t="shared" si="244"/>
        <v/>
      </c>
      <c r="CG251" s="1" t="str">
        <f t="shared" si="245"/>
        <v/>
      </c>
      <c r="CH251" s="1" t="str">
        <f t="shared" si="246"/>
        <v/>
      </c>
      <c r="CI251" s="1" t="str">
        <f t="shared" si="247"/>
        <v/>
      </c>
      <c r="CJ251" s="1" t="str">
        <f>IF(B251="","",IF(SUM(AI251:AK251)&gt;0,"+SP","")&amp;IF(CI251&gt;0,"+KK","")&amp;IF(AB251&gt;0,"+KGP1","")&amp;IF(AC251&gt;0,"+KGP2","")&amp;IF(AG251&lt;0,"-KGP1","")&amp;IF(AH251&lt;0,"-KGP2",""))</f>
        <v/>
      </c>
    </row>
    <row r="252" spans="1:88" x14ac:dyDescent="0.25">
      <c r="A252" s="1" t="str">
        <f>IFERROR(IF(ROW(A251)=1,1,IF(1+A251&lt;=$CP$1*$CP$2,1+A251,"")),"")</f>
        <v/>
      </c>
      <c r="B252" s="1" t="str">
        <f>IF($I252="","",IF(ROW(B251)=1,1,ROUNDUP(A252/$CP$2,0)))</f>
        <v/>
      </c>
      <c r="C252" s="4" t="str">
        <f t="shared" si="193"/>
        <v/>
      </c>
      <c r="D252" s="4" t="str">
        <f t="shared" si="187"/>
        <v/>
      </c>
      <c r="E252" s="1" t="str">
        <f>IF($B252="","",COUNTIF($B$2:B252,B252))</f>
        <v/>
      </c>
      <c r="F252" s="1" t="str">
        <f t="shared" si="188"/>
        <v/>
      </c>
      <c r="G252" s="1" t="str">
        <f t="shared" si="194"/>
        <v/>
      </c>
      <c r="H252" s="1">
        <f t="shared" si="195"/>
        <v>0</v>
      </c>
      <c r="I252" s="3"/>
      <c r="J252" s="3"/>
      <c r="K252" s="3"/>
      <c r="L252" s="1" t="str">
        <f t="shared" si="196"/>
        <v/>
      </c>
      <c r="M252" s="1" t="str">
        <f t="shared" si="197"/>
        <v/>
      </c>
      <c r="N252" s="1" t="str">
        <f t="shared" si="198"/>
        <v/>
      </c>
      <c r="O252" s="1" t="str">
        <f t="shared" si="199"/>
        <v/>
      </c>
      <c r="P252" s="1" t="str">
        <f t="shared" si="200"/>
        <v/>
      </c>
      <c r="Q252" s="1" t="str">
        <f t="array" ref="Q252">IF($B252="","",IF(MAX(IF(B252=$B$2:$B$313,$L$2:$L$313))-L252=0,"",MAX(IF(B252=$B$2:$B$313,$L$2:$L$313))-L252))</f>
        <v/>
      </c>
      <c r="R252" s="1" t="str">
        <f t="array" ref="R252">IF($B252="","",SUMPRODUCT(--($B$2:$B$313=B252),--(L252&lt;$L$2:$L$313))+1)</f>
        <v/>
      </c>
      <c r="S252" s="1" t="str">
        <f t="shared" si="201"/>
        <v/>
      </c>
      <c r="T252" s="1" t="str" cm="1">
        <f t="array" ref="T252">IF($B252="","",IF(M252=0,"",SUMPRODUCT(--($B$2:$B$313=B252),--(J252&lt;$J$2:$J$313))+1))</f>
        <v/>
      </c>
      <c r="U252" s="1" t="str">
        <f t="shared" si="202"/>
        <v/>
      </c>
      <c r="V252" s="1" t="str">
        <f t="shared" si="203"/>
        <v/>
      </c>
      <c r="W252" s="1" t="str">
        <f t="shared" si="204"/>
        <v/>
      </c>
      <c r="X252" s="1" t="str">
        <f t="shared" si="189"/>
        <v/>
      </c>
      <c r="Y252" s="1" t="str">
        <f>IF($B252="","",MAX(_xlfn.MAXIFS($J$2:J252,$I$2:I252,$I252),_xlfn.MAXIFS($K$2:K252,$I$2:I252,$I252)))</f>
        <v/>
      </c>
      <c r="Z252" s="1" t="str">
        <f t="shared" si="205"/>
        <v/>
      </c>
      <c r="AA252" s="1" t="str">
        <f t="shared" si="206"/>
        <v/>
      </c>
      <c r="AB252" s="1" t="str">
        <f t="shared" si="207"/>
        <v/>
      </c>
      <c r="AC252" s="1" t="str">
        <f t="shared" si="208"/>
        <v/>
      </c>
      <c r="AD252" s="1" t="str">
        <f>IF($B252="","",MIN(_xlfn.MINIFS($J$2:J252,$I$2:I252,$I252),_xlfn.MINIFS($K$2:K252,$I$2:I252,$I252)))</f>
        <v/>
      </c>
      <c r="AE252" s="1" t="str">
        <f t="shared" si="209"/>
        <v/>
      </c>
      <c r="AF252" s="1" t="str">
        <f t="shared" si="210"/>
        <v/>
      </c>
      <c r="AG252" s="1" t="str">
        <f t="shared" si="211"/>
        <v/>
      </c>
      <c r="AH252" s="1" t="str">
        <f t="shared" si="212"/>
        <v/>
      </c>
      <c r="AI252" s="1" t="str">
        <f ca="1">IF($B252="","",IF($K252="",0,OFFSET($CO$17,R252,W252)))</f>
        <v/>
      </c>
      <c r="AJ252" s="1" t="str">
        <f t="shared" ca="1" si="213"/>
        <v/>
      </c>
      <c r="AK252" s="1" t="str">
        <f ca="1">IF(AJ252="","",IF(AJ252=0,0,IF(W252=1,0,SUM(OFFSET($CO$17,N252,1):OFFSET($CO$17,N252+W252-2,1))/W252)))</f>
        <v/>
      </c>
      <c r="AL252" s="1" t="str">
        <f t="shared" si="214"/>
        <v/>
      </c>
      <c r="AM252" s="1" t="str">
        <f>IF($B252="","",SUMIFS($AL$2:AL252,$I$2:I252,$I252))</f>
        <v/>
      </c>
      <c r="AN252" s="1" t="str">
        <f t="shared" si="215"/>
        <v/>
      </c>
      <c r="AO252" s="1" t="str">
        <f>IFERROR(IF($B252="","",AVERAGEIFS($L$2:L252,$I$2:I252,I252,$L$2:L252,"&lt;&gt;0")),0)</f>
        <v/>
      </c>
      <c r="AP252" s="1" t="str">
        <f t="shared" si="216"/>
        <v/>
      </c>
      <c r="AQ252" s="1" t="str">
        <f>IF($B252="","",COUNTIFS($R$2:R252,1,$I$2:I252,$I252))</f>
        <v/>
      </c>
      <c r="AR252" s="1" t="str">
        <f t="array" ref="AR252">IF($B252="","",SUMPRODUCT(--($B$2:$B$313=B252),--(AM252&lt;$AM$2:$AM$313))+1)</f>
        <v/>
      </c>
      <c r="AS252" s="1" t="str">
        <f t="array" ref="AS252">IF($B252="","",SUMPRODUCT(--($B$2:$B$313=B252),--(AP252&lt;$AP$2:$AP$313))+1)</f>
        <v/>
      </c>
      <c r="AT252" s="1" t="str">
        <f t="array" ref="AT252">IF($B252="","",SUMPRODUCT(--($B$2:$B$313=B252),--(AQ252&lt;$AQ$2:$AQ$313))+1)</f>
        <v/>
      </c>
      <c r="AU252" s="1" t="str">
        <f t="shared" si="217"/>
        <v/>
      </c>
      <c r="AV252" s="1" t="str">
        <f t="shared" si="218"/>
        <v/>
      </c>
      <c r="AW252" s="1" t="str">
        <f t="shared" si="190"/>
        <v/>
      </c>
      <c r="AX252" s="1" t="str">
        <f t="shared" si="219"/>
        <v/>
      </c>
      <c r="AY252" s="8" t="str">
        <f t="shared" si="220"/>
        <v/>
      </c>
      <c r="AZ252" s="1" t="str" cm="1">
        <f t="array" ref="AZ252">IF($B252="","",SUMPRODUCT(--($B$2:$B$313=B252),--(AY252&gt;$AY$2:$AY$313))+1)</f>
        <v/>
      </c>
      <c r="BA252" s="1" t="str">
        <f t="shared" si="221"/>
        <v/>
      </c>
      <c r="BB252" s="1" t="str">
        <f t="shared" si="222"/>
        <v/>
      </c>
      <c r="BC252" s="1" t="str">
        <f t="shared" si="223"/>
        <v/>
      </c>
      <c r="BD252" s="1" t="str">
        <f t="shared" si="224"/>
        <v/>
      </c>
      <c r="BE252" s="1" t="str">
        <f t="shared" si="225"/>
        <v/>
      </c>
      <c r="BF252" s="1" t="str">
        <f t="shared" si="226"/>
        <v/>
      </c>
      <c r="BG252" s="1" t="str">
        <f t="shared" si="227"/>
        <v/>
      </c>
      <c r="BH252" s="1" t="str">
        <f t="shared" si="228"/>
        <v/>
      </c>
      <c r="BI252" s="1" t="str">
        <f t="shared" si="229"/>
        <v/>
      </c>
      <c r="BJ252" s="1" t="str">
        <f t="shared" si="230"/>
        <v/>
      </c>
      <c r="BK252" s="1" t="str">
        <f t="shared" si="231"/>
        <v/>
      </c>
      <c r="BL252" s="1" t="str">
        <f t="shared" si="232"/>
        <v/>
      </c>
      <c r="BM252" s="1" t="str">
        <f t="shared" si="233"/>
        <v/>
      </c>
      <c r="BN252" s="1" t="str">
        <f t="shared" si="234"/>
        <v/>
      </c>
      <c r="BO252" s="1" t="str">
        <f t="shared" si="191"/>
        <v/>
      </c>
      <c r="BP252" s="1" t="str">
        <f t="shared" si="192"/>
        <v/>
      </c>
      <c r="BQ252" s="1" t="str" cm="1">
        <f t="array" ref="BQ252">IF(I252="","",IF(BP252=1,"",IF(L252=0,"",IF(B252=1,"",_xlfn.XLOOKUP(1,($I$2:$I$313=$I252)*($B$2:$B$313=($B252-1)),$BO$2:$BO$313)))))</f>
        <v/>
      </c>
      <c r="BR252" s="1" t="str">
        <f>IF(I252="","",IF($B252=1,_xlfn.MINIFS($BO$2:$BO$313,$B$2:$B$313,$B252),_xlfn.MINIFS(BQ$2:$BQ$313,$B$2:$B$313,$B252)))</f>
        <v/>
      </c>
      <c r="BS252" s="1" t="str">
        <f t="shared" si="235"/>
        <v/>
      </c>
      <c r="BT252" s="1" t="str" cm="1">
        <f t="array" ref="BT252">IF($I252="","",IF($B252=1,_xlfn.XLOOKUP(1,($B$2:$B$313=$B252)*($BO$2:$BO$313=BR252),Data!$I$2:$I$313,,0),_xlfn.XLOOKUP(1,($B$2:$B$313=$B252)*($BQ$2:$BQ$313=$BR252),$I$2:$I$313,,0)))</f>
        <v/>
      </c>
      <c r="BU252" s="1" t="str" cm="1">
        <f t="array" ref="BU252">IF(I252="","",IF($B252=1,_xlfn.XLOOKUP(1,($B$2:$B$313=$B252)*($BO$2:$BO$313=$BS252),$I$2:$I$313,,0),_xlfn.XLOOKUP(1,($B$2:$B$313=$B252)*($BQ$2:$BQ$313=$BS252),$I$2:$I$313,,0)))</f>
        <v/>
      </c>
      <c r="BV252" s="1" t="str" cm="1">
        <f t="array" ref="BV252">IF($I252="","",IF($B252=1,"",IF($B252=2,_xlfn.XLOOKUP(1,($B$2:$B$313=1)*($BO$2:$BO$313=1),$I$2:$I$313,,0),_xlfn.XLOOKUP($B252-1,$B$2:$B$313,$CH$2:$CH$313,,0))))</f>
        <v/>
      </c>
      <c r="BW252" s="1" t="str" cm="1">
        <f t="array" ref="BW252">IF($I252="","",IF($B252=1,"",IF(_xlfn.XLOOKUP(1,($B$2:$B$313=$B252)*($I$2:$I$313=$BV252),$BQ$2:$BQ$313,,0)="","NOK","OK")))</f>
        <v/>
      </c>
      <c r="BX252" s="1" t="str">
        <f t="shared" si="236"/>
        <v/>
      </c>
      <c r="BY252" s="1" t="str">
        <f t="shared" si="237"/>
        <v/>
      </c>
      <c r="BZ252" s="1" t="str">
        <f t="shared" si="238"/>
        <v/>
      </c>
      <c r="CA252" s="1" t="str">
        <f t="shared" si="239"/>
        <v/>
      </c>
      <c r="CB252" s="1" t="str">
        <f t="shared" si="240"/>
        <v/>
      </c>
      <c r="CC252" s="1" t="str">
        <f t="shared" si="241"/>
        <v/>
      </c>
      <c r="CD252" s="1" t="str">
        <f t="shared" si="242"/>
        <v/>
      </c>
      <c r="CE252" s="1" t="str">
        <f t="shared" si="243"/>
        <v/>
      </c>
      <c r="CF252" s="1" t="str">
        <f t="shared" si="244"/>
        <v/>
      </c>
      <c r="CG252" s="1" t="str">
        <f t="shared" si="245"/>
        <v/>
      </c>
      <c r="CH252" s="1" t="str">
        <f t="shared" si="246"/>
        <v/>
      </c>
      <c r="CI252" s="1" t="str">
        <f t="shared" si="247"/>
        <v/>
      </c>
      <c r="CJ252" s="1" t="str">
        <f>IF(B252="","",IF(SUM(AI252:AK252)&gt;0,"+SP","")&amp;IF(CI252&gt;0,"+KK","")&amp;IF(AB252&gt;0,"+KGP1","")&amp;IF(AC252&gt;0,"+KGP2","")&amp;IF(AG252&lt;0,"-KGP1","")&amp;IF(AH252&lt;0,"-KGP2",""))</f>
        <v/>
      </c>
    </row>
    <row r="253" spans="1:88" x14ac:dyDescent="0.25">
      <c r="A253" s="1" t="str">
        <f>IFERROR(IF(ROW(A252)=1,1,IF(1+A252&lt;=$CP$1*$CP$2,1+A252,"")),"")</f>
        <v/>
      </c>
      <c r="B253" s="1" t="str">
        <f>IF($I253="","",IF(ROW(B252)=1,1,ROUNDUP(A253/$CP$2,0)))</f>
        <v/>
      </c>
      <c r="C253" s="4" t="str">
        <f t="shared" si="193"/>
        <v/>
      </c>
      <c r="D253" s="4" t="str">
        <f t="shared" si="187"/>
        <v/>
      </c>
      <c r="E253" s="1" t="str">
        <f>IF($B253="","",COUNTIF($B$2:B253,B253))</f>
        <v/>
      </c>
      <c r="F253" s="1" t="str">
        <f t="shared" si="188"/>
        <v/>
      </c>
      <c r="G253" s="1" t="str">
        <f t="shared" si="194"/>
        <v/>
      </c>
      <c r="H253" s="1">
        <f t="shared" si="195"/>
        <v>0</v>
      </c>
      <c r="I253" s="3"/>
      <c r="J253" s="3"/>
      <c r="K253" s="3"/>
      <c r="L253" s="1" t="str">
        <f t="shared" si="196"/>
        <v/>
      </c>
      <c r="M253" s="1" t="str">
        <f t="shared" si="197"/>
        <v/>
      </c>
      <c r="N253" s="1" t="str">
        <f t="shared" si="198"/>
        <v/>
      </c>
      <c r="O253" s="1" t="str">
        <f t="shared" si="199"/>
        <v/>
      </c>
      <c r="P253" s="1" t="str">
        <f t="shared" si="200"/>
        <v/>
      </c>
      <c r="Q253" s="1" t="str">
        <f t="array" ref="Q253">IF($B253="","",IF(MAX(IF(B253=$B$2:$B$313,$L$2:$L$313))-L253=0,"",MAX(IF(B253=$B$2:$B$313,$L$2:$L$313))-L253))</f>
        <v/>
      </c>
      <c r="R253" s="1" t="str">
        <f t="array" ref="R253">IF($B253="","",SUMPRODUCT(--($B$2:$B$313=B253),--(L253&lt;$L$2:$L$313))+1)</f>
        <v/>
      </c>
      <c r="S253" s="1" t="str">
        <f t="shared" si="201"/>
        <v/>
      </c>
      <c r="T253" s="1" t="str" cm="1">
        <f t="array" ref="T253">IF($B253="","",IF(M253=0,"",SUMPRODUCT(--($B$2:$B$313=B253),--(J253&lt;$J$2:$J$313))+1))</f>
        <v/>
      </c>
      <c r="U253" s="1" t="str">
        <f t="shared" si="202"/>
        <v/>
      </c>
      <c r="V253" s="1" t="str">
        <f t="shared" si="203"/>
        <v/>
      </c>
      <c r="W253" s="1" t="str">
        <f t="shared" si="204"/>
        <v/>
      </c>
      <c r="X253" s="1" t="str">
        <f t="shared" si="189"/>
        <v/>
      </c>
      <c r="Y253" s="1" t="str">
        <f>IF($B253="","",MAX(_xlfn.MAXIFS($J$2:J253,$I$2:I253,$I253),_xlfn.MAXIFS($K$2:K253,$I$2:I253,$I253)))</f>
        <v/>
      </c>
      <c r="Z253" s="1" t="str">
        <f t="shared" si="205"/>
        <v/>
      </c>
      <c r="AA253" s="1" t="str">
        <f t="shared" si="206"/>
        <v/>
      </c>
      <c r="AB253" s="1" t="str">
        <f t="shared" si="207"/>
        <v/>
      </c>
      <c r="AC253" s="1" t="str">
        <f t="shared" si="208"/>
        <v/>
      </c>
      <c r="AD253" s="1" t="str">
        <f>IF($B253="","",MIN(_xlfn.MINIFS($J$2:J253,$I$2:I253,$I253),_xlfn.MINIFS($K$2:K253,$I$2:I253,$I253)))</f>
        <v/>
      </c>
      <c r="AE253" s="1" t="str">
        <f t="shared" si="209"/>
        <v/>
      </c>
      <c r="AF253" s="1" t="str">
        <f t="shared" si="210"/>
        <v/>
      </c>
      <c r="AG253" s="1" t="str">
        <f t="shared" si="211"/>
        <v/>
      </c>
      <c r="AH253" s="1" t="str">
        <f t="shared" si="212"/>
        <v/>
      </c>
      <c r="AI253" s="1" t="str">
        <f ca="1">IF($B253="","",IF($K253="",0,OFFSET($CO$17,R253,W253)))</f>
        <v/>
      </c>
      <c r="AJ253" s="1" t="str">
        <f t="shared" ca="1" si="213"/>
        <v/>
      </c>
      <c r="AK253" s="1" t="str">
        <f ca="1">IF(AJ253="","",IF(AJ253=0,0,IF(W253=1,0,SUM(OFFSET($CO$17,N253,1):OFFSET($CO$17,N253+W253-2,1))/W253)))</f>
        <v/>
      </c>
      <c r="AL253" s="1" t="str">
        <f t="shared" si="214"/>
        <v/>
      </c>
      <c r="AM253" s="1" t="str">
        <f>IF($B253="","",SUMIFS($AL$2:AL253,$I$2:I253,$I253))</f>
        <v/>
      </c>
      <c r="AN253" s="1" t="str">
        <f t="shared" si="215"/>
        <v/>
      </c>
      <c r="AO253" s="1" t="str">
        <f>IFERROR(IF($B253="","",AVERAGEIFS($L$2:L253,$I$2:I253,I253,$L$2:L253,"&lt;&gt;0")),0)</f>
        <v/>
      </c>
      <c r="AP253" s="1" t="str">
        <f t="shared" si="216"/>
        <v/>
      </c>
      <c r="AQ253" s="1" t="str">
        <f>IF($B253="","",COUNTIFS($R$2:R253,1,$I$2:I253,$I253))</f>
        <v/>
      </c>
      <c r="AR253" s="1" t="str">
        <f t="array" ref="AR253">IF($B253="","",SUMPRODUCT(--($B$2:$B$313=B253),--(AM253&lt;$AM$2:$AM$313))+1)</f>
        <v/>
      </c>
      <c r="AS253" s="1" t="str">
        <f t="array" ref="AS253">IF($B253="","",SUMPRODUCT(--($B$2:$B$313=B253),--(AP253&lt;$AP$2:$AP$313))+1)</f>
        <v/>
      </c>
      <c r="AT253" s="1" t="str">
        <f t="array" ref="AT253">IF($B253="","",SUMPRODUCT(--($B$2:$B$313=B253),--(AQ253&lt;$AQ$2:$AQ$313))+1)</f>
        <v/>
      </c>
      <c r="AU253" s="1" t="str">
        <f t="shared" si="217"/>
        <v/>
      </c>
      <c r="AV253" s="1" t="str">
        <f t="shared" si="218"/>
        <v/>
      </c>
      <c r="AW253" s="1" t="str">
        <f t="shared" si="190"/>
        <v/>
      </c>
      <c r="AX253" s="1" t="str">
        <f t="shared" si="219"/>
        <v/>
      </c>
      <c r="AY253" s="8" t="str">
        <f t="shared" si="220"/>
        <v/>
      </c>
      <c r="AZ253" s="1" t="str" cm="1">
        <f t="array" ref="AZ253">IF($B253="","",SUMPRODUCT(--($B$2:$B$313=B253),--(AY253&gt;$AY$2:$AY$313))+1)</f>
        <v/>
      </c>
      <c r="BA253" s="1" t="str">
        <f t="shared" si="221"/>
        <v/>
      </c>
      <c r="BB253" s="1" t="str">
        <f t="shared" si="222"/>
        <v/>
      </c>
      <c r="BC253" s="1" t="str">
        <f t="shared" si="223"/>
        <v/>
      </c>
      <c r="BD253" s="1" t="str">
        <f t="shared" si="224"/>
        <v/>
      </c>
      <c r="BE253" s="1" t="str">
        <f t="shared" si="225"/>
        <v/>
      </c>
      <c r="BF253" s="1" t="str">
        <f t="shared" si="226"/>
        <v/>
      </c>
      <c r="BG253" s="1" t="str">
        <f t="shared" si="227"/>
        <v/>
      </c>
      <c r="BH253" s="1" t="str">
        <f t="shared" si="228"/>
        <v/>
      </c>
      <c r="BI253" s="1" t="str">
        <f t="shared" si="229"/>
        <v/>
      </c>
      <c r="BJ253" s="1" t="str">
        <f t="shared" si="230"/>
        <v/>
      </c>
      <c r="BK253" s="1" t="str">
        <f t="shared" si="231"/>
        <v/>
      </c>
      <c r="BL253" s="1" t="str">
        <f t="shared" si="232"/>
        <v/>
      </c>
      <c r="BM253" s="1" t="str">
        <f t="shared" si="233"/>
        <v/>
      </c>
      <c r="BN253" s="1" t="str">
        <f t="shared" si="234"/>
        <v/>
      </c>
      <c r="BO253" s="1" t="str">
        <f t="shared" si="191"/>
        <v/>
      </c>
      <c r="BP253" s="1" t="str">
        <f t="shared" si="192"/>
        <v/>
      </c>
      <c r="BQ253" s="1" t="str" cm="1">
        <f t="array" ref="BQ253">IF(I253="","",IF(BP253=1,"",IF(L253=0,"",IF(B253=1,"",_xlfn.XLOOKUP(1,($I$2:$I$313=$I253)*($B$2:$B$313=($B253-1)),$BO$2:$BO$313)))))</f>
        <v/>
      </c>
      <c r="BR253" s="1" t="str">
        <f>IF(I253="","",IF($B253=1,_xlfn.MINIFS($BO$2:$BO$313,$B$2:$B$313,$B253),_xlfn.MINIFS(BQ$2:$BQ$313,$B$2:$B$313,$B253)))</f>
        <v/>
      </c>
      <c r="BS253" s="1" t="str">
        <f t="shared" si="235"/>
        <v/>
      </c>
      <c r="BT253" s="1" t="str" cm="1">
        <f t="array" ref="BT253">IF($I253="","",IF($B253=1,_xlfn.XLOOKUP(1,($B$2:$B$313=$B253)*($BO$2:$BO$313=BR253),Data!$I$2:$I$313,,0),_xlfn.XLOOKUP(1,($B$2:$B$313=$B253)*($BQ$2:$BQ$313=$BR253),$I$2:$I$313,,0)))</f>
        <v/>
      </c>
      <c r="BU253" s="1" t="str" cm="1">
        <f t="array" ref="BU253">IF(I253="","",IF($B253=1,_xlfn.XLOOKUP(1,($B$2:$B$313=$B253)*($BO$2:$BO$313=$BS253),$I$2:$I$313,,0),_xlfn.XLOOKUP(1,($B$2:$B$313=$B253)*($BQ$2:$BQ$313=$BS253),$I$2:$I$313,,0)))</f>
        <v/>
      </c>
      <c r="BV253" s="1" t="str" cm="1">
        <f t="array" ref="BV253">IF($I253="","",IF($B253=1,"",IF($B253=2,_xlfn.XLOOKUP(1,($B$2:$B$313=1)*($BO$2:$BO$313=1),$I$2:$I$313,,0),_xlfn.XLOOKUP($B253-1,$B$2:$B$313,$CH$2:$CH$313,,0))))</f>
        <v/>
      </c>
      <c r="BW253" s="1" t="str" cm="1">
        <f t="array" ref="BW253">IF($I253="","",IF($B253=1,"",IF(_xlfn.XLOOKUP(1,($B$2:$B$313=$B253)*($I$2:$I$313=$BV253),$BQ$2:$BQ$313,,0)="","NOK","OK")))</f>
        <v/>
      </c>
      <c r="BX253" s="1" t="str">
        <f t="shared" si="236"/>
        <v/>
      </c>
      <c r="BY253" s="1" t="str">
        <f t="shared" si="237"/>
        <v/>
      </c>
      <c r="BZ253" s="1" t="str">
        <f t="shared" si="238"/>
        <v/>
      </c>
      <c r="CA253" s="1" t="str">
        <f t="shared" si="239"/>
        <v/>
      </c>
      <c r="CB253" s="1" t="str">
        <f t="shared" si="240"/>
        <v/>
      </c>
      <c r="CC253" s="1" t="str">
        <f t="shared" si="241"/>
        <v/>
      </c>
      <c r="CD253" s="1" t="str">
        <f t="shared" si="242"/>
        <v/>
      </c>
      <c r="CE253" s="1" t="str">
        <f t="shared" si="243"/>
        <v/>
      </c>
      <c r="CF253" s="1" t="str">
        <f t="shared" si="244"/>
        <v/>
      </c>
      <c r="CG253" s="1" t="str">
        <f t="shared" si="245"/>
        <v/>
      </c>
      <c r="CH253" s="1" t="str">
        <f t="shared" si="246"/>
        <v/>
      </c>
      <c r="CI253" s="1" t="str">
        <f t="shared" si="247"/>
        <v/>
      </c>
      <c r="CJ253" s="1" t="str">
        <f>IF(B253="","",IF(SUM(AI253:AK253)&gt;0,"+SP","")&amp;IF(CI253&gt;0,"+KK","")&amp;IF(AB253&gt;0,"+KGP1","")&amp;IF(AC253&gt;0,"+KGP2","")&amp;IF(AG253&lt;0,"-KGP1","")&amp;IF(AH253&lt;0,"-KGP2",""))</f>
        <v/>
      </c>
    </row>
    <row r="254" spans="1:88" x14ac:dyDescent="0.25">
      <c r="A254" s="1" t="str">
        <f>IFERROR(IF(ROW(A253)=1,1,IF(1+A253&lt;=$CP$1*$CP$2,1+A253,"")),"")</f>
        <v/>
      </c>
      <c r="B254" s="1" t="str">
        <f>IF($I254="","",IF(ROW(B253)=1,1,ROUNDUP(A254/$CP$2,0)))</f>
        <v/>
      </c>
      <c r="C254" s="4" t="str">
        <f t="shared" si="193"/>
        <v/>
      </c>
      <c r="D254" s="4" t="str">
        <f t="shared" si="187"/>
        <v/>
      </c>
      <c r="E254" s="1" t="str">
        <f>IF($B254="","",COUNTIF($B$2:B254,B254))</f>
        <v/>
      </c>
      <c r="F254" s="1" t="str">
        <f t="shared" si="188"/>
        <v/>
      </c>
      <c r="G254" s="1" t="str">
        <f t="shared" si="194"/>
        <v/>
      </c>
      <c r="H254" s="1">
        <f t="shared" si="195"/>
        <v>0</v>
      </c>
      <c r="I254" s="3"/>
      <c r="J254" s="3"/>
      <c r="K254" s="3"/>
      <c r="L254" s="1" t="str">
        <f t="shared" si="196"/>
        <v/>
      </c>
      <c r="M254" s="1" t="str">
        <f t="shared" si="197"/>
        <v/>
      </c>
      <c r="N254" s="1" t="str">
        <f t="shared" si="198"/>
        <v/>
      </c>
      <c r="O254" s="1" t="str">
        <f t="shared" si="199"/>
        <v/>
      </c>
      <c r="P254" s="1" t="str">
        <f t="shared" si="200"/>
        <v/>
      </c>
      <c r="Q254" s="1" t="str">
        <f t="array" ref="Q254">IF($B254="","",IF(MAX(IF(B254=$B$2:$B$313,$L$2:$L$313))-L254=0,"",MAX(IF(B254=$B$2:$B$313,$L$2:$L$313))-L254))</f>
        <v/>
      </c>
      <c r="R254" s="1" t="str">
        <f t="array" ref="R254">IF($B254="","",SUMPRODUCT(--($B$2:$B$313=B254),--(L254&lt;$L$2:$L$313))+1)</f>
        <v/>
      </c>
      <c r="S254" s="1" t="str">
        <f t="shared" si="201"/>
        <v/>
      </c>
      <c r="T254" s="1" t="str" cm="1">
        <f t="array" ref="T254">IF($B254="","",IF(M254=0,"",SUMPRODUCT(--($B$2:$B$313=B254),--(J254&lt;$J$2:$J$313))+1))</f>
        <v/>
      </c>
      <c r="U254" s="1" t="str">
        <f t="shared" si="202"/>
        <v/>
      </c>
      <c r="V254" s="1" t="str">
        <f t="shared" si="203"/>
        <v/>
      </c>
      <c r="W254" s="1" t="str">
        <f t="shared" si="204"/>
        <v/>
      </c>
      <c r="X254" s="1" t="str">
        <f t="shared" si="189"/>
        <v/>
      </c>
      <c r="Y254" s="1" t="str">
        <f>IF($B254="","",MAX(_xlfn.MAXIFS($J$2:J254,$I$2:I254,$I254),_xlfn.MAXIFS($K$2:K254,$I$2:I254,$I254)))</f>
        <v/>
      </c>
      <c r="Z254" s="1" t="str">
        <f t="shared" si="205"/>
        <v/>
      </c>
      <c r="AA254" s="1" t="str">
        <f t="shared" si="206"/>
        <v/>
      </c>
      <c r="AB254" s="1" t="str">
        <f t="shared" si="207"/>
        <v/>
      </c>
      <c r="AC254" s="1" t="str">
        <f t="shared" si="208"/>
        <v/>
      </c>
      <c r="AD254" s="1" t="str">
        <f>IF($B254="","",MIN(_xlfn.MINIFS($J$2:J254,$I$2:I254,$I254),_xlfn.MINIFS($K$2:K254,$I$2:I254,$I254)))</f>
        <v/>
      </c>
      <c r="AE254" s="1" t="str">
        <f t="shared" si="209"/>
        <v/>
      </c>
      <c r="AF254" s="1" t="str">
        <f t="shared" si="210"/>
        <v/>
      </c>
      <c r="AG254" s="1" t="str">
        <f t="shared" si="211"/>
        <v/>
      </c>
      <c r="AH254" s="1" t="str">
        <f t="shared" si="212"/>
        <v/>
      </c>
      <c r="AI254" s="1" t="str">
        <f ca="1">IF($B254="","",IF($K254="",0,OFFSET($CO$17,R254,W254)))</f>
        <v/>
      </c>
      <c r="AJ254" s="1" t="str">
        <f t="shared" ca="1" si="213"/>
        <v/>
      </c>
      <c r="AK254" s="1" t="str">
        <f ca="1">IF(AJ254="","",IF(AJ254=0,0,IF(W254=1,0,SUM(OFFSET($CO$17,N254,1):OFFSET($CO$17,N254+W254-2,1))/W254)))</f>
        <v/>
      </c>
      <c r="AL254" s="1" t="str">
        <f t="shared" si="214"/>
        <v/>
      </c>
      <c r="AM254" s="1" t="str">
        <f>IF($B254="","",SUMIFS($AL$2:AL254,$I$2:I254,$I254))</f>
        <v/>
      </c>
      <c r="AN254" s="1" t="str">
        <f t="shared" si="215"/>
        <v/>
      </c>
      <c r="AO254" s="1" t="str">
        <f>IFERROR(IF($B254="","",AVERAGEIFS($L$2:L254,$I$2:I254,I254,$L$2:L254,"&lt;&gt;0")),0)</f>
        <v/>
      </c>
      <c r="AP254" s="1" t="str">
        <f t="shared" si="216"/>
        <v/>
      </c>
      <c r="AQ254" s="1" t="str">
        <f>IF($B254="","",COUNTIFS($R$2:R254,1,$I$2:I254,$I254))</f>
        <v/>
      </c>
      <c r="AR254" s="1" t="str">
        <f t="array" ref="AR254">IF($B254="","",SUMPRODUCT(--($B$2:$B$313=B254),--(AM254&lt;$AM$2:$AM$313))+1)</f>
        <v/>
      </c>
      <c r="AS254" s="1" t="str">
        <f t="array" ref="AS254">IF($B254="","",SUMPRODUCT(--($B$2:$B$313=B254),--(AP254&lt;$AP$2:$AP$313))+1)</f>
        <v/>
      </c>
      <c r="AT254" s="1" t="str">
        <f t="array" ref="AT254">IF($B254="","",SUMPRODUCT(--($B$2:$B$313=B254),--(AQ254&lt;$AQ$2:$AQ$313))+1)</f>
        <v/>
      </c>
      <c r="AU254" s="1" t="str">
        <f t="shared" si="217"/>
        <v/>
      </c>
      <c r="AV254" s="1" t="str">
        <f t="shared" si="218"/>
        <v/>
      </c>
      <c r="AW254" s="1" t="str">
        <f t="shared" si="190"/>
        <v/>
      </c>
      <c r="AX254" s="1" t="str">
        <f t="shared" si="219"/>
        <v/>
      </c>
      <c r="AY254" s="8" t="str">
        <f t="shared" si="220"/>
        <v/>
      </c>
      <c r="AZ254" s="1" t="str" cm="1">
        <f t="array" ref="AZ254">IF($B254="","",SUMPRODUCT(--($B$2:$B$313=B254),--(AY254&gt;$AY$2:$AY$313))+1)</f>
        <v/>
      </c>
      <c r="BA254" s="1" t="str">
        <f t="shared" si="221"/>
        <v/>
      </c>
      <c r="BB254" s="1" t="str">
        <f t="shared" si="222"/>
        <v/>
      </c>
      <c r="BC254" s="1" t="str">
        <f t="shared" si="223"/>
        <v/>
      </c>
      <c r="BD254" s="1" t="str">
        <f t="shared" si="224"/>
        <v/>
      </c>
      <c r="BE254" s="1" t="str">
        <f t="shared" si="225"/>
        <v/>
      </c>
      <c r="BF254" s="1" t="str">
        <f t="shared" si="226"/>
        <v/>
      </c>
      <c r="BG254" s="1" t="str">
        <f t="shared" si="227"/>
        <v/>
      </c>
      <c r="BH254" s="1" t="str">
        <f t="shared" si="228"/>
        <v/>
      </c>
      <c r="BI254" s="1" t="str">
        <f t="shared" si="229"/>
        <v/>
      </c>
      <c r="BJ254" s="1" t="str">
        <f t="shared" si="230"/>
        <v/>
      </c>
      <c r="BK254" s="1" t="str">
        <f t="shared" si="231"/>
        <v/>
      </c>
      <c r="BL254" s="1" t="str">
        <f t="shared" si="232"/>
        <v/>
      </c>
      <c r="BM254" s="1" t="str">
        <f t="shared" si="233"/>
        <v/>
      </c>
      <c r="BN254" s="1" t="str">
        <f t="shared" si="234"/>
        <v/>
      </c>
      <c r="BO254" s="1" t="str">
        <f t="shared" si="191"/>
        <v/>
      </c>
      <c r="BP254" s="1" t="str">
        <f t="shared" si="192"/>
        <v/>
      </c>
      <c r="BQ254" s="1" t="str" cm="1">
        <f t="array" ref="BQ254">IF(I254="","",IF(BP254=1,"",IF(L254=0,"",IF(B254=1,"",_xlfn.XLOOKUP(1,($I$2:$I$313=$I254)*($B$2:$B$313=($B254-1)),$BO$2:$BO$313)))))</f>
        <v/>
      </c>
      <c r="BR254" s="1" t="str">
        <f>IF(I254="","",IF($B254=1,_xlfn.MINIFS($BO$2:$BO$313,$B$2:$B$313,$B254),_xlfn.MINIFS(BQ$2:$BQ$313,$B$2:$B$313,$B254)))</f>
        <v/>
      </c>
      <c r="BS254" s="1" t="str">
        <f t="shared" si="235"/>
        <v/>
      </c>
      <c r="BT254" s="1" t="str" cm="1">
        <f t="array" ref="BT254">IF($I254="","",IF($B254=1,_xlfn.XLOOKUP(1,($B$2:$B$313=$B254)*($BO$2:$BO$313=BR254),Data!$I$2:$I$313,,0),_xlfn.XLOOKUP(1,($B$2:$B$313=$B254)*($BQ$2:$BQ$313=$BR254),$I$2:$I$313,,0)))</f>
        <v/>
      </c>
      <c r="BU254" s="1" t="str" cm="1">
        <f t="array" ref="BU254">IF(I254="","",IF($B254=1,_xlfn.XLOOKUP(1,($B$2:$B$313=$B254)*($BO$2:$BO$313=$BS254),$I$2:$I$313,,0),_xlfn.XLOOKUP(1,($B$2:$B$313=$B254)*($BQ$2:$BQ$313=$BS254),$I$2:$I$313,,0)))</f>
        <v/>
      </c>
      <c r="BV254" s="1" t="str" cm="1">
        <f t="array" ref="BV254">IF($I254="","",IF($B254=1,"",IF($B254=2,_xlfn.XLOOKUP(1,($B$2:$B$313=1)*($BO$2:$BO$313=1),$I$2:$I$313,,0),_xlfn.XLOOKUP($B254-1,$B$2:$B$313,$CH$2:$CH$313,,0))))</f>
        <v/>
      </c>
      <c r="BW254" s="1" t="str" cm="1">
        <f t="array" ref="BW254">IF($I254="","",IF($B254=1,"",IF(_xlfn.XLOOKUP(1,($B$2:$B$313=$B254)*($I$2:$I$313=$BV254),$BQ$2:$BQ$313,,0)="","NOK","OK")))</f>
        <v/>
      </c>
      <c r="BX254" s="1" t="str">
        <f t="shared" si="236"/>
        <v/>
      </c>
      <c r="BY254" s="1" t="str">
        <f t="shared" si="237"/>
        <v/>
      </c>
      <c r="BZ254" s="1" t="str">
        <f t="shared" si="238"/>
        <v/>
      </c>
      <c r="CA254" s="1" t="str">
        <f t="shared" si="239"/>
        <v/>
      </c>
      <c r="CB254" s="1" t="str">
        <f t="shared" si="240"/>
        <v/>
      </c>
      <c r="CC254" s="1" t="str">
        <f t="shared" si="241"/>
        <v/>
      </c>
      <c r="CD254" s="1" t="str">
        <f t="shared" si="242"/>
        <v/>
      </c>
      <c r="CE254" s="1" t="str">
        <f t="shared" si="243"/>
        <v/>
      </c>
      <c r="CF254" s="1" t="str">
        <f t="shared" si="244"/>
        <v/>
      </c>
      <c r="CG254" s="1" t="str">
        <f t="shared" si="245"/>
        <v/>
      </c>
      <c r="CH254" s="1" t="str">
        <f t="shared" si="246"/>
        <v/>
      </c>
      <c r="CI254" s="1" t="str">
        <f t="shared" si="247"/>
        <v/>
      </c>
      <c r="CJ254" s="1" t="str">
        <f>IF(B254="","",IF(SUM(AI254:AK254)&gt;0,"+SP","")&amp;IF(CI254&gt;0,"+KK","")&amp;IF(AB254&gt;0,"+KGP1","")&amp;IF(AC254&gt;0,"+KGP2","")&amp;IF(AG254&lt;0,"-KGP1","")&amp;IF(AH254&lt;0,"-KGP2",""))</f>
        <v/>
      </c>
    </row>
    <row r="255" spans="1:88" x14ac:dyDescent="0.25">
      <c r="A255" s="1" t="str">
        <f>IFERROR(IF(ROW(A254)=1,1,IF(1+A254&lt;=$CP$1*$CP$2,1+A254,"")),"")</f>
        <v/>
      </c>
      <c r="B255" s="1" t="str">
        <f>IF($I255="","",IF(ROW(B254)=1,1,ROUNDUP(A255/$CP$2,0)))</f>
        <v/>
      </c>
      <c r="C255" s="4" t="str">
        <f t="shared" si="193"/>
        <v/>
      </c>
      <c r="D255" s="4" t="str">
        <f t="shared" si="187"/>
        <v/>
      </c>
      <c r="E255" s="1" t="str">
        <f>IF($B255="","",COUNTIF($B$2:B255,B255))</f>
        <v/>
      </c>
      <c r="F255" s="1" t="str">
        <f t="shared" si="188"/>
        <v/>
      </c>
      <c r="G255" s="1" t="str">
        <f t="shared" si="194"/>
        <v/>
      </c>
      <c r="H255" s="1">
        <f t="shared" si="195"/>
        <v>0</v>
      </c>
      <c r="I255" s="3"/>
      <c r="J255" s="3"/>
      <c r="K255" s="3"/>
      <c r="L255" s="1" t="str">
        <f t="shared" si="196"/>
        <v/>
      </c>
      <c r="M255" s="1" t="str">
        <f t="shared" si="197"/>
        <v/>
      </c>
      <c r="N255" s="1" t="str">
        <f t="shared" si="198"/>
        <v/>
      </c>
      <c r="O255" s="1" t="str">
        <f t="shared" si="199"/>
        <v/>
      </c>
      <c r="P255" s="1" t="str">
        <f t="shared" si="200"/>
        <v/>
      </c>
      <c r="Q255" s="1" t="str">
        <f t="array" ref="Q255">IF($B255="","",IF(MAX(IF(B255=$B$2:$B$313,$L$2:$L$313))-L255=0,"",MAX(IF(B255=$B$2:$B$313,$L$2:$L$313))-L255))</f>
        <v/>
      </c>
      <c r="R255" s="1" t="str">
        <f t="array" ref="R255">IF($B255="","",SUMPRODUCT(--($B$2:$B$313=B255),--(L255&lt;$L$2:$L$313))+1)</f>
        <v/>
      </c>
      <c r="S255" s="1" t="str">
        <f t="shared" si="201"/>
        <v/>
      </c>
      <c r="T255" s="1" t="str" cm="1">
        <f t="array" ref="T255">IF($B255="","",IF(M255=0,"",SUMPRODUCT(--($B$2:$B$313=B255),--(J255&lt;$J$2:$J$313))+1))</f>
        <v/>
      </c>
      <c r="U255" s="1" t="str">
        <f t="shared" si="202"/>
        <v/>
      </c>
      <c r="V255" s="1" t="str">
        <f t="shared" si="203"/>
        <v/>
      </c>
      <c r="W255" s="1" t="str">
        <f t="shared" si="204"/>
        <v/>
      </c>
      <c r="X255" s="1" t="str">
        <f t="shared" si="189"/>
        <v/>
      </c>
      <c r="Y255" s="1" t="str">
        <f>IF($B255="","",MAX(_xlfn.MAXIFS($J$2:J255,$I$2:I255,$I255),_xlfn.MAXIFS($K$2:K255,$I$2:I255,$I255)))</f>
        <v/>
      </c>
      <c r="Z255" s="1" t="str">
        <f t="shared" si="205"/>
        <v/>
      </c>
      <c r="AA255" s="1" t="str">
        <f t="shared" si="206"/>
        <v/>
      </c>
      <c r="AB255" s="1" t="str">
        <f t="shared" si="207"/>
        <v/>
      </c>
      <c r="AC255" s="1" t="str">
        <f t="shared" si="208"/>
        <v/>
      </c>
      <c r="AD255" s="1" t="str">
        <f>IF($B255="","",MIN(_xlfn.MINIFS($J$2:J255,$I$2:I255,$I255),_xlfn.MINIFS($K$2:K255,$I$2:I255,$I255)))</f>
        <v/>
      </c>
      <c r="AE255" s="1" t="str">
        <f t="shared" si="209"/>
        <v/>
      </c>
      <c r="AF255" s="1" t="str">
        <f t="shared" si="210"/>
        <v/>
      </c>
      <c r="AG255" s="1" t="str">
        <f t="shared" si="211"/>
        <v/>
      </c>
      <c r="AH255" s="1" t="str">
        <f t="shared" si="212"/>
        <v/>
      </c>
      <c r="AI255" s="1" t="str">
        <f ca="1">IF($B255="","",IF($K255="",0,OFFSET($CO$17,R255,W255)))</f>
        <v/>
      </c>
      <c r="AJ255" s="1" t="str">
        <f t="shared" ca="1" si="213"/>
        <v/>
      </c>
      <c r="AK255" s="1" t="str">
        <f ca="1">IF(AJ255="","",IF(AJ255=0,0,IF(W255=1,0,SUM(OFFSET($CO$17,N255,1):OFFSET($CO$17,N255+W255-2,1))/W255)))</f>
        <v/>
      </c>
      <c r="AL255" s="1" t="str">
        <f t="shared" si="214"/>
        <v/>
      </c>
      <c r="AM255" s="1" t="str">
        <f>IF($B255="","",SUMIFS($AL$2:AL255,$I$2:I255,$I255))</f>
        <v/>
      </c>
      <c r="AN255" s="1" t="str">
        <f t="shared" si="215"/>
        <v/>
      </c>
      <c r="AO255" s="1" t="str">
        <f>IFERROR(IF($B255="","",AVERAGEIFS($L$2:L255,$I$2:I255,I255,$L$2:L255,"&lt;&gt;0")),0)</f>
        <v/>
      </c>
      <c r="AP255" s="1" t="str">
        <f t="shared" si="216"/>
        <v/>
      </c>
      <c r="AQ255" s="1" t="str">
        <f>IF($B255="","",COUNTIFS($R$2:R255,1,$I$2:I255,$I255))</f>
        <v/>
      </c>
      <c r="AR255" s="1" t="str">
        <f t="array" ref="AR255">IF($B255="","",SUMPRODUCT(--($B$2:$B$313=B255),--(AM255&lt;$AM$2:$AM$313))+1)</f>
        <v/>
      </c>
      <c r="AS255" s="1" t="str">
        <f t="array" ref="AS255">IF($B255="","",SUMPRODUCT(--($B$2:$B$313=B255),--(AP255&lt;$AP$2:$AP$313))+1)</f>
        <v/>
      </c>
      <c r="AT255" s="1" t="str">
        <f t="array" ref="AT255">IF($B255="","",SUMPRODUCT(--($B$2:$B$313=B255),--(AQ255&lt;$AQ$2:$AQ$313))+1)</f>
        <v/>
      </c>
      <c r="AU255" s="1" t="str">
        <f t="shared" si="217"/>
        <v/>
      </c>
      <c r="AV255" s="1" t="str">
        <f t="shared" si="218"/>
        <v/>
      </c>
      <c r="AW255" s="1" t="str">
        <f t="shared" si="190"/>
        <v/>
      </c>
      <c r="AX255" s="1" t="str">
        <f t="shared" si="219"/>
        <v/>
      </c>
      <c r="AY255" s="8" t="str">
        <f t="shared" si="220"/>
        <v/>
      </c>
      <c r="AZ255" s="1" t="str" cm="1">
        <f t="array" ref="AZ255">IF($B255="","",SUMPRODUCT(--($B$2:$B$313=B255),--(AY255&gt;$AY$2:$AY$313))+1)</f>
        <v/>
      </c>
      <c r="BA255" s="1" t="str">
        <f t="shared" si="221"/>
        <v/>
      </c>
      <c r="BB255" s="1" t="str">
        <f t="shared" si="222"/>
        <v/>
      </c>
      <c r="BC255" s="1" t="str">
        <f t="shared" si="223"/>
        <v/>
      </c>
      <c r="BD255" s="1" t="str">
        <f t="shared" si="224"/>
        <v/>
      </c>
      <c r="BE255" s="1" t="str">
        <f t="shared" si="225"/>
        <v/>
      </c>
      <c r="BF255" s="1" t="str">
        <f t="shared" si="226"/>
        <v/>
      </c>
      <c r="BG255" s="1" t="str">
        <f t="shared" si="227"/>
        <v/>
      </c>
      <c r="BH255" s="1" t="str">
        <f t="shared" si="228"/>
        <v/>
      </c>
      <c r="BI255" s="1" t="str">
        <f t="shared" si="229"/>
        <v/>
      </c>
      <c r="BJ255" s="1" t="str">
        <f t="shared" si="230"/>
        <v/>
      </c>
      <c r="BK255" s="1" t="str">
        <f t="shared" si="231"/>
        <v/>
      </c>
      <c r="BL255" s="1" t="str">
        <f t="shared" si="232"/>
        <v/>
      </c>
      <c r="BM255" s="1" t="str">
        <f t="shared" si="233"/>
        <v/>
      </c>
      <c r="BN255" s="1" t="str">
        <f t="shared" si="234"/>
        <v/>
      </c>
      <c r="BO255" s="1" t="str">
        <f t="shared" si="191"/>
        <v/>
      </c>
      <c r="BP255" s="1" t="str">
        <f t="shared" si="192"/>
        <v/>
      </c>
      <c r="BQ255" s="1" t="str" cm="1">
        <f t="array" ref="BQ255">IF(I255="","",IF(BP255=1,"",IF(L255=0,"",IF(B255=1,"",_xlfn.XLOOKUP(1,($I$2:$I$313=$I255)*($B$2:$B$313=($B255-1)),$BO$2:$BO$313)))))</f>
        <v/>
      </c>
      <c r="BR255" s="1" t="str">
        <f>IF(I255="","",IF($B255=1,_xlfn.MINIFS($BO$2:$BO$313,$B$2:$B$313,$B255),_xlfn.MINIFS(BQ$2:$BQ$313,$B$2:$B$313,$B255)))</f>
        <v/>
      </c>
      <c r="BS255" s="1" t="str">
        <f t="shared" si="235"/>
        <v/>
      </c>
      <c r="BT255" s="1" t="str" cm="1">
        <f t="array" ref="BT255">IF($I255="","",IF($B255=1,_xlfn.XLOOKUP(1,($B$2:$B$313=$B255)*($BO$2:$BO$313=BR255),Data!$I$2:$I$313,,0),_xlfn.XLOOKUP(1,($B$2:$B$313=$B255)*($BQ$2:$BQ$313=$BR255),$I$2:$I$313,,0)))</f>
        <v/>
      </c>
      <c r="BU255" s="1" t="str" cm="1">
        <f t="array" ref="BU255">IF(I255="","",IF($B255=1,_xlfn.XLOOKUP(1,($B$2:$B$313=$B255)*($BO$2:$BO$313=$BS255),$I$2:$I$313,,0),_xlfn.XLOOKUP(1,($B$2:$B$313=$B255)*($BQ$2:$BQ$313=$BS255),$I$2:$I$313,,0)))</f>
        <v/>
      </c>
      <c r="BV255" s="1" t="str" cm="1">
        <f t="array" ref="BV255">IF($I255="","",IF($B255=1,"",IF($B255=2,_xlfn.XLOOKUP(1,($B$2:$B$313=1)*($BO$2:$BO$313=1),$I$2:$I$313,,0),_xlfn.XLOOKUP($B255-1,$B$2:$B$313,$CH$2:$CH$313,,0))))</f>
        <v/>
      </c>
      <c r="BW255" s="1" t="str" cm="1">
        <f t="array" ref="BW255">IF($I255="","",IF($B255=1,"",IF(_xlfn.XLOOKUP(1,($B$2:$B$313=$B255)*($I$2:$I$313=$BV255),$BQ$2:$BQ$313,,0)="","NOK","OK")))</f>
        <v/>
      </c>
      <c r="BX255" s="1" t="str">
        <f t="shared" si="236"/>
        <v/>
      </c>
      <c r="BY255" s="1" t="str">
        <f t="shared" si="237"/>
        <v/>
      </c>
      <c r="BZ255" s="1" t="str">
        <f t="shared" si="238"/>
        <v/>
      </c>
      <c r="CA255" s="1" t="str">
        <f t="shared" si="239"/>
        <v/>
      </c>
      <c r="CB255" s="1" t="str">
        <f t="shared" si="240"/>
        <v/>
      </c>
      <c r="CC255" s="1" t="str">
        <f t="shared" si="241"/>
        <v/>
      </c>
      <c r="CD255" s="1" t="str">
        <f t="shared" si="242"/>
        <v/>
      </c>
      <c r="CE255" s="1" t="str">
        <f t="shared" si="243"/>
        <v/>
      </c>
      <c r="CF255" s="1" t="str">
        <f t="shared" si="244"/>
        <v/>
      </c>
      <c r="CG255" s="1" t="str">
        <f t="shared" si="245"/>
        <v/>
      </c>
      <c r="CH255" s="1" t="str">
        <f t="shared" si="246"/>
        <v/>
      </c>
      <c r="CI255" s="1" t="str">
        <f t="shared" si="247"/>
        <v/>
      </c>
      <c r="CJ255" s="1" t="str">
        <f>IF(B255="","",IF(SUM(AI255:AK255)&gt;0,"+SP","")&amp;IF(CI255&gt;0,"+KK","")&amp;IF(AB255&gt;0,"+KGP1","")&amp;IF(AC255&gt;0,"+KGP2","")&amp;IF(AG255&lt;0,"-KGP1","")&amp;IF(AH255&lt;0,"-KGP2",""))</f>
        <v/>
      </c>
    </row>
    <row r="256" spans="1:88" x14ac:dyDescent="0.25">
      <c r="A256" s="1" t="str">
        <f>IFERROR(IF(ROW(A255)=1,1,IF(1+A255&lt;=$CP$1*$CP$2,1+A255,"")),"")</f>
        <v/>
      </c>
      <c r="B256" s="1" t="str">
        <f>IF($I256="","",IF(ROW(B255)=1,1,ROUNDUP(A256/$CP$2,0)))</f>
        <v/>
      </c>
      <c r="C256" s="4" t="str">
        <f t="shared" si="193"/>
        <v/>
      </c>
      <c r="D256" s="4" t="str">
        <f t="shared" si="187"/>
        <v/>
      </c>
      <c r="E256" s="1" t="str">
        <f>IF($B256="","",COUNTIF($B$2:B256,B256))</f>
        <v/>
      </c>
      <c r="F256" s="1" t="str">
        <f t="shared" si="188"/>
        <v/>
      </c>
      <c r="G256" s="1" t="str">
        <f t="shared" si="194"/>
        <v/>
      </c>
      <c r="H256" s="1">
        <f t="shared" si="195"/>
        <v>0</v>
      </c>
      <c r="I256" s="3"/>
      <c r="J256" s="3"/>
      <c r="K256" s="3"/>
      <c r="L256" s="1" t="str">
        <f t="shared" si="196"/>
        <v/>
      </c>
      <c r="M256" s="1" t="str">
        <f t="shared" si="197"/>
        <v/>
      </c>
      <c r="N256" s="1" t="str">
        <f t="shared" si="198"/>
        <v/>
      </c>
      <c r="O256" s="1" t="str">
        <f t="shared" si="199"/>
        <v/>
      </c>
      <c r="P256" s="1" t="str">
        <f t="shared" si="200"/>
        <v/>
      </c>
      <c r="Q256" s="1" t="str">
        <f t="array" ref="Q256">IF($B256="","",IF(MAX(IF(B256=$B$2:$B$313,$L$2:$L$313))-L256=0,"",MAX(IF(B256=$B$2:$B$313,$L$2:$L$313))-L256))</f>
        <v/>
      </c>
      <c r="R256" s="1" t="str">
        <f t="array" ref="R256">IF($B256="","",SUMPRODUCT(--($B$2:$B$313=B256),--(L256&lt;$L$2:$L$313))+1)</f>
        <v/>
      </c>
      <c r="S256" s="1" t="str">
        <f t="shared" si="201"/>
        <v/>
      </c>
      <c r="T256" s="1" t="str" cm="1">
        <f t="array" ref="T256">IF($B256="","",IF(M256=0,"",SUMPRODUCT(--($B$2:$B$313=B256),--(J256&lt;$J$2:$J$313))+1))</f>
        <v/>
      </c>
      <c r="U256" s="1" t="str">
        <f t="shared" si="202"/>
        <v/>
      </c>
      <c r="V256" s="1" t="str">
        <f t="shared" si="203"/>
        <v/>
      </c>
      <c r="W256" s="1" t="str">
        <f t="shared" si="204"/>
        <v/>
      </c>
      <c r="X256" s="1" t="str">
        <f t="shared" si="189"/>
        <v/>
      </c>
      <c r="Y256" s="1" t="str">
        <f>IF($B256="","",MAX(_xlfn.MAXIFS($J$2:J256,$I$2:I256,$I256),_xlfn.MAXIFS($K$2:K256,$I$2:I256,$I256)))</f>
        <v/>
      </c>
      <c r="Z256" s="1" t="str">
        <f t="shared" si="205"/>
        <v/>
      </c>
      <c r="AA256" s="1" t="str">
        <f t="shared" si="206"/>
        <v/>
      </c>
      <c r="AB256" s="1" t="str">
        <f t="shared" si="207"/>
        <v/>
      </c>
      <c r="AC256" s="1" t="str">
        <f t="shared" si="208"/>
        <v/>
      </c>
      <c r="AD256" s="1" t="str">
        <f>IF($B256="","",MIN(_xlfn.MINIFS($J$2:J256,$I$2:I256,$I256),_xlfn.MINIFS($K$2:K256,$I$2:I256,$I256)))</f>
        <v/>
      </c>
      <c r="AE256" s="1" t="str">
        <f t="shared" si="209"/>
        <v/>
      </c>
      <c r="AF256" s="1" t="str">
        <f t="shared" si="210"/>
        <v/>
      </c>
      <c r="AG256" s="1" t="str">
        <f t="shared" si="211"/>
        <v/>
      </c>
      <c r="AH256" s="1" t="str">
        <f t="shared" si="212"/>
        <v/>
      </c>
      <c r="AI256" s="1" t="str">
        <f ca="1">IF($B256="","",IF($K256="",0,OFFSET($CO$17,R256,W256)))</f>
        <v/>
      </c>
      <c r="AJ256" s="1" t="str">
        <f t="shared" ca="1" si="213"/>
        <v/>
      </c>
      <c r="AK256" s="1" t="str">
        <f ca="1">IF(AJ256="","",IF(AJ256=0,0,IF(W256=1,0,SUM(OFFSET($CO$17,N256,1):OFFSET($CO$17,N256+W256-2,1))/W256)))</f>
        <v/>
      </c>
      <c r="AL256" s="1" t="str">
        <f t="shared" si="214"/>
        <v/>
      </c>
      <c r="AM256" s="1" t="str">
        <f>IF($B256="","",SUMIFS($AL$2:AL256,$I$2:I256,$I256))</f>
        <v/>
      </c>
      <c r="AN256" s="1" t="str">
        <f t="shared" si="215"/>
        <v/>
      </c>
      <c r="AO256" s="1" t="str">
        <f>IFERROR(IF($B256="","",AVERAGEIFS($L$2:L256,$I$2:I256,I256,$L$2:L256,"&lt;&gt;0")),0)</f>
        <v/>
      </c>
      <c r="AP256" s="1" t="str">
        <f t="shared" si="216"/>
        <v/>
      </c>
      <c r="AQ256" s="1" t="str">
        <f>IF($B256="","",COUNTIFS($R$2:R256,1,$I$2:I256,$I256))</f>
        <v/>
      </c>
      <c r="AR256" s="1" t="str">
        <f t="array" ref="AR256">IF($B256="","",SUMPRODUCT(--($B$2:$B$313=B256),--(AM256&lt;$AM$2:$AM$313))+1)</f>
        <v/>
      </c>
      <c r="AS256" s="1" t="str">
        <f t="array" ref="AS256">IF($B256="","",SUMPRODUCT(--($B$2:$B$313=B256),--(AP256&lt;$AP$2:$AP$313))+1)</f>
        <v/>
      </c>
      <c r="AT256" s="1" t="str">
        <f t="array" ref="AT256">IF($B256="","",SUMPRODUCT(--($B$2:$B$313=B256),--(AQ256&lt;$AQ$2:$AQ$313))+1)</f>
        <v/>
      </c>
      <c r="AU256" s="1" t="str">
        <f t="shared" si="217"/>
        <v/>
      </c>
      <c r="AV256" s="1" t="str">
        <f t="shared" si="218"/>
        <v/>
      </c>
      <c r="AW256" s="1" t="str">
        <f t="shared" si="190"/>
        <v/>
      </c>
      <c r="AX256" s="1" t="str">
        <f t="shared" si="219"/>
        <v/>
      </c>
      <c r="AY256" s="8" t="str">
        <f t="shared" si="220"/>
        <v/>
      </c>
      <c r="AZ256" s="1" t="str" cm="1">
        <f t="array" ref="AZ256">IF($B256="","",SUMPRODUCT(--($B$2:$B$313=B256),--(AY256&gt;$AY$2:$AY$313))+1)</f>
        <v/>
      </c>
      <c r="BA256" s="1" t="str">
        <f t="shared" si="221"/>
        <v/>
      </c>
      <c r="BB256" s="1" t="str">
        <f t="shared" si="222"/>
        <v/>
      </c>
      <c r="BC256" s="1" t="str">
        <f t="shared" si="223"/>
        <v/>
      </c>
      <c r="BD256" s="1" t="str">
        <f t="shared" si="224"/>
        <v/>
      </c>
      <c r="BE256" s="1" t="str">
        <f t="shared" si="225"/>
        <v/>
      </c>
      <c r="BF256" s="1" t="str">
        <f t="shared" si="226"/>
        <v/>
      </c>
      <c r="BG256" s="1" t="str">
        <f t="shared" si="227"/>
        <v/>
      </c>
      <c r="BH256" s="1" t="str">
        <f t="shared" si="228"/>
        <v/>
      </c>
      <c r="BI256" s="1" t="str">
        <f t="shared" si="229"/>
        <v/>
      </c>
      <c r="BJ256" s="1" t="str">
        <f t="shared" si="230"/>
        <v/>
      </c>
      <c r="BK256" s="1" t="str">
        <f t="shared" si="231"/>
        <v/>
      </c>
      <c r="BL256" s="1" t="str">
        <f t="shared" si="232"/>
        <v/>
      </c>
      <c r="BM256" s="1" t="str">
        <f t="shared" si="233"/>
        <v/>
      </c>
      <c r="BN256" s="1" t="str">
        <f t="shared" si="234"/>
        <v/>
      </c>
      <c r="BO256" s="1" t="str">
        <f t="shared" si="191"/>
        <v/>
      </c>
      <c r="BP256" s="1" t="str">
        <f t="shared" si="192"/>
        <v/>
      </c>
      <c r="BQ256" s="1" t="str" cm="1">
        <f t="array" ref="BQ256">IF(I256="","",IF(BP256=1,"",IF(L256=0,"",IF(B256=1,"",_xlfn.XLOOKUP(1,($I$2:$I$313=$I256)*($B$2:$B$313=($B256-1)),$BO$2:$BO$313)))))</f>
        <v/>
      </c>
      <c r="BR256" s="1" t="str">
        <f>IF(I256="","",IF($B256=1,_xlfn.MINIFS($BO$2:$BO$313,$B$2:$B$313,$B256),_xlfn.MINIFS(BQ$2:$BQ$313,$B$2:$B$313,$B256)))</f>
        <v/>
      </c>
      <c r="BS256" s="1" t="str">
        <f t="shared" si="235"/>
        <v/>
      </c>
      <c r="BT256" s="1" t="str" cm="1">
        <f t="array" ref="BT256">IF($I256="","",IF($B256=1,_xlfn.XLOOKUP(1,($B$2:$B$313=$B256)*($BO$2:$BO$313=BR256),Data!$I$2:$I$313,,0),_xlfn.XLOOKUP(1,($B$2:$B$313=$B256)*($BQ$2:$BQ$313=$BR256),$I$2:$I$313,,0)))</f>
        <v/>
      </c>
      <c r="BU256" s="1" t="str" cm="1">
        <f t="array" ref="BU256">IF(I256="","",IF($B256=1,_xlfn.XLOOKUP(1,($B$2:$B$313=$B256)*($BO$2:$BO$313=$BS256),$I$2:$I$313,,0),_xlfn.XLOOKUP(1,($B$2:$B$313=$B256)*($BQ$2:$BQ$313=$BS256),$I$2:$I$313,,0)))</f>
        <v/>
      </c>
      <c r="BV256" s="1" t="str" cm="1">
        <f t="array" ref="BV256">IF($I256="","",IF($B256=1,"",IF($B256=2,_xlfn.XLOOKUP(1,($B$2:$B$313=1)*($BO$2:$BO$313=1),$I$2:$I$313,,0),_xlfn.XLOOKUP($B256-1,$B$2:$B$313,$CH$2:$CH$313,,0))))</f>
        <v/>
      </c>
      <c r="BW256" s="1" t="str" cm="1">
        <f t="array" ref="BW256">IF($I256="","",IF($B256=1,"",IF(_xlfn.XLOOKUP(1,($B$2:$B$313=$B256)*($I$2:$I$313=$BV256),$BQ$2:$BQ$313,,0)="","NOK","OK")))</f>
        <v/>
      </c>
      <c r="BX256" s="1" t="str">
        <f t="shared" si="236"/>
        <v/>
      </c>
      <c r="BY256" s="1" t="str">
        <f t="shared" si="237"/>
        <v/>
      </c>
      <c r="BZ256" s="1" t="str">
        <f t="shared" si="238"/>
        <v/>
      </c>
      <c r="CA256" s="1" t="str">
        <f t="shared" si="239"/>
        <v/>
      </c>
      <c r="CB256" s="1" t="str">
        <f t="shared" si="240"/>
        <v/>
      </c>
      <c r="CC256" s="1" t="str">
        <f t="shared" si="241"/>
        <v/>
      </c>
      <c r="CD256" s="1" t="str">
        <f t="shared" si="242"/>
        <v/>
      </c>
      <c r="CE256" s="1" t="str">
        <f t="shared" si="243"/>
        <v/>
      </c>
      <c r="CF256" s="1" t="str">
        <f t="shared" si="244"/>
        <v/>
      </c>
      <c r="CG256" s="1" t="str">
        <f t="shared" si="245"/>
        <v/>
      </c>
      <c r="CH256" s="1" t="str">
        <f t="shared" si="246"/>
        <v/>
      </c>
      <c r="CI256" s="1" t="str">
        <f t="shared" si="247"/>
        <v/>
      </c>
      <c r="CJ256" s="1" t="str">
        <f>IF(B256="","",IF(SUM(AI256:AK256)&gt;0,"+SP","")&amp;IF(CI256&gt;0,"+KK","")&amp;IF(AB256&gt;0,"+KGP1","")&amp;IF(AC256&gt;0,"+KGP2","")&amp;IF(AG256&lt;0,"-KGP1","")&amp;IF(AH256&lt;0,"-KGP2",""))</f>
        <v/>
      </c>
    </row>
    <row r="257" spans="1:88" x14ac:dyDescent="0.25">
      <c r="A257" s="1" t="str">
        <f>IFERROR(IF(ROW(A256)=1,1,IF(1+A256&lt;=$CP$1*$CP$2,1+A256,"")),"")</f>
        <v/>
      </c>
      <c r="B257" s="1" t="str">
        <f>IF($I257="","",IF(ROW(B256)=1,1,ROUNDUP(A257/$CP$2,0)))</f>
        <v/>
      </c>
      <c r="C257" s="4" t="str">
        <f t="shared" si="193"/>
        <v/>
      </c>
      <c r="D257" s="4" t="str">
        <f t="shared" si="187"/>
        <v/>
      </c>
      <c r="E257" s="1" t="str">
        <f>IF($B257="","",COUNTIF($B$2:B257,B257))</f>
        <v/>
      </c>
      <c r="F257" s="1" t="str">
        <f t="shared" si="188"/>
        <v/>
      </c>
      <c r="G257" s="1" t="str">
        <f t="shared" si="194"/>
        <v/>
      </c>
      <c r="H257" s="1">
        <f t="shared" si="195"/>
        <v>0</v>
      </c>
      <c r="I257" s="3"/>
      <c r="J257" s="3"/>
      <c r="K257" s="3"/>
      <c r="L257" s="1" t="str">
        <f t="shared" si="196"/>
        <v/>
      </c>
      <c r="M257" s="1" t="str">
        <f t="shared" si="197"/>
        <v/>
      </c>
      <c r="N257" s="1" t="str">
        <f t="shared" si="198"/>
        <v/>
      </c>
      <c r="O257" s="1" t="str">
        <f t="shared" si="199"/>
        <v/>
      </c>
      <c r="P257" s="1" t="str">
        <f t="shared" si="200"/>
        <v/>
      </c>
      <c r="Q257" s="1" t="str">
        <f t="array" ref="Q257">IF($B257="","",IF(MAX(IF(B257=$B$2:$B$313,$L$2:$L$313))-L257=0,"",MAX(IF(B257=$B$2:$B$313,$L$2:$L$313))-L257))</f>
        <v/>
      </c>
      <c r="R257" s="1" t="str">
        <f t="array" ref="R257">IF($B257="","",SUMPRODUCT(--($B$2:$B$313=B257),--(L257&lt;$L$2:$L$313))+1)</f>
        <v/>
      </c>
      <c r="S257" s="1" t="str">
        <f t="shared" si="201"/>
        <v/>
      </c>
      <c r="T257" s="1" t="str" cm="1">
        <f t="array" ref="T257">IF($B257="","",IF(M257=0,"",SUMPRODUCT(--($B$2:$B$313=B257),--(J257&lt;$J$2:$J$313))+1))</f>
        <v/>
      </c>
      <c r="U257" s="1" t="str">
        <f t="shared" si="202"/>
        <v/>
      </c>
      <c r="V257" s="1" t="str">
        <f t="shared" si="203"/>
        <v/>
      </c>
      <c r="W257" s="1" t="str">
        <f t="shared" si="204"/>
        <v/>
      </c>
      <c r="X257" s="1" t="str">
        <f t="shared" si="189"/>
        <v/>
      </c>
      <c r="Y257" s="1" t="str">
        <f>IF($B257="","",MAX(_xlfn.MAXIFS($J$2:J257,$I$2:I257,$I257),_xlfn.MAXIFS($K$2:K257,$I$2:I257,$I257)))</f>
        <v/>
      </c>
      <c r="Z257" s="1" t="str">
        <f t="shared" si="205"/>
        <v/>
      </c>
      <c r="AA257" s="1" t="str">
        <f t="shared" si="206"/>
        <v/>
      </c>
      <c r="AB257" s="1" t="str">
        <f t="shared" si="207"/>
        <v/>
      </c>
      <c r="AC257" s="1" t="str">
        <f t="shared" si="208"/>
        <v/>
      </c>
      <c r="AD257" s="1" t="str">
        <f>IF($B257="","",MIN(_xlfn.MINIFS($J$2:J257,$I$2:I257,$I257),_xlfn.MINIFS($K$2:K257,$I$2:I257,$I257)))</f>
        <v/>
      </c>
      <c r="AE257" s="1" t="str">
        <f t="shared" si="209"/>
        <v/>
      </c>
      <c r="AF257" s="1" t="str">
        <f t="shared" si="210"/>
        <v/>
      </c>
      <c r="AG257" s="1" t="str">
        <f t="shared" si="211"/>
        <v/>
      </c>
      <c r="AH257" s="1" t="str">
        <f t="shared" si="212"/>
        <v/>
      </c>
      <c r="AI257" s="1" t="str">
        <f ca="1">IF($B257="","",IF($K257="",0,OFFSET($CO$17,R257,W257)))</f>
        <v/>
      </c>
      <c r="AJ257" s="1" t="str">
        <f t="shared" ca="1" si="213"/>
        <v/>
      </c>
      <c r="AK257" s="1" t="str">
        <f ca="1">IF(AJ257="","",IF(AJ257=0,0,IF(W257=1,0,SUM(OFFSET($CO$17,N257,1):OFFSET($CO$17,N257+W257-2,1))/W257)))</f>
        <v/>
      </c>
      <c r="AL257" s="1" t="str">
        <f t="shared" si="214"/>
        <v/>
      </c>
      <c r="AM257" s="1" t="str">
        <f>IF($B257="","",SUMIFS($AL$2:AL257,$I$2:I257,$I257))</f>
        <v/>
      </c>
      <c r="AN257" s="1" t="str">
        <f t="shared" si="215"/>
        <v/>
      </c>
      <c r="AO257" s="1" t="str">
        <f>IFERROR(IF($B257="","",AVERAGEIFS($L$2:L257,$I$2:I257,I257,$L$2:L257,"&lt;&gt;0")),0)</f>
        <v/>
      </c>
      <c r="AP257" s="1" t="str">
        <f t="shared" si="216"/>
        <v/>
      </c>
      <c r="AQ257" s="1" t="str">
        <f>IF($B257="","",COUNTIFS($R$2:R257,1,$I$2:I257,$I257))</f>
        <v/>
      </c>
      <c r="AR257" s="1" t="str">
        <f t="array" ref="AR257">IF($B257="","",SUMPRODUCT(--($B$2:$B$313=B257),--(AM257&lt;$AM$2:$AM$313))+1)</f>
        <v/>
      </c>
      <c r="AS257" s="1" t="str">
        <f t="array" ref="AS257">IF($B257="","",SUMPRODUCT(--($B$2:$B$313=B257),--(AP257&lt;$AP$2:$AP$313))+1)</f>
        <v/>
      </c>
      <c r="AT257" s="1" t="str">
        <f t="array" ref="AT257">IF($B257="","",SUMPRODUCT(--($B$2:$B$313=B257),--(AQ257&lt;$AQ$2:$AQ$313))+1)</f>
        <v/>
      </c>
      <c r="AU257" s="1" t="str">
        <f t="shared" si="217"/>
        <v/>
      </c>
      <c r="AV257" s="1" t="str">
        <f t="shared" si="218"/>
        <v/>
      </c>
      <c r="AW257" s="1" t="str">
        <f t="shared" si="190"/>
        <v/>
      </c>
      <c r="AX257" s="1" t="str">
        <f t="shared" si="219"/>
        <v/>
      </c>
      <c r="AY257" s="8" t="str">
        <f t="shared" si="220"/>
        <v/>
      </c>
      <c r="AZ257" s="1" t="str" cm="1">
        <f t="array" ref="AZ257">IF($B257="","",SUMPRODUCT(--($B$2:$B$313=B257),--(AY257&gt;$AY$2:$AY$313))+1)</f>
        <v/>
      </c>
      <c r="BA257" s="1" t="str">
        <f t="shared" si="221"/>
        <v/>
      </c>
      <c r="BB257" s="1" t="str">
        <f t="shared" si="222"/>
        <v/>
      </c>
      <c r="BC257" s="1" t="str">
        <f t="shared" si="223"/>
        <v/>
      </c>
      <c r="BD257" s="1" t="str">
        <f t="shared" si="224"/>
        <v/>
      </c>
      <c r="BE257" s="1" t="str">
        <f t="shared" si="225"/>
        <v/>
      </c>
      <c r="BF257" s="1" t="str">
        <f t="shared" si="226"/>
        <v/>
      </c>
      <c r="BG257" s="1" t="str">
        <f t="shared" si="227"/>
        <v/>
      </c>
      <c r="BH257" s="1" t="str">
        <f t="shared" si="228"/>
        <v/>
      </c>
      <c r="BI257" s="1" t="str">
        <f t="shared" si="229"/>
        <v/>
      </c>
      <c r="BJ257" s="1" t="str">
        <f t="shared" si="230"/>
        <v/>
      </c>
      <c r="BK257" s="1" t="str">
        <f t="shared" si="231"/>
        <v/>
      </c>
      <c r="BL257" s="1" t="str">
        <f t="shared" si="232"/>
        <v/>
      </c>
      <c r="BM257" s="1" t="str">
        <f t="shared" si="233"/>
        <v/>
      </c>
      <c r="BN257" s="1" t="str">
        <f t="shared" si="234"/>
        <v/>
      </c>
      <c r="BO257" s="1" t="str">
        <f t="shared" si="191"/>
        <v/>
      </c>
      <c r="BP257" s="1" t="str">
        <f t="shared" si="192"/>
        <v/>
      </c>
      <c r="BQ257" s="1" t="str" cm="1">
        <f t="array" ref="BQ257">IF(I257="","",IF(BP257=1,"",IF(L257=0,"",IF(B257=1,"",_xlfn.XLOOKUP(1,($I$2:$I$313=$I257)*($B$2:$B$313=($B257-1)),$BO$2:$BO$313)))))</f>
        <v/>
      </c>
      <c r="BR257" s="1" t="str">
        <f>IF(I257="","",IF($B257=1,_xlfn.MINIFS($BO$2:$BO$313,$B$2:$B$313,$B257),_xlfn.MINIFS(BQ$2:$BQ$313,$B$2:$B$313,$B257)))</f>
        <v/>
      </c>
      <c r="BS257" s="1" t="str">
        <f t="shared" si="235"/>
        <v/>
      </c>
      <c r="BT257" s="1" t="str" cm="1">
        <f t="array" ref="BT257">IF($I257="","",IF($B257=1,_xlfn.XLOOKUP(1,($B$2:$B$313=$B257)*($BO$2:$BO$313=BR257),Data!$I$2:$I$313,,0),_xlfn.XLOOKUP(1,($B$2:$B$313=$B257)*($BQ$2:$BQ$313=$BR257),$I$2:$I$313,,0)))</f>
        <v/>
      </c>
      <c r="BU257" s="1" t="str" cm="1">
        <f t="array" ref="BU257">IF(I257="","",IF($B257=1,_xlfn.XLOOKUP(1,($B$2:$B$313=$B257)*($BO$2:$BO$313=$BS257),$I$2:$I$313,,0),_xlfn.XLOOKUP(1,($B$2:$B$313=$B257)*($BQ$2:$BQ$313=$BS257),$I$2:$I$313,,0)))</f>
        <v/>
      </c>
      <c r="BV257" s="1" t="str" cm="1">
        <f t="array" ref="BV257">IF($I257="","",IF($B257=1,"",IF($B257=2,_xlfn.XLOOKUP(1,($B$2:$B$313=1)*($BO$2:$BO$313=1),$I$2:$I$313,,0),_xlfn.XLOOKUP($B257-1,$B$2:$B$313,$CH$2:$CH$313,,0))))</f>
        <v/>
      </c>
      <c r="BW257" s="1" t="str" cm="1">
        <f t="array" ref="BW257">IF($I257="","",IF($B257=1,"",IF(_xlfn.XLOOKUP(1,($B$2:$B$313=$B257)*($I$2:$I$313=$BV257),$BQ$2:$BQ$313,,0)="","NOK","OK")))</f>
        <v/>
      </c>
      <c r="BX257" s="1" t="str">
        <f t="shared" si="236"/>
        <v/>
      </c>
      <c r="BY257" s="1" t="str">
        <f t="shared" si="237"/>
        <v/>
      </c>
      <c r="BZ257" s="1" t="str">
        <f t="shared" si="238"/>
        <v/>
      </c>
      <c r="CA257" s="1" t="str">
        <f t="shared" si="239"/>
        <v/>
      </c>
      <c r="CB257" s="1" t="str">
        <f t="shared" si="240"/>
        <v/>
      </c>
      <c r="CC257" s="1" t="str">
        <f t="shared" si="241"/>
        <v/>
      </c>
      <c r="CD257" s="1" t="str">
        <f t="shared" si="242"/>
        <v/>
      </c>
      <c r="CE257" s="1" t="str">
        <f t="shared" si="243"/>
        <v/>
      </c>
      <c r="CF257" s="1" t="str">
        <f t="shared" si="244"/>
        <v/>
      </c>
      <c r="CG257" s="1" t="str">
        <f t="shared" si="245"/>
        <v/>
      </c>
      <c r="CH257" s="1" t="str">
        <f t="shared" si="246"/>
        <v/>
      </c>
      <c r="CI257" s="1" t="str">
        <f t="shared" si="247"/>
        <v/>
      </c>
      <c r="CJ257" s="1" t="str">
        <f>IF(B257="","",IF(SUM(AI257:AK257)&gt;0,"+SP","")&amp;IF(CI257&gt;0,"+KK","")&amp;IF(AB257&gt;0,"+KGP1","")&amp;IF(AC257&gt;0,"+KGP2","")&amp;IF(AG257&lt;0,"-KGP1","")&amp;IF(AH257&lt;0,"-KGP2",""))</f>
        <v/>
      </c>
    </row>
    <row r="258" spans="1:88" x14ac:dyDescent="0.25">
      <c r="A258" s="1" t="str">
        <f>IFERROR(IF(ROW(A257)=1,1,IF(1+A257&lt;=$CP$1*$CP$2,1+A257,"")),"")</f>
        <v/>
      </c>
      <c r="B258" s="1" t="str">
        <f>IF($I258="","",IF(ROW(B257)=1,1,ROUNDUP(A258/$CP$2,0)))</f>
        <v/>
      </c>
      <c r="C258" s="4" t="str">
        <f t="shared" si="193"/>
        <v/>
      </c>
      <c r="D258" s="4" t="str">
        <f t="shared" ref="D258:D313" si="248">IF($B258="","",VLOOKUP($B258,kilpailukalenteri,4))</f>
        <v/>
      </c>
      <c r="E258" s="1" t="str">
        <f>IF($B258="","",COUNTIF($B$2:B258,B258))</f>
        <v/>
      </c>
      <c r="F258" s="1" t="str">
        <f t="shared" ref="F258:F313" si="249">IF($B258="","","K"&amp;kausi_id_nro&amp;"GP"&amp;IF(B258&lt;10,0,"")&amp;B258)</f>
        <v/>
      </c>
      <c r="G258" s="1" t="str">
        <f t="shared" si="194"/>
        <v/>
      </c>
      <c r="H258" s="1">
        <f t="shared" si="195"/>
        <v>0</v>
      </c>
      <c r="I258" s="3"/>
      <c r="J258" s="3"/>
      <c r="K258" s="3"/>
      <c r="L258" s="1" t="str">
        <f t="shared" si="196"/>
        <v/>
      </c>
      <c r="M258" s="1" t="str">
        <f t="shared" si="197"/>
        <v/>
      </c>
      <c r="N258" s="1" t="str">
        <f t="shared" si="198"/>
        <v/>
      </c>
      <c r="O258" s="1" t="str">
        <f t="shared" si="199"/>
        <v/>
      </c>
      <c r="P258" s="1" t="str">
        <f t="shared" si="200"/>
        <v/>
      </c>
      <c r="Q258" s="1" t="str">
        <f t="array" ref="Q258">IF($B258="","",IF(MAX(IF(B258=$B$2:$B$313,$L$2:$L$313))-L258=0,"",MAX(IF(B258=$B$2:$B$313,$L$2:$L$313))-L258))</f>
        <v/>
      </c>
      <c r="R258" s="1" t="str">
        <f t="array" ref="R258">IF($B258="","",SUMPRODUCT(--($B$2:$B$313=B258),--(L258&lt;$L$2:$L$313))+1)</f>
        <v/>
      </c>
      <c r="S258" s="1" t="str">
        <f t="shared" si="201"/>
        <v/>
      </c>
      <c r="T258" s="1" t="str" cm="1">
        <f t="array" ref="T258">IF($B258="","",IF(M258=0,"",SUMPRODUCT(--($B$2:$B$313=B258),--(J258&lt;$J$2:$J$313))+1))</f>
        <v/>
      </c>
      <c r="U258" s="1" t="str">
        <f t="shared" si="202"/>
        <v/>
      </c>
      <c r="V258" s="1" t="str">
        <f t="shared" si="203"/>
        <v/>
      </c>
      <c r="W258" s="1" t="str">
        <f t="shared" si="204"/>
        <v/>
      </c>
      <c r="X258" s="1" t="str">
        <f t="shared" ref="X258:X313" si="250">IF($B258="","",IF(RIGHT(VLOOKUP(B258,kilpailukalenteri,4),1)="*",1,0))</f>
        <v/>
      </c>
      <c r="Y258" s="1" t="str">
        <f>IF($B258="","",MAX(_xlfn.MAXIFS($J$2:J258,$I$2:I258,$I258),_xlfn.MAXIFS($K$2:K258,$I$2:I258,$I258)))</f>
        <v/>
      </c>
      <c r="Z258" s="1" t="str">
        <f t="shared" si="205"/>
        <v/>
      </c>
      <c r="AA258" s="1" t="str">
        <f t="shared" si="206"/>
        <v/>
      </c>
      <c r="AB258" s="1" t="str">
        <f t="shared" si="207"/>
        <v/>
      </c>
      <c r="AC258" s="1" t="str">
        <f t="shared" si="208"/>
        <v/>
      </c>
      <c r="AD258" s="1" t="str">
        <f>IF($B258="","",MIN(_xlfn.MINIFS($J$2:J258,$I$2:I258,$I258),_xlfn.MINIFS($K$2:K258,$I$2:I258,$I258)))</f>
        <v/>
      </c>
      <c r="AE258" s="1" t="str">
        <f t="shared" si="209"/>
        <v/>
      </c>
      <c r="AF258" s="1" t="str">
        <f t="shared" si="210"/>
        <v/>
      </c>
      <c r="AG258" s="1" t="str">
        <f t="shared" si="211"/>
        <v/>
      </c>
      <c r="AH258" s="1" t="str">
        <f t="shared" si="212"/>
        <v/>
      </c>
      <c r="AI258" s="1" t="str">
        <f ca="1">IF($B258="","",IF($K258="",0,OFFSET($CO$17,R258,W258)))</f>
        <v/>
      </c>
      <c r="AJ258" s="1" t="str">
        <f t="shared" ca="1" si="213"/>
        <v/>
      </c>
      <c r="AK258" s="1" t="str">
        <f ca="1">IF(AJ258="","",IF(AJ258=0,0,IF(W258=1,0,SUM(OFFSET($CO$17,N258,1):OFFSET($CO$17,N258+W258-2,1))/W258)))</f>
        <v/>
      </c>
      <c r="AL258" s="1" t="str">
        <f t="shared" si="214"/>
        <v/>
      </c>
      <c r="AM258" s="1" t="str">
        <f>IF($B258="","",SUMIFS($AL$2:AL258,$I$2:I258,$I258))</f>
        <v/>
      </c>
      <c r="AN258" s="1" t="str">
        <f t="shared" si="215"/>
        <v/>
      </c>
      <c r="AO258" s="1" t="str">
        <f>IFERROR(IF($B258="","",AVERAGEIFS($L$2:L258,$I$2:I258,I258,$L$2:L258,"&lt;&gt;0")),0)</f>
        <v/>
      </c>
      <c r="AP258" s="1" t="str">
        <f t="shared" si="216"/>
        <v/>
      </c>
      <c r="AQ258" s="1" t="str">
        <f>IF($B258="","",COUNTIFS($R$2:R258,1,$I$2:I258,$I258))</f>
        <v/>
      </c>
      <c r="AR258" s="1" t="str">
        <f t="array" ref="AR258">IF($B258="","",SUMPRODUCT(--($B$2:$B$313=B258),--(AM258&lt;$AM$2:$AM$313))+1)</f>
        <v/>
      </c>
      <c r="AS258" s="1" t="str">
        <f t="array" ref="AS258">IF($B258="","",SUMPRODUCT(--($B$2:$B$313=B258),--(AP258&lt;$AP$2:$AP$313))+1)</f>
        <v/>
      </c>
      <c r="AT258" s="1" t="str">
        <f t="array" ref="AT258">IF($B258="","",SUMPRODUCT(--($B$2:$B$313=B258),--(AQ258&lt;$AQ$2:$AQ$313))+1)</f>
        <v/>
      </c>
      <c r="AU258" s="1" t="str">
        <f t="shared" si="217"/>
        <v/>
      </c>
      <c r="AV258" s="1" t="str">
        <f t="shared" si="218"/>
        <v/>
      </c>
      <c r="AW258" s="1" t="str">
        <f t="shared" ref="AW258:AW313" si="251">IF($B258="","",IF($B258=keilatut,$AV258,""))</f>
        <v/>
      </c>
      <c r="AX258" s="1" t="str">
        <f t="shared" si="219"/>
        <v/>
      </c>
      <c r="AY258" s="8" t="str">
        <f t="shared" si="220"/>
        <v/>
      </c>
      <c r="AZ258" s="1" t="str" cm="1">
        <f t="array" ref="AZ258">IF($B258="","",SUMPRODUCT(--($B$2:$B$313=B258),--(AY258&gt;$AY$2:$AY$313))+1)</f>
        <v/>
      </c>
      <c r="BA258" s="1" t="str">
        <f t="shared" si="221"/>
        <v/>
      </c>
      <c r="BB258" s="1" t="str">
        <f t="shared" si="222"/>
        <v/>
      </c>
      <c r="BC258" s="1" t="str">
        <f t="shared" si="223"/>
        <v/>
      </c>
      <c r="BD258" s="1" t="str">
        <f t="shared" si="224"/>
        <v/>
      </c>
      <c r="BE258" s="1" t="str">
        <f t="shared" si="225"/>
        <v/>
      </c>
      <c r="BF258" s="1" t="str">
        <f t="shared" si="226"/>
        <v/>
      </c>
      <c r="BG258" s="1" t="str">
        <f t="shared" si="227"/>
        <v/>
      </c>
      <c r="BH258" s="1" t="str">
        <f t="shared" si="228"/>
        <v/>
      </c>
      <c r="BI258" s="1" t="str">
        <f t="shared" si="229"/>
        <v/>
      </c>
      <c r="BJ258" s="1" t="str">
        <f t="shared" si="230"/>
        <v/>
      </c>
      <c r="BK258" s="1" t="str">
        <f t="shared" si="231"/>
        <v/>
      </c>
      <c r="BL258" s="1" t="str">
        <f t="shared" si="232"/>
        <v/>
      </c>
      <c r="BM258" s="1" t="str">
        <f t="shared" si="233"/>
        <v/>
      </c>
      <c r="BN258" s="1" t="str">
        <f t="shared" si="234"/>
        <v/>
      </c>
      <c r="BO258" s="1" t="str">
        <f t="shared" ref="BO258:BO313" si="252">IF(I258="","",COUNTIFS($B$2:$B$313,$B258,$BM$2:$BM$313,"&lt;"&amp;BM258)+1)</f>
        <v/>
      </c>
      <c r="BP258" s="1" t="str">
        <f t="shared" si="192"/>
        <v/>
      </c>
      <c r="BQ258" s="1" t="str" cm="1">
        <f t="array" ref="BQ258">IF(I258="","",IF(BP258=1,"",IF(L258=0,"",IF(B258=1,"",_xlfn.XLOOKUP(1,($I$2:$I$313=$I258)*($B$2:$B$313=($B258-1)),$BO$2:$BO$313)))))</f>
        <v/>
      </c>
      <c r="BR258" s="1" t="str">
        <f>IF(I258="","",IF($B258=1,_xlfn.MINIFS($BO$2:$BO$313,$B$2:$B$313,$B258),_xlfn.MINIFS(BQ$2:$BQ$313,$B$2:$B$313,$B258)))</f>
        <v/>
      </c>
      <c r="BS258" s="1" t="str">
        <f t="shared" si="235"/>
        <v/>
      </c>
      <c r="BT258" s="1" t="str" cm="1">
        <f t="array" ref="BT258">IF($I258="","",IF($B258=1,_xlfn.XLOOKUP(1,($B$2:$B$313=$B258)*($BO$2:$BO$313=BR258),Data!$I$2:$I$313,,0),_xlfn.XLOOKUP(1,($B$2:$B$313=$B258)*($BQ$2:$BQ$313=$BR258),$I$2:$I$313,,0)))</f>
        <v/>
      </c>
      <c r="BU258" s="1" t="str" cm="1">
        <f t="array" ref="BU258">IF(I258="","",IF($B258=1,_xlfn.XLOOKUP(1,($B$2:$B$313=$B258)*($BO$2:$BO$313=$BS258),$I$2:$I$313,,0),_xlfn.XLOOKUP(1,($B$2:$B$313=$B258)*($BQ$2:$BQ$313=$BS258),$I$2:$I$313,,0)))</f>
        <v/>
      </c>
      <c r="BV258" s="1" t="str" cm="1">
        <f t="array" ref="BV258">IF($I258="","",IF($B258=1,"",IF($B258=2,_xlfn.XLOOKUP(1,($B$2:$B$313=1)*($BO$2:$BO$313=1),$I$2:$I$313,,0),_xlfn.XLOOKUP($B258-1,$B$2:$B$313,$CH$2:$CH$313,,0))))</f>
        <v/>
      </c>
      <c r="BW258" s="1" t="str" cm="1">
        <f t="array" ref="BW258">IF($I258="","",IF($B258=1,"",IF(_xlfn.XLOOKUP(1,($B$2:$B$313=$B258)*($I$2:$I$313=$BV258),$BQ$2:$BQ$313,,0)="","NOK","OK")))</f>
        <v/>
      </c>
      <c r="BX258" s="1" t="str">
        <f t="shared" si="236"/>
        <v/>
      </c>
      <c r="BY258" s="1" t="str">
        <f t="shared" si="237"/>
        <v/>
      </c>
      <c r="BZ258" s="1" t="str">
        <f t="shared" si="238"/>
        <v/>
      </c>
      <c r="CA258" s="1" t="str">
        <f t="shared" si="239"/>
        <v/>
      </c>
      <c r="CB258" s="1" t="str">
        <f t="shared" si="240"/>
        <v/>
      </c>
      <c r="CC258" s="1" t="str">
        <f t="shared" si="241"/>
        <v/>
      </c>
      <c r="CD258" s="1" t="str">
        <f t="shared" si="242"/>
        <v/>
      </c>
      <c r="CE258" s="1" t="str">
        <f t="shared" si="243"/>
        <v/>
      </c>
      <c r="CF258" s="1" t="str">
        <f t="shared" si="244"/>
        <v/>
      </c>
      <c r="CG258" s="1" t="str">
        <f t="shared" si="245"/>
        <v/>
      </c>
      <c r="CH258" s="1" t="str">
        <f t="shared" si="246"/>
        <v/>
      </c>
      <c r="CI258" s="1" t="str">
        <f t="shared" si="247"/>
        <v/>
      </c>
      <c r="CJ258" s="1" t="str">
        <f>IF(B258="","",IF(SUM(AI258:AK258)&gt;0,"+SP","")&amp;IF(CI258&gt;0,"+KK","")&amp;IF(AB258&gt;0,"+KGP1","")&amp;IF(AC258&gt;0,"+KGP2","")&amp;IF(AG258&lt;0,"-KGP1","")&amp;IF(AH258&lt;0,"-KGP2",""))</f>
        <v/>
      </c>
    </row>
    <row r="259" spans="1:88" x14ac:dyDescent="0.25">
      <c r="A259" s="1" t="str">
        <f>IFERROR(IF(ROW(A258)=1,1,IF(1+A258&lt;=$CP$1*$CP$2,1+A258,"")),"")</f>
        <v/>
      </c>
      <c r="B259" s="1" t="str">
        <f>IF($I259="","",IF(ROW(B258)=1,1,ROUNDUP(A259/$CP$2,0)))</f>
        <v/>
      </c>
      <c r="C259" s="4" t="str">
        <f t="shared" ref="C259:C313" si="253">IF(B259="","",VLOOKUP($B259,kilpailukalenteri,2))</f>
        <v/>
      </c>
      <c r="D259" s="4" t="str">
        <f t="shared" si="248"/>
        <v/>
      </c>
      <c r="E259" s="1" t="str">
        <f>IF($B259="","",COUNTIF($B$2:B259,B259))</f>
        <v/>
      </c>
      <c r="F259" s="1" t="str">
        <f t="shared" si="249"/>
        <v/>
      </c>
      <c r="G259" s="1" t="str">
        <f t="shared" ref="G259:G313" si="254">IF(F259="","",F259&amp;"_"&amp;E259)</f>
        <v/>
      </c>
      <c r="H259" s="1">
        <f t="shared" ref="H259:H313" si="255">COUNTIFS($I$2:$I$313,I259,$B$2:$B$313,B259)</f>
        <v>0</v>
      </c>
      <c r="I259" s="3"/>
      <c r="J259" s="3"/>
      <c r="K259" s="3"/>
      <c r="L259" s="1" t="str">
        <f t="shared" ref="L259:L313" si="256">IF($B259="","",J259+K259)</f>
        <v/>
      </c>
      <c r="M259" s="1" t="str">
        <f t="shared" ref="M259:M313" si="257">IF($B259="","",IF($K259="",0,1))</f>
        <v/>
      </c>
      <c r="N259" s="1" t="str">
        <f t="shared" ref="N259:N313" si="258">IF(B259="","",IF(M259=0,"",R259))</f>
        <v/>
      </c>
      <c r="O259" s="1" t="str">
        <f t="shared" ref="O259:O313" si="259">IF(B259="","",IF(M259=0,"",L259))</f>
        <v/>
      </c>
      <c r="P259" s="1" t="str">
        <f t="shared" ref="P259:P313" si="260">IF(B259="","",IF(M259=0,"",Q259))</f>
        <v/>
      </c>
      <c r="Q259" s="1" t="str">
        <f t="array" ref="Q259">IF($B259="","",IF(MAX(IF(B259=$B$2:$B$313,$L$2:$L$313))-L259=0,"",MAX(IF(B259=$B$2:$B$313,$L$2:$L$313))-L259))</f>
        <v/>
      </c>
      <c r="R259" s="1" t="str">
        <f t="array" ref="R259">IF($B259="","",SUMPRODUCT(--($B$2:$B$313=B259),--(L259&lt;$L$2:$L$313))+1)</f>
        <v/>
      </c>
      <c r="S259" s="1" t="str">
        <f t="shared" ref="S259:S313" si="261">IF(B259="","",2*M259)</f>
        <v/>
      </c>
      <c r="T259" s="1" t="str" cm="1">
        <f t="array" ref="T259">IF($B259="","",IF(M259=0,"",SUMPRODUCT(--($B$2:$B$313=B259),--(J259&lt;$J$2:$J$313))+1))</f>
        <v/>
      </c>
      <c r="U259" s="1" t="str">
        <f t="shared" ref="U259:U313" si="262">IF(T259="","",N259-T259)</f>
        <v/>
      </c>
      <c r="V259" s="1" t="str">
        <f t="shared" ref="V259:V313" si="263">IF($B259="","",IF(B259&lt;10,0,"")&amp;B259&amp;IF(R259&lt;10,0,"")&amp;R259)</f>
        <v/>
      </c>
      <c r="W259" s="1" t="str">
        <f t="shared" ref="W259:W313" si="264">IF($B259="","",COUNTIFS($L$2:$L$313,L259,$B$2:$B$313,B259))</f>
        <v/>
      </c>
      <c r="X259" s="1" t="str">
        <f t="shared" si="250"/>
        <v/>
      </c>
      <c r="Y259" s="1" t="str">
        <f>IF($B259="","",MAX(_xlfn.MAXIFS($J$2:J259,$I$2:I259,$I259),_xlfn.MAXIFS($K$2:K259,$I$2:I259,$I259)))</f>
        <v/>
      </c>
      <c r="Z259" s="1" t="str">
        <f t="shared" ref="Z259:Z313" si="265">IF($B259="","",MAX(_xlfn.MAXIFS($J$2:$J$313,$B$2:$B$313,$B259),_xlfn.MAXIFS($K$2:$K$313,$B$2:$B$313,$B259)))</f>
        <v/>
      </c>
      <c r="AA259" s="1" t="str">
        <f t="shared" ref="AA259:AA313" si="266">IF($B259="","",IF($X259=0,0,IF(MAX($J259:$K259)&gt;=$Z259,1,0)))</f>
        <v/>
      </c>
      <c r="AB259" s="1" t="str">
        <f t="shared" ref="AB259:AB313" si="267">IF($B259="","",IF($AA259=0,0,1/SUMIFS($AA$2:$AA$313,$B$2:$B$313,$B259)))</f>
        <v/>
      </c>
      <c r="AC259" s="1" t="str">
        <f t="shared" ref="AC259:AC313" si="268">IF($B259="","",IF(MAX($J259:$K259)&gt;=$Y259,1,0)*$X259*$BE259)</f>
        <v/>
      </c>
      <c r="AD259" s="1" t="str">
        <f>IF($B259="","",MIN(_xlfn.MINIFS($J$2:J259,$I$2:I259,$I259),_xlfn.MINIFS($K$2:K259,$I$2:I259,$I259)))</f>
        <v/>
      </c>
      <c r="AE259" s="1" t="str">
        <f t="shared" ref="AE259:AE313" si="269">IF($B259="","",MIN(_xlfn.MINIFS($J$2:$J$313,$B$2:$B$313,$B259),_xlfn.MINIFS($K$2:$K$313,$B$2:$B$313,$B259)))</f>
        <v/>
      </c>
      <c r="AF259" s="1" t="str">
        <f t="shared" ref="AF259:AF313" si="270">IF($B259="","",IF(M259=0,0,IF($X259=0,0,IF(MIN($J259:$K259)&lt;=$AE259,1,0))))</f>
        <v/>
      </c>
      <c r="AG259" s="1" t="str">
        <f t="shared" ref="AG259:AG313" si="271">IF($B259="","",IF($AF259=0,0,-1/SUMIFS($AF$2:$AF$313,$B$2:$B$313,$B259)))</f>
        <v/>
      </c>
      <c r="AH259" s="1" t="str">
        <f t="shared" ref="AH259:AH313" si="272">IF($B259="","",IF(M259=0,0,IF(MIN($J259:$K259)&lt;=$AD259,-1,0)*$X259*$BE259))</f>
        <v/>
      </c>
      <c r="AI259" s="1" t="str">
        <f ca="1">IF($B259="","",IF($K259="",0,OFFSET($CO$17,R259,W259)))</f>
        <v/>
      </c>
      <c r="AJ259" s="1" t="str">
        <f t="shared" ref="AJ259:AJ313" ca="1" si="273">IF(AI259="","",IF(N259=_xlfn.MAXIFS($N$2:$N$313,$B$2:$B$313,$B259),-AI259,0))</f>
        <v/>
      </c>
      <c r="AK259" s="1" t="str">
        <f ca="1">IF(AJ259="","",IF(AJ259=0,0,IF(W259=1,0,SUM(OFFSET($CO$17,N259,1):OFFSET($CO$17,N259+W259-2,1))/W259)))</f>
        <v/>
      </c>
      <c r="AL259" s="1" t="str">
        <f t="shared" ref="AL259:AL313" si="274">IF($B259="","",IF($K259="",0,SUM(AI259:AK259)+SUM(AB259:AC259)+SUM(AG259:AH259)+CI259))</f>
        <v/>
      </c>
      <c r="AM259" s="1" t="str">
        <f>IF($B259="","",SUMIFS($AL$2:AL259,$I$2:I259,$I259))</f>
        <v/>
      </c>
      <c r="AN259" s="1" t="str">
        <f t="shared" ref="AN259:AN313" si="275">IF($B259="","",$R259+$A259/1000000)</f>
        <v/>
      </c>
      <c r="AO259" s="1" t="str">
        <f>IFERROR(IF($B259="","",AVERAGEIFS($L$2:L259,$I$2:I259,I259,$L$2:L259,"&lt;&gt;0")),0)</f>
        <v/>
      </c>
      <c r="AP259" s="1" t="str">
        <f t="shared" ref="AP259:AP313" si="276">IF($B259="","",AO259/2)</f>
        <v/>
      </c>
      <c r="AQ259" s="1" t="str">
        <f>IF($B259="","",COUNTIFS($R$2:R259,1,$I$2:I259,$I259))</f>
        <v/>
      </c>
      <c r="AR259" s="1" t="str">
        <f t="array" ref="AR259">IF($B259="","",SUMPRODUCT(--($B$2:$B$313=B259),--(AM259&lt;$AM$2:$AM$313))+1)</f>
        <v/>
      </c>
      <c r="AS259" s="1" t="str">
        <f t="array" ref="AS259">IF($B259="","",SUMPRODUCT(--($B$2:$B$313=B259),--(AP259&lt;$AP$2:$AP$313))+1)</f>
        <v/>
      </c>
      <c r="AT259" s="1" t="str">
        <f t="array" ref="AT259">IF($B259="","",SUMPRODUCT(--($B$2:$B$313=B259),--(AQ259&lt;$AQ$2:$AQ$313))+1)</f>
        <v/>
      </c>
      <c r="AU259" s="1" t="str">
        <f t="shared" ref="AU259:AU313" si="277">IF($B259="","",$A259/1000000000)</f>
        <v/>
      </c>
      <c r="AV259" s="1" t="str">
        <f t="shared" ref="AV259:AV313" si="278">IF($B259="","",AR259/100+AS259/10000+AT259/1000000+AU259)</f>
        <v/>
      </c>
      <c r="AW259" s="1" t="str">
        <f t="shared" si="251"/>
        <v/>
      </c>
      <c r="AX259" s="1" t="str">
        <f t="shared" ref="AX259:AX313" si="279">IF($AW259="","",_xlfn.RANK.EQ($AW259,$AW$2:$AW$313,1))</f>
        <v/>
      </c>
      <c r="AY259" s="8" t="str">
        <f t="shared" ref="AY259:AY313" si="280">IF($B259="","",AR259/100+AS259/10000+AT259/1000000+AU259)</f>
        <v/>
      </c>
      <c r="AZ259" s="1" t="str" cm="1">
        <f t="array" ref="AZ259">IF($B259="","",SUMPRODUCT(--($B$2:$B$313=B259),--(AY259&gt;$AY$2:$AY$313))+1)</f>
        <v/>
      </c>
      <c r="BA259" s="1" t="str">
        <f t="shared" ref="BA259:BA313" si="281">IF(G259="","",G259&amp;"_"&amp;1)</f>
        <v/>
      </c>
      <c r="BB259" s="1" t="str">
        <f t="shared" ref="BB259:BB313" si="282">IF(G259="","",G259&amp;"_"&amp;2)</f>
        <v/>
      </c>
      <c r="BC259" s="1" t="str">
        <f t="shared" ref="BC259:BC313" si="283">IF(B259="","",IF(N259=1,1,0))</f>
        <v/>
      </c>
      <c r="BD259" s="1" t="str">
        <f t="shared" ref="BD259:BD313" si="284">IF(B259="","",IF(N259&lt;=3,1,0))</f>
        <v/>
      </c>
      <c r="BE259" s="1" t="str">
        <f t="shared" ref="BE259:BE313" si="285">IF(I259="","",IF(AND(COUNTIFS($A$2:$A$313,"&lt;"&amp;A259,$I$2:$I$313,$I259,$M$2:$M$313,1)=0,X259=1),0,1))</f>
        <v/>
      </c>
      <c r="BF259" s="1" t="str">
        <f t="shared" ref="BF259:BF313" si="286">IF(I259="","",MAX(J259:K259))</f>
        <v/>
      </c>
      <c r="BG259" s="1" t="str">
        <f t="shared" ref="BG259:BG313" si="287">IF(I259="","",MIN(J259:K259))</f>
        <v/>
      </c>
      <c r="BH259" s="1" t="str">
        <f t="shared" ref="BH259:BH313" si="288">IF(I259="","",COUNTIFS($B$2:$B$313,$B259,BF$2:BF$313,"&gt;"&amp;BF259)+1)</f>
        <v/>
      </c>
      <c r="BI259" s="1" t="str">
        <f t="shared" ref="BI259:BI313" si="289">IF(I259="","",COUNTIFS($B$2:$B$313,$B259,BG$2:BG$313,"&gt;"&amp;BG259)+1)</f>
        <v/>
      </c>
      <c r="BJ259" s="1" t="str">
        <f t="shared" ref="BJ259:BJ313" si="290">IF(I259="","",BH259/100+BI259/10000)</f>
        <v/>
      </c>
      <c r="BK259" s="1" t="str">
        <f t="shared" ref="BK259:BK313" si="291">IF(I259="","",IF(L259=0,"",COUNTIFS($B$2:$B$313,B259,$BJ$2:$BJ$313,BJ259)-1))</f>
        <v/>
      </c>
      <c r="BL259" s="1" t="str">
        <f t="shared" ref="BL259:BL313" si="292">IF(I259="","",0.000099)</f>
        <v/>
      </c>
      <c r="BM259" s="1" t="str">
        <f t="shared" ref="BM259:BM313" si="293">IF(I259="","",BH259/100+BI259/10000+BL259+IF(L259=0,ROW()/10000000,0))</f>
        <v/>
      </c>
      <c r="BN259" s="1" t="str">
        <f t="shared" ref="BN259:BN313" si="294">IF(I259="","",IF(L259=0,"",COUNTIFS($B$2:$B$313,B259,$BM$2:$BM$313,BM259)-1))</f>
        <v/>
      </c>
      <c r="BO259" s="1" t="str">
        <f t="shared" si="252"/>
        <v/>
      </c>
      <c r="BP259" s="1" t="str">
        <f t="shared" ref="BP259:BP313" si="295">IF(I259="","",0)</f>
        <v/>
      </c>
      <c r="BQ259" s="1" t="str" cm="1">
        <f t="array" ref="BQ259">IF(I259="","",IF(BP259=1,"",IF(L259=0,"",IF(B259=1,"",_xlfn.XLOOKUP(1,($I$2:$I$313=$I259)*($B$2:$B$313=($B259-1)),$BO$2:$BO$313)))))</f>
        <v/>
      </c>
      <c r="BR259" s="1" t="str">
        <f>IF(I259="","",IF($B259=1,_xlfn.MINIFS($BO$2:$BO$313,$B$2:$B$313,$B259),_xlfn.MINIFS(BQ$2:$BQ$313,$B$2:$B$313,$B259)))</f>
        <v/>
      </c>
      <c r="BS259" s="1" t="str">
        <f t="shared" ref="BS259:BS313" si="296">IF($I259="","",IF($B259=1,_xlfn.MINIFS($BO$2:$BO$313,$B$2:$B$313,$B259,$BO$2:$BO$313,"&lt;&gt;"&amp;$BR259),_xlfn.MINIFS($BQ$2:$BQ$313,$B$2:$B$313,$B259,$BQ$2:$BQ$313,"&lt;&gt;"&amp;$BR259)))</f>
        <v/>
      </c>
      <c r="BT259" s="1" t="str" cm="1">
        <f t="array" ref="BT259">IF($I259="","",IF($B259=1,_xlfn.XLOOKUP(1,($B$2:$B$313=$B259)*($BO$2:$BO$313=BR259),Data!$I$2:$I$313,,0),_xlfn.XLOOKUP(1,($B$2:$B$313=$B259)*($BQ$2:$BQ$313=$BR259),$I$2:$I$313,,0)))</f>
        <v/>
      </c>
      <c r="BU259" s="1" t="str" cm="1">
        <f t="array" ref="BU259">IF(I259="","",IF($B259=1,_xlfn.XLOOKUP(1,($B$2:$B$313=$B259)*($BO$2:$BO$313=$BS259),$I$2:$I$313,,0),_xlfn.XLOOKUP(1,($B$2:$B$313=$B259)*($BQ$2:$BQ$313=$BS259),$I$2:$I$313,,0)))</f>
        <v/>
      </c>
      <c r="BV259" s="1" t="str" cm="1">
        <f t="array" ref="BV259">IF($I259="","",IF($B259=1,"",IF($B259=2,_xlfn.XLOOKUP(1,($B$2:$B$313=1)*($BO$2:$BO$313=1),$I$2:$I$313,,0),_xlfn.XLOOKUP($B259-1,$B$2:$B$313,$CH$2:$CH$313,,0))))</f>
        <v/>
      </c>
      <c r="BW259" s="1" t="str" cm="1">
        <f t="array" ref="BW259">IF($I259="","",IF($B259=1,"",IF(_xlfn.XLOOKUP(1,($B$2:$B$313=$B259)*($I$2:$I$313=$BV259),$BQ$2:$BQ$313,,0)="","NOK","OK")))</f>
        <v/>
      </c>
      <c r="BX259" s="1" t="str">
        <f t="shared" ref="BX259:BX313" si="297">IF(I259="","",IF($B259=1,"",IF(BW259="OK",BV259,IF(OR(BV259=BT259,BV259=BU259),BV259,BT259))))</f>
        <v/>
      </c>
      <c r="BY259" s="1" t="str">
        <f t="shared" ref="BY259:BY313" si="298">IF($I259="","",IF($B259=1,"",IF(BX259=BT259,BU259,BT259)))</f>
        <v/>
      </c>
      <c r="BZ259" s="1" t="str">
        <f t="shared" ref="BZ259:BZ313" si="299">IF($I259="","",IF($B259=1,"",SUMIFS($BF$2:$BF$313,$B$2:$B$313,$B259,$I$2:$I$313,$BX259)))</f>
        <v/>
      </c>
      <c r="CA259" s="1" t="str">
        <f t="shared" ref="CA259:CA313" si="300">IF($I259="","",IF($B259=1,"",SUMIFS($BG$2:$BG$313,$B$2:$B$313,$B259,$I$2:$I$313,$BX259)))</f>
        <v/>
      </c>
      <c r="CB259" s="1" t="str">
        <f t="shared" ref="CB259:CB313" si="301">IF($I259="","",IF($B259=1,"",SUMIFS($BL$2:$BL$313,$B$2:$B$313,$B259,$I$2:$I$313,$BX259)))</f>
        <v/>
      </c>
      <c r="CC259" s="1" t="str">
        <f t="shared" ref="CC259:CC313" si="302">IF($I259="","",IF($B259=1,"",SUMIFS($BF$2:$BF$313,$B$2:$B$313,$B259,$I$2:$I$313,$BY259)))</f>
        <v/>
      </c>
      <c r="CD259" s="1" t="str">
        <f t="shared" ref="CD259:CD313" si="303">IF($I259="","",IF($B259=1,"",SUMIFS($BG$2:$BG$313,$B$2:$B$313,$B259,$I$2:$I$313,$BY259)))</f>
        <v/>
      </c>
      <c r="CE259" s="1" t="str">
        <f t="shared" ref="CE259:CE313" si="304">IF($I259="","",IF($B259=1,"",SUMIFS($BL$2:$BL$313,$B$2:$B$313,$B259,$I$2:$I$313,$BY259)))</f>
        <v/>
      </c>
      <c r="CF259" s="1" t="str">
        <f t="shared" ref="CF259:CF313" si="305">IF(I259="","",BX259&amp;IF(B259=1,"",IF(BX259=BV259," (P)"," ("&amp;BR259&amp;")")))</f>
        <v/>
      </c>
      <c r="CG259" s="1" t="str">
        <f t="shared" ref="CG259:CG313" si="306">IF(I259="","",IF(B259=1,"",BY259&amp;" ("&amp;IF(BY259=BT259,BR259,BS259)&amp;")"))</f>
        <v/>
      </c>
      <c r="CH259" s="1" t="str">
        <f t="shared" ref="CH259:CH313" si="307">IF($I259="","",IF($B259=1,BT259,IF(BZ259=CC259,IF(CA259=CD259,IF(CB259&lt;CE259,BX259,BY259),IF(CA259&gt;CD259,BX259,BY259)),IF(BZ259&gt;CC259,BX259,BY259))))</f>
        <v/>
      </c>
      <c r="CI259" s="1" t="str">
        <f t="shared" ref="CI259:CI313" si="308">IF($I259="","",IF(I259=CH259,1,0))</f>
        <v/>
      </c>
      <c r="CJ259" s="1" t="str">
        <f>IF(B259="","",IF(SUM(AI259:AK259)&gt;0,"+SP","")&amp;IF(CI259&gt;0,"+KK","")&amp;IF(AB259&gt;0,"+KGP1","")&amp;IF(AC259&gt;0,"+KGP2","")&amp;IF(AG259&lt;0,"-KGP1","")&amp;IF(AH259&lt;0,"-KGP2",""))</f>
        <v/>
      </c>
    </row>
    <row r="260" spans="1:88" x14ac:dyDescent="0.25">
      <c r="A260" s="1" t="str">
        <f>IFERROR(IF(ROW(A259)=1,1,IF(1+A259&lt;=$CP$1*$CP$2,1+A259,"")),"")</f>
        <v/>
      </c>
      <c r="B260" s="1" t="str">
        <f>IF($I260="","",IF(ROW(B259)=1,1,ROUNDUP(A260/$CP$2,0)))</f>
        <v/>
      </c>
      <c r="C260" s="4" t="str">
        <f t="shared" si="253"/>
        <v/>
      </c>
      <c r="D260" s="4" t="str">
        <f t="shared" si="248"/>
        <v/>
      </c>
      <c r="E260" s="1" t="str">
        <f>IF($B260="","",COUNTIF($B$2:B260,B260))</f>
        <v/>
      </c>
      <c r="F260" s="1" t="str">
        <f t="shared" si="249"/>
        <v/>
      </c>
      <c r="G260" s="1" t="str">
        <f t="shared" si="254"/>
        <v/>
      </c>
      <c r="H260" s="1">
        <f t="shared" si="255"/>
        <v>0</v>
      </c>
      <c r="I260" s="3"/>
      <c r="J260" s="3"/>
      <c r="K260" s="3"/>
      <c r="L260" s="1" t="str">
        <f t="shared" si="256"/>
        <v/>
      </c>
      <c r="M260" s="1" t="str">
        <f t="shared" si="257"/>
        <v/>
      </c>
      <c r="N260" s="1" t="str">
        <f t="shared" si="258"/>
        <v/>
      </c>
      <c r="O260" s="1" t="str">
        <f t="shared" si="259"/>
        <v/>
      </c>
      <c r="P260" s="1" t="str">
        <f t="shared" si="260"/>
        <v/>
      </c>
      <c r="Q260" s="1" t="str">
        <f t="array" ref="Q260">IF($B260="","",IF(MAX(IF(B260=$B$2:$B$313,$L$2:$L$313))-L260=0,"",MAX(IF(B260=$B$2:$B$313,$L$2:$L$313))-L260))</f>
        <v/>
      </c>
      <c r="R260" s="1" t="str">
        <f t="array" ref="R260">IF($B260="","",SUMPRODUCT(--($B$2:$B$313=B260),--(L260&lt;$L$2:$L$313))+1)</f>
        <v/>
      </c>
      <c r="S260" s="1" t="str">
        <f t="shared" si="261"/>
        <v/>
      </c>
      <c r="T260" s="1" t="str" cm="1">
        <f t="array" ref="T260">IF($B260="","",IF(M260=0,"",SUMPRODUCT(--($B$2:$B$313=B260),--(J260&lt;$J$2:$J$313))+1))</f>
        <v/>
      </c>
      <c r="U260" s="1" t="str">
        <f t="shared" si="262"/>
        <v/>
      </c>
      <c r="V260" s="1" t="str">
        <f t="shared" si="263"/>
        <v/>
      </c>
      <c r="W260" s="1" t="str">
        <f t="shared" si="264"/>
        <v/>
      </c>
      <c r="X260" s="1" t="str">
        <f t="shared" si="250"/>
        <v/>
      </c>
      <c r="Y260" s="1" t="str">
        <f>IF($B260="","",MAX(_xlfn.MAXIFS($J$2:J260,$I$2:I260,$I260),_xlfn.MAXIFS($K$2:K260,$I$2:I260,$I260)))</f>
        <v/>
      </c>
      <c r="Z260" s="1" t="str">
        <f t="shared" si="265"/>
        <v/>
      </c>
      <c r="AA260" s="1" t="str">
        <f t="shared" si="266"/>
        <v/>
      </c>
      <c r="AB260" s="1" t="str">
        <f t="shared" si="267"/>
        <v/>
      </c>
      <c r="AC260" s="1" t="str">
        <f t="shared" si="268"/>
        <v/>
      </c>
      <c r="AD260" s="1" t="str">
        <f>IF($B260="","",MIN(_xlfn.MINIFS($J$2:J260,$I$2:I260,$I260),_xlfn.MINIFS($K$2:K260,$I$2:I260,$I260)))</f>
        <v/>
      </c>
      <c r="AE260" s="1" t="str">
        <f t="shared" si="269"/>
        <v/>
      </c>
      <c r="AF260" s="1" t="str">
        <f t="shared" si="270"/>
        <v/>
      </c>
      <c r="AG260" s="1" t="str">
        <f t="shared" si="271"/>
        <v/>
      </c>
      <c r="AH260" s="1" t="str">
        <f t="shared" si="272"/>
        <v/>
      </c>
      <c r="AI260" s="1" t="str">
        <f ca="1">IF($B260="","",IF($K260="",0,OFFSET($CO$17,R260,W260)))</f>
        <v/>
      </c>
      <c r="AJ260" s="1" t="str">
        <f t="shared" ca="1" si="273"/>
        <v/>
      </c>
      <c r="AK260" s="1" t="str">
        <f ca="1">IF(AJ260="","",IF(AJ260=0,0,IF(W260=1,0,SUM(OFFSET($CO$17,N260,1):OFFSET($CO$17,N260+W260-2,1))/W260)))</f>
        <v/>
      </c>
      <c r="AL260" s="1" t="str">
        <f t="shared" si="274"/>
        <v/>
      </c>
      <c r="AM260" s="1" t="str">
        <f>IF($B260="","",SUMIFS($AL$2:AL260,$I$2:I260,$I260))</f>
        <v/>
      </c>
      <c r="AN260" s="1" t="str">
        <f t="shared" si="275"/>
        <v/>
      </c>
      <c r="AO260" s="1" t="str">
        <f>IFERROR(IF($B260="","",AVERAGEIFS($L$2:L260,$I$2:I260,I260,$L$2:L260,"&lt;&gt;0")),0)</f>
        <v/>
      </c>
      <c r="AP260" s="1" t="str">
        <f t="shared" si="276"/>
        <v/>
      </c>
      <c r="AQ260" s="1" t="str">
        <f>IF($B260="","",COUNTIFS($R$2:R260,1,$I$2:I260,$I260))</f>
        <v/>
      </c>
      <c r="AR260" s="1" t="str">
        <f t="array" ref="AR260">IF($B260="","",SUMPRODUCT(--($B$2:$B$313=B260),--(AM260&lt;$AM$2:$AM$313))+1)</f>
        <v/>
      </c>
      <c r="AS260" s="1" t="str">
        <f t="array" ref="AS260">IF($B260="","",SUMPRODUCT(--($B$2:$B$313=B260),--(AP260&lt;$AP$2:$AP$313))+1)</f>
        <v/>
      </c>
      <c r="AT260" s="1" t="str">
        <f t="array" ref="AT260">IF($B260="","",SUMPRODUCT(--($B$2:$B$313=B260),--(AQ260&lt;$AQ$2:$AQ$313))+1)</f>
        <v/>
      </c>
      <c r="AU260" s="1" t="str">
        <f t="shared" si="277"/>
        <v/>
      </c>
      <c r="AV260" s="1" t="str">
        <f t="shared" si="278"/>
        <v/>
      </c>
      <c r="AW260" s="1" t="str">
        <f t="shared" si="251"/>
        <v/>
      </c>
      <c r="AX260" s="1" t="str">
        <f t="shared" si="279"/>
        <v/>
      </c>
      <c r="AY260" s="8" t="str">
        <f t="shared" si="280"/>
        <v/>
      </c>
      <c r="AZ260" s="1" t="str" cm="1">
        <f t="array" ref="AZ260">IF($B260="","",SUMPRODUCT(--($B$2:$B$313=B260),--(AY260&gt;$AY$2:$AY$313))+1)</f>
        <v/>
      </c>
      <c r="BA260" s="1" t="str">
        <f t="shared" si="281"/>
        <v/>
      </c>
      <c r="BB260" s="1" t="str">
        <f t="shared" si="282"/>
        <v/>
      </c>
      <c r="BC260" s="1" t="str">
        <f t="shared" si="283"/>
        <v/>
      </c>
      <c r="BD260" s="1" t="str">
        <f t="shared" si="284"/>
        <v/>
      </c>
      <c r="BE260" s="1" t="str">
        <f t="shared" si="285"/>
        <v/>
      </c>
      <c r="BF260" s="1" t="str">
        <f t="shared" si="286"/>
        <v/>
      </c>
      <c r="BG260" s="1" t="str">
        <f t="shared" si="287"/>
        <v/>
      </c>
      <c r="BH260" s="1" t="str">
        <f t="shared" si="288"/>
        <v/>
      </c>
      <c r="BI260" s="1" t="str">
        <f t="shared" si="289"/>
        <v/>
      </c>
      <c r="BJ260" s="1" t="str">
        <f t="shared" si="290"/>
        <v/>
      </c>
      <c r="BK260" s="1" t="str">
        <f t="shared" si="291"/>
        <v/>
      </c>
      <c r="BL260" s="1" t="str">
        <f t="shared" si="292"/>
        <v/>
      </c>
      <c r="BM260" s="1" t="str">
        <f t="shared" si="293"/>
        <v/>
      </c>
      <c r="BN260" s="1" t="str">
        <f t="shared" si="294"/>
        <v/>
      </c>
      <c r="BO260" s="1" t="str">
        <f t="shared" si="252"/>
        <v/>
      </c>
      <c r="BP260" s="1" t="str">
        <f t="shared" si="295"/>
        <v/>
      </c>
      <c r="BQ260" s="1" t="str" cm="1">
        <f t="array" ref="BQ260">IF(I260="","",IF(BP260=1,"",IF(L260=0,"",IF(B260=1,"",_xlfn.XLOOKUP(1,($I$2:$I$313=$I260)*($B$2:$B$313=($B260-1)),$BO$2:$BO$313)))))</f>
        <v/>
      </c>
      <c r="BR260" s="1" t="str">
        <f>IF(I260="","",IF($B260=1,_xlfn.MINIFS($BO$2:$BO$313,$B$2:$B$313,$B260),_xlfn.MINIFS(BQ$2:$BQ$313,$B$2:$B$313,$B260)))</f>
        <v/>
      </c>
      <c r="BS260" s="1" t="str">
        <f t="shared" si="296"/>
        <v/>
      </c>
      <c r="BT260" s="1" t="str" cm="1">
        <f t="array" ref="BT260">IF($I260="","",IF($B260=1,_xlfn.XLOOKUP(1,($B$2:$B$313=$B260)*($BO$2:$BO$313=BR260),Data!$I$2:$I$313,,0),_xlfn.XLOOKUP(1,($B$2:$B$313=$B260)*($BQ$2:$BQ$313=$BR260),$I$2:$I$313,,0)))</f>
        <v/>
      </c>
      <c r="BU260" s="1" t="str" cm="1">
        <f t="array" ref="BU260">IF(I260="","",IF($B260=1,_xlfn.XLOOKUP(1,($B$2:$B$313=$B260)*($BO$2:$BO$313=$BS260),$I$2:$I$313,,0),_xlfn.XLOOKUP(1,($B$2:$B$313=$B260)*($BQ$2:$BQ$313=$BS260),$I$2:$I$313,,0)))</f>
        <v/>
      </c>
      <c r="BV260" s="1" t="str" cm="1">
        <f t="array" ref="BV260">IF($I260="","",IF($B260=1,"",IF($B260=2,_xlfn.XLOOKUP(1,($B$2:$B$313=1)*($BO$2:$BO$313=1),$I$2:$I$313,,0),_xlfn.XLOOKUP($B260-1,$B$2:$B$313,$CH$2:$CH$313,,0))))</f>
        <v/>
      </c>
      <c r="BW260" s="1" t="str" cm="1">
        <f t="array" ref="BW260">IF($I260="","",IF($B260=1,"",IF(_xlfn.XLOOKUP(1,($B$2:$B$313=$B260)*($I$2:$I$313=$BV260),$BQ$2:$BQ$313,,0)="","NOK","OK")))</f>
        <v/>
      </c>
      <c r="BX260" s="1" t="str">
        <f t="shared" si="297"/>
        <v/>
      </c>
      <c r="BY260" s="1" t="str">
        <f t="shared" si="298"/>
        <v/>
      </c>
      <c r="BZ260" s="1" t="str">
        <f t="shared" si="299"/>
        <v/>
      </c>
      <c r="CA260" s="1" t="str">
        <f t="shared" si="300"/>
        <v/>
      </c>
      <c r="CB260" s="1" t="str">
        <f t="shared" si="301"/>
        <v/>
      </c>
      <c r="CC260" s="1" t="str">
        <f t="shared" si="302"/>
        <v/>
      </c>
      <c r="CD260" s="1" t="str">
        <f t="shared" si="303"/>
        <v/>
      </c>
      <c r="CE260" s="1" t="str">
        <f t="shared" si="304"/>
        <v/>
      </c>
      <c r="CF260" s="1" t="str">
        <f t="shared" si="305"/>
        <v/>
      </c>
      <c r="CG260" s="1" t="str">
        <f t="shared" si="306"/>
        <v/>
      </c>
      <c r="CH260" s="1" t="str">
        <f t="shared" si="307"/>
        <v/>
      </c>
      <c r="CI260" s="1" t="str">
        <f t="shared" si="308"/>
        <v/>
      </c>
      <c r="CJ260" s="1" t="str">
        <f>IF(B260="","",IF(SUM(AI260:AK260)&gt;0,"+SP","")&amp;IF(CI260&gt;0,"+KK","")&amp;IF(AB260&gt;0,"+KGP1","")&amp;IF(AC260&gt;0,"+KGP2","")&amp;IF(AG260&lt;0,"-KGP1","")&amp;IF(AH260&lt;0,"-KGP2",""))</f>
        <v/>
      </c>
    </row>
    <row r="261" spans="1:88" x14ac:dyDescent="0.25">
      <c r="A261" s="1" t="str">
        <f>IFERROR(IF(ROW(A260)=1,1,IF(1+A260&lt;=$CP$1*$CP$2,1+A260,"")),"")</f>
        <v/>
      </c>
      <c r="B261" s="1" t="str">
        <f>IF($I261="","",IF(ROW(B260)=1,1,ROUNDUP(A261/$CP$2,0)))</f>
        <v/>
      </c>
      <c r="C261" s="4" t="str">
        <f t="shared" si="253"/>
        <v/>
      </c>
      <c r="D261" s="4" t="str">
        <f t="shared" si="248"/>
        <v/>
      </c>
      <c r="E261" s="1" t="str">
        <f>IF($B261="","",COUNTIF($B$2:B261,B261))</f>
        <v/>
      </c>
      <c r="F261" s="1" t="str">
        <f t="shared" si="249"/>
        <v/>
      </c>
      <c r="G261" s="1" t="str">
        <f t="shared" si="254"/>
        <v/>
      </c>
      <c r="H261" s="1">
        <f t="shared" si="255"/>
        <v>0</v>
      </c>
      <c r="I261" s="3"/>
      <c r="J261" s="3"/>
      <c r="K261" s="3"/>
      <c r="L261" s="1" t="str">
        <f t="shared" si="256"/>
        <v/>
      </c>
      <c r="M261" s="1" t="str">
        <f t="shared" si="257"/>
        <v/>
      </c>
      <c r="N261" s="1" t="str">
        <f t="shared" si="258"/>
        <v/>
      </c>
      <c r="O261" s="1" t="str">
        <f t="shared" si="259"/>
        <v/>
      </c>
      <c r="P261" s="1" t="str">
        <f t="shared" si="260"/>
        <v/>
      </c>
      <c r="Q261" s="1" t="str">
        <f t="array" ref="Q261">IF($B261="","",IF(MAX(IF(B261=$B$2:$B$313,$L$2:$L$313))-L261=0,"",MAX(IF(B261=$B$2:$B$313,$L$2:$L$313))-L261))</f>
        <v/>
      </c>
      <c r="R261" s="1" t="str">
        <f t="array" ref="R261">IF($B261="","",SUMPRODUCT(--($B$2:$B$313=B261),--(L261&lt;$L$2:$L$313))+1)</f>
        <v/>
      </c>
      <c r="S261" s="1" t="str">
        <f t="shared" si="261"/>
        <v/>
      </c>
      <c r="T261" s="1" t="str" cm="1">
        <f t="array" ref="T261">IF($B261="","",IF(M261=0,"",SUMPRODUCT(--($B$2:$B$313=B261),--(J261&lt;$J$2:$J$313))+1))</f>
        <v/>
      </c>
      <c r="U261" s="1" t="str">
        <f t="shared" si="262"/>
        <v/>
      </c>
      <c r="V261" s="1" t="str">
        <f t="shared" si="263"/>
        <v/>
      </c>
      <c r="W261" s="1" t="str">
        <f t="shared" si="264"/>
        <v/>
      </c>
      <c r="X261" s="1" t="str">
        <f t="shared" si="250"/>
        <v/>
      </c>
      <c r="Y261" s="1" t="str">
        <f>IF($B261="","",MAX(_xlfn.MAXIFS($J$2:J261,$I$2:I261,$I261),_xlfn.MAXIFS($K$2:K261,$I$2:I261,$I261)))</f>
        <v/>
      </c>
      <c r="Z261" s="1" t="str">
        <f t="shared" si="265"/>
        <v/>
      </c>
      <c r="AA261" s="1" t="str">
        <f t="shared" si="266"/>
        <v/>
      </c>
      <c r="AB261" s="1" t="str">
        <f t="shared" si="267"/>
        <v/>
      </c>
      <c r="AC261" s="1" t="str">
        <f t="shared" si="268"/>
        <v/>
      </c>
      <c r="AD261" s="1" t="str">
        <f>IF($B261="","",MIN(_xlfn.MINIFS($J$2:J261,$I$2:I261,$I261),_xlfn.MINIFS($K$2:K261,$I$2:I261,$I261)))</f>
        <v/>
      </c>
      <c r="AE261" s="1" t="str">
        <f t="shared" si="269"/>
        <v/>
      </c>
      <c r="AF261" s="1" t="str">
        <f t="shared" si="270"/>
        <v/>
      </c>
      <c r="AG261" s="1" t="str">
        <f t="shared" si="271"/>
        <v/>
      </c>
      <c r="AH261" s="1" t="str">
        <f t="shared" si="272"/>
        <v/>
      </c>
      <c r="AI261" s="1" t="str">
        <f ca="1">IF($B261="","",IF($K261="",0,OFFSET($CO$17,R261,W261)))</f>
        <v/>
      </c>
      <c r="AJ261" s="1" t="str">
        <f t="shared" ca="1" si="273"/>
        <v/>
      </c>
      <c r="AK261" s="1" t="str">
        <f ca="1">IF(AJ261="","",IF(AJ261=0,0,IF(W261=1,0,SUM(OFFSET($CO$17,N261,1):OFFSET($CO$17,N261+W261-2,1))/W261)))</f>
        <v/>
      </c>
      <c r="AL261" s="1" t="str">
        <f t="shared" si="274"/>
        <v/>
      </c>
      <c r="AM261" s="1" t="str">
        <f>IF($B261="","",SUMIFS($AL$2:AL261,$I$2:I261,$I261))</f>
        <v/>
      </c>
      <c r="AN261" s="1" t="str">
        <f t="shared" si="275"/>
        <v/>
      </c>
      <c r="AO261" s="1" t="str">
        <f>IFERROR(IF($B261="","",AVERAGEIFS($L$2:L261,$I$2:I261,I261,$L$2:L261,"&lt;&gt;0")),0)</f>
        <v/>
      </c>
      <c r="AP261" s="1" t="str">
        <f t="shared" si="276"/>
        <v/>
      </c>
      <c r="AQ261" s="1" t="str">
        <f>IF($B261="","",COUNTIFS($R$2:R261,1,$I$2:I261,$I261))</f>
        <v/>
      </c>
      <c r="AR261" s="1" t="str">
        <f t="array" ref="AR261">IF($B261="","",SUMPRODUCT(--($B$2:$B$313=B261),--(AM261&lt;$AM$2:$AM$313))+1)</f>
        <v/>
      </c>
      <c r="AS261" s="1" t="str">
        <f t="array" ref="AS261">IF($B261="","",SUMPRODUCT(--($B$2:$B$313=B261),--(AP261&lt;$AP$2:$AP$313))+1)</f>
        <v/>
      </c>
      <c r="AT261" s="1" t="str">
        <f t="array" ref="AT261">IF($B261="","",SUMPRODUCT(--($B$2:$B$313=B261),--(AQ261&lt;$AQ$2:$AQ$313))+1)</f>
        <v/>
      </c>
      <c r="AU261" s="1" t="str">
        <f t="shared" si="277"/>
        <v/>
      </c>
      <c r="AV261" s="1" t="str">
        <f t="shared" si="278"/>
        <v/>
      </c>
      <c r="AW261" s="1" t="str">
        <f t="shared" si="251"/>
        <v/>
      </c>
      <c r="AX261" s="1" t="str">
        <f t="shared" si="279"/>
        <v/>
      </c>
      <c r="AY261" s="8" t="str">
        <f t="shared" si="280"/>
        <v/>
      </c>
      <c r="AZ261" s="1" t="str" cm="1">
        <f t="array" ref="AZ261">IF($B261="","",SUMPRODUCT(--($B$2:$B$313=B261),--(AY261&gt;$AY$2:$AY$313))+1)</f>
        <v/>
      </c>
      <c r="BA261" s="1" t="str">
        <f t="shared" si="281"/>
        <v/>
      </c>
      <c r="BB261" s="1" t="str">
        <f t="shared" si="282"/>
        <v/>
      </c>
      <c r="BC261" s="1" t="str">
        <f t="shared" si="283"/>
        <v/>
      </c>
      <c r="BD261" s="1" t="str">
        <f t="shared" si="284"/>
        <v/>
      </c>
      <c r="BE261" s="1" t="str">
        <f t="shared" si="285"/>
        <v/>
      </c>
      <c r="BF261" s="1" t="str">
        <f t="shared" si="286"/>
        <v/>
      </c>
      <c r="BG261" s="1" t="str">
        <f t="shared" si="287"/>
        <v/>
      </c>
      <c r="BH261" s="1" t="str">
        <f t="shared" si="288"/>
        <v/>
      </c>
      <c r="BI261" s="1" t="str">
        <f t="shared" si="289"/>
        <v/>
      </c>
      <c r="BJ261" s="1" t="str">
        <f t="shared" si="290"/>
        <v/>
      </c>
      <c r="BK261" s="1" t="str">
        <f t="shared" si="291"/>
        <v/>
      </c>
      <c r="BL261" s="1" t="str">
        <f t="shared" si="292"/>
        <v/>
      </c>
      <c r="BM261" s="1" t="str">
        <f t="shared" si="293"/>
        <v/>
      </c>
      <c r="BN261" s="1" t="str">
        <f t="shared" si="294"/>
        <v/>
      </c>
      <c r="BO261" s="1" t="str">
        <f t="shared" si="252"/>
        <v/>
      </c>
      <c r="BP261" s="1" t="str">
        <f t="shared" si="295"/>
        <v/>
      </c>
      <c r="BQ261" s="1" t="str" cm="1">
        <f t="array" ref="BQ261">IF(I261="","",IF(BP261=1,"",IF(L261=0,"",IF(B261=1,"",_xlfn.XLOOKUP(1,($I$2:$I$313=$I261)*($B$2:$B$313=($B261-1)),$BO$2:$BO$313)))))</f>
        <v/>
      </c>
      <c r="BR261" s="1" t="str">
        <f>IF(I261="","",IF($B261=1,_xlfn.MINIFS($BO$2:$BO$313,$B$2:$B$313,$B261),_xlfn.MINIFS(BQ$2:$BQ$313,$B$2:$B$313,$B261)))</f>
        <v/>
      </c>
      <c r="BS261" s="1" t="str">
        <f t="shared" si="296"/>
        <v/>
      </c>
      <c r="BT261" s="1" t="str" cm="1">
        <f t="array" ref="BT261">IF($I261="","",IF($B261=1,_xlfn.XLOOKUP(1,($B$2:$B$313=$B261)*($BO$2:$BO$313=BR261),Data!$I$2:$I$313,,0),_xlfn.XLOOKUP(1,($B$2:$B$313=$B261)*($BQ$2:$BQ$313=$BR261),$I$2:$I$313,,0)))</f>
        <v/>
      </c>
      <c r="BU261" s="1" t="str" cm="1">
        <f t="array" ref="BU261">IF(I261="","",IF($B261=1,_xlfn.XLOOKUP(1,($B$2:$B$313=$B261)*($BO$2:$BO$313=$BS261),$I$2:$I$313,,0),_xlfn.XLOOKUP(1,($B$2:$B$313=$B261)*($BQ$2:$BQ$313=$BS261),$I$2:$I$313,,0)))</f>
        <v/>
      </c>
      <c r="BV261" s="1" t="str" cm="1">
        <f t="array" ref="BV261">IF($I261="","",IF($B261=1,"",IF($B261=2,_xlfn.XLOOKUP(1,($B$2:$B$313=1)*($BO$2:$BO$313=1),$I$2:$I$313,,0),_xlfn.XLOOKUP($B261-1,$B$2:$B$313,$CH$2:$CH$313,,0))))</f>
        <v/>
      </c>
      <c r="BW261" s="1" t="str" cm="1">
        <f t="array" ref="BW261">IF($I261="","",IF($B261=1,"",IF(_xlfn.XLOOKUP(1,($B$2:$B$313=$B261)*($I$2:$I$313=$BV261),$BQ$2:$BQ$313,,0)="","NOK","OK")))</f>
        <v/>
      </c>
      <c r="BX261" s="1" t="str">
        <f t="shared" si="297"/>
        <v/>
      </c>
      <c r="BY261" s="1" t="str">
        <f t="shared" si="298"/>
        <v/>
      </c>
      <c r="BZ261" s="1" t="str">
        <f t="shared" si="299"/>
        <v/>
      </c>
      <c r="CA261" s="1" t="str">
        <f t="shared" si="300"/>
        <v/>
      </c>
      <c r="CB261" s="1" t="str">
        <f t="shared" si="301"/>
        <v/>
      </c>
      <c r="CC261" s="1" t="str">
        <f t="shared" si="302"/>
        <v/>
      </c>
      <c r="CD261" s="1" t="str">
        <f t="shared" si="303"/>
        <v/>
      </c>
      <c r="CE261" s="1" t="str">
        <f t="shared" si="304"/>
        <v/>
      </c>
      <c r="CF261" s="1" t="str">
        <f t="shared" si="305"/>
        <v/>
      </c>
      <c r="CG261" s="1" t="str">
        <f t="shared" si="306"/>
        <v/>
      </c>
      <c r="CH261" s="1" t="str">
        <f t="shared" si="307"/>
        <v/>
      </c>
      <c r="CI261" s="1" t="str">
        <f t="shared" si="308"/>
        <v/>
      </c>
      <c r="CJ261" s="1" t="str">
        <f>IF(B261="","",IF(SUM(AI261:AK261)&gt;0,"+SP","")&amp;IF(CI261&gt;0,"+KK","")&amp;IF(AB261&gt;0,"+KGP1","")&amp;IF(AC261&gt;0,"+KGP2","")&amp;IF(AG261&lt;0,"-KGP1","")&amp;IF(AH261&lt;0,"-KGP2",""))</f>
        <v/>
      </c>
    </row>
    <row r="262" spans="1:88" x14ac:dyDescent="0.25">
      <c r="A262" s="1" t="str">
        <f>IFERROR(IF(ROW(A261)=1,1,IF(1+A261&lt;=$CP$1*$CP$2,1+A261,"")),"")</f>
        <v/>
      </c>
      <c r="B262" s="1" t="str">
        <f>IF($I262="","",IF(ROW(B261)=1,1,ROUNDUP(A262/$CP$2,0)))</f>
        <v/>
      </c>
      <c r="C262" s="4" t="str">
        <f t="shared" si="253"/>
        <v/>
      </c>
      <c r="D262" s="4" t="str">
        <f t="shared" si="248"/>
        <v/>
      </c>
      <c r="E262" s="1" t="str">
        <f>IF($B262="","",COUNTIF($B$2:B262,B262))</f>
        <v/>
      </c>
      <c r="F262" s="1" t="str">
        <f t="shared" si="249"/>
        <v/>
      </c>
      <c r="G262" s="1" t="str">
        <f t="shared" si="254"/>
        <v/>
      </c>
      <c r="H262" s="1">
        <f t="shared" si="255"/>
        <v>0</v>
      </c>
      <c r="I262" s="3"/>
      <c r="J262" s="3"/>
      <c r="K262" s="3"/>
      <c r="L262" s="1" t="str">
        <f t="shared" si="256"/>
        <v/>
      </c>
      <c r="M262" s="1" t="str">
        <f t="shared" si="257"/>
        <v/>
      </c>
      <c r="N262" s="1" t="str">
        <f t="shared" si="258"/>
        <v/>
      </c>
      <c r="O262" s="1" t="str">
        <f t="shared" si="259"/>
        <v/>
      </c>
      <c r="P262" s="1" t="str">
        <f t="shared" si="260"/>
        <v/>
      </c>
      <c r="Q262" s="1" t="str">
        <f t="array" ref="Q262">IF($B262="","",IF(MAX(IF(B262=$B$2:$B$313,$L$2:$L$313))-L262=0,"",MAX(IF(B262=$B$2:$B$313,$L$2:$L$313))-L262))</f>
        <v/>
      </c>
      <c r="R262" s="1" t="str">
        <f t="array" ref="R262">IF($B262="","",SUMPRODUCT(--($B$2:$B$313=B262),--(L262&lt;$L$2:$L$313))+1)</f>
        <v/>
      </c>
      <c r="S262" s="1" t="str">
        <f t="shared" si="261"/>
        <v/>
      </c>
      <c r="T262" s="1" t="str" cm="1">
        <f t="array" ref="T262">IF($B262="","",IF(M262=0,"",SUMPRODUCT(--($B$2:$B$313=B262),--(J262&lt;$J$2:$J$313))+1))</f>
        <v/>
      </c>
      <c r="U262" s="1" t="str">
        <f t="shared" si="262"/>
        <v/>
      </c>
      <c r="V262" s="1" t="str">
        <f t="shared" si="263"/>
        <v/>
      </c>
      <c r="W262" s="1" t="str">
        <f t="shared" si="264"/>
        <v/>
      </c>
      <c r="X262" s="1" t="str">
        <f t="shared" si="250"/>
        <v/>
      </c>
      <c r="Y262" s="1" t="str">
        <f>IF($B262="","",MAX(_xlfn.MAXIFS($J$2:J262,$I$2:I262,$I262),_xlfn.MAXIFS($K$2:K262,$I$2:I262,$I262)))</f>
        <v/>
      </c>
      <c r="Z262" s="1" t="str">
        <f t="shared" si="265"/>
        <v/>
      </c>
      <c r="AA262" s="1" t="str">
        <f t="shared" si="266"/>
        <v/>
      </c>
      <c r="AB262" s="1" t="str">
        <f t="shared" si="267"/>
        <v/>
      </c>
      <c r="AC262" s="1" t="str">
        <f t="shared" si="268"/>
        <v/>
      </c>
      <c r="AD262" s="1" t="str">
        <f>IF($B262="","",MIN(_xlfn.MINIFS($J$2:J262,$I$2:I262,$I262),_xlfn.MINIFS($K$2:K262,$I$2:I262,$I262)))</f>
        <v/>
      </c>
      <c r="AE262" s="1" t="str">
        <f t="shared" si="269"/>
        <v/>
      </c>
      <c r="AF262" s="1" t="str">
        <f t="shared" si="270"/>
        <v/>
      </c>
      <c r="AG262" s="1" t="str">
        <f t="shared" si="271"/>
        <v/>
      </c>
      <c r="AH262" s="1" t="str">
        <f t="shared" si="272"/>
        <v/>
      </c>
      <c r="AI262" s="1" t="str">
        <f ca="1">IF($B262="","",IF($K262="",0,OFFSET($CO$17,R262,W262)))</f>
        <v/>
      </c>
      <c r="AJ262" s="1" t="str">
        <f t="shared" ca="1" si="273"/>
        <v/>
      </c>
      <c r="AK262" s="1" t="str">
        <f ca="1">IF(AJ262="","",IF(AJ262=0,0,IF(W262=1,0,SUM(OFFSET($CO$17,N262,1):OFFSET($CO$17,N262+W262-2,1))/W262)))</f>
        <v/>
      </c>
      <c r="AL262" s="1" t="str">
        <f t="shared" si="274"/>
        <v/>
      </c>
      <c r="AM262" s="1" t="str">
        <f>IF($B262="","",SUMIFS($AL$2:AL262,$I$2:I262,$I262))</f>
        <v/>
      </c>
      <c r="AN262" s="1" t="str">
        <f t="shared" si="275"/>
        <v/>
      </c>
      <c r="AO262" s="1" t="str">
        <f>IFERROR(IF($B262="","",AVERAGEIFS($L$2:L262,$I$2:I262,I262,$L$2:L262,"&lt;&gt;0")),0)</f>
        <v/>
      </c>
      <c r="AP262" s="1" t="str">
        <f t="shared" si="276"/>
        <v/>
      </c>
      <c r="AQ262" s="1" t="str">
        <f>IF($B262="","",COUNTIFS($R$2:R262,1,$I$2:I262,$I262))</f>
        <v/>
      </c>
      <c r="AR262" s="1" t="str">
        <f t="array" ref="AR262">IF($B262="","",SUMPRODUCT(--($B$2:$B$313=B262),--(AM262&lt;$AM$2:$AM$313))+1)</f>
        <v/>
      </c>
      <c r="AS262" s="1" t="str">
        <f t="array" ref="AS262">IF($B262="","",SUMPRODUCT(--($B$2:$B$313=B262),--(AP262&lt;$AP$2:$AP$313))+1)</f>
        <v/>
      </c>
      <c r="AT262" s="1" t="str">
        <f t="array" ref="AT262">IF($B262="","",SUMPRODUCT(--($B$2:$B$313=B262),--(AQ262&lt;$AQ$2:$AQ$313))+1)</f>
        <v/>
      </c>
      <c r="AU262" s="1" t="str">
        <f t="shared" si="277"/>
        <v/>
      </c>
      <c r="AV262" s="1" t="str">
        <f t="shared" si="278"/>
        <v/>
      </c>
      <c r="AW262" s="1" t="str">
        <f t="shared" si="251"/>
        <v/>
      </c>
      <c r="AX262" s="1" t="str">
        <f t="shared" si="279"/>
        <v/>
      </c>
      <c r="AY262" s="8" t="str">
        <f t="shared" si="280"/>
        <v/>
      </c>
      <c r="AZ262" s="1" t="str" cm="1">
        <f t="array" ref="AZ262">IF($B262="","",SUMPRODUCT(--($B$2:$B$313=B262),--(AY262&gt;$AY$2:$AY$313))+1)</f>
        <v/>
      </c>
      <c r="BA262" s="1" t="str">
        <f t="shared" si="281"/>
        <v/>
      </c>
      <c r="BB262" s="1" t="str">
        <f t="shared" si="282"/>
        <v/>
      </c>
      <c r="BC262" s="1" t="str">
        <f t="shared" si="283"/>
        <v/>
      </c>
      <c r="BD262" s="1" t="str">
        <f t="shared" si="284"/>
        <v/>
      </c>
      <c r="BE262" s="1" t="str">
        <f t="shared" si="285"/>
        <v/>
      </c>
      <c r="BF262" s="1" t="str">
        <f t="shared" si="286"/>
        <v/>
      </c>
      <c r="BG262" s="1" t="str">
        <f t="shared" si="287"/>
        <v/>
      </c>
      <c r="BH262" s="1" t="str">
        <f t="shared" si="288"/>
        <v/>
      </c>
      <c r="BI262" s="1" t="str">
        <f t="shared" si="289"/>
        <v/>
      </c>
      <c r="BJ262" s="1" t="str">
        <f t="shared" si="290"/>
        <v/>
      </c>
      <c r="BK262" s="1" t="str">
        <f t="shared" si="291"/>
        <v/>
      </c>
      <c r="BL262" s="1" t="str">
        <f t="shared" si="292"/>
        <v/>
      </c>
      <c r="BM262" s="1" t="str">
        <f t="shared" si="293"/>
        <v/>
      </c>
      <c r="BN262" s="1" t="str">
        <f t="shared" si="294"/>
        <v/>
      </c>
      <c r="BO262" s="1" t="str">
        <f t="shared" si="252"/>
        <v/>
      </c>
      <c r="BP262" s="1" t="str">
        <f t="shared" si="295"/>
        <v/>
      </c>
      <c r="BQ262" s="1" t="str" cm="1">
        <f t="array" ref="BQ262">IF(I262="","",IF(BP262=1,"",IF(L262=0,"",IF(B262=1,"",_xlfn.XLOOKUP(1,($I$2:$I$313=$I262)*($B$2:$B$313=($B262-1)),$BO$2:$BO$313)))))</f>
        <v/>
      </c>
      <c r="BR262" s="1" t="str">
        <f>IF(I262="","",IF($B262=1,_xlfn.MINIFS($BO$2:$BO$313,$B$2:$B$313,$B262),_xlfn.MINIFS(BQ$2:$BQ$313,$B$2:$B$313,$B262)))</f>
        <v/>
      </c>
      <c r="BS262" s="1" t="str">
        <f t="shared" si="296"/>
        <v/>
      </c>
      <c r="BT262" s="1" t="str" cm="1">
        <f t="array" ref="BT262">IF($I262="","",IF($B262=1,_xlfn.XLOOKUP(1,($B$2:$B$313=$B262)*($BO$2:$BO$313=BR262),Data!$I$2:$I$313,,0),_xlfn.XLOOKUP(1,($B$2:$B$313=$B262)*($BQ$2:$BQ$313=$BR262),$I$2:$I$313,,0)))</f>
        <v/>
      </c>
      <c r="BU262" s="1" t="str" cm="1">
        <f t="array" ref="BU262">IF(I262="","",IF($B262=1,_xlfn.XLOOKUP(1,($B$2:$B$313=$B262)*($BO$2:$BO$313=$BS262),$I$2:$I$313,,0),_xlfn.XLOOKUP(1,($B$2:$B$313=$B262)*($BQ$2:$BQ$313=$BS262),$I$2:$I$313,,0)))</f>
        <v/>
      </c>
      <c r="BV262" s="1" t="str" cm="1">
        <f t="array" ref="BV262">IF($I262="","",IF($B262=1,"",IF($B262=2,_xlfn.XLOOKUP(1,($B$2:$B$313=1)*($BO$2:$BO$313=1),$I$2:$I$313,,0),_xlfn.XLOOKUP($B262-1,$B$2:$B$313,$CH$2:$CH$313,,0))))</f>
        <v/>
      </c>
      <c r="BW262" s="1" t="str" cm="1">
        <f t="array" ref="BW262">IF($I262="","",IF($B262=1,"",IF(_xlfn.XLOOKUP(1,($B$2:$B$313=$B262)*($I$2:$I$313=$BV262),$BQ$2:$BQ$313,,0)="","NOK","OK")))</f>
        <v/>
      </c>
      <c r="BX262" s="1" t="str">
        <f t="shared" si="297"/>
        <v/>
      </c>
      <c r="BY262" s="1" t="str">
        <f t="shared" si="298"/>
        <v/>
      </c>
      <c r="BZ262" s="1" t="str">
        <f t="shared" si="299"/>
        <v/>
      </c>
      <c r="CA262" s="1" t="str">
        <f t="shared" si="300"/>
        <v/>
      </c>
      <c r="CB262" s="1" t="str">
        <f t="shared" si="301"/>
        <v/>
      </c>
      <c r="CC262" s="1" t="str">
        <f t="shared" si="302"/>
        <v/>
      </c>
      <c r="CD262" s="1" t="str">
        <f t="shared" si="303"/>
        <v/>
      </c>
      <c r="CE262" s="1" t="str">
        <f t="shared" si="304"/>
        <v/>
      </c>
      <c r="CF262" s="1" t="str">
        <f t="shared" si="305"/>
        <v/>
      </c>
      <c r="CG262" s="1" t="str">
        <f t="shared" si="306"/>
        <v/>
      </c>
      <c r="CH262" s="1" t="str">
        <f t="shared" si="307"/>
        <v/>
      </c>
      <c r="CI262" s="1" t="str">
        <f t="shared" si="308"/>
        <v/>
      </c>
      <c r="CJ262" s="1" t="str">
        <f>IF(B262="","",IF(SUM(AI262:AK262)&gt;0,"+SP","")&amp;IF(CI262&gt;0,"+KK","")&amp;IF(AB262&gt;0,"+KGP1","")&amp;IF(AC262&gt;0,"+KGP2","")&amp;IF(AG262&lt;0,"-KGP1","")&amp;IF(AH262&lt;0,"-KGP2",""))</f>
        <v/>
      </c>
    </row>
    <row r="263" spans="1:88" x14ac:dyDescent="0.25">
      <c r="A263" s="1" t="str">
        <f>IFERROR(IF(ROW(A262)=1,1,IF(1+A262&lt;=$CP$1*$CP$2,1+A262,"")),"")</f>
        <v/>
      </c>
      <c r="B263" s="1" t="str">
        <f>IF($I263="","",IF(ROW(B262)=1,1,ROUNDUP(A263/$CP$2,0)))</f>
        <v/>
      </c>
      <c r="C263" s="4" t="str">
        <f t="shared" si="253"/>
        <v/>
      </c>
      <c r="D263" s="4" t="str">
        <f t="shared" si="248"/>
        <v/>
      </c>
      <c r="E263" s="1" t="str">
        <f>IF($B263="","",COUNTIF($B$2:B263,B263))</f>
        <v/>
      </c>
      <c r="F263" s="1" t="str">
        <f t="shared" si="249"/>
        <v/>
      </c>
      <c r="G263" s="1" t="str">
        <f t="shared" si="254"/>
        <v/>
      </c>
      <c r="H263" s="1">
        <f t="shared" si="255"/>
        <v>0</v>
      </c>
      <c r="I263" s="3"/>
      <c r="J263" s="3"/>
      <c r="K263" s="3"/>
      <c r="L263" s="1" t="str">
        <f t="shared" si="256"/>
        <v/>
      </c>
      <c r="M263" s="1" t="str">
        <f t="shared" si="257"/>
        <v/>
      </c>
      <c r="N263" s="1" t="str">
        <f t="shared" si="258"/>
        <v/>
      </c>
      <c r="O263" s="1" t="str">
        <f t="shared" si="259"/>
        <v/>
      </c>
      <c r="P263" s="1" t="str">
        <f t="shared" si="260"/>
        <v/>
      </c>
      <c r="Q263" s="1" t="str">
        <f t="array" ref="Q263">IF($B263="","",IF(MAX(IF(B263=$B$2:$B$313,$L$2:$L$313))-L263=0,"",MAX(IF(B263=$B$2:$B$313,$L$2:$L$313))-L263))</f>
        <v/>
      </c>
      <c r="R263" s="1" t="str">
        <f t="array" ref="R263">IF($B263="","",SUMPRODUCT(--($B$2:$B$313=B263),--(L263&lt;$L$2:$L$313))+1)</f>
        <v/>
      </c>
      <c r="S263" s="1" t="str">
        <f t="shared" si="261"/>
        <v/>
      </c>
      <c r="T263" s="1" t="str" cm="1">
        <f t="array" ref="T263">IF($B263="","",IF(M263=0,"",SUMPRODUCT(--($B$2:$B$313=B263),--(J263&lt;$J$2:$J$313))+1))</f>
        <v/>
      </c>
      <c r="U263" s="1" t="str">
        <f t="shared" si="262"/>
        <v/>
      </c>
      <c r="V263" s="1" t="str">
        <f t="shared" si="263"/>
        <v/>
      </c>
      <c r="W263" s="1" t="str">
        <f t="shared" si="264"/>
        <v/>
      </c>
      <c r="X263" s="1" t="str">
        <f t="shared" si="250"/>
        <v/>
      </c>
      <c r="Y263" s="1" t="str">
        <f>IF($B263="","",MAX(_xlfn.MAXIFS($J$2:J263,$I$2:I263,$I263),_xlfn.MAXIFS($K$2:K263,$I$2:I263,$I263)))</f>
        <v/>
      </c>
      <c r="Z263" s="1" t="str">
        <f t="shared" si="265"/>
        <v/>
      </c>
      <c r="AA263" s="1" t="str">
        <f t="shared" si="266"/>
        <v/>
      </c>
      <c r="AB263" s="1" t="str">
        <f t="shared" si="267"/>
        <v/>
      </c>
      <c r="AC263" s="1" t="str">
        <f t="shared" si="268"/>
        <v/>
      </c>
      <c r="AD263" s="1" t="str">
        <f>IF($B263="","",MIN(_xlfn.MINIFS($J$2:J263,$I$2:I263,$I263),_xlfn.MINIFS($K$2:K263,$I$2:I263,$I263)))</f>
        <v/>
      </c>
      <c r="AE263" s="1" t="str">
        <f t="shared" si="269"/>
        <v/>
      </c>
      <c r="AF263" s="1" t="str">
        <f t="shared" si="270"/>
        <v/>
      </c>
      <c r="AG263" s="1" t="str">
        <f t="shared" si="271"/>
        <v/>
      </c>
      <c r="AH263" s="1" t="str">
        <f t="shared" si="272"/>
        <v/>
      </c>
      <c r="AI263" s="1" t="str">
        <f ca="1">IF($B263="","",IF($K263="",0,OFFSET($CO$17,R263,W263)))</f>
        <v/>
      </c>
      <c r="AJ263" s="1" t="str">
        <f t="shared" ca="1" si="273"/>
        <v/>
      </c>
      <c r="AK263" s="1" t="str">
        <f ca="1">IF(AJ263="","",IF(AJ263=0,0,IF(W263=1,0,SUM(OFFSET($CO$17,N263,1):OFFSET($CO$17,N263+W263-2,1))/W263)))</f>
        <v/>
      </c>
      <c r="AL263" s="1" t="str">
        <f t="shared" si="274"/>
        <v/>
      </c>
      <c r="AM263" s="1" t="str">
        <f>IF($B263="","",SUMIFS($AL$2:AL263,$I$2:I263,$I263))</f>
        <v/>
      </c>
      <c r="AN263" s="1" t="str">
        <f t="shared" si="275"/>
        <v/>
      </c>
      <c r="AO263" s="1" t="str">
        <f>IFERROR(IF($B263="","",AVERAGEIFS($L$2:L263,$I$2:I263,I263,$L$2:L263,"&lt;&gt;0")),0)</f>
        <v/>
      </c>
      <c r="AP263" s="1" t="str">
        <f t="shared" si="276"/>
        <v/>
      </c>
      <c r="AQ263" s="1" t="str">
        <f>IF($B263="","",COUNTIFS($R$2:R263,1,$I$2:I263,$I263))</f>
        <v/>
      </c>
      <c r="AR263" s="1" t="str">
        <f t="array" ref="AR263">IF($B263="","",SUMPRODUCT(--($B$2:$B$313=B263),--(AM263&lt;$AM$2:$AM$313))+1)</f>
        <v/>
      </c>
      <c r="AS263" s="1" t="str">
        <f t="array" ref="AS263">IF($B263="","",SUMPRODUCT(--($B$2:$B$313=B263),--(AP263&lt;$AP$2:$AP$313))+1)</f>
        <v/>
      </c>
      <c r="AT263" s="1" t="str">
        <f t="array" ref="AT263">IF($B263="","",SUMPRODUCT(--($B$2:$B$313=B263),--(AQ263&lt;$AQ$2:$AQ$313))+1)</f>
        <v/>
      </c>
      <c r="AU263" s="1" t="str">
        <f t="shared" si="277"/>
        <v/>
      </c>
      <c r="AV263" s="1" t="str">
        <f t="shared" si="278"/>
        <v/>
      </c>
      <c r="AW263" s="1" t="str">
        <f t="shared" si="251"/>
        <v/>
      </c>
      <c r="AX263" s="1" t="str">
        <f t="shared" si="279"/>
        <v/>
      </c>
      <c r="AY263" s="8" t="str">
        <f t="shared" si="280"/>
        <v/>
      </c>
      <c r="AZ263" s="1" t="str" cm="1">
        <f t="array" ref="AZ263">IF($B263="","",SUMPRODUCT(--($B$2:$B$313=B263),--(AY263&gt;$AY$2:$AY$313))+1)</f>
        <v/>
      </c>
      <c r="BA263" s="1" t="str">
        <f t="shared" si="281"/>
        <v/>
      </c>
      <c r="BB263" s="1" t="str">
        <f t="shared" si="282"/>
        <v/>
      </c>
      <c r="BC263" s="1" t="str">
        <f t="shared" si="283"/>
        <v/>
      </c>
      <c r="BD263" s="1" t="str">
        <f t="shared" si="284"/>
        <v/>
      </c>
      <c r="BE263" s="1" t="str">
        <f t="shared" si="285"/>
        <v/>
      </c>
      <c r="BF263" s="1" t="str">
        <f t="shared" si="286"/>
        <v/>
      </c>
      <c r="BG263" s="1" t="str">
        <f t="shared" si="287"/>
        <v/>
      </c>
      <c r="BH263" s="1" t="str">
        <f t="shared" si="288"/>
        <v/>
      </c>
      <c r="BI263" s="1" t="str">
        <f t="shared" si="289"/>
        <v/>
      </c>
      <c r="BJ263" s="1" t="str">
        <f t="shared" si="290"/>
        <v/>
      </c>
      <c r="BK263" s="1" t="str">
        <f t="shared" si="291"/>
        <v/>
      </c>
      <c r="BL263" s="1" t="str">
        <f t="shared" si="292"/>
        <v/>
      </c>
      <c r="BM263" s="1" t="str">
        <f t="shared" si="293"/>
        <v/>
      </c>
      <c r="BN263" s="1" t="str">
        <f t="shared" si="294"/>
        <v/>
      </c>
      <c r="BO263" s="1" t="str">
        <f t="shared" si="252"/>
        <v/>
      </c>
      <c r="BP263" s="1" t="str">
        <f t="shared" si="295"/>
        <v/>
      </c>
      <c r="BQ263" s="1" t="str" cm="1">
        <f t="array" ref="BQ263">IF(I263="","",IF(BP263=1,"",IF(L263=0,"",IF(B263=1,"",_xlfn.XLOOKUP(1,($I$2:$I$313=$I263)*($B$2:$B$313=($B263-1)),$BO$2:$BO$313)))))</f>
        <v/>
      </c>
      <c r="BR263" s="1" t="str">
        <f>IF(I263="","",IF($B263=1,_xlfn.MINIFS($BO$2:$BO$313,$B$2:$B$313,$B263),_xlfn.MINIFS(BQ$2:$BQ$313,$B$2:$B$313,$B263)))</f>
        <v/>
      </c>
      <c r="BS263" s="1" t="str">
        <f t="shared" si="296"/>
        <v/>
      </c>
      <c r="BT263" s="1" t="str" cm="1">
        <f t="array" ref="BT263">IF($I263="","",IF($B263=1,_xlfn.XLOOKUP(1,($B$2:$B$313=$B263)*($BO$2:$BO$313=BR263),Data!$I$2:$I$313,,0),_xlfn.XLOOKUP(1,($B$2:$B$313=$B263)*($BQ$2:$BQ$313=$BR263),$I$2:$I$313,,0)))</f>
        <v/>
      </c>
      <c r="BU263" s="1" t="str" cm="1">
        <f t="array" ref="BU263">IF(I263="","",IF($B263=1,_xlfn.XLOOKUP(1,($B$2:$B$313=$B263)*($BO$2:$BO$313=$BS263),$I$2:$I$313,,0),_xlfn.XLOOKUP(1,($B$2:$B$313=$B263)*($BQ$2:$BQ$313=$BS263),$I$2:$I$313,,0)))</f>
        <v/>
      </c>
      <c r="BV263" s="1" t="str" cm="1">
        <f t="array" ref="BV263">IF($I263="","",IF($B263=1,"",IF($B263=2,_xlfn.XLOOKUP(1,($B$2:$B$313=1)*($BO$2:$BO$313=1),$I$2:$I$313,,0),_xlfn.XLOOKUP($B263-1,$B$2:$B$313,$CH$2:$CH$313,,0))))</f>
        <v/>
      </c>
      <c r="BW263" s="1" t="str" cm="1">
        <f t="array" ref="BW263">IF($I263="","",IF($B263=1,"",IF(_xlfn.XLOOKUP(1,($B$2:$B$313=$B263)*($I$2:$I$313=$BV263),$BQ$2:$BQ$313,,0)="","NOK","OK")))</f>
        <v/>
      </c>
      <c r="BX263" s="1" t="str">
        <f t="shared" si="297"/>
        <v/>
      </c>
      <c r="BY263" s="1" t="str">
        <f t="shared" si="298"/>
        <v/>
      </c>
      <c r="BZ263" s="1" t="str">
        <f t="shared" si="299"/>
        <v/>
      </c>
      <c r="CA263" s="1" t="str">
        <f t="shared" si="300"/>
        <v/>
      </c>
      <c r="CB263" s="1" t="str">
        <f t="shared" si="301"/>
        <v/>
      </c>
      <c r="CC263" s="1" t="str">
        <f t="shared" si="302"/>
        <v/>
      </c>
      <c r="CD263" s="1" t="str">
        <f t="shared" si="303"/>
        <v/>
      </c>
      <c r="CE263" s="1" t="str">
        <f t="shared" si="304"/>
        <v/>
      </c>
      <c r="CF263" s="1" t="str">
        <f t="shared" si="305"/>
        <v/>
      </c>
      <c r="CG263" s="1" t="str">
        <f t="shared" si="306"/>
        <v/>
      </c>
      <c r="CH263" s="1" t="str">
        <f t="shared" si="307"/>
        <v/>
      </c>
      <c r="CI263" s="1" t="str">
        <f t="shared" si="308"/>
        <v/>
      </c>
      <c r="CJ263" s="1" t="str">
        <f>IF(B263="","",IF(SUM(AI263:AK263)&gt;0,"+SP","")&amp;IF(CI263&gt;0,"+KK","")&amp;IF(AB263&gt;0,"+KGP1","")&amp;IF(AC263&gt;0,"+KGP2","")&amp;IF(AG263&lt;0,"-KGP1","")&amp;IF(AH263&lt;0,"-KGP2",""))</f>
        <v/>
      </c>
    </row>
    <row r="264" spans="1:88" x14ac:dyDescent="0.25">
      <c r="A264" s="1" t="str">
        <f>IFERROR(IF(ROW(A263)=1,1,IF(1+A263&lt;=$CP$1*$CP$2,1+A263,"")),"")</f>
        <v/>
      </c>
      <c r="B264" s="1" t="str">
        <f>IF($I264="","",IF(ROW(B263)=1,1,ROUNDUP(A264/$CP$2,0)))</f>
        <v/>
      </c>
      <c r="C264" s="4" t="str">
        <f t="shared" si="253"/>
        <v/>
      </c>
      <c r="D264" s="4" t="str">
        <f t="shared" si="248"/>
        <v/>
      </c>
      <c r="E264" s="1" t="str">
        <f>IF($B264="","",COUNTIF($B$2:B264,B264))</f>
        <v/>
      </c>
      <c r="F264" s="1" t="str">
        <f t="shared" si="249"/>
        <v/>
      </c>
      <c r="G264" s="1" t="str">
        <f t="shared" si="254"/>
        <v/>
      </c>
      <c r="H264" s="1">
        <f t="shared" si="255"/>
        <v>0</v>
      </c>
      <c r="I264" s="3"/>
      <c r="J264" s="3"/>
      <c r="K264" s="3"/>
      <c r="L264" s="1" t="str">
        <f t="shared" si="256"/>
        <v/>
      </c>
      <c r="M264" s="1" t="str">
        <f t="shared" si="257"/>
        <v/>
      </c>
      <c r="N264" s="1" t="str">
        <f t="shared" si="258"/>
        <v/>
      </c>
      <c r="O264" s="1" t="str">
        <f t="shared" si="259"/>
        <v/>
      </c>
      <c r="P264" s="1" t="str">
        <f t="shared" si="260"/>
        <v/>
      </c>
      <c r="Q264" s="1" t="str">
        <f t="array" ref="Q264">IF($B264="","",IF(MAX(IF(B264=$B$2:$B$313,$L$2:$L$313))-L264=0,"",MAX(IF(B264=$B$2:$B$313,$L$2:$L$313))-L264))</f>
        <v/>
      </c>
      <c r="R264" s="1" t="str">
        <f t="array" ref="R264">IF($B264="","",SUMPRODUCT(--($B$2:$B$313=B264),--(L264&lt;$L$2:$L$313))+1)</f>
        <v/>
      </c>
      <c r="S264" s="1" t="str">
        <f t="shared" si="261"/>
        <v/>
      </c>
      <c r="T264" s="1" t="str" cm="1">
        <f t="array" ref="T264">IF($B264="","",IF(M264=0,"",SUMPRODUCT(--($B$2:$B$313=B264),--(J264&lt;$J$2:$J$313))+1))</f>
        <v/>
      </c>
      <c r="U264" s="1" t="str">
        <f t="shared" si="262"/>
        <v/>
      </c>
      <c r="V264" s="1" t="str">
        <f t="shared" si="263"/>
        <v/>
      </c>
      <c r="W264" s="1" t="str">
        <f t="shared" si="264"/>
        <v/>
      </c>
      <c r="X264" s="1" t="str">
        <f t="shared" si="250"/>
        <v/>
      </c>
      <c r="Y264" s="1" t="str">
        <f>IF($B264="","",MAX(_xlfn.MAXIFS($J$2:J264,$I$2:I264,$I264),_xlfn.MAXIFS($K$2:K264,$I$2:I264,$I264)))</f>
        <v/>
      </c>
      <c r="Z264" s="1" t="str">
        <f t="shared" si="265"/>
        <v/>
      </c>
      <c r="AA264" s="1" t="str">
        <f t="shared" si="266"/>
        <v/>
      </c>
      <c r="AB264" s="1" t="str">
        <f t="shared" si="267"/>
        <v/>
      </c>
      <c r="AC264" s="1" t="str">
        <f t="shared" si="268"/>
        <v/>
      </c>
      <c r="AD264" s="1" t="str">
        <f>IF($B264="","",MIN(_xlfn.MINIFS($J$2:J264,$I$2:I264,$I264),_xlfn.MINIFS($K$2:K264,$I$2:I264,$I264)))</f>
        <v/>
      </c>
      <c r="AE264" s="1" t="str">
        <f t="shared" si="269"/>
        <v/>
      </c>
      <c r="AF264" s="1" t="str">
        <f t="shared" si="270"/>
        <v/>
      </c>
      <c r="AG264" s="1" t="str">
        <f t="shared" si="271"/>
        <v/>
      </c>
      <c r="AH264" s="1" t="str">
        <f t="shared" si="272"/>
        <v/>
      </c>
      <c r="AI264" s="1" t="str">
        <f ca="1">IF($B264="","",IF($K264="",0,OFFSET($CO$17,R264,W264)))</f>
        <v/>
      </c>
      <c r="AJ264" s="1" t="str">
        <f t="shared" ca="1" si="273"/>
        <v/>
      </c>
      <c r="AK264" s="1" t="str">
        <f ca="1">IF(AJ264="","",IF(AJ264=0,0,IF(W264=1,0,SUM(OFFSET($CO$17,N264,1):OFFSET($CO$17,N264+W264-2,1))/W264)))</f>
        <v/>
      </c>
      <c r="AL264" s="1" t="str">
        <f t="shared" si="274"/>
        <v/>
      </c>
      <c r="AM264" s="1" t="str">
        <f>IF($B264="","",SUMIFS($AL$2:AL264,$I$2:I264,$I264))</f>
        <v/>
      </c>
      <c r="AN264" s="1" t="str">
        <f t="shared" si="275"/>
        <v/>
      </c>
      <c r="AO264" s="1" t="str">
        <f>IFERROR(IF($B264="","",AVERAGEIFS($L$2:L264,$I$2:I264,I264,$L$2:L264,"&lt;&gt;0")),0)</f>
        <v/>
      </c>
      <c r="AP264" s="1" t="str">
        <f t="shared" si="276"/>
        <v/>
      </c>
      <c r="AQ264" s="1" t="str">
        <f>IF($B264="","",COUNTIFS($R$2:R264,1,$I$2:I264,$I264))</f>
        <v/>
      </c>
      <c r="AR264" s="1" t="str">
        <f t="array" ref="AR264">IF($B264="","",SUMPRODUCT(--($B$2:$B$313=B264),--(AM264&lt;$AM$2:$AM$313))+1)</f>
        <v/>
      </c>
      <c r="AS264" s="1" t="str">
        <f t="array" ref="AS264">IF($B264="","",SUMPRODUCT(--($B$2:$B$313=B264),--(AP264&lt;$AP$2:$AP$313))+1)</f>
        <v/>
      </c>
      <c r="AT264" s="1" t="str">
        <f t="array" ref="AT264">IF($B264="","",SUMPRODUCT(--($B$2:$B$313=B264),--(AQ264&lt;$AQ$2:$AQ$313))+1)</f>
        <v/>
      </c>
      <c r="AU264" s="1" t="str">
        <f t="shared" si="277"/>
        <v/>
      </c>
      <c r="AV264" s="1" t="str">
        <f t="shared" si="278"/>
        <v/>
      </c>
      <c r="AW264" s="1" t="str">
        <f t="shared" si="251"/>
        <v/>
      </c>
      <c r="AX264" s="1" t="str">
        <f t="shared" si="279"/>
        <v/>
      </c>
      <c r="AY264" s="8" t="str">
        <f t="shared" si="280"/>
        <v/>
      </c>
      <c r="AZ264" s="1" t="str" cm="1">
        <f t="array" ref="AZ264">IF($B264="","",SUMPRODUCT(--($B$2:$B$313=B264),--(AY264&gt;$AY$2:$AY$313))+1)</f>
        <v/>
      </c>
      <c r="BA264" s="1" t="str">
        <f t="shared" si="281"/>
        <v/>
      </c>
      <c r="BB264" s="1" t="str">
        <f t="shared" si="282"/>
        <v/>
      </c>
      <c r="BC264" s="1" t="str">
        <f t="shared" si="283"/>
        <v/>
      </c>
      <c r="BD264" s="1" t="str">
        <f t="shared" si="284"/>
        <v/>
      </c>
      <c r="BE264" s="1" t="str">
        <f t="shared" si="285"/>
        <v/>
      </c>
      <c r="BF264" s="1" t="str">
        <f t="shared" si="286"/>
        <v/>
      </c>
      <c r="BG264" s="1" t="str">
        <f t="shared" si="287"/>
        <v/>
      </c>
      <c r="BH264" s="1" t="str">
        <f t="shared" si="288"/>
        <v/>
      </c>
      <c r="BI264" s="1" t="str">
        <f t="shared" si="289"/>
        <v/>
      </c>
      <c r="BJ264" s="1" t="str">
        <f t="shared" si="290"/>
        <v/>
      </c>
      <c r="BK264" s="1" t="str">
        <f t="shared" si="291"/>
        <v/>
      </c>
      <c r="BL264" s="1" t="str">
        <f t="shared" si="292"/>
        <v/>
      </c>
      <c r="BM264" s="1" t="str">
        <f t="shared" si="293"/>
        <v/>
      </c>
      <c r="BN264" s="1" t="str">
        <f t="shared" si="294"/>
        <v/>
      </c>
      <c r="BO264" s="1" t="str">
        <f t="shared" si="252"/>
        <v/>
      </c>
      <c r="BP264" s="1" t="str">
        <f t="shared" si="295"/>
        <v/>
      </c>
      <c r="BQ264" s="1" t="str" cm="1">
        <f t="array" ref="BQ264">IF(I264="","",IF(BP264=1,"",IF(L264=0,"",IF(B264=1,"",_xlfn.XLOOKUP(1,($I$2:$I$313=$I264)*($B$2:$B$313=($B264-1)),$BO$2:$BO$313)))))</f>
        <v/>
      </c>
      <c r="BR264" s="1" t="str">
        <f>IF(I264="","",IF($B264=1,_xlfn.MINIFS($BO$2:$BO$313,$B$2:$B$313,$B264),_xlfn.MINIFS(BQ$2:$BQ$313,$B$2:$B$313,$B264)))</f>
        <v/>
      </c>
      <c r="BS264" s="1" t="str">
        <f t="shared" si="296"/>
        <v/>
      </c>
      <c r="BT264" s="1" t="str" cm="1">
        <f t="array" ref="BT264">IF($I264="","",IF($B264=1,_xlfn.XLOOKUP(1,($B$2:$B$313=$B264)*($BO$2:$BO$313=BR264),Data!$I$2:$I$313,,0),_xlfn.XLOOKUP(1,($B$2:$B$313=$B264)*($BQ$2:$BQ$313=$BR264),$I$2:$I$313,,0)))</f>
        <v/>
      </c>
      <c r="BU264" s="1" t="str" cm="1">
        <f t="array" ref="BU264">IF(I264="","",IF($B264=1,_xlfn.XLOOKUP(1,($B$2:$B$313=$B264)*($BO$2:$BO$313=$BS264),$I$2:$I$313,,0),_xlfn.XLOOKUP(1,($B$2:$B$313=$B264)*($BQ$2:$BQ$313=$BS264),$I$2:$I$313,,0)))</f>
        <v/>
      </c>
      <c r="BV264" s="1" t="str" cm="1">
        <f t="array" ref="BV264">IF($I264="","",IF($B264=1,"",IF($B264=2,_xlfn.XLOOKUP(1,($B$2:$B$313=1)*($BO$2:$BO$313=1),$I$2:$I$313,,0),_xlfn.XLOOKUP($B264-1,$B$2:$B$313,$CH$2:$CH$313,,0))))</f>
        <v/>
      </c>
      <c r="BW264" s="1" t="str" cm="1">
        <f t="array" ref="BW264">IF($I264="","",IF($B264=1,"",IF(_xlfn.XLOOKUP(1,($B$2:$B$313=$B264)*($I$2:$I$313=$BV264),$BQ$2:$BQ$313,,0)="","NOK","OK")))</f>
        <v/>
      </c>
      <c r="BX264" s="1" t="str">
        <f t="shared" si="297"/>
        <v/>
      </c>
      <c r="BY264" s="1" t="str">
        <f t="shared" si="298"/>
        <v/>
      </c>
      <c r="BZ264" s="1" t="str">
        <f t="shared" si="299"/>
        <v/>
      </c>
      <c r="CA264" s="1" t="str">
        <f t="shared" si="300"/>
        <v/>
      </c>
      <c r="CB264" s="1" t="str">
        <f t="shared" si="301"/>
        <v/>
      </c>
      <c r="CC264" s="1" t="str">
        <f t="shared" si="302"/>
        <v/>
      </c>
      <c r="CD264" s="1" t="str">
        <f t="shared" si="303"/>
        <v/>
      </c>
      <c r="CE264" s="1" t="str">
        <f t="shared" si="304"/>
        <v/>
      </c>
      <c r="CF264" s="1" t="str">
        <f t="shared" si="305"/>
        <v/>
      </c>
      <c r="CG264" s="1" t="str">
        <f t="shared" si="306"/>
        <v/>
      </c>
      <c r="CH264" s="1" t="str">
        <f t="shared" si="307"/>
        <v/>
      </c>
      <c r="CI264" s="1" t="str">
        <f t="shared" si="308"/>
        <v/>
      </c>
      <c r="CJ264" s="1" t="str">
        <f>IF(B264="","",IF(SUM(AI264:AK264)&gt;0,"+SP","")&amp;IF(CI264&gt;0,"+KK","")&amp;IF(AB264&gt;0,"+KGP1","")&amp;IF(AC264&gt;0,"+KGP2","")&amp;IF(AG264&lt;0,"-KGP1","")&amp;IF(AH264&lt;0,"-KGP2",""))</f>
        <v/>
      </c>
    </row>
    <row r="265" spans="1:88" x14ac:dyDescent="0.25">
      <c r="A265" s="1" t="str">
        <f>IFERROR(IF(ROW(A264)=1,1,IF(1+A264&lt;=$CP$1*$CP$2,1+A264,"")),"")</f>
        <v/>
      </c>
      <c r="B265" s="1" t="str">
        <f>IF($I265="","",IF(ROW(B264)=1,1,ROUNDUP(A265/$CP$2,0)))</f>
        <v/>
      </c>
      <c r="C265" s="4" t="str">
        <f t="shared" si="253"/>
        <v/>
      </c>
      <c r="D265" s="4" t="str">
        <f t="shared" si="248"/>
        <v/>
      </c>
      <c r="E265" s="1" t="str">
        <f>IF($B265="","",COUNTIF($B$2:B265,B265))</f>
        <v/>
      </c>
      <c r="F265" s="1" t="str">
        <f t="shared" si="249"/>
        <v/>
      </c>
      <c r="G265" s="1" t="str">
        <f t="shared" si="254"/>
        <v/>
      </c>
      <c r="H265" s="1">
        <f t="shared" si="255"/>
        <v>0</v>
      </c>
      <c r="I265" s="3"/>
      <c r="J265" s="3"/>
      <c r="K265" s="3"/>
      <c r="L265" s="1" t="str">
        <f t="shared" si="256"/>
        <v/>
      </c>
      <c r="M265" s="1" t="str">
        <f t="shared" si="257"/>
        <v/>
      </c>
      <c r="N265" s="1" t="str">
        <f t="shared" si="258"/>
        <v/>
      </c>
      <c r="O265" s="1" t="str">
        <f t="shared" si="259"/>
        <v/>
      </c>
      <c r="P265" s="1" t="str">
        <f t="shared" si="260"/>
        <v/>
      </c>
      <c r="Q265" s="1" t="str">
        <f t="array" ref="Q265">IF($B265="","",IF(MAX(IF(B265=$B$2:$B$313,$L$2:$L$313))-L265=0,"",MAX(IF(B265=$B$2:$B$313,$L$2:$L$313))-L265))</f>
        <v/>
      </c>
      <c r="R265" s="1" t="str">
        <f t="array" ref="R265">IF($B265="","",SUMPRODUCT(--($B$2:$B$313=B265),--(L265&lt;$L$2:$L$313))+1)</f>
        <v/>
      </c>
      <c r="S265" s="1" t="str">
        <f t="shared" si="261"/>
        <v/>
      </c>
      <c r="T265" s="1" t="str" cm="1">
        <f t="array" ref="T265">IF($B265="","",IF(M265=0,"",SUMPRODUCT(--($B$2:$B$313=B265),--(J265&lt;$J$2:$J$313))+1))</f>
        <v/>
      </c>
      <c r="U265" s="1" t="str">
        <f t="shared" si="262"/>
        <v/>
      </c>
      <c r="V265" s="1" t="str">
        <f t="shared" si="263"/>
        <v/>
      </c>
      <c r="W265" s="1" t="str">
        <f t="shared" si="264"/>
        <v/>
      </c>
      <c r="X265" s="1" t="str">
        <f t="shared" si="250"/>
        <v/>
      </c>
      <c r="Y265" s="1" t="str">
        <f>IF($B265="","",MAX(_xlfn.MAXIFS($J$2:J265,$I$2:I265,$I265),_xlfn.MAXIFS($K$2:K265,$I$2:I265,$I265)))</f>
        <v/>
      </c>
      <c r="Z265" s="1" t="str">
        <f t="shared" si="265"/>
        <v/>
      </c>
      <c r="AA265" s="1" t="str">
        <f t="shared" si="266"/>
        <v/>
      </c>
      <c r="AB265" s="1" t="str">
        <f t="shared" si="267"/>
        <v/>
      </c>
      <c r="AC265" s="1" t="str">
        <f t="shared" si="268"/>
        <v/>
      </c>
      <c r="AD265" s="1" t="str">
        <f>IF($B265="","",MIN(_xlfn.MINIFS($J$2:J265,$I$2:I265,$I265),_xlfn.MINIFS($K$2:K265,$I$2:I265,$I265)))</f>
        <v/>
      </c>
      <c r="AE265" s="1" t="str">
        <f t="shared" si="269"/>
        <v/>
      </c>
      <c r="AF265" s="1" t="str">
        <f t="shared" si="270"/>
        <v/>
      </c>
      <c r="AG265" s="1" t="str">
        <f t="shared" si="271"/>
        <v/>
      </c>
      <c r="AH265" s="1" t="str">
        <f t="shared" si="272"/>
        <v/>
      </c>
      <c r="AI265" s="1" t="str">
        <f ca="1">IF($B265="","",IF($K265="",0,OFFSET($CO$17,R265,W265)))</f>
        <v/>
      </c>
      <c r="AJ265" s="1" t="str">
        <f t="shared" ca="1" si="273"/>
        <v/>
      </c>
      <c r="AK265" s="1" t="str">
        <f ca="1">IF(AJ265="","",IF(AJ265=0,0,IF(W265=1,0,SUM(OFFSET($CO$17,N265,1):OFFSET($CO$17,N265+W265-2,1))/W265)))</f>
        <v/>
      </c>
      <c r="AL265" s="1" t="str">
        <f t="shared" si="274"/>
        <v/>
      </c>
      <c r="AM265" s="1" t="str">
        <f>IF($B265="","",SUMIFS($AL$2:AL265,$I$2:I265,$I265))</f>
        <v/>
      </c>
      <c r="AN265" s="1" t="str">
        <f t="shared" si="275"/>
        <v/>
      </c>
      <c r="AO265" s="1" t="str">
        <f>IFERROR(IF($B265="","",AVERAGEIFS($L$2:L265,$I$2:I265,I265,$L$2:L265,"&lt;&gt;0")),0)</f>
        <v/>
      </c>
      <c r="AP265" s="1" t="str">
        <f t="shared" si="276"/>
        <v/>
      </c>
      <c r="AQ265" s="1" t="str">
        <f>IF($B265="","",COUNTIFS($R$2:R265,1,$I$2:I265,$I265))</f>
        <v/>
      </c>
      <c r="AR265" s="1" t="str">
        <f t="array" ref="AR265">IF($B265="","",SUMPRODUCT(--($B$2:$B$313=B265),--(AM265&lt;$AM$2:$AM$313))+1)</f>
        <v/>
      </c>
      <c r="AS265" s="1" t="str">
        <f t="array" ref="AS265">IF($B265="","",SUMPRODUCT(--($B$2:$B$313=B265),--(AP265&lt;$AP$2:$AP$313))+1)</f>
        <v/>
      </c>
      <c r="AT265" s="1" t="str">
        <f t="array" ref="AT265">IF($B265="","",SUMPRODUCT(--($B$2:$B$313=B265),--(AQ265&lt;$AQ$2:$AQ$313))+1)</f>
        <v/>
      </c>
      <c r="AU265" s="1" t="str">
        <f t="shared" si="277"/>
        <v/>
      </c>
      <c r="AV265" s="1" t="str">
        <f t="shared" si="278"/>
        <v/>
      </c>
      <c r="AW265" s="1" t="str">
        <f t="shared" si="251"/>
        <v/>
      </c>
      <c r="AX265" s="1" t="str">
        <f t="shared" si="279"/>
        <v/>
      </c>
      <c r="AY265" s="8" t="str">
        <f t="shared" si="280"/>
        <v/>
      </c>
      <c r="AZ265" s="1" t="str" cm="1">
        <f t="array" ref="AZ265">IF($B265="","",SUMPRODUCT(--($B$2:$B$313=B265),--(AY265&gt;$AY$2:$AY$313))+1)</f>
        <v/>
      </c>
      <c r="BA265" s="1" t="str">
        <f t="shared" si="281"/>
        <v/>
      </c>
      <c r="BB265" s="1" t="str">
        <f t="shared" si="282"/>
        <v/>
      </c>
      <c r="BC265" s="1" t="str">
        <f t="shared" si="283"/>
        <v/>
      </c>
      <c r="BD265" s="1" t="str">
        <f t="shared" si="284"/>
        <v/>
      </c>
      <c r="BE265" s="1" t="str">
        <f t="shared" si="285"/>
        <v/>
      </c>
      <c r="BF265" s="1" t="str">
        <f t="shared" si="286"/>
        <v/>
      </c>
      <c r="BG265" s="1" t="str">
        <f t="shared" si="287"/>
        <v/>
      </c>
      <c r="BH265" s="1" t="str">
        <f t="shared" si="288"/>
        <v/>
      </c>
      <c r="BI265" s="1" t="str">
        <f t="shared" si="289"/>
        <v/>
      </c>
      <c r="BJ265" s="1" t="str">
        <f t="shared" si="290"/>
        <v/>
      </c>
      <c r="BK265" s="1" t="str">
        <f t="shared" si="291"/>
        <v/>
      </c>
      <c r="BL265" s="1" t="str">
        <f t="shared" si="292"/>
        <v/>
      </c>
      <c r="BM265" s="1" t="str">
        <f t="shared" si="293"/>
        <v/>
      </c>
      <c r="BN265" s="1" t="str">
        <f t="shared" si="294"/>
        <v/>
      </c>
      <c r="BO265" s="1" t="str">
        <f t="shared" si="252"/>
        <v/>
      </c>
      <c r="BP265" s="1" t="str">
        <f t="shared" si="295"/>
        <v/>
      </c>
      <c r="BQ265" s="1" t="str" cm="1">
        <f t="array" ref="BQ265">IF(I265="","",IF(BP265=1,"",IF(L265=0,"",IF(B265=1,"",_xlfn.XLOOKUP(1,($I$2:$I$313=$I265)*($B$2:$B$313=($B265-1)),$BO$2:$BO$313)))))</f>
        <v/>
      </c>
      <c r="BR265" s="1" t="str">
        <f>IF(I265="","",IF($B265=1,_xlfn.MINIFS($BO$2:$BO$313,$B$2:$B$313,$B265),_xlfn.MINIFS(BQ$2:$BQ$313,$B$2:$B$313,$B265)))</f>
        <v/>
      </c>
      <c r="BS265" s="1" t="str">
        <f t="shared" si="296"/>
        <v/>
      </c>
      <c r="BT265" s="1" t="str" cm="1">
        <f t="array" ref="BT265">IF($I265="","",IF($B265=1,_xlfn.XLOOKUP(1,($B$2:$B$313=$B265)*($BO$2:$BO$313=BR265),Data!$I$2:$I$313,,0),_xlfn.XLOOKUP(1,($B$2:$B$313=$B265)*($BQ$2:$BQ$313=$BR265),$I$2:$I$313,,0)))</f>
        <v/>
      </c>
      <c r="BU265" s="1" t="str" cm="1">
        <f t="array" ref="BU265">IF(I265="","",IF($B265=1,_xlfn.XLOOKUP(1,($B$2:$B$313=$B265)*($BO$2:$BO$313=$BS265),$I$2:$I$313,,0),_xlfn.XLOOKUP(1,($B$2:$B$313=$B265)*($BQ$2:$BQ$313=$BS265),$I$2:$I$313,,0)))</f>
        <v/>
      </c>
      <c r="BV265" s="1" t="str" cm="1">
        <f t="array" ref="BV265">IF($I265="","",IF($B265=1,"",IF($B265=2,_xlfn.XLOOKUP(1,($B$2:$B$313=1)*($BO$2:$BO$313=1),$I$2:$I$313,,0),_xlfn.XLOOKUP($B265-1,$B$2:$B$313,$CH$2:$CH$313,,0))))</f>
        <v/>
      </c>
      <c r="BW265" s="1" t="str" cm="1">
        <f t="array" ref="BW265">IF($I265="","",IF($B265=1,"",IF(_xlfn.XLOOKUP(1,($B$2:$B$313=$B265)*($I$2:$I$313=$BV265),$BQ$2:$BQ$313,,0)="","NOK","OK")))</f>
        <v/>
      </c>
      <c r="BX265" s="1" t="str">
        <f t="shared" si="297"/>
        <v/>
      </c>
      <c r="BY265" s="1" t="str">
        <f t="shared" si="298"/>
        <v/>
      </c>
      <c r="BZ265" s="1" t="str">
        <f t="shared" si="299"/>
        <v/>
      </c>
      <c r="CA265" s="1" t="str">
        <f t="shared" si="300"/>
        <v/>
      </c>
      <c r="CB265" s="1" t="str">
        <f t="shared" si="301"/>
        <v/>
      </c>
      <c r="CC265" s="1" t="str">
        <f t="shared" si="302"/>
        <v/>
      </c>
      <c r="CD265" s="1" t="str">
        <f t="shared" si="303"/>
        <v/>
      </c>
      <c r="CE265" s="1" t="str">
        <f t="shared" si="304"/>
        <v/>
      </c>
      <c r="CF265" s="1" t="str">
        <f t="shared" si="305"/>
        <v/>
      </c>
      <c r="CG265" s="1" t="str">
        <f t="shared" si="306"/>
        <v/>
      </c>
      <c r="CH265" s="1" t="str">
        <f t="shared" si="307"/>
        <v/>
      </c>
      <c r="CI265" s="1" t="str">
        <f t="shared" si="308"/>
        <v/>
      </c>
      <c r="CJ265" s="1" t="str">
        <f>IF(B265="","",IF(SUM(AI265:AK265)&gt;0,"+SP","")&amp;IF(CI265&gt;0,"+KK","")&amp;IF(AB265&gt;0,"+KGP1","")&amp;IF(AC265&gt;0,"+KGP2","")&amp;IF(AG265&lt;0,"-KGP1","")&amp;IF(AH265&lt;0,"-KGP2",""))</f>
        <v/>
      </c>
    </row>
    <row r="266" spans="1:88" x14ac:dyDescent="0.25">
      <c r="A266" s="1" t="str">
        <f>IFERROR(IF(ROW(A265)=1,1,IF(1+A265&lt;=$CP$1*$CP$2,1+A265,"")),"")</f>
        <v/>
      </c>
      <c r="B266" s="1" t="str">
        <f>IF($I266="","",IF(ROW(B265)=1,1,ROUNDUP(A266/$CP$2,0)))</f>
        <v/>
      </c>
      <c r="C266" s="4" t="str">
        <f t="shared" si="253"/>
        <v/>
      </c>
      <c r="D266" s="4" t="str">
        <f t="shared" si="248"/>
        <v/>
      </c>
      <c r="E266" s="1" t="str">
        <f>IF($B266="","",COUNTIF($B$2:B266,B266))</f>
        <v/>
      </c>
      <c r="F266" s="1" t="str">
        <f t="shared" si="249"/>
        <v/>
      </c>
      <c r="G266" s="1" t="str">
        <f t="shared" si="254"/>
        <v/>
      </c>
      <c r="H266" s="1">
        <f t="shared" si="255"/>
        <v>0</v>
      </c>
      <c r="I266" s="3"/>
      <c r="J266" s="3"/>
      <c r="K266" s="3"/>
      <c r="L266" s="1" t="str">
        <f t="shared" si="256"/>
        <v/>
      </c>
      <c r="M266" s="1" t="str">
        <f t="shared" si="257"/>
        <v/>
      </c>
      <c r="N266" s="1" t="str">
        <f t="shared" si="258"/>
        <v/>
      </c>
      <c r="O266" s="1" t="str">
        <f t="shared" si="259"/>
        <v/>
      </c>
      <c r="P266" s="1" t="str">
        <f t="shared" si="260"/>
        <v/>
      </c>
      <c r="Q266" s="1" t="str">
        <f t="array" ref="Q266">IF($B266="","",IF(MAX(IF(B266=$B$2:$B$313,$L$2:$L$313))-L266=0,"",MAX(IF(B266=$B$2:$B$313,$L$2:$L$313))-L266))</f>
        <v/>
      </c>
      <c r="R266" s="1" t="str">
        <f t="array" ref="R266">IF($B266="","",SUMPRODUCT(--($B$2:$B$313=B266),--(L266&lt;$L$2:$L$313))+1)</f>
        <v/>
      </c>
      <c r="S266" s="1" t="str">
        <f t="shared" si="261"/>
        <v/>
      </c>
      <c r="T266" s="1" t="str" cm="1">
        <f t="array" ref="T266">IF($B266="","",IF(M266=0,"",SUMPRODUCT(--($B$2:$B$313=B266),--(J266&lt;$J$2:$J$313))+1))</f>
        <v/>
      </c>
      <c r="U266" s="1" t="str">
        <f t="shared" si="262"/>
        <v/>
      </c>
      <c r="V266" s="1" t="str">
        <f t="shared" si="263"/>
        <v/>
      </c>
      <c r="W266" s="1" t="str">
        <f t="shared" si="264"/>
        <v/>
      </c>
      <c r="X266" s="1" t="str">
        <f t="shared" si="250"/>
        <v/>
      </c>
      <c r="Y266" s="1" t="str">
        <f>IF($B266="","",MAX(_xlfn.MAXIFS($J$2:J266,$I$2:I266,$I266),_xlfn.MAXIFS($K$2:K266,$I$2:I266,$I266)))</f>
        <v/>
      </c>
      <c r="Z266" s="1" t="str">
        <f t="shared" si="265"/>
        <v/>
      </c>
      <c r="AA266" s="1" t="str">
        <f t="shared" si="266"/>
        <v/>
      </c>
      <c r="AB266" s="1" t="str">
        <f t="shared" si="267"/>
        <v/>
      </c>
      <c r="AC266" s="1" t="str">
        <f t="shared" si="268"/>
        <v/>
      </c>
      <c r="AD266" s="1" t="str">
        <f>IF($B266="","",MIN(_xlfn.MINIFS($J$2:J266,$I$2:I266,$I266),_xlfn.MINIFS($K$2:K266,$I$2:I266,$I266)))</f>
        <v/>
      </c>
      <c r="AE266" s="1" t="str">
        <f t="shared" si="269"/>
        <v/>
      </c>
      <c r="AF266" s="1" t="str">
        <f t="shared" si="270"/>
        <v/>
      </c>
      <c r="AG266" s="1" t="str">
        <f t="shared" si="271"/>
        <v/>
      </c>
      <c r="AH266" s="1" t="str">
        <f t="shared" si="272"/>
        <v/>
      </c>
      <c r="AI266" s="1" t="str">
        <f ca="1">IF($B266="","",IF($K266="",0,OFFSET($CO$17,R266,W266)))</f>
        <v/>
      </c>
      <c r="AJ266" s="1" t="str">
        <f t="shared" ca="1" si="273"/>
        <v/>
      </c>
      <c r="AK266" s="1" t="str">
        <f ca="1">IF(AJ266="","",IF(AJ266=0,0,IF(W266=1,0,SUM(OFFSET($CO$17,N266,1):OFFSET($CO$17,N266+W266-2,1))/W266)))</f>
        <v/>
      </c>
      <c r="AL266" s="1" t="str">
        <f t="shared" si="274"/>
        <v/>
      </c>
      <c r="AM266" s="1" t="str">
        <f>IF($B266="","",SUMIFS($AL$2:AL266,$I$2:I266,$I266))</f>
        <v/>
      </c>
      <c r="AN266" s="1" t="str">
        <f t="shared" si="275"/>
        <v/>
      </c>
      <c r="AO266" s="1" t="str">
        <f>IFERROR(IF($B266="","",AVERAGEIFS($L$2:L266,$I$2:I266,I266,$L$2:L266,"&lt;&gt;0")),0)</f>
        <v/>
      </c>
      <c r="AP266" s="1" t="str">
        <f t="shared" si="276"/>
        <v/>
      </c>
      <c r="AQ266" s="1" t="str">
        <f>IF($B266="","",COUNTIFS($R$2:R266,1,$I$2:I266,$I266))</f>
        <v/>
      </c>
      <c r="AR266" s="1" t="str">
        <f t="array" ref="AR266">IF($B266="","",SUMPRODUCT(--($B$2:$B$313=B266),--(AM266&lt;$AM$2:$AM$313))+1)</f>
        <v/>
      </c>
      <c r="AS266" s="1" t="str">
        <f t="array" ref="AS266">IF($B266="","",SUMPRODUCT(--($B$2:$B$313=B266),--(AP266&lt;$AP$2:$AP$313))+1)</f>
        <v/>
      </c>
      <c r="AT266" s="1" t="str">
        <f t="array" ref="AT266">IF($B266="","",SUMPRODUCT(--($B$2:$B$313=B266),--(AQ266&lt;$AQ$2:$AQ$313))+1)</f>
        <v/>
      </c>
      <c r="AU266" s="1" t="str">
        <f t="shared" si="277"/>
        <v/>
      </c>
      <c r="AV266" s="1" t="str">
        <f t="shared" si="278"/>
        <v/>
      </c>
      <c r="AW266" s="1" t="str">
        <f t="shared" si="251"/>
        <v/>
      </c>
      <c r="AX266" s="1" t="str">
        <f t="shared" si="279"/>
        <v/>
      </c>
      <c r="AY266" s="8" t="str">
        <f t="shared" si="280"/>
        <v/>
      </c>
      <c r="AZ266" s="1" t="str" cm="1">
        <f t="array" ref="AZ266">IF($B266="","",SUMPRODUCT(--($B$2:$B$313=B266),--(AY266&gt;$AY$2:$AY$313))+1)</f>
        <v/>
      </c>
      <c r="BA266" s="1" t="str">
        <f t="shared" si="281"/>
        <v/>
      </c>
      <c r="BB266" s="1" t="str">
        <f t="shared" si="282"/>
        <v/>
      </c>
      <c r="BC266" s="1" t="str">
        <f t="shared" si="283"/>
        <v/>
      </c>
      <c r="BD266" s="1" t="str">
        <f t="shared" si="284"/>
        <v/>
      </c>
      <c r="BE266" s="1" t="str">
        <f t="shared" si="285"/>
        <v/>
      </c>
      <c r="BF266" s="1" t="str">
        <f t="shared" si="286"/>
        <v/>
      </c>
      <c r="BG266" s="1" t="str">
        <f t="shared" si="287"/>
        <v/>
      </c>
      <c r="BH266" s="1" t="str">
        <f t="shared" si="288"/>
        <v/>
      </c>
      <c r="BI266" s="1" t="str">
        <f t="shared" si="289"/>
        <v/>
      </c>
      <c r="BJ266" s="1" t="str">
        <f t="shared" si="290"/>
        <v/>
      </c>
      <c r="BK266" s="1" t="str">
        <f t="shared" si="291"/>
        <v/>
      </c>
      <c r="BL266" s="1" t="str">
        <f t="shared" si="292"/>
        <v/>
      </c>
      <c r="BM266" s="1" t="str">
        <f t="shared" si="293"/>
        <v/>
      </c>
      <c r="BN266" s="1" t="str">
        <f t="shared" si="294"/>
        <v/>
      </c>
      <c r="BO266" s="1" t="str">
        <f t="shared" si="252"/>
        <v/>
      </c>
      <c r="BP266" s="1" t="str">
        <f t="shared" si="295"/>
        <v/>
      </c>
      <c r="BQ266" s="1" t="str" cm="1">
        <f t="array" ref="BQ266">IF(I266="","",IF(BP266=1,"",IF(L266=0,"",IF(B266=1,"",_xlfn.XLOOKUP(1,($I$2:$I$313=$I266)*($B$2:$B$313=($B266-1)),$BO$2:$BO$313)))))</f>
        <v/>
      </c>
      <c r="BR266" s="1" t="str">
        <f>IF(I266="","",IF($B266=1,_xlfn.MINIFS($BO$2:$BO$313,$B$2:$B$313,$B266),_xlfn.MINIFS(BQ$2:$BQ$313,$B$2:$B$313,$B266)))</f>
        <v/>
      </c>
      <c r="BS266" s="1" t="str">
        <f t="shared" si="296"/>
        <v/>
      </c>
      <c r="BT266" s="1" t="str" cm="1">
        <f t="array" ref="BT266">IF($I266="","",IF($B266=1,_xlfn.XLOOKUP(1,($B$2:$B$313=$B266)*($BO$2:$BO$313=BR266),Data!$I$2:$I$313,,0),_xlfn.XLOOKUP(1,($B$2:$B$313=$B266)*($BQ$2:$BQ$313=$BR266),$I$2:$I$313,,0)))</f>
        <v/>
      </c>
      <c r="BU266" s="1" t="str" cm="1">
        <f t="array" ref="BU266">IF(I266="","",IF($B266=1,_xlfn.XLOOKUP(1,($B$2:$B$313=$B266)*($BO$2:$BO$313=$BS266),$I$2:$I$313,,0),_xlfn.XLOOKUP(1,($B$2:$B$313=$B266)*($BQ$2:$BQ$313=$BS266),$I$2:$I$313,,0)))</f>
        <v/>
      </c>
      <c r="BV266" s="1" t="str" cm="1">
        <f t="array" ref="BV266">IF($I266="","",IF($B266=1,"",IF($B266=2,_xlfn.XLOOKUP(1,($B$2:$B$313=1)*($BO$2:$BO$313=1),$I$2:$I$313,,0),_xlfn.XLOOKUP($B266-1,$B$2:$B$313,$CH$2:$CH$313,,0))))</f>
        <v/>
      </c>
      <c r="BW266" s="1" t="str" cm="1">
        <f t="array" ref="BW266">IF($I266="","",IF($B266=1,"",IF(_xlfn.XLOOKUP(1,($B$2:$B$313=$B266)*($I$2:$I$313=$BV266),$BQ$2:$BQ$313,,0)="","NOK","OK")))</f>
        <v/>
      </c>
      <c r="BX266" s="1" t="str">
        <f t="shared" si="297"/>
        <v/>
      </c>
      <c r="BY266" s="1" t="str">
        <f t="shared" si="298"/>
        <v/>
      </c>
      <c r="BZ266" s="1" t="str">
        <f t="shared" si="299"/>
        <v/>
      </c>
      <c r="CA266" s="1" t="str">
        <f t="shared" si="300"/>
        <v/>
      </c>
      <c r="CB266" s="1" t="str">
        <f t="shared" si="301"/>
        <v/>
      </c>
      <c r="CC266" s="1" t="str">
        <f t="shared" si="302"/>
        <v/>
      </c>
      <c r="CD266" s="1" t="str">
        <f t="shared" si="303"/>
        <v/>
      </c>
      <c r="CE266" s="1" t="str">
        <f t="shared" si="304"/>
        <v/>
      </c>
      <c r="CF266" s="1" t="str">
        <f t="shared" si="305"/>
        <v/>
      </c>
      <c r="CG266" s="1" t="str">
        <f t="shared" si="306"/>
        <v/>
      </c>
      <c r="CH266" s="1" t="str">
        <f t="shared" si="307"/>
        <v/>
      </c>
      <c r="CI266" s="1" t="str">
        <f t="shared" si="308"/>
        <v/>
      </c>
      <c r="CJ266" s="1" t="str">
        <f>IF(B266="","",IF(SUM(AI266:AK266)&gt;0,"+SP","")&amp;IF(CI266&gt;0,"+KK","")&amp;IF(AB266&gt;0,"+KGP1","")&amp;IF(AC266&gt;0,"+KGP2","")&amp;IF(AG266&lt;0,"-KGP1","")&amp;IF(AH266&lt;0,"-KGP2",""))</f>
        <v/>
      </c>
    </row>
    <row r="267" spans="1:88" x14ac:dyDescent="0.25">
      <c r="A267" s="1" t="str">
        <f>IFERROR(IF(ROW(A266)=1,1,IF(1+A266&lt;=$CP$1*$CP$2,1+A266,"")),"")</f>
        <v/>
      </c>
      <c r="B267" s="1" t="str">
        <f>IF($I267="","",IF(ROW(B266)=1,1,ROUNDUP(A267/$CP$2,0)))</f>
        <v/>
      </c>
      <c r="C267" s="4" t="str">
        <f t="shared" si="253"/>
        <v/>
      </c>
      <c r="D267" s="4" t="str">
        <f t="shared" si="248"/>
        <v/>
      </c>
      <c r="E267" s="1" t="str">
        <f>IF($B267="","",COUNTIF($B$2:B267,B267))</f>
        <v/>
      </c>
      <c r="F267" s="1" t="str">
        <f t="shared" si="249"/>
        <v/>
      </c>
      <c r="G267" s="1" t="str">
        <f t="shared" si="254"/>
        <v/>
      </c>
      <c r="H267" s="1">
        <f t="shared" si="255"/>
        <v>0</v>
      </c>
      <c r="I267" s="3"/>
      <c r="J267" s="3"/>
      <c r="K267" s="3"/>
      <c r="L267" s="1" t="str">
        <f t="shared" si="256"/>
        <v/>
      </c>
      <c r="M267" s="1" t="str">
        <f t="shared" si="257"/>
        <v/>
      </c>
      <c r="N267" s="1" t="str">
        <f t="shared" si="258"/>
        <v/>
      </c>
      <c r="O267" s="1" t="str">
        <f t="shared" si="259"/>
        <v/>
      </c>
      <c r="P267" s="1" t="str">
        <f t="shared" si="260"/>
        <v/>
      </c>
      <c r="Q267" s="1" t="str">
        <f t="array" ref="Q267">IF($B267="","",IF(MAX(IF(B267=$B$2:$B$313,$L$2:$L$313))-L267=0,"",MAX(IF(B267=$B$2:$B$313,$L$2:$L$313))-L267))</f>
        <v/>
      </c>
      <c r="R267" s="1" t="str">
        <f t="array" ref="R267">IF($B267="","",SUMPRODUCT(--($B$2:$B$313=B267),--(L267&lt;$L$2:$L$313))+1)</f>
        <v/>
      </c>
      <c r="S267" s="1" t="str">
        <f t="shared" si="261"/>
        <v/>
      </c>
      <c r="T267" s="1" t="str" cm="1">
        <f t="array" ref="T267">IF($B267="","",IF(M267=0,"",SUMPRODUCT(--($B$2:$B$313=B267),--(J267&lt;$J$2:$J$313))+1))</f>
        <v/>
      </c>
      <c r="U267" s="1" t="str">
        <f t="shared" si="262"/>
        <v/>
      </c>
      <c r="V267" s="1" t="str">
        <f t="shared" si="263"/>
        <v/>
      </c>
      <c r="W267" s="1" t="str">
        <f t="shared" si="264"/>
        <v/>
      </c>
      <c r="X267" s="1" t="str">
        <f t="shared" si="250"/>
        <v/>
      </c>
      <c r="Y267" s="1" t="str">
        <f>IF($B267="","",MAX(_xlfn.MAXIFS($J$2:J267,$I$2:I267,$I267),_xlfn.MAXIFS($K$2:K267,$I$2:I267,$I267)))</f>
        <v/>
      </c>
      <c r="Z267" s="1" t="str">
        <f t="shared" si="265"/>
        <v/>
      </c>
      <c r="AA267" s="1" t="str">
        <f t="shared" si="266"/>
        <v/>
      </c>
      <c r="AB267" s="1" t="str">
        <f t="shared" si="267"/>
        <v/>
      </c>
      <c r="AC267" s="1" t="str">
        <f t="shared" si="268"/>
        <v/>
      </c>
      <c r="AD267" s="1" t="str">
        <f>IF($B267="","",MIN(_xlfn.MINIFS($J$2:J267,$I$2:I267,$I267),_xlfn.MINIFS($K$2:K267,$I$2:I267,$I267)))</f>
        <v/>
      </c>
      <c r="AE267" s="1" t="str">
        <f t="shared" si="269"/>
        <v/>
      </c>
      <c r="AF267" s="1" t="str">
        <f t="shared" si="270"/>
        <v/>
      </c>
      <c r="AG267" s="1" t="str">
        <f t="shared" si="271"/>
        <v/>
      </c>
      <c r="AH267" s="1" t="str">
        <f t="shared" si="272"/>
        <v/>
      </c>
      <c r="AI267" s="1" t="str">
        <f ca="1">IF($B267="","",IF($K267="",0,OFFSET($CO$17,R267,W267)))</f>
        <v/>
      </c>
      <c r="AJ267" s="1" t="str">
        <f t="shared" ca="1" si="273"/>
        <v/>
      </c>
      <c r="AK267" s="1" t="str">
        <f ca="1">IF(AJ267="","",IF(AJ267=0,0,IF(W267=1,0,SUM(OFFSET($CO$17,N267,1):OFFSET($CO$17,N267+W267-2,1))/W267)))</f>
        <v/>
      </c>
      <c r="AL267" s="1" t="str">
        <f t="shared" si="274"/>
        <v/>
      </c>
      <c r="AM267" s="1" t="str">
        <f>IF($B267="","",SUMIFS($AL$2:AL267,$I$2:I267,$I267))</f>
        <v/>
      </c>
      <c r="AN267" s="1" t="str">
        <f t="shared" si="275"/>
        <v/>
      </c>
      <c r="AO267" s="1" t="str">
        <f>IFERROR(IF($B267="","",AVERAGEIFS($L$2:L267,$I$2:I267,I267,$L$2:L267,"&lt;&gt;0")),0)</f>
        <v/>
      </c>
      <c r="AP267" s="1" t="str">
        <f t="shared" si="276"/>
        <v/>
      </c>
      <c r="AQ267" s="1" t="str">
        <f>IF($B267="","",COUNTIFS($R$2:R267,1,$I$2:I267,$I267))</f>
        <v/>
      </c>
      <c r="AR267" s="1" t="str">
        <f t="array" ref="AR267">IF($B267="","",SUMPRODUCT(--($B$2:$B$313=B267),--(AM267&lt;$AM$2:$AM$313))+1)</f>
        <v/>
      </c>
      <c r="AS267" s="1" t="str">
        <f t="array" ref="AS267">IF($B267="","",SUMPRODUCT(--($B$2:$B$313=B267),--(AP267&lt;$AP$2:$AP$313))+1)</f>
        <v/>
      </c>
      <c r="AT267" s="1" t="str">
        <f t="array" ref="AT267">IF($B267="","",SUMPRODUCT(--($B$2:$B$313=B267),--(AQ267&lt;$AQ$2:$AQ$313))+1)</f>
        <v/>
      </c>
      <c r="AU267" s="1" t="str">
        <f t="shared" si="277"/>
        <v/>
      </c>
      <c r="AV267" s="1" t="str">
        <f t="shared" si="278"/>
        <v/>
      </c>
      <c r="AW267" s="1" t="str">
        <f t="shared" si="251"/>
        <v/>
      </c>
      <c r="AX267" s="1" t="str">
        <f t="shared" si="279"/>
        <v/>
      </c>
      <c r="AY267" s="8" t="str">
        <f t="shared" si="280"/>
        <v/>
      </c>
      <c r="AZ267" s="1" t="str" cm="1">
        <f t="array" ref="AZ267">IF($B267="","",SUMPRODUCT(--($B$2:$B$313=B267),--(AY267&gt;$AY$2:$AY$313))+1)</f>
        <v/>
      </c>
      <c r="BA267" s="1" t="str">
        <f t="shared" si="281"/>
        <v/>
      </c>
      <c r="BB267" s="1" t="str">
        <f t="shared" si="282"/>
        <v/>
      </c>
      <c r="BC267" s="1" t="str">
        <f t="shared" si="283"/>
        <v/>
      </c>
      <c r="BD267" s="1" t="str">
        <f t="shared" si="284"/>
        <v/>
      </c>
      <c r="BE267" s="1" t="str">
        <f t="shared" si="285"/>
        <v/>
      </c>
      <c r="BF267" s="1" t="str">
        <f t="shared" si="286"/>
        <v/>
      </c>
      <c r="BG267" s="1" t="str">
        <f t="shared" si="287"/>
        <v/>
      </c>
      <c r="BH267" s="1" t="str">
        <f t="shared" si="288"/>
        <v/>
      </c>
      <c r="BI267" s="1" t="str">
        <f t="shared" si="289"/>
        <v/>
      </c>
      <c r="BJ267" s="1" t="str">
        <f t="shared" si="290"/>
        <v/>
      </c>
      <c r="BK267" s="1" t="str">
        <f t="shared" si="291"/>
        <v/>
      </c>
      <c r="BL267" s="1" t="str">
        <f t="shared" si="292"/>
        <v/>
      </c>
      <c r="BM267" s="1" t="str">
        <f t="shared" si="293"/>
        <v/>
      </c>
      <c r="BN267" s="1" t="str">
        <f t="shared" si="294"/>
        <v/>
      </c>
      <c r="BO267" s="1" t="str">
        <f t="shared" si="252"/>
        <v/>
      </c>
      <c r="BP267" s="1" t="str">
        <f t="shared" si="295"/>
        <v/>
      </c>
      <c r="BQ267" s="1" t="str" cm="1">
        <f t="array" ref="BQ267">IF(I267="","",IF(BP267=1,"",IF(L267=0,"",IF(B267=1,"",_xlfn.XLOOKUP(1,($I$2:$I$313=$I267)*($B$2:$B$313=($B267-1)),$BO$2:$BO$313)))))</f>
        <v/>
      </c>
      <c r="BR267" s="1" t="str">
        <f>IF(I267="","",IF($B267=1,_xlfn.MINIFS($BO$2:$BO$313,$B$2:$B$313,$B267),_xlfn.MINIFS(BQ$2:$BQ$313,$B$2:$B$313,$B267)))</f>
        <v/>
      </c>
      <c r="BS267" s="1" t="str">
        <f t="shared" si="296"/>
        <v/>
      </c>
      <c r="BT267" s="1" t="str" cm="1">
        <f t="array" ref="BT267">IF($I267="","",IF($B267=1,_xlfn.XLOOKUP(1,($B$2:$B$313=$B267)*($BO$2:$BO$313=BR267),Data!$I$2:$I$313,,0),_xlfn.XLOOKUP(1,($B$2:$B$313=$B267)*($BQ$2:$BQ$313=$BR267),$I$2:$I$313,,0)))</f>
        <v/>
      </c>
      <c r="BU267" s="1" t="str" cm="1">
        <f t="array" ref="BU267">IF(I267="","",IF($B267=1,_xlfn.XLOOKUP(1,($B$2:$B$313=$B267)*($BO$2:$BO$313=$BS267),$I$2:$I$313,,0),_xlfn.XLOOKUP(1,($B$2:$B$313=$B267)*($BQ$2:$BQ$313=$BS267),$I$2:$I$313,,0)))</f>
        <v/>
      </c>
      <c r="BV267" s="1" t="str" cm="1">
        <f t="array" ref="BV267">IF($I267="","",IF($B267=1,"",IF($B267=2,_xlfn.XLOOKUP(1,($B$2:$B$313=1)*($BO$2:$BO$313=1),$I$2:$I$313,,0),_xlfn.XLOOKUP($B267-1,$B$2:$B$313,$CH$2:$CH$313,,0))))</f>
        <v/>
      </c>
      <c r="BW267" s="1" t="str" cm="1">
        <f t="array" ref="BW267">IF($I267="","",IF($B267=1,"",IF(_xlfn.XLOOKUP(1,($B$2:$B$313=$B267)*($I$2:$I$313=$BV267),$BQ$2:$BQ$313,,0)="","NOK","OK")))</f>
        <v/>
      </c>
      <c r="BX267" s="1" t="str">
        <f t="shared" si="297"/>
        <v/>
      </c>
      <c r="BY267" s="1" t="str">
        <f t="shared" si="298"/>
        <v/>
      </c>
      <c r="BZ267" s="1" t="str">
        <f t="shared" si="299"/>
        <v/>
      </c>
      <c r="CA267" s="1" t="str">
        <f t="shared" si="300"/>
        <v/>
      </c>
      <c r="CB267" s="1" t="str">
        <f t="shared" si="301"/>
        <v/>
      </c>
      <c r="CC267" s="1" t="str">
        <f t="shared" si="302"/>
        <v/>
      </c>
      <c r="CD267" s="1" t="str">
        <f t="shared" si="303"/>
        <v/>
      </c>
      <c r="CE267" s="1" t="str">
        <f t="shared" si="304"/>
        <v/>
      </c>
      <c r="CF267" s="1" t="str">
        <f t="shared" si="305"/>
        <v/>
      </c>
      <c r="CG267" s="1" t="str">
        <f t="shared" si="306"/>
        <v/>
      </c>
      <c r="CH267" s="1" t="str">
        <f t="shared" si="307"/>
        <v/>
      </c>
      <c r="CI267" s="1" t="str">
        <f t="shared" si="308"/>
        <v/>
      </c>
      <c r="CJ267" s="1" t="str">
        <f>IF(B267="","",IF(SUM(AI267:AK267)&gt;0,"+SP","")&amp;IF(CI267&gt;0,"+KK","")&amp;IF(AB267&gt;0,"+KGP1","")&amp;IF(AC267&gt;0,"+KGP2","")&amp;IF(AG267&lt;0,"-KGP1","")&amp;IF(AH267&lt;0,"-KGP2",""))</f>
        <v/>
      </c>
    </row>
    <row r="268" spans="1:88" x14ac:dyDescent="0.25">
      <c r="A268" s="1" t="str">
        <f>IFERROR(IF(ROW(A267)=1,1,IF(1+A267&lt;=$CP$1*$CP$2,1+A267,"")),"")</f>
        <v/>
      </c>
      <c r="B268" s="1" t="str">
        <f>IF($I268="","",IF(ROW(B267)=1,1,ROUNDUP(A268/$CP$2,0)))</f>
        <v/>
      </c>
      <c r="C268" s="4" t="str">
        <f t="shared" si="253"/>
        <v/>
      </c>
      <c r="D268" s="4" t="str">
        <f t="shared" si="248"/>
        <v/>
      </c>
      <c r="E268" s="1" t="str">
        <f>IF($B268="","",COUNTIF($B$2:B268,B268))</f>
        <v/>
      </c>
      <c r="F268" s="1" t="str">
        <f t="shared" si="249"/>
        <v/>
      </c>
      <c r="G268" s="1" t="str">
        <f t="shared" si="254"/>
        <v/>
      </c>
      <c r="H268" s="1">
        <f t="shared" si="255"/>
        <v>0</v>
      </c>
      <c r="I268" s="3"/>
      <c r="J268" s="3"/>
      <c r="K268" s="3"/>
      <c r="L268" s="1" t="str">
        <f t="shared" si="256"/>
        <v/>
      </c>
      <c r="M268" s="1" t="str">
        <f t="shared" si="257"/>
        <v/>
      </c>
      <c r="N268" s="1" t="str">
        <f t="shared" si="258"/>
        <v/>
      </c>
      <c r="O268" s="1" t="str">
        <f t="shared" si="259"/>
        <v/>
      </c>
      <c r="P268" s="1" t="str">
        <f t="shared" si="260"/>
        <v/>
      </c>
      <c r="Q268" s="1" t="str">
        <f t="array" ref="Q268">IF($B268="","",IF(MAX(IF(B268=$B$2:$B$313,$L$2:$L$313))-L268=0,"",MAX(IF(B268=$B$2:$B$313,$L$2:$L$313))-L268))</f>
        <v/>
      </c>
      <c r="R268" s="1" t="str">
        <f t="array" ref="R268">IF($B268="","",SUMPRODUCT(--($B$2:$B$313=B268),--(L268&lt;$L$2:$L$313))+1)</f>
        <v/>
      </c>
      <c r="S268" s="1" t="str">
        <f t="shared" si="261"/>
        <v/>
      </c>
      <c r="T268" s="1" t="str" cm="1">
        <f t="array" ref="T268">IF($B268="","",IF(M268=0,"",SUMPRODUCT(--($B$2:$B$313=B268),--(J268&lt;$J$2:$J$313))+1))</f>
        <v/>
      </c>
      <c r="U268" s="1" t="str">
        <f t="shared" si="262"/>
        <v/>
      </c>
      <c r="V268" s="1" t="str">
        <f t="shared" si="263"/>
        <v/>
      </c>
      <c r="W268" s="1" t="str">
        <f t="shared" si="264"/>
        <v/>
      </c>
      <c r="X268" s="1" t="str">
        <f t="shared" si="250"/>
        <v/>
      </c>
      <c r="Y268" s="1" t="str">
        <f>IF($B268="","",MAX(_xlfn.MAXIFS($J$2:J268,$I$2:I268,$I268),_xlfn.MAXIFS($K$2:K268,$I$2:I268,$I268)))</f>
        <v/>
      </c>
      <c r="Z268" s="1" t="str">
        <f t="shared" si="265"/>
        <v/>
      </c>
      <c r="AA268" s="1" t="str">
        <f t="shared" si="266"/>
        <v/>
      </c>
      <c r="AB268" s="1" t="str">
        <f t="shared" si="267"/>
        <v/>
      </c>
      <c r="AC268" s="1" t="str">
        <f t="shared" si="268"/>
        <v/>
      </c>
      <c r="AD268" s="1" t="str">
        <f>IF($B268="","",MIN(_xlfn.MINIFS($J$2:J268,$I$2:I268,$I268),_xlfn.MINIFS($K$2:K268,$I$2:I268,$I268)))</f>
        <v/>
      </c>
      <c r="AE268" s="1" t="str">
        <f t="shared" si="269"/>
        <v/>
      </c>
      <c r="AF268" s="1" t="str">
        <f t="shared" si="270"/>
        <v/>
      </c>
      <c r="AG268" s="1" t="str">
        <f t="shared" si="271"/>
        <v/>
      </c>
      <c r="AH268" s="1" t="str">
        <f t="shared" si="272"/>
        <v/>
      </c>
      <c r="AI268" s="1" t="str">
        <f ca="1">IF($B268="","",IF($K268="",0,OFFSET($CO$17,R268,W268)))</f>
        <v/>
      </c>
      <c r="AJ268" s="1" t="str">
        <f t="shared" ca="1" si="273"/>
        <v/>
      </c>
      <c r="AK268" s="1" t="str">
        <f ca="1">IF(AJ268="","",IF(AJ268=0,0,IF(W268=1,0,SUM(OFFSET($CO$17,N268,1):OFFSET($CO$17,N268+W268-2,1))/W268)))</f>
        <v/>
      </c>
      <c r="AL268" s="1" t="str">
        <f t="shared" si="274"/>
        <v/>
      </c>
      <c r="AM268" s="1" t="str">
        <f>IF($B268="","",SUMIFS($AL$2:AL268,$I$2:I268,$I268))</f>
        <v/>
      </c>
      <c r="AN268" s="1" t="str">
        <f t="shared" si="275"/>
        <v/>
      </c>
      <c r="AO268" s="1" t="str">
        <f>IFERROR(IF($B268="","",AVERAGEIFS($L$2:L268,$I$2:I268,I268,$L$2:L268,"&lt;&gt;0")),0)</f>
        <v/>
      </c>
      <c r="AP268" s="1" t="str">
        <f t="shared" si="276"/>
        <v/>
      </c>
      <c r="AQ268" s="1" t="str">
        <f>IF($B268="","",COUNTIFS($R$2:R268,1,$I$2:I268,$I268))</f>
        <v/>
      </c>
      <c r="AR268" s="1" t="str">
        <f t="array" ref="AR268">IF($B268="","",SUMPRODUCT(--($B$2:$B$313=B268),--(AM268&lt;$AM$2:$AM$313))+1)</f>
        <v/>
      </c>
      <c r="AS268" s="1" t="str">
        <f t="array" ref="AS268">IF($B268="","",SUMPRODUCT(--($B$2:$B$313=B268),--(AP268&lt;$AP$2:$AP$313))+1)</f>
        <v/>
      </c>
      <c r="AT268" s="1" t="str">
        <f t="array" ref="AT268">IF($B268="","",SUMPRODUCT(--($B$2:$B$313=B268),--(AQ268&lt;$AQ$2:$AQ$313))+1)</f>
        <v/>
      </c>
      <c r="AU268" s="1" t="str">
        <f t="shared" si="277"/>
        <v/>
      </c>
      <c r="AV268" s="1" t="str">
        <f t="shared" si="278"/>
        <v/>
      </c>
      <c r="AW268" s="1" t="str">
        <f t="shared" si="251"/>
        <v/>
      </c>
      <c r="AX268" s="1" t="str">
        <f t="shared" si="279"/>
        <v/>
      </c>
      <c r="AY268" s="8" t="str">
        <f t="shared" si="280"/>
        <v/>
      </c>
      <c r="AZ268" s="1" t="str" cm="1">
        <f t="array" ref="AZ268">IF($B268="","",SUMPRODUCT(--($B$2:$B$313=B268),--(AY268&gt;$AY$2:$AY$313))+1)</f>
        <v/>
      </c>
      <c r="BA268" s="1" t="str">
        <f t="shared" si="281"/>
        <v/>
      </c>
      <c r="BB268" s="1" t="str">
        <f t="shared" si="282"/>
        <v/>
      </c>
      <c r="BC268" s="1" t="str">
        <f t="shared" si="283"/>
        <v/>
      </c>
      <c r="BD268" s="1" t="str">
        <f t="shared" si="284"/>
        <v/>
      </c>
      <c r="BE268" s="1" t="str">
        <f t="shared" si="285"/>
        <v/>
      </c>
      <c r="BF268" s="1" t="str">
        <f t="shared" si="286"/>
        <v/>
      </c>
      <c r="BG268" s="1" t="str">
        <f t="shared" si="287"/>
        <v/>
      </c>
      <c r="BH268" s="1" t="str">
        <f t="shared" si="288"/>
        <v/>
      </c>
      <c r="BI268" s="1" t="str">
        <f t="shared" si="289"/>
        <v/>
      </c>
      <c r="BJ268" s="1" t="str">
        <f t="shared" si="290"/>
        <v/>
      </c>
      <c r="BK268" s="1" t="str">
        <f t="shared" si="291"/>
        <v/>
      </c>
      <c r="BL268" s="1" t="str">
        <f t="shared" si="292"/>
        <v/>
      </c>
      <c r="BM268" s="1" t="str">
        <f t="shared" si="293"/>
        <v/>
      </c>
      <c r="BN268" s="1" t="str">
        <f t="shared" si="294"/>
        <v/>
      </c>
      <c r="BO268" s="1" t="str">
        <f t="shared" si="252"/>
        <v/>
      </c>
      <c r="BP268" s="1" t="str">
        <f t="shared" si="295"/>
        <v/>
      </c>
      <c r="BQ268" s="1" t="str" cm="1">
        <f t="array" ref="BQ268">IF(I268="","",IF(BP268=1,"",IF(L268=0,"",IF(B268=1,"",_xlfn.XLOOKUP(1,($I$2:$I$313=$I268)*($B$2:$B$313=($B268-1)),$BO$2:$BO$313)))))</f>
        <v/>
      </c>
      <c r="BR268" s="1" t="str">
        <f>IF(I268="","",IF($B268=1,_xlfn.MINIFS($BO$2:$BO$313,$B$2:$B$313,$B268),_xlfn.MINIFS(BQ$2:$BQ$313,$B$2:$B$313,$B268)))</f>
        <v/>
      </c>
      <c r="BS268" s="1" t="str">
        <f t="shared" si="296"/>
        <v/>
      </c>
      <c r="BT268" s="1" t="str" cm="1">
        <f t="array" ref="BT268">IF($I268="","",IF($B268=1,_xlfn.XLOOKUP(1,($B$2:$B$313=$B268)*($BO$2:$BO$313=BR268),Data!$I$2:$I$313,,0),_xlfn.XLOOKUP(1,($B$2:$B$313=$B268)*($BQ$2:$BQ$313=$BR268),$I$2:$I$313,,0)))</f>
        <v/>
      </c>
      <c r="BU268" s="1" t="str" cm="1">
        <f t="array" ref="BU268">IF(I268="","",IF($B268=1,_xlfn.XLOOKUP(1,($B$2:$B$313=$B268)*($BO$2:$BO$313=$BS268),$I$2:$I$313,,0),_xlfn.XLOOKUP(1,($B$2:$B$313=$B268)*($BQ$2:$BQ$313=$BS268),$I$2:$I$313,,0)))</f>
        <v/>
      </c>
      <c r="BV268" s="1" t="str" cm="1">
        <f t="array" ref="BV268">IF($I268="","",IF($B268=1,"",IF($B268=2,_xlfn.XLOOKUP(1,($B$2:$B$313=1)*($BO$2:$BO$313=1),$I$2:$I$313,,0),_xlfn.XLOOKUP($B268-1,$B$2:$B$313,$CH$2:$CH$313,,0))))</f>
        <v/>
      </c>
      <c r="BW268" s="1" t="str" cm="1">
        <f t="array" ref="BW268">IF($I268="","",IF($B268=1,"",IF(_xlfn.XLOOKUP(1,($B$2:$B$313=$B268)*($I$2:$I$313=$BV268),$BQ$2:$BQ$313,,0)="","NOK","OK")))</f>
        <v/>
      </c>
      <c r="BX268" s="1" t="str">
        <f t="shared" si="297"/>
        <v/>
      </c>
      <c r="BY268" s="1" t="str">
        <f t="shared" si="298"/>
        <v/>
      </c>
      <c r="BZ268" s="1" t="str">
        <f t="shared" si="299"/>
        <v/>
      </c>
      <c r="CA268" s="1" t="str">
        <f t="shared" si="300"/>
        <v/>
      </c>
      <c r="CB268" s="1" t="str">
        <f t="shared" si="301"/>
        <v/>
      </c>
      <c r="CC268" s="1" t="str">
        <f t="shared" si="302"/>
        <v/>
      </c>
      <c r="CD268" s="1" t="str">
        <f t="shared" si="303"/>
        <v/>
      </c>
      <c r="CE268" s="1" t="str">
        <f t="shared" si="304"/>
        <v/>
      </c>
      <c r="CF268" s="1" t="str">
        <f t="shared" si="305"/>
        <v/>
      </c>
      <c r="CG268" s="1" t="str">
        <f t="shared" si="306"/>
        <v/>
      </c>
      <c r="CH268" s="1" t="str">
        <f t="shared" si="307"/>
        <v/>
      </c>
      <c r="CI268" s="1" t="str">
        <f t="shared" si="308"/>
        <v/>
      </c>
      <c r="CJ268" s="1" t="str">
        <f>IF(B268="","",IF(SUM(AI268:AK268)&gt;0,"+SP","")&amp;IF(CI268&gt;0,"+KK","")&amp;IF(AB268&gt;0,"+KGP1","")&amp;IF(AC268&gt;0,"+KGP2","")&amp;IF(AG268&lt;0,"-KGP1","")&amp;IF(AH268&lt;0,"-KGP2",""))</f>
        <v/>
      </c>
    </row>
    <row r="269" spans="1:88" x14ac:dyDescent="0.25">
      <c r="A269" s="1" t="str">
        <f>IFERROR(IF(ROW(A268)=1,1,IF(1+A268&lt;=$CP$1*$CP$2,1+A268,"")),"")</f>
        <v/>
      </c>
      <c r="B269" s="1" t="str">
        <f>IF($I269="","",IF(ROW(B268)=1,1,ROUNDUP(A269/$CP$2,0)))</f>
        <v/>
      </c>
      <c r="C269" s="4" t="str">
        <f t="shared" si="253"/>
        <v/>
      </c>
      <c r="D269" s="4" t="str">
        <f t="shared" si="248"/>
        <v/>
      </c>
      <c r="E269" s="1" t="str">
        <f>IF($B269="","",COUNTIF($B$2:B269,B269))</f>
        <v/>
      </c>
      <c r="F269" s="1" t="str">
        <f t="shared" si="249"/>
        <v/>
      </c>
      <c r="G269" s="1" t="str">
        <f t="shared" si="254"/>
        <v/>
      </c>
      <c r="H269" s="1">
        <f t="shared" si="255"/>
        <v>0</v>
      </c>
      <c r="I269" s="3"/>
      <c r="J269" s="3"/>
      <c r="K269" s="3"/>
      <c r="L269" s="1" t="str">
        <f t="shared" si="256"/>
        <v/>
      </c>
      <c r="M269" s="1" t="str">
        <f t="shared" si="257"/>
        <v/>
      </c>
      <c r="N269" s="1" t="str">
        <f t="shared" si="258"/>
        <v/>
      </c>
      <c r="O269" s="1" t="str">
        <f t="shared" si="259"/>
        <v/>
      </c>
      <c r="P269" s="1" t="str">
        <f t="shared" si="260"/>
        <v/>
      </c>
      <c r="Q269" s="1" t="str">
        <f t="array" ref="Q269">IF($B269="","",IF(MAX(IF(B269=$B$2:$B$313,$L$2:$L$313))-L269=0,"",MAX(IF(B269=$B$2:$B$313,$L$2:$L$313))-L269))</f>
        <v/>
      </c>
      <c r="R269" s="1" t="str">
        <f t="array" ref="R269">IF($B269="","",SUMPRODUCT(--($B$2:$B$313=B269),--(L269&lt;$L$2:$L$313))+1)</f>
        <v/>
      </c>
      <c r="S269" s="1" t="str">
        <f t="shared" si="261"/>
        <v/>
      </c>
      <c r="T269" s="1" t="str" cm="1">
        <f t="array" ref="T269">IF($B269="","",IF(M269=0,"",SUMPRODUCT(--($B$2:$B$313=B269),--(J269&lt;$J$2:$J$313))+1))</f>
        <v/>
      </c>
      <c r="U269" s="1" t="str">
        <f t="shared" si="262"/>
        <v/>
      </c>
      <c r="V269" s="1" t="str">
        <f t="shared" si="263"/>
        <v/>
      </c>
      <c r="W269" s="1" t="str">
        <f t="shared" si="264"/>
        <v/>
      </c>
      <c r="X269" s="1" t="str">
        <f t="shared" si="250"/>
        <v/>
      </c>
      <c r="Y269" s="1" t="str">
        <f>IF($B269="","",MAX(_xlfn.MAXIFS($J$2:J269,$I$2:I269,$I269),_xlfn.MAXIFS($K$2:K269,$I$2:I269,$I269)))</f>
        <v/>
      </c>
      <c r="Z269" s="1" t="str">
        <f t="shared" si="265"/>
        <v/>
      </c>
      <c r="AA269" s="1" t="str">
        <f t="shared" si="266"/>
        <v/>
      </c>
      <c r="AB269" s="1" t="str">
        <f t="shared" si="267"/>
        <v/>
      </c>
      <c r="AC269" s="1" t="str">
        <f t="shared" si="268"/>
        <v/>
      </c>
      <c r="AD269" s="1" t="str">
        <f>IF($B269="","",MIN(_xlfn.MINIFS($J$2:J269,$I$2:I269,$I269),_xlfn.MINIFS($K$2:K269,$I$2:I269,$I269)))</f>
        <v/>
      </c>
      <c r="AE269" s="1" t="str">
        <f t="shared" si="269"/>
        <v/>
      </c>
      <c r="AF269" s="1" t="str">
        <f t="shared" si="270"/>
        <v/>
      </c>
      <c r="AG269" s="1" t="str">
        <f t="shared" si="271"/>
        <v/>
      </c>
      <c r="AH269" s="1" t="str">
        <f t="shared" si="272"/>
        <v/>
      </c>
      <c r="AI269" s="1" t="str">
        <f ca="1">IF($B269="","",IF($K269="",0,OFFSET($CO$17,R269,W269)))</f>
        <v/>
      </c>
      <c r="AJ269" s="1" t="str">
        <f t="shared" ca="1" si="273"/>
        <v/>
      </c>
      <c r="AK269" s="1" t="str">
        <f ca="1">IF(AJ269="","",IF(AJ269=0,0,IF(W269=1,0,SUM(OFFSET($CO$17,N269,1):OFFSET($CO$17,N269+W269-2,1))/W269)))</f>
        <v/>
      </c>
      <c r="AL269" s="1" t="str">
        <f t="shared" si="274"/>
        <v/>
      </c>
      <c r="AM269" s="1" t="str">
        <f>IF($B269="","",SUMIFS($AL$2:AL269,$I$2:I269,$I269))</f>
        <v/>
      </c>
      <c r="AN269" s="1" t="str">
        <f t="shared" si="275"/>
        <v/>
      </c>
      <c r="AO269" s="1" t="str">
        <f>IFERROR(IF($B269="","",AVERAGEIFS($L$2:L269,$I$2:I269,I269,$L$2:L269,"&lt;&gt;0")),0)</f>
        <v/>
      </c>
      <c r="AP269" s="1" t="str">
        <f t="shared" si="276"/>
        <v/>
      </c>
      <c r="AQ269" s="1" t="str">
        <f>IF($B269="","",COUNTIFS($R$2:R269,1,$I$2:I269,$I269))</f>
        <v/>
      </c>
      <c r="AR269" s="1" t="str">
        <f t="array" ref="AR269">IF($B269="","",SUMPRODUCT(--($B$2:$B$313=B269),--(AM269&lt;$AM$2:$AM$313))+1)</f>
        <v/>
      </c>
      <c r="AS269" s="1" t="str">
        <f t="array" ref="AS269">IF($B269="","",SUMPRODUCT(--($B$2:$B$313=B269),--(AP269&lt;$AP$2:$AP$313))+1)</f>
        <v/>
      </c>
      <c r="AT269" s="1" t="str">
        <f t="array" ref="AT269">IF($B269="","",SUMPRODUCT(--($B$2:$B$313=B269),--(AQ269&lt;$AQ$2:$AQ$313))+1)</f>
        <v/>
      </c>
      <c r="AU269" s="1" t="str">
        <f t="shared" si="277"/>
        <v/>
      </c>
      <c r="AV269" s="1" t="str">
        <f t="shared" si="278"/>
        <v/>
      </c>
      <c r="AW269" s="1" t="str">
        <f t="shared" si="251"/>
        <v/>
      </c>
      <c r="AX269" s="1" t="str">
        <f t="shared" si="279"/>
        <v/>
      </c>
      <c r="AY269" s="8" t="str">
        <f t="shared" si="280"/>
        <v/>
      </c>
      <c r="AZ269" s="1" t="str" cm="1">
        <f t="array" ref="AZ269">IF($B269="","",SUMPRODUCT(--($B$2:$B$313=B269),--(AY269&gt;$AY$2:$AY$313))+1)</f>
        <v/>
      </c>
      <c r="BA269" s="1" t="str">
        <f t="shared" si="281"/>
        <v/>
      </c>
      <c r="BB269" s="1" t="str">
        <f t="shared" si="282"/>
        <v/>
      </c>
      <c r="BC269" s="1" t="str">
        <f t="shared" si="283"/>
        <v/>
      </c>
      <c r="BD269" s="1" t="str">
        <f t="shared" si="284"/>
        <v/>
      </c>
      <c r="BE269" s="1" t="str">
        <f t="shared" si="285"/>
        <v/>
      </c>
      <c r="BF269" s="1" t="str">
        <f t="shared" si="286"/>
        <v/>
      </c>
      <c r="BG269" s="1" t="str">
        <f t="shared" si="287"/>
        <v/>
      </c>
      <c r="BH269" s="1" t="str">
        <f t="shared" si="288"/>
        <v/>
      </c>
      <c r="BI269" s="1" t="str">
        <f t="shared" si="289"/>
        <v/>
      </c>
      <c r="BJ269" s="1" t="str">
        <f t="shared" si="290"/>
        <v/>
      </c>
      <c r="BK269" s="1" t="str">
        <f t="shared" si="291"/>
        <v/>
      </c>
      <c r="BL269" s="1" t="str">
        <f t="shared" si="292"/>
        <v/>
      </c>
      <c r="BM269" s="1" t="str">
        <f t="shared" si="293"/>
        <v/>
      </c>
      <c r="BN269" s="1" t="str">
        <f t="shared" si="294"/>
        <v/>
      </c>
      <c r="BO269" s="1" t="str">
        <f t="shared" si="252"/>
        <v/>
      </c>
      <c r="BP269" s="1" t="str">
        <f t="shared" si="295"/>
        <v/>
      </c>
      <c r="BQ269" s="1" t="str" cm="1">
        <f t="array" ref="BQ269">IF(I269="","",IF(BP269=1,"",IF(L269=0,"",IF(B269=1,"",_xlfn.XLOOKUP(1,($I$2:$I$313=$I269)*($B$2:$B$313=($B269-1)),$BO$2:$BO$313)))))</f>
        <v/>
      </c>
      <c r="BR269" s="1" t="str">
        <f>IF(I269="","",IF($B269=1,_xlfn.MINIFS($BO$2:$BO$313,$B$2:$B$313,$B269),_xlfn.MINIFS(BQ$2:$BQ$313,$B$2:$B$313,$B269)))</f>
        <v/>
      </c>
      <c r="BS269" s="1" t="str">
        <f t="shared" si="296"/>
        <v/>
      </c>
      <c r="BT269" s="1" t="str" cm="1">
        <f t="array" ref="BT269">IF($I269="","",IF($B269=1,_xlfn.XLOOKUP(1,($B$2:$B$313=$B269)*($BO$2:$BO$313=BR269),Data!$I$2:$I$313,,0),_xlfn.XLOOKUP(1,($B$2:$B$313=$B269)*($BQ$2:$BQ$313=$BR269),$I$2:$I$313,,0)))</f>
        <v/>
      </c>
      <c r="BU269" s="1" t="str" cm="1">
        <f t="array" ref="BU269">IF(I269="","",IF($B269=1,_xlfn.XLOOKUP(1,($B$2:$B$313=$B269)*($BO$2:$BO$313=$BS269),$I$2:$I$313,,0),_xlfn.XLOOKUP(1,($B$2:$B$313=$B269)*($BQ$2:$BQ$313=$BS269),$I$2:$I$313,,0)))</f>
        <v/>
      </c>
      <c r="BV269" s="1" t="str" cm="1">
        <f t="array" ref="BV269">IF($I269="","",IF($B269=1,"",IF($B269=2,_xlfn.XLOOKUP(1,($B$2:$B$313=1)*($BO$2:$BO$313=1),$I$2:$I$313,,0),_xlfn.XLOOKUP($B269-1,$B$2:$B$313,$CH$2:$CH$313,,0))))</f>
        <v/>
      </c>
      <c r="BW269" s="1" t="str" cm="1">
        <f t="array" ref="BW269">IF($I269="","",IF($B269=1,"",IF(_xlfn.XLOOKUP(1,($B$2:$B$313=$B269)*($I$2:$I$313=$BV269),$BQ$2:$BQ$313,,0)="","NOK","OK")))</f>
        <v/>
      </c>
      <c r="BX269" s="1" t="str">
        <f t="shared" si="297"/>
        <v/>
      </c>
      <c r="BY269" s="1" t="str">
        <f t="shared" si="298"/>
        <v/>
      </c>
      <c r="BZ269" s="1" t="str">
        <f t="shared" si="299"/>
        <v/>
      </c>
      <c r="CA269" s="1" t="str">
        <f t="shared" si="300"/>
        <v/>
      </c>
      <c r="CB269" s="1" t="str">
        <f t="shared" si="301"/>
        <v/>
      </c>
      <c r="CC269" s="1" t="str">
        <f t="shared" si="302"/>
        <v/>
      </c>
      <c r="CD269" s="1" t="str">
        <f t="shared" si="303"/>
        <v/>
      </c>
      <c r="CE269" s="1" t="str">
        <f t="shared" si="304"/>
        <v/>
      </c>
      <c r="CF269" s="1" t="str">
        <f t="shared" si="305"/>
        <v/>
      </c>
      <c r="CG269" s="1" t="str">
        <f t="shared" si="306"/>
        <v/>
      </c>
      <c r="CH269" s="1" t="str">
        <f t="shared" si="307"/>
        <v/>
      </c>
      <c r="CI269" s="1" t="str">
        <f t="shared" si="308"/>
        <v/>
      </c>
      <c r="CJ269" s="1" t="str">
        <f>IF(B269="","",IF(SUM(AI269:AK269)&gt;0,"+SP","")&amp;IF(CI269&gt;0,"+KK","")&amp;IF(AB269&gt;0,"+KGP1","")&amp;IF(AC269&gt;0,"+KGP2","")&amp;IF(AG269&lt;0,"-KGP1","")&amp;IF(AH269&lt;0,"-KGP2",""))</f>
        <v/>
      </c>
    </row>
    <row r="270" spans="1:88" x14ac:dyDescent="0.25">
      <c r="A270" s="1" t="str">
        <f>IFERROR(IF(ROW(A269)=1,1,IF(1+A269&lt;=$CP$1*$CP$2,1+A269,"")),"")</f>
        <v/>
      </c>
      <c r="B270" s="1" t="str">
        <f>IF($I270="","",IF(ROW(B269)=1,1,ROUNDUP(A270/$CP$2,0)))</f>
        <v/>
      </c>
      <c r="C270" s="4" t="str">
        <f t="shared" si="253"/>
        <v/>
      </c>
      <c r="D270" s="4" t="str">
        <f t="shared" si="248"/>
        <v/>
      </c>
      <c r="E270" s="1" t="str">
        <f>IF($B270="","",COUNTIF($B$2:B270,B270))</f>
        <v/>
      </c>
      <c r="F270" s="1" t="str">
        <f t="shared" si="249"/>
        <v/>
      </c>
      <c r="G270" s="1" t="str">
        <f t="shared" si="254"/>
        <v/>
      </c>
      <c r="H270" s="1">
        <f t="shared" si="255"/>
        <v>0</v>
      </c>
      <c r="I270" s="3"/>
      <c r="J270" s="3"/>
      <c r="K270" s="3"/>
      <c r="L270" s="1" t="str">
        <f t="shared" si="256"/>
        <v/>
      </c>
      <c r="M270" s="1" t="str">
        <f t="shared" si="257"/>
        <v/>
      </c>
      <c r="N270" s="1" t="str">
        <f t="shared" si="258"/>
        <v/>
      </c>
      <c r="O270" s="1" t="str">
        <f t="shared" si="259"/>
        <v/>
      </c>
      <c r="P270" s="1" t="str">
        <f t="shared" si="260"/>
        <v/>
      </c>
      <c r="Q270" s="1" t="str">
        <f t="array" ref="Q270">IF($B270="","",IF(MAX(IF(B270=$B$2:$B$313,$L$2:$L$313))-L270=0,"",MAX(IF(B270=$B$2:$B$313,$L$2:$L$313))-L270))</f>
        <v/>
      </c>
      <c r="R270" s="1" t="str">
        <f t="array" ref="R270">IF($B270="","",SUMPRODUCT(--($B$2:$B$313=B270),--(L270&lt;$L$2:$L$313))+1)</f>
        <v/>
      </c>
      <c r="S270" s="1" t="str">
        <f t="shared" si="261"/>
        <v/>
      </c>
      <c r="T270" s="1" t="str" cm="1">
        <f t="array" ref="T270">IF($B270="","",IF(M270=0,"",SUMPRODUCT(--($B$2:$B$313=B270),--(J270&lt;$J$2:$J$313))+1))</f>
        <v/>
      </c>
      <c r="U270" s="1" t="str">
        <f t="shared" si="262"/>
        <v/>
      </c>
      <c r="V270" s="1" t="str">
        <f t="shared" si="263"/>
        <v/>
      </c>
      <c r="W270" s="1" t="str">
        <f t="shared" si="264"/>
        <v/>
      </c>
      <c r="X270" s="1" t="str">
        <f t="shared" si="250"/>
        <v/>
      </c>
      <c r="Y270" s="1" t="str">
        <f>IF($B270="","",MAX(_xlfn.MAXIFS($J$2:J270,$I$2:I270,$I270),_xlfn.MAXIFS($K$2:K270,$I$2:I270,$I270)))</f>
        <v/>
      </c>
      <c r="Z270" s="1" t="str">
        <f t="shared" si="265"/>
        <v/>
      </c>
      <c r="AA270" s="1" t="str">
        <f t="shared" si="266"/>
        <v/>
      </c>
      <c r="AB270" s="1" t="str">
        <f t="shared" si="267"/>
        <v/>
      </c>
      <c r="AC270" s="1" t="str">
        <f t="shared" si="268"/>
        <v/>
      </c>
      <c r="AD270" s="1" t="str">
        <f>IF($B270="","",MIN(_xlfn.MINIFS($J$2:J270,$I$2:I270,$I270),_xlfn.MINIFS($K$2:K270,$I$2:I270,$I270)))</f>
        <v/>
      </c>
      <c r="AE270" s="1" t="str">
        <f t="shared" si="269"/>
        <v/>
      </c>
      <c r="AF270" s="1" t="str">
        <f t="shared" si="270"/>
        <v/>
      </c>
      <c r="AG270" s="1" t="str">
        <f t="shared" si="271"/>
        <v/>
      </c>
      <c r="AH270" s="1" t="str">
        <f t="shared" si="272"/>
        <v/>
      </c>
      <c r="AI270" s="1" t="str">
        <f ca="1">IF($B270="","",IF($K270="",0,OFFSET($CO$17,R270,W270)))</f>
        <v/>
      </c>
      <c r="AJ270" s="1" t="str">
        <f t="shared" ca="1" si="273"/>
        <v/>
      </c>
      <c r="AK270" s="1" t="str">
        <f ca="1">IF(AJ270="","",IF(AJ270=0,0,IF(W270=1,0,SUM(OFFSET($CO$17,N270,1):OFFSET($CO$17,N270+W270-2,1))/W270)))</f>
        <v/>
      </c>
      <c r="AL270" s="1" t="str">
        <f t="shared" si="274"/>
        <v/>
      </c>
      <c r="AM270" s="1" t="str">
        <f>IF($B270="","",SUMIFS($AL$2:AL270,$I$2:I270,$I270))</f>
        <v/>
      </c>
      <c r="AN270" s="1" t="str">
        <f t="shared" si="275"/>
        <v/>
      </c>
      <c r="AO270" s="1" t="str">
        <f>IFERROR(IF($B270="","",AVERAGEIFS($L$2:L270,$I$2:I270,I270,$L$2:L270,"&lt;&gt;0")),0)</f>
        <v/>
      </c>
      <c r="AP270" s="1" t="str">
        <f t="shared" si="276"/>
        <v/>
      </c>
      <c r="AQ270" s="1" t="str">
        <f>IF($B270="","",COUNTIFS($R$2:R270,1,$I$2:I270,$I270))</f>
        <v/>
      </c>
      <c r="AR270" s="1" t="str">
        <f t="array" ref="AR270">IF($B270="","",SUMPRODUCT(--($B$2:$B$313=B270),--(AM270&lt;$AM$2:$AM$313))+1)</f>
        <v/>
      </c>
      <c r="AS270" s="1" t="str">
        <f t="array" ref="AS270">IF($B270="","",SUMPRODUCT(--($B$2:$B$313=B270),--(AP270&lt;$AP$2:$AP$313))+1)</f>
        <v/>
      </c>
      <c r="AT270" s="1" t="str">
        <f t="array" ref="AT270">IF($B270="","",SUMPRODUCT(--($B$2:$B$313=B270),--(AQ270&lt;$AQ$2:$AQ$313))+1)</f>
        <v/>
      </c>
      <c r="AU270" s="1" t="str">
        <f t="shared" si="277"/>
        <v/>
      </c>
      <c r="AV270" s="1" t="str">
        <f t="shared" si="278"/>
        <v/>
      </c>
      <c r="AW270" s="1" t="str">
        <f t="shared" si="251"/>
        <v/>
      </c>
      <c r="AX270" s="1" t="str">
        <f t="shared" si="279"/>
        <v/>
      </c>
      <c r="AY270" s="8" t="str">
        <f t="shared" si="280"/>
        <v/>
      </c>
      <c r="AZ270" s="1" t="str" cm="1">
        <f t="array" ref="AZ270">IF($B270="","",SUMPRODUCT(--($B$2:$B$313=B270),--(AY270&gt;$AY$2:$AY$313))+1)</f>
        <v/>
      </c>
      <c r="BA270" s="1" t="str">
        <f t="shared" si="281"/>
        <v/>
      </c>
      <c r="BB270" s="1" t="str">
        <f t="shared" si="282"/>
        <v/>
      </c>
      <c r="BC270" s="1" t="str">
        <f t="shared" si="283"/>
        <v/>
      </c>
      <c r="BD270" s="1" t="str">
        <f t="shared" si="284"/>
        <v/>
      </c>
      <c r="BE270" s="1" t="str">
        <f t="shared" si="285"/>
        <v/>
      </c>
      <c r="BF270" s="1" t="str">
        <f t="shared" si="286"/>
        <v/>
      </c>
      <c r="BG270" s="1" t="str">
        <f t="shared" si="287"/>
        <v/>
      </c>
      <c r="BH270" s="1" t="str">
        <f t="shared" si="288"/>
        <v/>
      </c>
      <c r="BI270" s="1" t="str">
        <f t="shared" si="289"/>
        <v/>
      </c>
      <c r="BJ270" s="1" t="str">
        <f t="shared" si="290"/>
        <v/>
      </c>
      <c r="BK270" s="1" t="str">
        <f t="shared" si="291"/>
        <v/>
      </c>
      <c r="BL270" s="1" t="str">
        <f t="shared" si="292"/>
        <v/>
      </c>
      <c r="BM270" s="1" t="str">
        <f t="shared" si="293"/>
        <v/>
      </c>
      <c r="BN270" s="1" t="str">
        <f t="shared" si="294"/>
        <v/>
      </c>
      <c r="BO270" s="1" t="str">
        <f t="shared" si="252"/>
        <v/>
      </c>
      <c r="BP270" s="1" t="str">
        <f t="shared" si="295"/>
        <v/>
      </c>
      <c r="BQ270" s="1" t="str" cm="1">
        <f t="array" ref="BQ270">IF(I270="","",IF(BP270=1,"",IF(L270=0,"",IF(B270=1,"",_xlfn.XLOOKUP(1,($I$2:$I$313=$I270)*($B$2:$B$313=($B270-1)),$BO$2:$BO$313)))))</f>
        <v/>
      </c>
      <c r="BR270" s="1" t="str">
        <f>IF(I270="","",IF($B270=1,_xlfn.MINIFS($BO$2:$BO$313,$B$2:$B$313,$B270),_xlfn.MINIFS(BQ$2:$BQ$313,$B$2:$B$313,$B270)))</f>
        <v/>
      </c>
      <c r="BS270" s="1" t="str">
        <f t="shared" si="296"/>
        <v/>
      </c>
      <c r="BT270" s="1" t="str" cm="1">
        <f t="array" ref="BT270">IF($I270="","",IF($B270=1,_xlfn.XLOOKUP(1,($B$2:$B$313=$B270)*($BO$2:$BO$313=BR270),Data!$I$2:$I$313,,0),_xlfn.XLOOKUP(1,($B$2:$B$313=$B270)*($BQ$2:$BQ$313=$BR270),$I$2:$I$313,,0)))</f>
        <v/>
      </c>
      <c r="BU270" s="1" t="str" cm="1">
        <f t="array" ref="BU270">IF(I270="","",IF($B270=1,_xlfn.XLOOKUP(1,($B$2:$B$313=$B270)*($BO$2:$BO$313=$BS270),$I$2:$I$313,,0),_xlfn.XLOOKUP(1,($B$2:$B$313=$B270)*($BQ$2:$BQ$313=$BS270),$I$2:$I$313,,0)))</f>
        <v/>
      </c>
      <c r="BV270" s="1" t="str" cm="1">
        <f t="array" ref="BV270">IF($I270="","",IF($B270=1,"",IF($B270=2,_xlfn.XLOOKUP(1,($B$2:$B$313=1)*($BO$2:$BO$313=1),$I$2:$I$313,,0),_xlfn.XLOOKUP($B270-1,$B$2:$B$313,$CH$2:$CH$313,,0))))</f>
        <v/>
      </c>
      <c r="BW270" s="1" t="str" cm="1">
        <f t="array" ref="BW270">IF($I270="","",IF($B270=1,"",IF(_xlfn.XLOOKUP(1,($B$2:$B$313=$B270)*($I$2:$I$313=$BV270),$BQ$2:$BQ$313,,0)="","NOK","OK")))</f>
        <v/>
      </c>
      <c r="BX270" s="1" t="str">
        <f t="shared" si="297"/>
        <v/>
      </c>
      <c r="BY270" s="1" t="str">
        <f t="shared" si="298"/>
        <v/>
      </c>
      <c r="BZ270" s="1" t="str">
        <f t="shared" si="299"/>
        <v/>
      </c>
      <c r="CA270" s="1" t="str">
        <f t="shared" si="300"/>
        <v/>
      </c>
      <c r="CB270" s="1" t="str">
        <f t="shared" si="301"/>
        <v/>
      </c>
      <c r="CC270" s="1" t="str">
        <f t="shared" si="302"/>
        <v/>
      </c>
      <c r="CD270" s="1" t="str">
        <f t="shared" si="303"/>
        <v/>
      </c>
      <c r="CE270" s="1" t="str">
        <f t="shared" si="304"/>
        <v/>
      </c>
      <c r="CF270" s="1" t="str">
        <f t="shared" si="305"/>
        <v/>
      </c>
      <c r="CG270" s="1" t="str">
        <f t="shared" si="306"/>
        <v/>
      </c>
      <c r="CH270" s="1" t="str">
        <f t="shared" si="307"/>
        <v/>
      </c>
      <c r="CI270" s="1" t="str">
        <f t="shared" si="308"/>
        <v/>
      </c>
      <c r="CJ270" s="1" t="str">
        <f>IF(B270="","",IF(SUM(AI270:AK270)&gt;0,"+SP","")&amp;IF(CI270&gt;0,"+KK","")&amp;IF(AB270&gt;0,"+KGP1","")&amp;IF(AC270&gt;0,"+KGP2","")&amp;IF(AG270&lt;0,"-KGP1","")&amp;IF(AH270&lt;0,"-KGP2",""))</f>
        <v/>
      </c>
    </row>
    <row r="271" spans="1:88" x14ac:dyDescent="0.25">
      <c r="A271" s="1" t="str">
        <f>IFERROR(IF(ROW(A270)=1,1,IF(1+A270&lt;=$CP$1*$CP$2,1+A270,"")),"")</f>
        <v/>
      </c>
      <c r="B271" s="1" t="str">
        <f>IF($I271="","",IF(ROW(B270)=1,1,ROUNDUP(A271/$CP$2,0)))</f>
        <v/>
      </c>
      <c r="C271" s="4" t="str">
        <f t="shared" si="253"/>
        <v/>
      </c>
      <c r="D271" s="4" t="str">
        <f t="shared" si="248"/>
        <v/>
      </c>
      <c r="E271" s="1" t="str">
        <f>IF($B271="","",COUNTIF($B$2:B271,B271))</f>
        <v/>
      </c>
      <c r="F271" s="1" t="str">
        <f t="shared" si="249"/>
        <v/>
      </c>
      <c r="G271" s="1" t="str">
        <f t="shared" si="254"/>
        <v/>
      </c>
      <c r="H271" s="1">
        <f t="shared" si="255"/>
        <v>0</v>
      </c>
      <c r="I271" s="3"/>
      <c r="J271" s="3"/>
      <c r="K271" s="3"/>
      <c r="L271" s="1" t="str">
        <f t="shared" si="256"/>
        <v/>
      </c>
      <c r="M271" s="1" t="str">
        <f t="shared" si="257"/>
        <v/>
      </c>
      <c r="N271" s="1" t="str">
        <f t="shared" si="258"/>
        <v/>
      </c>
      <c r="O271" s="1" t="str">
        <f t="shared" si="259"/>
        <v/>
      </c>
      <c r="P271" s="1" t="str">
        <f t="shared" si="260"/>
        <v/>
      </c>
      <c r="Q271" s="1" t="str">
        <f t="array" ref="Q271">IF($B271="","",IF(MAX(IF(B271=$B$2:$B$313,$L$2:$L$313))-L271=0,"",MAX(IF(B271=$B$2:$B$313,$L$2:$L$313))-L271))</f>
        <v/>
      </c>
      <c r="R271" s="1" t="str">
        <f t="array" ref="R271">IF($B271="","",SUMPRODUCT(--($B$2:$B$313=B271),--(L271&lt;$L$2:$L$313))+1)</f>
        <v/>
      </c>
      <c r="S271" s="1" t="str">
        <f t="shared" si="261"/>
        <v/>
      </c>
      <c r="T271" s="1" t="str" cm="1">
        <f t="array" ref="T271">IF($B271="","",IF(M271=0,"",SUMPRODUCT(--($B$2:$B$313=B271),--(J271&lt;$J$2:$J$313))+1))</f>
        <v/>
      </c>
      <c r="U271" s="1" t="str">
        <f t="shared" si="262"/>
        <v/>
      </c>
      <c r="V271" s="1" t="str">
        <f t="shared" si="263"/>
        <v/>
      </c>
      <c r="W271" s="1" t="str">
        <f t="shared" si="264"/>
        <v/>
      </c>
      <c r="X271" s="1" t="str">
        <f t="shared" si="250"/>
        <v/>
      </c>
      <c r="Y271" s="1" t="str">
        <f>IF($B271="","",MAX(_xlfn.MAXIFS($J$2:J271,$I$2:I271,$I271),_xlfn.MAXIFS($K$2:K271,$I$2:I271,$I271)))</f>
        <v/>
      </c>
      <c r="Z271" s="1" t="str">
        <f t="shared" si="265"/>
        <v/>
      </c>
      <c r="AA271" s="1" t="str">
        <f t="shared" si="266"/>
        <v/>
      </c>
      <c r="AB271" s="1" t="str">
        <f t="shared" si="267"/>
        <v/>
      </c>
      <c r="AC271" s="1" t="str">
        <f t="shared" si="268"/>
        <v/>
      </c>
      <c r="AD271" s="1" t="str">
        <f>IF($B271="","",MIN(_xlfn.MINIFS($J$2:J271,$I$2:I271,$I271),_xlfn.MINIFS($K$2:K271,$I$2:I271,$I271)))</f>
        <v/>
      </c>
      <c r="AE271" s="1" t="str">
        <f t="shared" si="269"/>
        <v/>
      </c>
      <c r="AF271" s="1" t="str">
        <f t="shared" si="270"/>
        <v/>
      </c>
      <c r="AG271" s="1" t="str">
        <f t="shared" si="271"/>
        <v/>
      </c>
      <c r="AH271" s="1" t="str">
        <f t="shared" si="272"/>
        <v/>
      </c>
      <c r="AI271" s="1" t="str">
        <f ca="1">IF($B271="","",IF($K271="",0,OFFSET($CO$17,R271,W271)))</f>
        <v/>
      </c>
      <c r="AJ271" s="1" t="str">
        <f t="shared" ca="1" si="273"/>
        <v/>
      </c>
      <c r="AK271" s="1" t="str">
        <f ca="1">IF(AJ271="","",IF(AJ271=0,0,IF(W271=1,0,SUM(OFFSET($CO$17,N271,1):OFFSET($CO$17,N271+W271-2,1))/W271)))</f>
        <v/>
      </c>
      <c r="AL271" s="1" t="str">
        <f t="shared" si="274"/>
        <v/>
      </c>
      <c r="AM271" s="1" t="str">
        <f>IF($B271="","",SUMIFS($AL$2:AL271,$I$2:I271,$I271))</f>
        <v/>
      </c>
      <c r="AN271" s="1" t="str">
        <f t="shared" si="275"/>
        <v/>
      </c>
      <c r="AO271" s="1" t="str">
        <f>IFERROR(IF($B271="","",AVERAGEIFS($L$2:L271,$I$2:I271,I271,$L$2:L271,"&lt;&gt;0")),0)</f>
        <v/>
      </c>
      <c r="AP271" s="1" t="str">
        <f t="shared" si="276"/>
        <v/>
      </c>
      <c r="AQ271" s="1" t="str">
        <f>IF($B271="","",COUNTIFS($R$2:R271,1,$I$2:I271,$I271))</f>
        <v/>
      </c>
      <c r="AR271" s="1" t="str">
        <f t="array" ref="AR271">IF($B271="","",SUMPRODUCT(--($B$2:$B$313=B271),--(AM271&lt;$AM$2:$AM$313))+1)</f>
        <v/>
      </c>
      <c r="AS271" s="1" t="str">
        <f t="array" ref="AS271">IF($B271="","",SUMPRODUCT(--($B$2:$B$313=B271),--(AP271&lt;$AP$2:$AP$313))+1)</f>
        <v/>
      </c>
      <c r="AT271" s="1" t="str">
        <f t="array" ref="AT271">IF($B271="","",SUMPRODUCT(--($B$2:$B$313=B271),--(AQ271&lt;$AQ$2:$AQ$313))+1)</f>
        <v/>
      </c>
      <c r="AU271" s="1" t="str">
        <f t="shared" si="277"/>
        <v/>
      </c>
      <c r="AV271" s="1" t="str">
        <f t="shared" si="278"/>
        <v/>
      </c>
      <c r="AW271" s="1" t="str">
        <f t="shared" si="251"/>
        <v/>
      </c>
      <c r="AX271" s="1" t="str">
        <f t="shared" si="279"/>
        <v/>
      </c>
      <c r="AY271" s="8" t="str">
        <f t="shared" si="280"/>
        <v/>
      </c>
      <c r="AZ271" s="1" t="str" cm="1">
        <f t="array" ref="AZ271">IF($B271="","",SUMPRODUCT(--($B$2:$B$313=B271),--(AY271&gt;$AY$2:$AY$313))+1)</f>
        <v/>
      </c>
      <c r="BA271" s="1" t="str">
        <f t="shared" si="281"/>
        <v/>
      </c>
      <c r="BB271" s="1" t="str">
        <f t="shared" si="282"/>
        <v/>
      </c>
      <c r="BC271" s="1" t="str">
        <f t="shared" si="283"/>
        <v/>
      </c>
      <c r="BD271" s="1" t="str">
        <f t="shared" si="284"/>
        <v/>
      </c>
      <c r="BE271" s="1" t="str">
        <f t="shared" si="285"/>
        <v/>
      </c>
      <c r="BF271" s="1" t="str">
        <f t="shared" si="286"/>
        <v/>
      </c>
      <c r="BG271" s="1" t="str">
        <f t="shared" si="287"/>
        <v/>
      </c>
      <c r="BH271" s="1" t="str">
        <f t="shared" si="288"/>
        <v/>
      </c>
      <c r="BI271" s="1" t="str">
        <f t="shared" si="289"/>
        <v/>
      </c>
      <c r="BJ271" s="1" t="str">
        <f t="shared" si="290"/>
        <v/>
      </c>
      <c r="BK271" s="1" t="str">
        <f t="shared" si="291"/>
        <v/>
      </c>
      <c r="BL271" s="1" t="str">
        <f t="shared" si="292"/>
        <v/>
      </c>
      <c r="BM271" s="1" t="str">
        <f t="shared" si="293"/>
        <v/>
      </c>
      <c r="BN271" s="1" t="str">
        <f t="shared" si="294"/>
        <v/>
      </c>
      <c r="BO271" s="1" t="str">
        <f t="shared" si="252"/>
        <v/>
      </c>
      <c r="BP271" s="1" t="str">
        <f t="shared" si="295"/>
        <v/>
      </c>
      <c r="BQ271" s="1" t="str" cm="1">
        <f t="array" ref="BQ271">IF(I271="","",IF(BP271=1,"",IF(L271=0,"",IF(B271=1,"",_xlfn.XLOOKUP(1,($I$2:$I$313=$I271)*($B$2:$B$313=($B271-1)),$BO$2:$BO$313)))))</f>
        <v/>
      </c>
      <c r="BR271" s="1" t="str">
        <f>IF(I271="","",IF($B271=1,_xlfn.MINIFS($BO$2:$BO$313,$B$2:$B$313,$B271),_xlfn.MINIFS(BQ$2:$BQ$313,$B$2:$B$313,$B271)))</f>
        <v/>
      </c>
      <c r="BS271" s="1" t="str">
        <f t="shared" si="296"/>
        <v/>
      </c>
      <c r="BT271" s="1" t="str" cm="1">
        <f t="array" ref="BT271">IF($I271="","",IF($B271=1,_xlfn.XLOOKUP(1,($B$2:$B$313=$B271)*($BO$2:$BO$313=BR271),Data!$I$2:$I$313,,0),_xlfn.XLOOKUP(1,($B$2:$B$313=$B271)*($BQ$2:$BQ$313=$BR271),$I$2:$I$313,,0)))</f>
        <v/>
      </c>
      <c r="BU271" s="1" t="str" cm="1">
        <f t="array" ref="BU271">IF(I271="","",IF($B271=1,_xlfn.XLOOKUP(1,($B$2:$B$313=$B271)*($BO$2:$BO$313=$BS271),$I$2:$I$313,,0),_xlfn.XLOOKUP(1,($B$2:$B$313=$B271)*($BQ$2:$BQ$313=$BS271),$I$2:$I$313,,0)))</f>
        <v/>
      </c>
      <c r="BV271" s="1" t="str" cm="1">
        <f t="array" ref="BV271">IF($I271="","",IF($B271=1,"",IF($B271=2,_xlfn.XLOOKUP(1,($B$2:$B$313=1)*($BO$2:$BO$313=1),$I$2:$I$313,,0),_xlfn.XLOOKUP($B271-1,$B$2:$B$313,$CH$2:$CH$313,,0))))</f>
        <v/>
      </c>
      <c r="BW271" s="1" t="str" cm="1">
        <f t="array" ref="BW271">IF($I271="","",IF($B271=1,"",IF(_xlfn.XLOOKUP(1,($B$2:$B$313=$B271)*($I$2:$I$313=$BV271),$BQ$2:$BQ$313,,0)="","NOK","OK")))</f>
        <v/>
      </c>
      <c r="BX271" s="1" t="str">
        <f t="shared" si="297"/>
        <v/>
      </c>
      <c r="BY271" s="1" t="str">
        <f t="shared" si="298"/>
        <v/>
      </c>
      <c r="BZ271" s="1" t="str">
        <f t="shared" si="299"/>
        <v/>
      </c>
      <c r="CA271" s="1" t="str">
        <f t="shared" si="300"/>
        <v/>
      </c>
      <c r="CB271" s="1" t="str">
        <f t="shared" si="301"/>
        <v/>
      </c>
      <c r="CC271" s="1" t="str">
        <f t="shared" si="302"/>
        <v/>
      </c>
      <c r="CD271" s="1" t="str">
        <f t="shared" si="303"/>
        <v/>
      </c>
      <c r="CE271" s="1" t="str">
        <f t="shared" si="304"/>
        <v/>
      </c>
      <c r="CF271" s="1" t="str">
        <f t="shared" si="305"/>
        <v/>
      </c>
      <c r="CG271" s="1" t="str">
        <f t="shared" si="306"/>
        <v/>
      </c>
      <c r="CH271" s="1" t="str">
        <f t="shared" si="307"/>
        <v/>
      </c>
      <c r="CI271" s="1" t="str">
        <f t="shared" si="308"/>
        <v/>
      </c>
      <c r="CJ271" s="1" t="str">
        <f>IF(B271="","",IF(SUM(AI271:AK271)&gt;0,"+SP","")&amp;IF(CI271&gt;0,"+KK","")&amp;IF(AB271&gt;0,"+KGP1","")&amp;IF(AC271&gt;0,"+KGP2","")&amp;IF(AG271&lt;0,"-KGP1","")&amp;IF(AH271&lt;0,"-KGP2",""))</f>
        <v/>
      </c>
    </row>
    <row r="272" spans="1:88" x14ac:dyDescent="0.25">
      <c r="A272" s="1" t="str">
        <f>IFERROR(IF(ROW(A271)=1,1,IF(1+A271&lt;=$CP$1*$CP$2,1+A271,"")),"")</f>
        <v/>
      </c>
      <c r="B272" s="1" t="str">
        <f>IF($I272="","",IF(ROW(B271)=1,1,ROUNDUP(A272/$CP$2,0)))</f>
        <v/>
      </c>
      <c r="C272" s="4" t="str">
        <f t="shared" si="253"/>
        <v/>
      </c>
      <c r="D272" s="4" t="str">
        <f t="shared" si="248"/>
        <v/>
      </c>
      <c r="E272" s="1" t="str">
        <f>IF($B272="","",COUNTIF($B$2:B272,B272))</f>
        <v/>
      </c>
      <c r="F272" s="1" t="str">
        <f t="shared" si="249"/>
        <v/>
      </c>
      <c r="G272" s="1" t="str">
        <f t="shared" si="254"/>
        <v/>
      </c>
      <c r="H272" s="1">
        <f t="shared" si="255"/>
        <v>0</v>
      </c>
      <c r="I272" s="3"/>
      <c r="J272" s="3"/>
      <c r="K272" s="3"/>
      <c r="L272" s="1" t="str">
        <f t="shared" si="256"/>
        <v/>
      </c>
      <c r="M272" s="1" t="str">
        <f t="shared" si="257"/>
        <v/>
      </c>
      <c r="N272" s="1" t="str">
        <f t="shared" si="258"/>
        <v/>
      </c>
      <c r="O272" s="1" t="str">
        <f t="shared" si="259"/>
        <v/>
      </c>
      <c r="P272" s="1" t="str">
        <f t="shared" si="260"/>
        <v/>
      </c>
      <c r="Q272" s="1" t="str">
        <f t="array" ref="Q272">IF($B272="","",IF(MAX(IF(B272=$B$2:$B$313,$L$2:$L$313))-L272=0,"",MAX(IF(B272=$B$2:$B$313,$L$2:$L$313))-L272))</f>
        <v/>
      </c>
      <c r="R272" s="1" t="str">
        <f t="array" ref="R272">IF($B272="","",SUMPRODUCT(--($B$2:$B$313=B272),--(L272&lt;$L$2:$L$313))+1)</f>
        <v/>
      </c>
      <c r="S272" s="1" t="str">
        <f t="shared" si="261"/>
        <v/>
      </c>
      <c r="T272" s="1" t="str" cm="1">
        <f t="array" ref="T272">IF($B272="","",IF(M272=0,"",SUMPRODUCT(--($B$2:$B$313=B272),--(J272&lt;$J$2:$J$313))+1))</f>
        <v/>
      </c>
      <c r="U272" s="1" t="str">
        <f t="shared" si="262"/>
        <v/>
      </c>
      <c r="V272" s="1" t="str">
        <f t="shared" si="263"/>
        <v/>
      </c>
      <c r="W272" s="1" t="str">
        <f t="shared" si="264"/>
        <v/>
      </c>
      <c r="X272" s="1" t="str">
        <f t="shared" si="250"/>
        <v/>
      </c>
      <c r="Y272" s="1" t="str">
        <f>IF($B272="","",MAX(_xlfn.MAXIFS($J$2:J272,$I$2:I272,$I272),_xlfn.MAXIFS($K$2:K272,$I$2:I272,$I272)))</f>
        <v/>
      </c>
      <c r="Z272" s="1" t="str">
        <f t="shared" si="265"/>
        <v/>
      </c>
      <c r="AA272" s="1" t="str">
        <f t="shared" si="266"/>
        <v/>
      </c>
      <c r="AB272" s="1" t="str">
        <f t="shared" si="267"/>
        <v/>
      </c>
      <c r="AC272" s="1" t="str">
        <f t="shared" si="268"/>
        <v/>
      </c>
      <c r="AD272" s="1" t="str">
        <f>IF($B272="","",MIN(_xlfn.MINIFS($J$2:J272,$I$2:I272,$I272),_xlfn.MINIFS($K$2:K272,$I$2:I272,$I272)))</f>
        <v/>
      </c>
      <c r="AE272" s="1" t="str">
        <f t="shared" si="269"/>
        <v/>
      </c>
      <c r="AF272" s="1" t="str">
        <f t="shared" si="270"/>
        <v/>
      </c>
      <c r="AG272" s="1" t="str">
        <f t="shared" si="271"/>
        <v/>
      </c>
      <c r="AH272" s="1" t="str">
        <f t="shared" si="272"/>
        <v/>
      </c>
      <c r="AI272" s="1" t="str">
        <f ca="1">IF($B272="","",IF($K272="",0,OFFSET($CO$17,R272,W272)))</f>
        <v/>
      </c>
      <c r="AJ272" s="1" t="str">
        <f t="shared" ca="1" si="273"/>
        <v/>
      </c>
      <c r="AK272" s="1" t="str">
        <f ca="1">IF(AJ272="","",IF(AJ272=0,0,IF(W272=1,0,SUM(OFFSET($CO$17,N272,1):OFFSET($CO$17,N272+W272-2,1))/W272)))</f>
        <v/>
      </c>
      <c r="AL272" s="1" t="str">
        <f t="shared" si="274"/>
        <v/>
      </c>
      <c r="AM272" s="1" t="str">
        <f>IF($B272="","",SUMIFS($AL$2:AL272,$I$2:I272,$I272))</f>
        <v/>
      </c>
      <c r="AN272" s="1" t="str">
        <f t="shared" si="275"/>
        <v/>
      </c>
      <c r="AO272" s="1" t="str">
        <f>IFERROR(IF($B272="","",AVERAGEIFS($L$2:L272,$I$2:I272,I272,$L$2:L272,"&lt;&gt;0")),0)</f>
        <v/>
      </c>
      <c r="AP272" s="1" t="str">
        <f t="shared" si="276"/>
        <v/>
      </c>
      <c r="AQ272" s="1" t="str">
        <f>IF($B272="","",COUNTIFS($R$2:R272,1,$I$2:I272,$I272))</f>
        <v/>
      </c>
      <c r="AR272" s="1" t="str">
        <f t="array" ref="AR272">IF($B272="","",SUMPRODUCT(--($B$2:$B$313=B272),--(AM272&lt;$AM$2:$AM$313))+1)</f>
        <v/>
      </c>
      <c r="AS272" s="1" t="str">
        <f t="array" ref="AS272">IF($B272="","",SUMPRODUCT(--($B$2:$B$313=B272),--(AP272&lt;$AP$2:$AP$313))+1)</f>
        <v/>
      </c>
      <c r="AT272" s="1" t="str">
        <f t="array" ref="AT272">IF($B272="","",SUMPRODUCT(--($B$2:$B$313=B272),--(AQ272&lt;$AQ$2:$AQ$313))+1)</f>
        <v/>
      </c>
      <c r="AU272" s="1" t="str">
        <f t="shared" si="277"/>
        <v/>
      </c>
      <c r="AV272" s="1" t="str">
        <f t="shared" si="278"/>
        <v/>
      </c>
      <c r="AW272" s="1" t="str">
        <f t="shared" si="251"/>
        <v/>
      </c>
      <c r="AX272" s="1" t="str">
        <f t="shared" si="279"/>
        <v/>
      </c>
      <c r="AY272" s="8" t="str">
        <f t="shared" si="280"/>
        <v/>
      </c>
      <c r="AZ272" s="1" t="str" cm="1">
        <f t="array" ref="AZ272">IF($B272="","",SUMPRODUCT(--($B$2:$B$313=B272),--(AY272&gt;$AY$2:$AY$313))+1)</f>
        <v/>
      </c>
      <c r="BA272" s="1" t="str">
        <f t="shared" si="281"/>
        <v/>
      </c>
      <c r="BB272" s="1" t="str">
        <f t="shared" si="282"/>
        <v/>
      </c>
      <c r="BC272" s="1" t="str">
        <f t="shared" si="283"/>
        <v/>
      </c>
      <c r="BD272" s="1" t="str">
        <f t="shared" si="284"/>
        <v/>
      </c>
      <c r="BE272" s="1" t="str">
        <f t="shared" si="285"/>
        <v/>
      </c>
      <c r="BF272" s="1" t="str">
        <f t="shared" si="286"/>
        <v/>
      </c>
      <c r="BG272" s="1" t="str">
        <f t="shared" si="287"/>
        <v/>
      </c>
      <c r="BH272" s="1" t="str">
        <f t="shared" si="288"/>
        <v/>
      </c>
      <c r="BI272" s="1" t="str">
        <f t="shared" si="289"/>
        <v/>
      </c>
      <c r="BJ272" s="1" t="str">
        <f t="shared" si="290"/>
        <v/>
      </c>
      <c r="BK272" s="1" t="str">
        <f t="shared" si="291"/>
        <v/>
      </c>
      <c r="BL272" s="1" t="str">
        <f t="shared" si="292"/>
        <v/>
      </c>
      <c r="BM272" s="1" t="str">
        <f t="shared" si="293"/>
        <v/>
      </c>
      <c r="BN272" s="1" t="str">
        <f t="shared" si="294"/>
        <v/>
      </c>
      <c r="BO272" s="1" t="str">
        <f t="shared" si="252"/>
        <v/>
      </c>
      <c r="BP272" s="1" t="str">
        <f t="shared" si="295"/>
        <v/>
      </c>
      <c r="BQ272" s="1" t="str" cm="1">
        <f t="array" ref="BQ272">IF(I272="","",IF(BP272=1,"",IF(L272=0,"",IF(B272=1,"",_xlfn.XLOOKUP(1,($I$2:$I$313=$I272)*($B$2:$B$313=($B272-1)),$BO$2:$BO$313)))))</f>
        <v/>
      </c>
      <c r="BR272" s="1" t="str">
        <f>IF(I272="","",IF($B272=1,_xlfn.MINIFS($BO$2:$BO$313,$B$2:$B$313,$B272),_xlfn.MINIFS(BQ$2:$BQ$313,$B$2:$B$313,$B272)))</f>
        <v/>
      </c>
      <c r="BS272" s="1" t="str">
        <f t="shared" si="296"/>
        <v/>
      </c>
      <c r="BT272" s="1" t="str" cm="1">
        <f t="array" ref="BT272">IF($I272="","",IF($B272=1,_xlfn.XLOOKUP(1,($B$2:$B$313=$B272)*($BO$2:$BO$313=BR272),Data!$I$2:$I$313,,0),_xlfn.XLOOKUP(1,($B$2:$B$313=$B272)*($BQ$2:$BQ$313=$BR272),$I$2:$I$313,,0)))</f>
        <v/>
      </c>
      <c r="BU272" s="1" t="str" cm="1">
        <f t="array" ref="BU272">IF(I272="","",IF($B272=1,_xlfn.XLOOKUP(1,($B$2:$B$313=$B272)*($BO$2:$BO$313=$BS272),$I$2:$I$313,,0),_xlfn.XLOOKUP(1,($B$2:$B$313=$B272)*($BQ$2:$BQ$313=$BS272),$I$2:$I$313,,0)))</f>
        <v/>
      </c>
      <c r="BV272" s="1" t="str" cm="1">
        <f t="array" ref="BV272">IF($I272="","",IF($B272=1,"",IF($B272=2,_xlfn.XLOOKUP(1,($B$2:$B$313=1)*($BO$2:$BO$313=1),$I$2:$I$313,,0),_xlfn.XLOOKUP($B272-1,$B$2:$B$313,$CH$2:$CH$313,,0))))</f>
        <v/>
      </c>
      <c r="BW272" s="1" t="str" cm="1">
        <f t="array" ref="BW272">IF($I272="","",IF($B272=1,"",IF(_xlfn.XLOOKUP(1,($B$2:$B$313=$B272)*($I$2:$I$313=$BV272),$BQ$2:$BQ$313,,0)="","NOK","OK")))</f>
        <v/>
      </c>
      <c r="BX272" s="1" t="str">
        <f t="shared" si="297"/>
        <v/>
      </c>
      <c r="BY272" s="1" t="str">
        <f t="shared" si="298"/>
        <v/>
      </c>
      <c r="BZ272" s="1" t="str">
        <f t="shared" si="299"/>
        <v/>
      </c>
      <c r="CA272" s="1" t="str">
        <f t="shared" si="300"/>
        <v/>
      </c>
      <c r="CB272" s="1" t="str">
        <f t="shared" si="301"/>
        <v/>
      </c>
      <c r="CC272" s="1" t="str">
        <f t="shared" si="302"/>
        <v/>
      </c>
      <c r="CD272" s="1" t="str">
        <f t="shared" si="303"/>
        <v/>
      </c>
      <c r="CE272" s="1" t="str">
        <f t="shared" si="304"/>
        <v/>
      </c>
      <c r="CF272" s="1" t="str">
        <f t="shared" si="305"/>
        <v/>
      </c>
      <c r="CG272" s="1" t="str">
        <f t="shared" si="306"/>
        <v/>
      </c>
      <c r="CH272" s="1" t="str">
        <f t="shared" si="307"/>
        <v/>
      </c>
      <c r="CI272" s="1" t="str">
        <f t="shared" si="308"/>
        <v/>
      </c>
      <c r="CJ272" s="1" t="str">
        <f>IF(B272="","",IF(SUM(AI272:AK272)&gt;0,"+SP","")&amp;IF(CI272&gt;0,"+KK","")&amp;IF(AB272&gt;0,"+KGP1","")&amp;IF(AC272&gt;0,"+KGP2","")&amp;IF(AG272&lt;0,"-KGP1","")&amp;IF(AH272&lt;0,"-KGP2",""))</f>
        <v/>
      </c>
    </row>
    <row r="273" spans="1:88" x14ac:dyDescent="0.25">
      <c r="A273" s="1" t="str">
        <f>IFERROR(IF(ROW(A272)=1,1,IF(1+A272&lt;=$CP$1*$CP$2,1+A272,"")),"")</f>
        <v/>
      </c>
      <c r="B273" s="1" t="str">
        <f>IF($I273="","",IF(ROW(B272)=1,1,ROUNDUP(A273/$CP$2,0)))</f>
        <v/>
      </c>
      <c r="C273" s="4" t="str">
        <f t="shared" si="253"/>
        <v/>
      </c>
      <c r="D273" s="4" t="str">
        <f t="shared" si="248"/>
        <v/>
      </c>
      <c r="E273" s="1" t="str">
        <f>IF($B273="","",COUNTIF($B$2:B273,B273))</f>
        <v/>
      </c>
      <c r="F273" s="1" t="str">
        <f t="shared" si="249"/>
        <v/>
      </c>
      <c r="G273" s="1" t="str">
        <f t="shared" si="254"/>
        <v/>
      </c>
      <c r="H273" s="1">
        <f t="shared" si="255"/>
        <v>0</v>
      </c>
      <c r="I273" s="3"/>
      <c r="J273" s="3"/>
      <c r="K273" s="3"/>
      <c r="L273" s="1" t="str">
        <f t="shared" si="256"/>
        <v/>
      </c>
      <c r="M273" s="1" t="str">
        <f t="shared" si="257"/>
        <v/>
      </c>
      <c r="N273" s="1" t="str">
        <f t="shared" si="258"/>
        <v/>
      </c>
      <c r="O273" s="1" t="str">
        <f t="shared" si="259"/>
        <v/>
      </c>
      <c r="P273" s="1" t="str">
        <f t="shared" si="260"/>
        <v/>
      </c>
      <c r="Q273" s="1" t="str">
        <f t="array" ref="Q273">IF($B273="","",IF(MAX(IF(B273=$B$2:$B$313,$L$2:$L$313))-L273=0,"",MAX(IF(B273=$B$2:$B$313,$L$2:$L$313))-L273))</f>
        <v/>
      </c>
      <c r="R273" s="1" t="str">
        <f t="array" ref="R273">IF($B273="","",SUMPRODUCT(--($B$2:$B$313=B273),--(L273&lt;$L$2:$L$313))+1)</f>
        <v/>
      </c>
      <c r="S273" s="1" t="str">
        <f t="shared" si="261"/>
        <v/>
      </c>
      <c r="T273" s="1" t="str" cm="1">
        <f t="array" ref="T273">IF($B273="","",IF(M273=0,"",SUMPRODUCT(--($B$2:$B$313=B273),--(J273&lt;$J$2:$J$313))+1))</f>
        <v/>
      </c>
      <c r="U273" s="1" t="str">
        <f t="shared" si="262"/>
        <v/>
      </c>
      <c r="V273" s="1" t="str">
        <f t="shared" si="263"/>
        <v/>
      </c>
      <c r="W273" s="1" t="str">
        <f t="shared" si="264"/>
        <v/>
      </c>
      <c r="X273" s="1" t="str">
        <f t="shared" si="250"/>
        <v/>
      </c>
      <c r="Y273" s="1" t="str">
        <f>IF($B273="","",MAX(_xlfn.MAXIFS($J$2:J273,$I$2:I273,$I273),_xlfn.MAXIFS($K$2:K273,$I$2:I273,$I273)))</f>
        <v/>
      </c>
      <c r="Z273" s="1" t="str">
        <f t="shared" si="265"/>
        <v/>
      </c>
      <c r="AA273" s="1" t="str">
        <f t="shared" si="266"/>
        <v/>
      </c>
      <c r="AB273" s="1" t="str">
        <f t="shared" si="267"/>
        <v/>
      </c>
      <c r="AC273" s="1" t="str">
        <f t="shared" si="268"/>
        <v/>
      </c>
      <c r="AD273" s="1" t="str">
        <f>IF($B273="","",MIN(_xlfn.MINIFS($J$2:J273,$I$2:I273,$I273),_xlfn.MINIFS($K$2:K273,$I$2:I273,$I273)))</f>
        <v/>
      </c>
      <c r="AE273" s="1" t="str">
        <f t="shared" si="269"/>
        <v/>
      </c>
      <c r="AF273" s="1" t="str">
        <f t="shared" si="270"/>
        <v/>
      </c>
      <c r="AG273" s="1" t="str">
        <f t="shared" si="271"/>
        <v/>
      </c>
      <c r="AH273" s="1" t="str">
        <f t="shared" si="272"/>
        <v/>
      </c>
      <c r="AI273" s="1" t="str">
        <f ca="1">IF($B273="","",IF($K273="",0,OFFSET($CO$17,R273,W273)))</f>
        <v/>
      </c>
      <c r="AJ273" s="1" t="str">
        <f t="shared" ca="1" si="273"/>
        <v/>
      </c>
      <c r="AK273" s="1" t="str">
        <f ca="1">IF(AJ273="","",IF(AJ273=0,0,IF(W273=1,0,SUM(OFFSET($CO$17,N273,1):OFFSET($CO$17,N273+W273-2,1))/W273)))</f>
        <v/>
      </c>
      <c r="AL273" s="1" t="str">
        <f t="shared" si="274"/>
        <v/>
      </c>
      <c r="AM273" s="1" t="str">
        <f>IF($B273="","",SUMIFS($AL$2:AL273,$I$2:I273,$I273))</f>
        <v/>
      </c>
      <c r="AN273" s="1" t="str">
        <f t="shared" si="275"/>
        <v/>
      </c>
      <c r="AO273" s="1" t="str">
        <f>IFERROR(IF($B273="","",AVERAGEIFS($L$2:L273,$I$2:I273,I273,$L$2:L273,"&lt;&gt;0")),0)</f>
        <v/>
      </c>
      <c r="AP273" s="1" t="str">
        <f t="shared" si="276"/>
        <v/>
      </c>
      <c r="AQ273" s="1" t="str">
        <f>IF($B273="","",COUNTIFS($R$2:R273,1,$I$2:I273,$I273))</f>
        <v/>
      </c>
      <c r="AR273" s="1" t="str">
        <f t="array" ref="AR273">IF($B273="","",SUMPRODUCT(--($B$2:$B$313=B273),--(AM273&lt;$AM$2:$AM$313))+1)</f>
        <v/>
      </c>
      <c r="AS273" s="1" t="str">
        <f t="array" ref="AS273">IF($B273="","",SUMPRODUCT(--($B$2:$B$313=B273),--(AP273&lt;$AP$2:$AP$313))+1)</f>
        <v/>
      </c>
      <c r="AT273" s="1" t="str">
        <f t="array" ref="AT273">IF($B273="","",SUMPRODUCT(--($B$2:$B$313=B273),--(AQ273&lt;$AQ$2:$AQ$313))+1)</f>
        <v/>
      </c>
      <c r="AU273" s="1" t="str">
        <f t="shared" si="277"/>
        <v/>
      </c>
      <c r="AV273" s="1" t="str">
        <f t="shared" si="278"/>
        <v/>
      </c>
      <c r="AW273" s="1" t="str">
        <f t="shared" si="251"/>
        <v/>
      </c>
      <c r="AX273" s="1" t="str">
        <f t="shared" si="279"/>
        <v/>
      </c>
      <c r="AY273" s="8" t="str">
        <f t="shared" si="280"/>
        <v/>
      </c>
      <c r="AZ273" s="1" t="str" cm="1">
        <f t="array" ref="AZ273">IF($B273="","",SUMPRODUCT(--($B$2:$B$313=B273),--(AY273&gt;$AY$2:$AY$313))+1)</f>
        <v/>
      </c>
      <c r="BA273" s="1" t="str">
        <f t="shared" si="281"/>
        <v/>
      </c>
      <c r="BB273" s="1" t="str">
        <f t="shared" si="282"/>
        <v/>
      </c>
      <c r="BC273" s="1" t="str">
        <f t="shared" si="283"/>
        <v/>
      </c>
      <c r="BD273" s="1" t="str">
        <f t="shared" si="284"/>
        <v/>
      </c>
      <c r="BE273" s="1" t="str">
        <f t="shared" si="285"/>
        <v/>
      </c>
      <c r="BF273" s="1" t="str">
        <f t="shared" si="286"/>
        <v/>
      </c>
      <c r="BG273" s="1" t="str">
        <f t="shared" si="287"/>
        <v/>
      </c>
      <c r="BH273" s="1" t="str">
        <f t="shared" si="288"/>
        <v/>
      </c>
      <c r="BI273" s="1" t="str">
        <f t="shared" si="289"/>
        <v/>
      </c>
      <c r="BJ273" s="1" t="str">
        <f t="shared" si="290"/>
        <v/>
      </c>
      <c r="BK273" s="1" t="str">
        <f t="shared" si="291"/>
        <v/>
      </c>
      <c r="BL273" s="1" t="str">
        <f t="shared" si="292"/>
        <v/>
      </c>
      <c r="BM273" s="1" t="str">
        <f t="shared" si="293"/>
        <v/>
      </c>
      <c r="BN273" s="1" t="str">
        <f t="shared" si="294"/>
        <v/>
      </c>
      <c r="BO273" s="1" t="str">
        <f t="shared" si="252"/>
        <v/>
      </c>
      <c r="BP273" s="1" t="str">
        <f t="shared" si="295"/>
        <v/>
      </c>
      <c r="BQ273" s="1" t="str" cm="1">
        <f t="array" ref="BQ273">IF(I273="","",IF(BP273=1,"",IF(L273=0,"",IF(B273=1,"",_xlfn.XLOOKUP(1,($I$2:$I$313=$I273)*($B$2:$B$313=($B273-1)),$BO$2:$BO$313)))))</f>
        <v/>
      </c>
      <c r="BR273" s="1" t="str">
        <f>IF(I273="","",IF($B273=1,_xlfn.MINIFS($BO$2:$BO$313,$B$2:$B$313,$B273),_xlfn.MINIFS(BQ$2:$BQ$313,$B$2:$B$313,$B273)))</f>
        <v/>
      </c>
      <c r="BS273" s="1" t="str">
        <f t="shared" si="296"/>
        <v/>
      </c>
      <c r="BT273" s="1" t="str" cm="1">
        <f t="array" ref="BT273">IF($I273="","",IF($B273=1,_xlfn.XLOOKUP(1,($B$2:$B$313=$B273)*($BO$2:$BO$313=BR273),Data!$I$2:$I$313,,0),_xlfn.XLOOKUP(1,($B$2:$B$313=$B273)*($BQ$2:$BQ$313=$BR273),$I$2:$I$313,,0)))</f>
        <v/>
      </c>
      <c r="BU273" s="1" t="str" cm="1">
        <f t="array" ref="BU273">IF(I273="","",IF($B273=1,_xlfn.XLOOKUP(1,($B$2:$B$313=$B273)*($BO$2:$BO$313=$BS273),$I$2:$I$313,,0),_xlfn.XLOOKUP(1,($B$2:$B$313=$B273)*($BQ$2:$BQ$313=$BS273),$I$2:$I$313,,0)))</f>
        <v/>
      </c>
      <c r="BV273" s="1" t="str" cm="1">
        <f t="array" ref="BV273">IF($I273="","",IF($B273=1,"",IF($B273=2,_xlfn.XLOOKUP(1,($B$2:$B$313=1)*($BO$2:$BO$313=1),$I$2:$I$313,,0),_xlfn.XLOOKUP($B273-1,$B$2:$B$313,$CH$2:$CH$313,,0))))</f>
        <v/>
      </c>
      <c r="BW273" s="1" t="str" cm="1">
        <f t="array" ref="BW273">IF($I273="","",IF($B273=1,"",IF(_xlfn.XLOOKUP(1,($B$2:$B$313=$B273)*($I$2:$I$313=$BV273),$BQ$2:$BQ$313,,0)="","NOK","OK")))</f>
        <v/>
      </c>
      <c r="BX273" s="1" t="str">
        <f t="shared" si="297"/>
        <v/>
      </c>
      <c r="BY273" s="1" t="str">
        <f t="shared" si="298"/>
        <v/>
      </c>
      <c r="BZ273" s="1" t="str">
        <f t="shared" si="299"/>
        <v/>
      </c>
      <c r="CA273" s="1" t="str">
        <f t="shared" si="300"/>
        <v/>
      </c>
      <c r="CB273" s="1" t="str">
        <f t="shared" si="301"/>
        <v/>
      </c>
      <c r="CC273" s="1" t="str">
        <f t="shared" si="302"/>
        <v/>
      </c>
      <c r="CD273" s="1" t="str">
        <f t="shared" si="303"/>
        <v/>
      </c>
      <c r="CE273" s="1" t="str">
        <f t="shared" si="304"/>
        <v/>
      </c>
      <c r="CF273" s="1" t="str">
        <f t="shared" si="305"/>
        <v/>
      </c>
      <c r="CG273" s="1" t="str">
        <f t="shared" si="306"/>
        <v/>
      </c>
      <c r="CH273" s="1" t="str">
        <f t="shared" si="307"/>
        <v/>
      </c>
      <c r="CI273" s="1" t="str">
        <f t="shared" si="308"/>
        <v/>
      </c>
      <c r="CJ273" s="1" t="str">
        <f>IF(B273="","",IF(SUM(AI273:AK273)&gt;0,"+SP","")&amp;IF(CI273&gt;0,"+KK","")&amp;IF(AB273&gt;0,"+KGP1","")&amp;IF(AC273&gt;0,"+KGP2","")&amp;IF(AG273&lt;0,"-KGP1","")&amp;IF(AH273&lt;0,"-KGP2",""))</f>
        <v/>
      </c>
    </row>
    <row r="274" spans="1:88" x14ac:dyDescent="0.25">
      <c r="A274" s="1" t="str">
        <f>IFERROR(IF(ROW(A273)=1,1,IF(1+A273&lt;=$CP$1*$CP$2,1+A273,"")),"")</f>
        <v/>
      </c>
      <c r="B274" s="1" t="str">
        <f>IF($I274="","",IF(ROW(B273)=1,1,ROUNDUP(A274/$CP$2,0)))</f>
        <v/>
      </c>
      <c r="C274" s="4" t="str">
        <f t="shared" si="253"/>
        <v/>
      </c>
      <c r="D274" s="4" t="str">
        <f t="shared" si="248"/>
        <v/>
      </c>
      <c r="E274" s="1" t="str">
        <f>IF($B274="","",COUNTIF($B$2:B274,B274))</f>
        <v/>
      </c>
      <c r="F274" s="1" t="str">
        <f t="shared" si="249"/>
        <v/>
      </c>
      <c r="G274" s="1" t="str">
        <f t="shared" si="254"/>
        <v/>
      </c>
      <c r="H274" s="1">
        <f t="shared" si="255"/>
        <v>0</v>
      </c>
      <c r="I274" s="3"/>
      <c r="J274" s="3"/>
      <c r="K274" s="3"/>
      <c r="L274" s="1" t="str">
        <f t="shared" si="256"/>
        <v/>
      </c>
      <c r="M274" s="1" t="str">
        <f t="shared" si="257"/>
        <v/>
      </c>
      <c r="N274" s="1" t="str">
        <f t="shared" si="258"/>
        <v/>
      </c>
      <c r="O274" s="1" t="str">
        <f t="shared" si="259"/>
        <v/>
      </c>
      <c r="P274" s="1" t="str">
        <f t="shared" si="260"/>
        <v/>
      </c>
      <c r="Q274" s="1" t="str">
        <f t="array" ref="Q274">IF($B274="","",IF(MAX(IF(B274=$B$2:$B$313,$L$2:$L$313))-L274=0,"",MAX(IF(B274=$B$2:$B$313,$L$2:$L$313))-L274))</f>
        <v/>
      </c>
      <c r="R274" s="1" t="str">
        <f t="array" ref="R274">IF($B274="","",SUMPRODUCT(--($B$2:$B$313=B274),--(L274&lt;$L$2:$L$313))+1)</f>
        <v/>
      </c>
      <c r="S274" s="1" t="str">
        <f t="shared" si="261"/>
        <v/>
      </c>
      <c r="T274" s="1" t="str" cm="1">
        <f t="array" ref="T274">IF($B274="","",IF(M274=0,"",SUMPRODUCT(--($B$2:$B$313=B274),--(J274&lt;$J$2:$J$313))+1))</f>
        <v/>
      </c>
      <c r="U274" s="1" t="str">
        <f t="shared" si="262"/>
        <v/>
      </c>
      <c r="V274" s="1" t="str">
        <f t="shared" si="263"/>
        <v/>
      </c>
      <c r="W274" s="1" t="str">
        <f t="shared" si="264"/>
        <v/>
      </c>
      <c r="X274" s="1" t="str">
        <f t="shared" si="250"/>
        <v/>
      </c>
      <c r="Y274" s="1" t="str">
        <f>IF($B274="","",MAX(_xlfn.MAXIFS($J$2:J274,$I$2:I274,$I274),_xlfn.MAXIFS($K$2:K274,$I$2:I274,$I274)))</f>
        <v/>
      </c>
      <c r="Z274" s="1" t="str">
        <f t="shared" si="265"/>
        <v/>
      </c>
      <c r="AA274" s="1" t="str">
        <f t="shared" si="266"/>
        <v/>
      </c>
      <c r="AB274" s="1" t="str">
        <f t="shared" si="267"/>
        <v/>
      </c>
      <c r="AC274" s="1" t="str">
        <f t="shared" si="268"/>
        <v/>
      </c>
      <c r="AD274" s="1" t="str">
        <f>IF($B274="","",MIN(_xlfn.MINIFS($J$2:J274,$I$2:I274,$I274),_xlfn.MINIFS($K$2:K274,$I$2:I274,$I274)))</f>
        <v/>
      </c>
      <c r="AE274" s="1" t="str">
        <f t="shared" si="269"/>
        <v/>
      </c>
      <c r="AF274" s="1" t="str">
        <f t="shared" si="270"/>
        <v/>
      </c>
      <c r="AG274" s="1" t="str">
        <f t="shared" si="271"/>
        <v/>
      </c>
      <c r="AH274" s="1" t="str">
        <f t="shared" si="272"/>
        <v/>
      </c>
      <c r="AI274" s="1" t="str">
        <f ca="1">IF($B274="","",IF($K274="",0,OFFSET($CO$17,R274,W274)))</f>
        <v/>
      </c>
      <c r="AJ274" s="1" t="str">
        <f t="shared" ca="1" si="273"/>
        <v/>
      </c>
      <c r="AK274" s="1" t="str">
        <f ca="1">IF(AJ274="","",IF(AJ274=0,0,IF(W274=1,0,SUM(OFFSET($CO$17,N274,1):OFFSET($CO$17,N274+W274-2,1))/W274)))</f>
        <v/>
      </c>
      <c r="AL274" s="1" t="str">
        <f t="shared" si="274"/>
        <v/>
      </c>
      <c r="AM274" s="1" t="str">
        <f>IF($B274="","",SUMIFS($AL$2:AL274,$I$2:I274,$I274))</f>
        <v/>
      </c>
      <c r="AN274" s="1" t="str">
        <f t="shared" si="275"/>
        <v/>
      </c>
      <c r="AO274" s="1" t="str">
        <f>IFERROR(IF($B274="","",AVERAGEIFS($L$2:L274,$I$2:I274,I274,$L$2:L274,"&lt;&gt;0")),0)</f>
        <v/>
      </c>
      <c r="AP274" s="1" t="str">
        <f t="shared" si="276"/>
        <v/>
      </c>
      <c r="AQ274" s="1" t="str">
        <f>IF($B274="","",COUNTIFS($R$2:R274,1,$I$2:I274,$I274))</f>
        <v/>
      </c>
      <c r="AR274" s="1" t="str">
        <f t="array" ref="AR274">IF($B274="","",SUMPRODUCT(--($B$2:$B$313=B274),--(AM274&lt;$AM$2:$AM$313))+1)</f>
        <v/>
      </c>
      <c r="AS274" s="1" t="str">
        <f t="array" ref="AS274">IF($B274="","",SUMPRODUCT(--($B$2:$B$313=B274),--(AP274&lt;$AP$2:$AP$313))+1)</f>
        <v/>
      </c>
      <c r="AT274" s="1" t="str">
        <f t="array" ref="AT274">IF($B274="","",SUMPRODUCT(--($B$2:$B$313=B274),--(AQ274&lt;$AQ$2:$AQ$313))+1)</f>
        <v/>
      </c>
      <c r="AU274" s="1" t="str">
        <f t="shared" si="277"/>
        <v/>
      </c>
      <c r="AV274" s="1" t="str">
        <f t="shared" si="278"/>
        <v/>
      </c>
      <c r="AW274" s="1" t="str">
        <f t="shared" si="251"/>
        <v/>
      </c>
      <c r="AX274" s="1" t="str">
        <f t="shared" si="279"/>
        <v/>
      </c>
      <c r="AY274" s="8" t="str">
        <f t="shared" si="280"/>
        <v/>
      </c>
      <c r="AZ274" s="1" t="str" cm="1">
        <f t="array" ref="AZ274">IF($B274="","",SUMPRODUCT(--($B$2:$B$313=B274),--(AY274&gt;$AY$2:$AY$313))+1)</f>
        <v/>
      </c>
      <c r="BA274" s="1" t="str">
        <f t="shared" si="281"/>
        <v/>
      </c>
      <c r="BB274" s="1" t="str">
        <f t="shared" si="282"/>
        <v/>
      </c>
      <c r="BC274" s="1" t="str">
        <f t="shared" si="283"/>
        <v/>
      </c>
      <c r="BD274" s="1" t="str">
        <f t="shared" si="284"/>
        <v/>
      </c>
      <c r="BE274" s="1" t="str">
        <f t="shared" si="285"/>
        <v/>
      </c>
      <c r="BF274" s="1" t="str">
        <f t="shared" si="286"/>
        <v/>
      </c>
      <c r="BG274" s="1" t="str">
        <f t="shared" si="287"/>
        <v/>
      </c>
      <c r="BH274" s="1" t="str">
        <f t="shared" si="288"/>
        <v/>
      </c>
      <c r="BI274" s="1" t="str">
        <f t="shared" si="289"/>
        <v/>
      </c>
      <c r="BJ274" s="1" t="str">
        <f t="shared" si="290"/>
        <v/>
      </c>
      <c r="BK274" s="1" t="str">
        <f t="shared" si="291"/>
        <v/>
      </c>
      <c r="BL274" s="1" t="str">
        <f t="shared" si="292"/>
        <v/>
      </c>
      <c r="BM274" s="1" t="str">
        <f t="shared" si="293"/>
        <v/>
      </c>
      <c r="BN274" s="1" t="str">
        <f t="shared" si="294"/>
        <v/>
      </c>
      <c r="BO274" s="1" t="str">
        <f t="shared" si="252"/>
        <v/>
      </c>
      <c r="BP274" s="1" t="str">
        <f t="shared" si="295"/>
        <v/>
      </c>
      <c r="BQ274" s="1" t="str" cm="1">
        <f t="array" ref="BQ274">IF(I274="","",IF(BP274=1,"",IF(L274=0,"",IF(B274=1,"",_xlfn.XLOOKUP(1,($I$2:$I$313=$I274)*($B$2:$B$313=($B274-1)),$BO$2:$BO$313)))))</f>
        <v/>
      </c>
      <c r="BR274" s="1" t="str">
        <f>IF(I274="","",IF($B274=1,_xlfn.MINIFS($BO$2:$BO$313,$B$2:$B$313,$B274),_xlfn.MINIFS(BQ$2:$BQ$313,$B$2:$B$313,$B274)))</f>
        <v/>
      </c>
      <c r="BS274" s="1" t="str">
        <f t="shared" si="296"/>
        <v/>
      </c>
      <c r="BT274" s="1" t="str" cm="1">
        <f t="array" ref="BT274">IF($I274="","",IF($B274=1,_xlfn.XLOOKUP(1,($B$2:$B$313=$B274)*($BO$2:$BO$313=BR274),Data!$I$2:$I$313,,0),_xlfn.XLOOKUP(1,($B$2:$B$313=$B274)*($BQ$2:$BQ$313=$BR274),$I$2:$I$313,,0)))</f>
        <v/>
      </c>
      <c r="BU274" s="1" t="str" cm="1">
        <f t="array" ref="BU274">IF(I274="","",IF($B274=1,_xlfn.XLOOKUP(1,($B$2:$B$313=$B274)*($BO$2:$BO$313=$BS274),$I$2:$I$313,,0),_xlfn.XLOOKUP(1,($B$2:$B$313=$B274)*($BQ$2:$BQ$313=$BS274),$I$2:$I$313,,0)))</f>
        <v/>
      </c>
      <c r="BV274" s="1" t="str" cm="1">
        <f t="array" ref="BV274">IF($I274="","",IF($B274=1,"",IF($B274=2,_xlfn.XLOOKUP(1,($B$2:$B$313=1)*($BO$2:$BO$313=1),$I$2:$I$313,,0),_xlfn.XLOOKUP($B274-1,$B$2:$B$313,$CH$2:$CH$313,,0))))</f>
        <v/>
      </c>
      <c r="BW274" s="1" t="str" cm="1">
        <f t="array" ref="BW274">IF($I274="","",IF($B274=1,"",IF(_xlfn.XLOOKUP(1,($B$2:$B$313=$B274)*($I$2:$I$313=$BV274),$BQ$2:$BQ$313,,0)="","NOK","OK")))</f>
        <v/>
      </c>
      <c r="BX274" s="1" t="str">
        <f t="shared" si="297"/>
        <v/>
      </c>
      <c r="BY274" s="1" t="str">
        <f t="shared" si="298"/>
        <v/>
      </c>
      <c r="BZ274" s="1" t="str">
        <f t="shared" si="299"/>
        <v/>
      </c>
      <c r="CA274" s="1" t="str">
        <f t="shared" si="300"/>
        <v/>
      </c>
      <c r="CB274" s="1" t="str">
        <f t="shared" si="301"/>
        <v/>
      </c>
      <c r="CC274" s="1" t="str">
        <f t="shared" si="302"/>
        <v/>
      </c>
      <c r="CD274" s="1" t="str">
        <f t="shared" si="303"/>
        <v/>
      </c>
      <c r="CE274" s="1" t="str">
        <f t="shared" si="304"/>
        <v/>
      </c>
      <c r="CF274" s="1" t="str">
        <f t="shared" si="305"/>
        <v/>
      </c>
      <c r="CG274" s="1" t="str">
        <f t="shared" si="306"/>
        <v/>
      </c>
      <c r="CH274" s="1" t="str">
        <f t="shared" si="307"/>
        <v/>
      </c>
      <c r="CI274" s="1" t="str">
        <f t="shared" si="308"/>
        <v/>
      </c>
      <c r="CJ274" s="1" t="str">
        <f>IF(B274="","",IF(SUM(AI274:AK274)&gt;0,"+SP","")&amp;IF(CI274&gt;0,"+KK","")&amp;IF(AB274&gt;0,"+KGP1","")&amp;IF(AC274&gt;0,"+KGP2","")&amp;IF(AG274&lt;0,"-KGP1","")&amp;IF(AH274&lt;0,"-KGP2",""))</f>
        <v/>
      </c>
    </row>
    <row r="275" spans="1:88" x14ac:dyDescent="0.25">
      <c r="A275" s="1" t="str">
        <f>IFERROR(IF(ROW(A274)=1,1,IF(1+A274&lt;=$CP$1*$CP$2,1+A274,"")),"")</f>
        <v/>
      </c>
      <c r="B275" s="1" t="str">
        <f>IF($I275="","",IF(ROW(B274)=1,1,ROUNDUP(A275/$CP$2,0)))</f>
        <v/>
      </c>
      <c r="C275" s="4" t="str">
        <f t="shared" si="253"/>
        <v/>
      </c>
      <c r="D275" s="4" t="str">
        <f t="shared" si="248"/>
        <v/>
      </c>
      <c r="E275" s="1" t="str">
        <f>IF($B275="","",COUNTIF($B$2:B275,B275))</f>
        <v/>
      </c>
      <c r="F275" s="1" t="str">
        <f t="shared" si="249"/>
        <v/>
      </c>
      <c r="G275" s="1" t="str">
        <f t="shared" si="254"/>
        <v/>
      </c>
      <c r="H275" s="1">
        <f t="shared" si="255"/>
        <v>0</v>
      </c>
      <c r="I275" s="3"/>
      <c r="J275" s="3"/>
      <c r="K275" s="3"/>
      <c r="L275" s="1" t="str">
        <f t="shared" si="256"/>
        <v/>
      </c>
      <c r="M275" s="1" t="str">
        <f t="shared" si="257"/>
        <v/>
      </c>
      <c r="N275" s="1" t="str">
        <f t="shared" si="258"/>
        <v/>
      </c>
      <c r="O275" s="1" t="str">
        <f t="shared" si="259"/>
        <v/>
      </c>
      <c r="P275" s="1" t="str">
        <f t="shared" si="260"/>
        <v/>
      </c>
      <c r="Q275" s="1" t="str">
        <f t="array" ref="Q275">IF($B275="","",IF(MAX(IF(B275=$B$2:$B$313,$L$2:$L$313))-L275=0,"",MAX(IF(B275=$B$2:$B$313,$L$2:$L$313))-L275))</f>
        <v/>
      </c>
      <c r="R275" s="1" t="str">
        <f t="array" ref="R275">IF($B275="","",SUMPRODUCT(--($B$2:$B$313=B275),--(L275&lt;$L$2:$L$313))+1)</f>
        <v/>
      </c>
      <c r="S275" s="1" t="str">
        <f t="shared" si="261"/>
        <v/>
      </c>
      <c r="T275" s="1" t="str" cm="1">
        <f t="array" ref="T275">IF($B275="","",IF(M275=0,"",SUMPRODUCT(--($B$2:$B$313=B275),--(J275&lt;$J$2:$J$313))+1))</f>
        <v/>
      </c>
      <c r="U275" s="1" t="str">
        <f t="shared" si="262"/>
        <v/>
      </c>
      <c r="V275" s="1" t="str">
        <f t="shared" si="263"/>
        <v/>
      </c>
      <c r="W275" s="1" t="str">
        <f t="shared" si="264"/>
        <v/>
      </c>
      <c r="X275" s="1" t="str">
        <f t="shared" si="250"/>
        <v/>
      </c>
      <c r="Y275" s="1" t="str">
        <f>IF($B275="","",MAX(_xlfn.MAXIFS($J$2:J275,$I$2:I275,$I275),_xlfn.MAXIFS($K$2:K275,$I$2:I275,$I275)))</f>
        <v/>
      </c>
      <c r="Z275" s="1" t="str">
        <f t="shared" si="265"/>
        <v/>
      </c>
      <c r="AA275" s="1" t="str">
        <f t="shared" si="266"/>
        <v/>
      </c>
      <c r="AB275" s="1" t="str">
        <f t="shared" si="267"/>
        <v/>
      </c>
      <c r="AC275" s="1" t="str">
        <f t="shared" si="268"/>
        <v/>
      </c>
      <c r="AD275" s="1" t="str">
        <f>IF($B275="","",MIN(_xlfn.MINIFS($J$2:J275,$I$2:I275,$I275),_xlfn.MINIFS($K$2:K275,$I$2:I275,$I275)))</f>
        <v/>
      </c>
      <c r="AE275" s="1" t="str">
        <f t="shared" si="269"/>
        <v/>
      </c>
      <c r="AF275" s="1" t="str">
        <f t="shared" si="270"/>
        <v/>
      </c>
      <c r="AG275" s="1" t="str">
        <f t="shared" si="271"/>
        <v/>
      </c>
      <c r="AH275" s="1" t="str">
        <f t="shared" si="272"/>
        <v/>
      </c>
      <c r="AI275" s="1" t="str">
        <f ca="1">IF($B275="","",IF($K275="",0,OFFSET($CO$17,R275,W275)))</f>
        <v/>
      </c>
      <c r="AJ275" s="1" t="str">
        <f t="shared" ca="1" si="273"/>
        <v/>
      </c>
      <c r="AK275" s="1" t="str">
        <f ca="1">IF(AJ275="","",IF(AJ275=0,0,IF(W275=1,0,SUM(OFFSET($CO$17,N275,1):OFFSET($CO$17,N275+W275-2,1))/W275)))</f>
        <v/>
      </c>
      <c r="AL275" s="1" t="str">
        <f t="shared" si="274"/>
        <v/>
      </c>
      <c r="AM275" s="1" t="str">
        <f>IF($B275="","",SUMIFS($AL$2:AL275,$I$2:I275,$I275))</f>
        <v/>
      </c>
      <c r="AN275" s="1" t="str">
        <f t="shared" si="275"/>
        <v/>
      </c>
      <c r="AO275" s="1" t="str">
        <f>IFERROR(IF($B275="","",AVERAGEIFS($L$2:L275,$I$2:I275,I275,$L$2:L275,"&lt;&gt;0")),0)</f>
        <v/>
      </c>
      <c r="AP275" s="1" t="str">
        <f t="shared" si="276"/>
        <v/>
      </c>
      <c r="AQ275" s="1" t="str">
        <f>IF($B275="","",COUNTIFS($R$2:R275,1,$I$2:I275,$I275))</f>
        <v/>
      </c>
      <c r="AR275" s="1" t="str">
        <f t="array" ref="AR275">IF($B275="","",SUMPRODUCT(--($B$2:$B$313=B275),--(AM275&lt;$AM$2:$AM$313))+1)</f>
        <v/>
      </c>
      <c r="AS275" s="1" t="str">
        <f t="array" ref="AS275">IF($B275="","",SUMPRODUCT(--($B$2:$B$313=B275),--(AP275&lt;$AP$2:$AP$313))+1)</f>
        <v/>
      </c>
      <c r="AT275" s="1" t="str">
        <f t="array" ref="AT275">IF($B275="","",SUMPRODUCT(--($B$2:$B$313=B275),--(AQ275&lt;$AQ$2:$AQ$313))+1)</f>
        <v/>
      </c>
      <c r="AU275" s="1" t="str">
        <f t="shared" si="277"/>
        <v/>
      </c>
      <c r="AV275" s="1" t="str">
        <f t="shared" si="278"/>
        <v/>
      </c>
      <c r="AW275" s="1" t="str">
        <f t="shared" si="251"/>
        <v/>
      </c>
      <c r="AX275" s="1" t="str">
        <f t="shared" si="279"/>
        <v/>
      </c>
      <c r="AY275" s="8" t="str">
        <f t="shared" si="280"/>
        <v/>
      </c>
      <c r="AZ275" s="1" t="str" cm="1">
        <f t="array" ref="AZ275">IF($B275="","",SUMPRODUCT(--($B$2:$B$313=B275),--(AY275&gt;$AY$2:$AY$313))+1)</f>
        <v/>
      </c>
      <c r="BA275" s="1" t="str">
        <f t="shared" si="281"/>
        <v/>
      </c>
      <c r="BB275" s="1" t="str">
        <f t="shared" si="282"/>
        <v/>
      </c>
      <c r="BC275" s="1" t="str">
        <f t="shared" si="283"/>
        <v/>
      </c>
      <c r="BD275" s="1" t="str">
        <f t="shared" si="284"/>
        <v/>
      </c>
      <c r="BE275" s="1" t="str">
        <f t="shared" si="285"/>
        <v/>
      </c>
      <c r="BF275" s="1" t="str">
        <f t="shared" si="286"/>
        <v/>
      </c>
      <c r="BG275" s="1" t="str">
        <f t="shared" si="287"/>
        <v/>
      </c>
      <c r="BH275" s="1" t="str">
        <f t="shared" si="288"/>
        <v/>
      </c>
      <c r="BI275" s="1" t="str">
        <f t="shared" si="289"/>
        <v/>
      </c>
      <c r="BJ275" s="1" t="str">
        <f t="shared" si="290"/>
        <v/>
      </c>
      <c r="BK275" s="1" t="str">
        <f t="shared" si="291"/>
        <v/>
      </c>
      <c r="BL275" s="1" t="str">
        <f t="shared" si="292"/>
        <v/>
      </c>
      <c r="BM275" s="1" t="str">
        <f t="shared" si="293"/>
        <v/>
      </c>
      <c r="BN275" s="1" t="str">
        <f t="shared" si="294"/>
        <v/>
      </c>
      <c r="BO275" s="1" t="str">
        <f t="shared" si="252"/>
        <v/>
      </c>
      <c r="BP275" s="1" t="str">
        <f t="shared" si="295"/>
        <v/>
      </c>
      <c r="BQ275" s="1" t="str" cm="1">
        <f t="array" ref="BQ275">IF(I275="","",IF(BP275=1,"",IF(L275=0,"",IF(B275=1,"",_xlfn.XLOOKUP(1,($I$2:$I$313=$I275)*($B$2:$B$313=($B275-1)),$BO$2:$BO$313)))))</f>
        <v/>
      </c>
      <c r="BR275" s="1" t="str">
        <f>IF(I275="","",IF($B275=1,_xlfn.MINIFS($BO$2:$BO$313,$B$2:$B$313,$B275),_xlfn.MINIFS(BQ$2:$BQ$313,$B$2:$B$313,$B275)))</f>
        <v/>
      </c>
      <c r="BS275" s="1" t="str">
        <f t="shared" si="296"/>
        <v/>
      </c>
      <c r="BT275" s="1" t="str" cm="1">
        <f t="array" ref="BT275">IF($I275="","",IF($B275=1,_xlfn.XLOOKUP(1,($B$2:$B$313=$B275)*($BO$2:$BO$313=BR275),Data!$I$2:$I$313,,0),_xlfn.XLOOKUP(1,($B$2:$B$313=$B275)*($BQ$2:$BQ$313=$BR275),$I$2:$I$313,,0)))</f>
        <v/>
      </c>
      <c r="BU275" s="1" t="str" cm="1">
        <f t="array" ref="BU275">IF(I275="","",IF($B275=1,_xlfn.XLOOKUP(1,($B$2:$B$313=$B275)*($BO$2:$BO$313=$BS275),$I$2:$I$313,,0),_xlfn.XLOOKUP(1,($B$2:$B$313=$B275)*($BQ$2:$BQ$313=$BS275),$I$2:$I$313,,0)))</f>
        <v/>
      </c>
      <c r="BV275" s="1" t="str" cm="1">
        <f t="array" ref="BV275">IF($I275="","",IF($B275=1,"",IF($B275=2,_xlfn.XLOOKUP(1,($B$2:$B$313=1)*($BO$2:$BO$313=1),$I$2:$I$313,,0),_xlfn.XLOOKUP($B275-1,$B$2:$B$313,$CH$2:$CH$313,,0))))</f>
        <v/>
      </c>
      <c r="BW275" s="1" t="str" cm="1">
        <f t="array" ref="BW275">IF($I275="","",IF($B275=1,"",IF(_xlfn.XLOOKUP(1,($B$2:$B$313=$B275)*($I$2:$I$313=$BV275),$BQ$2:$BQ$313,,0)="","NOK","OK")))</f>
        <v/>
      </c>
      <c r="BX275" s="1" t="str">
        <f t="shared" si="297"/>
        <v/>
      </c>
      <c r="BY275" s="1" t="str">
        <f t="shared" si="298"/>
        <v/>
      </c>
      <c r="BZ275" s="1" t="str">
        <f t="shared" si="299"/>
        <v/>
      </c>
      <c r="CA275" s="1" t="str">
        <f t="shared" si="300"/>
        <v/>
      </c>
      <c r="CB275" s="1" t="str">
        <f t="shared" si="301"/>
        <v/>
      </c>
      <c r="CC275" s="1" t="str">
        <f t="shared" si="302"/>
        <v/>
      </c>
      <c r="CD275" s="1" t="str">
        <f t="shared" si="303"/>
        <v/>
      </c>
      <c r="CE275" s="1" t="str">
        <f t="shared" si="304"/>
        <v/>
      </c>
      <c r="CF275" s="1" t="str">
        <f t="shared" si="305"/>
        <v/>
      </c>
      <c r="CG275" s="1" t="str">
        <f t="shared" si="306"/>
        <v/>
      </c>
      <c r="CH275" s="1" t="str">
        <f t="shared" si="307"/>
        <v/>
      </c>
      <c r="CI275" s="1" t="str">
        <f t="shared" si="308"/>
        <v/>
      </c>
      <c r="CJ275" s="1" t="str">
        <f>IF(B275="","",IF(SUM(AI275:AK275)&gt;0,"+SP","")&amp;IF(CI275&gt;0,"+KK","")&amp;IF(AB275&gt;0,"+KGP1","")&amp;IF(AC275&gt;0,"+KGP2","")&amp;IF(AG275&lt;0,"-KGP1","")&amp;IF(AH275&lt;0,"-KGP2",""))</f>
        <v/>
      </c>
    </row>
    <row r="276" spans="1:88" x14ac:dyDescent="0.25">
      <c r="A276" s="1" t="str">
        <f>IFERROR(IF(ROW(A275)=1,1,IF(1+A275&lt;=$CP$1*$CP$2,1+A275,"")),"")</f>
        <v/>
      </c>
      <c r="B276" s="1" t="str">
        <f>IF($I276="","",IF(ROW(B275)=1,1,ROUNDUP(A276/$CP$2,0)))</f>
        <v/>
      </c>
      <c r="C276" s="4" t="str">
        <f t="shared" si="253"/>
        <v/>
      </c>
      <c r="D276" s="4" t="str">
        <f t="shared" si="248"/>
        <v/>
      </c>
      <c r="E276" s="1" t="str">
        <f>IF($B276="","",COUNTIF($B$2:B276,B276))</f>
        <v/>
      </c>
      <c r="F276" s="1" t="str">
        <f t="shared" si="249"/>
        <v/>
      </c>
      <c r="G276" s="1" t="str">
        <f t="shared" si="254"/>
        <v/>
      </c>
      <c r="H276" s="1">
        <f t="shared" si="255"/>
        <v>0</v>
      </c>
      <c r="I276" s="3"/>
      <c r="J276" s="3"/>
      <c r="K276" s="3"/>
      <c r="L276" s="1" t="str">
        <f t="shared" si="256"/>
        <v/>
      </c>
      <c r="M276" s="1" t="str">
        <f t="shared" si="257"/>
        <v/>
      </c>
      <c r="N276" s="1" t="str">
        <f t="shared" si="258"/>
        <v/>
      </c>
      <c r="O276" s="1" t="str">
        <f t="shared" si="259"/>
        <v/>
      </c>
      <c r="P276" s="1" t="str">
        <f t="shared" si="260"/>
        <v/>
      </c>
      <c r="Q276" s="1" t="str">
        <f t="array" ref="Q276">IF($B276="","",IF(MAX(IF(B276=$B$2:$B$313,$L$2:$L$313))-L276=0,"",MAX(IF(B276=$B$2:$B$313,$L$2:$L$313))-L276))</f>
        <v/>
      </c>
      <c r="R276" s="1" t="str">
        <f t="array" ref="R276">IF($B276="","",SUMPRODUCT(--($B$2:$B$313=B276),--(L276&lt;$L$2:$L$313))+1)</f>
        <v/>
      </c>
      <c r="S276" s="1" t="str">
        <f t="shared" si="261"/>
        <v/>
      </c>
      <c r="T276" s="1" t="str" cm="1">
        <f t="array" ref="T276">IF($B276="","",IF(M276=0,"",SUMPRODUCT(--($B$2:$B$313=B276),--(J276&lt;$J$2:$J$313))+1))</f>
        <v/>
      </c>
      <c r="U276" s="1" t="str">
        <f t="shared" si="262"/>
        <v/>
      </c>
      <c r="V276" s="1" t="str">
        <f t="shared" si="263"/>
        <v/>
      </c>
      <c r="W276" s="1" t="str">
        <f t="shared" si="264"/>
        <v/>
      </c>
      <c r="X276" s="1" t="str">
        <f t="shared" si="250"/>
        <v/>
      </c>
      <c r="Y276" s="1" t="str">
        <f>IF($B276="","",MAX(_xlfn.MAXIFS($J$2:J276,$I$2:I276,$I276),_xlfn.MAXIFS($K$2:K276,$I$2:I276,$I276)))</f>
        <v/>
      </c>
      <c r="Z276" s="1" t="str">
        <f t="shared" si="265"/>
        <v/>
      </c>
      <c r="AA276" s="1" t="str">
        <f t="shared" si="266"/>
        <v/>
      </c>
      <c r="AB276" s="1" t="str">
        <f t="shared" si="267"/>
        <v/>
      </c>
      <c r="AC276" s="1" t="str">
        <f t="shared" si="268"/>
        <v/>
      </c>
      <c r="AD276" s="1" t="str">
        <f>IF($B276="","",MIN(_xlfn.MINIFS($J$2:J276,$I$2:I276,$I276),_xlfn.MINIFS($K$2:K276,$I$2:I276,$I276)))</f>
        <v/>
      </c>
      <c r="AE276" s="1" t="str">
        <f t="shared" si="269"/>
        <v/>
      </c>
      <c r="AF276" s="1" t="str">
        <f t="shared" si="270"/>
        <v/>
      </c>
      <c r="AG276" s="1" t="str">
        <f t="shared" si="271"/>
        <v/>
      </c>
      <c r="AH276" s="1" t="str">
        <f t="shared" si="272"/>
        <v/>
      </c>
      <c r="AI276" s="1" t="str">
        <f ca="1">IF($B276="","",IF($K276="",0,OFFSET($CO$17,R276,W276)))</f>
        <v/>
      </c>
      <c r="AJ276" s="1" t="str">
        <f t="shared" ca="1" si="273"/>
        <v/>
      </c>
      <c r="AK276" s="1" t="str">
        <f ca="1">IF(AJ276="","",IF(AJ276=0,0,IF(W276=1,0,SUM(OFFSET($CO$17,N276,1):OFFSET($CO$17,N276+W276-2,1))/W276)))</f>
        <v/>
      </c>
      <c r="AL276" s="1" t="str">
        <f t="shared" si="274"/>
        <v/>
      </c>
      <c r="AM276" s="1" t="str">
        <f>IF($B276="","",SUMIFS($AL$2:AL276,$I$2:I276,$I276))</f>
        <v/>
      </c>
      <c r="AN276" s="1" t="str">
        <f t="shared" si="275"/>
        <v/>
      </c>
      <c r="AO276" s="1" t="str">
        <f>IFERROR(IF($B276="","",AVERAGEIFS($L$2:L276,$I$2:I276,I276,$L$2:L276,"&lt;&gt;0")),0)</f>
        <v/>
      </c>
      <c r="AP276" s="1" t="str">
        <f t="shared" si="276"/>
        <v/>
      </c>
      <c r="AQ276" s="1" t="str">
        <f>IF($B276="","",COUNTIFS($R$2:R276,1,$I$2:I276,$I276))</f>
        <v/>
      </c>
      <c r="AR276" s="1" t="str">
        <f t="array" ref="AR276">IF($B276="","",SUMPRODUCT(--($B$2:$B$313=B276),--(AM276&lt;$AM$2:$AM$313))+1)</f>
        <v/>
      </c>
      <c r="AS276" s="1" t="str">
        <f t="array" ref="AS276">IF($B276="","",SUMPRODUCT(--($B$2:$B$313=B276),--(AP276&lt;$AP$2:$AP$313))+1)</f>
        <v/>
      </c>
      <c r="AT276" s="1" t="str">
        <f t="array" ref="AT276">IF($B276="","",SUMPRODUCT(--($B$2:$B$313=B276),--(AQ276&lt;$AQ$2:$AQ$313))+1)</f>
        <v/>
      </c>
      <c r="AU276" s="1" t="str">
        <f t="shared" si="277"/>
        <v/>
      </c>
      <c r="AV276" s="1" t="str">
        <f t="shared" si="278"/>
        <v/>
      </c>
      <c r="AW276" s="1" t="str">
        <f t="shared" si="251"/>
        <v/>
      </c>
      <c r="AX276" s="1" t="str">
        <f t="shared" si="279"/>
        <v/>
      </c>
      <c r="AY276" s="8" t="str">
        <f t="shared" si="280"/>
        <v/>
      </c>
      <c r="AZ276" s="1" t="str" cm="1">
        <f t="array" ref="AZ276">IF($B276="","",SUMPRODUCT(--($B$2:$B$313=B276),--(AY276&gt;$AY$2:$AY$313))+1)</f>
        <v/>
      </c>
      <c r="BA276" s="1" t="str">
        <f t="shared" si="281"/>
        <v/>
      </c>
      <c r="BB276" s="1" t="str">
        <f t="shared" si="282"/>
        <v/>
      </c>
      <c r="BC276" s="1" t="str">
        <f t="shared" si="283"/>
        <v/>
      </c>
      <c r="BD276" s="1" t="str">
        <f t="shared" si="284"/>
        <v/>
      </c>
      <c r="BE276" s="1" t="str">
        <f t="shared" si="285"/>
        <v/>
      </c>
      <c r="BF276" s="1" t="str">
        <f t="shared" si="286"/>
        <v/>
      </c>
      <c r="BG276" s="1" t="str">
        <f t="shared" si="287"/>
        <v/>
      </c>
      <c r="BH276" s="1" t="str">
        <f t="shared" si="288"/>
        <v/>
      </c>
      <c r="BI276" s="1" t="str">
        <f t="shared" si="289"/>
        <v/>
      </c>
      <c r="BJ276" s="1" t="str">
        <f t="shared" si="290"/>
        <v/>
      </c>
      <c r="BK276" s="1" t="str">
        <f t="shared" si="291"/>
        <v/>
      </c>
      <c r="BL276" s="1" t="str">
        <f t="shared" si="292"/>
        <v/>
      </c>
      <c r="BM276" s="1" t="str">
        <f t="shared" si="293"/>
        <v/>
      </c>
      <c r="BN276" s="1" t="str">
        <f t="shared" si="294"/>
        <v/>
      </c>
      <c r="BO276" s="1" t="str">
        <f t="shared" si="252"/>
        <v/>
      </c>
      <c r="BP276" s="1" t="str">
        <f t="shared" si="295"/>
        <v/>
      </c>
      <c r="BQ276" s="1" t="str" cm="1">
        <f t="array" ref="BQ276">IF(I276="","",IF(BP276=1,"",IF(L276=0,"",IF(B276=1,"",_xlfn.XLOOKUP(1,($I$2:$I$313=$I276)*($B$2:$B$313=($B276-1)),$BO$2:$BO$313)))))</f>
        <v/>
      </c>
      <c r="BR276" s="1" t="str">
        <f>IF(I276="","",IF($B276=1,_xlfn.MINIFS($BO$2:$BO$313,$B$2:$B$313,$B276),_xlfn.MINIFS(BQ$2:$BQ$313,$B$2:$B$313,$B276)))</f>
        <v/>
      </c>
      <c r="BS276" s="1" t="str">
        <f t="shared" si="296"/>
        <v/>
      </c>
      <c r="BT276" s="1" t="str" cm="1">
        <f t="array" ref="BT276">IF($I276="","",IF($B276=1,_xlfn.XLOOKUP(1,($B$2:$B$313=$B276)*($BO$2:$BO$313=BR276),Data!$I$2:$I$313,,0),_xlfn.XLOOKUP(1,($B$2:$B$313=$B276)*($BQ$2:$BQ$313=$BR276),$I$2:$I$313,,0)))</f>
        <v/>
      </c>
      <c r="BU276" s="1" t="str" cm="1">
        <f t="array" ref="BU276">IF(I276="","",IF($B276=1,_xlfn.XLOOKUP(1,($B$2:$B$313=$B276)*($BO$2:$BO$313=$BS276),$I$2:$I$313,,0),_xlfn.XLOOKUP(1,($B$2:$B$313=$B276)*($BQ$2:$BQ$313=$BS276),$I$2:$I$313,,0)))</f>
        <v/>
      </c>
      <c r="BV276" s="1" t="str" cm="1">
        <f t="array" ref="BV276">IF($I276="","",IF($B276=1,"",IF($B276=2,_xlfn.XLOOKUP(1,($B$2:$B$313=1)*($BO$2:$BO$313=1),$I$2:$I$313,,0),_xlfn.XLOOKUP($B276-1,$B$2:$B$313,$CH$2:$CH$313,,0))))</f>
        <v/>
      </c>
      <c r="BW276" s="1" t="str" cm="1">
        <f t="array" ref="BW276">IF($I276="","",IF($B276=1,"",IF(_xlfn.XLOOKUP(1,($B$2:$B$313=$B276)*($I$2:$I$313=$BV276),$BQ$2:$BQ$313,,0)="","NOK","OK")))</f>
        <v/>
      </c>
      <c r="BX276" s="1" t="str">
        <f t="shared" si="297"/>
        <v/>
      </c>
      <c r="BY276" s="1" t="str">
        <f t="shared" si="298"/>
        <v/>
      </c>
      <c r="BZ276" s="1" t="str">
        <f t="shared" si="299"/>
        <v/>
      </c>
      <c r="CA276" s="1" t="str">
        <f t="shared" si="300"/>
        <v/>
      </c>
      <c r="CB276" s="1" t="str">
        <f t="shared" si="301"/>
        <v/>
      </c>
      <c r="CC276" s="1" t="str">
        <f t="shared" si="302"/>
        <v/>
      </c>
      <c r="CD276" s="1" t="str">
        <f t="shared" si="303"/>
        <v/>
      </c>
      <c r="CE276" s="1" t="str">
        <f t="shared" si="304"/>
        <v/>
      </c>
      <c r="CF276" s="1" t="str">
        <f t="shared" si="305"/>
        <v/>
      </c>
      <c r="CG276" s="1" t="str">
        <f t="shared" si="306"/>
        <v/>
      </c>
      <c r="CH276" s="1" t="str">
        <f t="shared" si="307"/>
        <v/>
      </c>
      <c r="CI276" s="1" t="str">
        <f t="shared" si="308"/>
        <v/>
      </c>
      <c r="CJ276" s="1" t="str">
        <f>IF(B276="","",IF(SUM(AI276:AK276)&gt;0,"+SP","")&amp;IF(CI276&gt;0,"+KK","")&amp;IF(AB276&gt;0,"+KGP1","")&amp;IF(AC276&gt;0,"+KGP2","")&amp;IF(AG276&lt;0,"-KGP1","")&amp;IF(AH276&lt;0,"-KGP2",""))</f>
        <v/>
      </c>
    </row>
    <row r="277" spans="1:88" x14ac:dyDescent="0.25">
      <c r="A277" s="1" t="str">
        <f>IFERROR(IF(ROW(A276)=1,1,IF(1+A276&lt;=$CP$1*$CP$2,1+A276,"")),"")</f>
        <v/>
      </c>
      <c r="B277" s="1" t="str">
        <f>IF($I277="","",IF(ROW(B276)=1,1,ROUNDUP(A277/$CP$2,0)))</f>
        <v/>
      </c>
      <c r="C277" s="4" t="str">
        <f t="shared" si="253"/>
        <v/>
      </c>
      <c r="D277" s="4" t="str">
        <f t="shared" si="248"/>
        <v/>
      </c>
      <c r="E277" s="1" t="str">
        <f>IF($B277="","",COUNTIF($B$2:B277,B277))</f>
        <v/>
      </c>
      <c r="F277" s="1" t="str">
        <f t="shared" si="249"/>
        <v/>
      </c>
      <c r="G277" s="1" t="str">
        <f t="shared" si="254"/>
        <v/>
      </c>
      <c r="H277" s="1">
        <f t="shared" si="255"/>
        <v>0</v>
      </c>
      <c r="I277" s="3"/>
      <c r="J277" s="3"/>
      <c r="K277" s="3"/>
      <c r="L277" s="1" t="str">
        <f t="shared" si="256"/>
        <v/>
      </c>
      <c r="M277" s="1" t="str">
        <f t="shared" si="257"/>
        <v/>
      </c>
      <c r="N277" s="1" t="str">
        <f t="shared" si="258"/>
        <v/>
      </c>
      <c r="O277" s="1" t="str">
        <f t="shared" si="259"/>
        <v/>
      </c>
      <c r="P277" s="1" t="str">
        <f t="shared" si="260"/>
        <v/>
      </c>
      <c r="Q277" s="1" t="str">
        <f t="array" ref="Q277">IF($B277="","",IF(MAX(IF(B277=$B$2:$B$313,$L$2:$L$313))-L277=0,"",MAX(IF(B277=$B$2:$B$313,$L$2:$L$313))-L277))</f>
        <v/>
      </c>
      <c r="R277" s="1" t="str">
        <f t="array" ref="R277">IF($B277="","",SUMPRODUCT(--($B$2:$B$313=B277),--(L277&lt;$L$2:$L$313))+1)</f>
        <v/>
      </c>
      <c r="S277" s="1" t="str">
        <f t="shared" si="261"/>
        <v/>
      </c>
      <c r="T277" s="1" t="str" cm="1">
        <f t="array" ref="T277">IF($B277="","",IF(M277=0,"",SUMPRODUCT(--($B$2:$B$313=B277),--(J277&lt;$J$2:$J$313))+1))</f>
        <v/>
      </c>
      <c r="U277" s="1" t="str">
        <f t="shared" si="262"/>
        <v/>
      </c>
      <c r="V277" s="1" t="str">
        <f t="shared" si="263"/>
        <v/>
      </c>
      <c r="W277" s="1" t="str">
        <f t="shared" si="264"/>
        <v/>
      </c>
      <c r="X277" s="1" t="str">
        <f t="shared" si="250"/>
        <v/>
      </c>
      <c r="Y277" s="1" t="str">
        <f>IF($B277="","",MAX(_xlfn.MAXIFS($J$2:J277,$I$2:I277,$I277),_xlfn.MAXIFS($K$2:K277,$I$2:I277,$I277)))</f>
        <v/>
      </c>
      <c r="Z277" s="1" t="str">
        <f t="shared" si="265"/>
        <v/>
      </c>
      <c r="AA277" s="1" t="str">
        <f t="shared" si="266"/>
        <v/>
      </c>
      <c r="AB277" s="1" t="str">
        <f t="shared" si="267"/>
        <v/>
      </c>
      <c r="AC277" s="1" t="str">
        <f t="shared" si="268"/>
        <v/>
      </c>
      <c r="AD277" s="1" t="str">
        <f>IF($B277="","",MIN(_xlfn.MINIFS($J$2:J277,$I$2:I277,$I277),_xlfn.MINIFS($K$2:K277,$I$2:I277,$I277)))</f>
        <v/>
      </c>
      <c r="AE277" s="1" t="str">
        <f t="shared" si="269"/>
        <v/>
      </c>
      <c r="AF277" s="1" t="str">
        <f t="shared" si="270"/>
        <v/>
      </c>
      <c r="AG277" s="1" t="str">
        <f t="shared" si="271"/>
        <v/>
      </c>
      <c r="AH277" s="1" t="str">
        <f t="shared" si="272"/>
        <v/>
      </c>
      <c r="AI277" s="1" t="str">
        <f ca="1">IF($B277="","",IF($K277="",0,OFFSET($CO$17,R277,W277)))</f>
        <v/>
      </c>
      <c r="AJ277" s="1" t="str">
        <f t="shared" ca="1" si="273"/>
        <v/>
      </c>
      <c r="AK277" s="1" t="str">
        <f ca="1">IF(AJ277="","",IF(AJ277=0,0,IF(W277=1,0,SUM(OFFSET($CO$17,N277,1):OFFSET($CO$17,N277+W277-2,1))/W277)))</f>
        <v/>
      </c>
      <c r="AL277" s="1" t="str">
        <f t="shared" si="274"/>
        <v/>
      </c>
      <c r="AM277" s="1" t="str">
        <f>IF($B277="","",SUMIFS($AL$2:AL277,$I$2:I277,$I277))</f>
        <v/>
      </c>
      <c r="AN277" s="1" t="str">
        <f t="shared" si="275"/>
        <v/>
      </c>
      <c r="AO277" s="1" t="str">
        <f>IFERROR(IF($B277="","",AVERAGEIFS($L$2:L277,$I$2:I277,I277,$L$2:L277,"&lt;&gt;0")),0)</f>
        <v/>
      </c>
      <c r="AP277" s="1" t="str">
        <f t="shared" si="276"/>
        <v/>
      </c>
      <c r="AQ277" s="1" t="str">
        <f>IF($B277="","",COUNTIFS($R$2:R277,1,$I$2:I277,$I277))</f>
        <v/>
      </c>
      <c r="AR277" s="1" t="str">
        <f t="array" ref="AR277">IF($B277="","",SUMPRODUCT(--($B$2:$B$313=B277),--(AM277&lt;$AM$2:$AM$313))+1)</f>
        <v/>
      </c>
      <c r="AS277" s="1" t="str">
        <f t="array" ref="AS277">IF($B277="","",SUMPRODUCT(--($B$2:$B$313=B277),--(AP277&lt;$AP$2:$AP$313))+1)</f>
        <v/>
      </c>
      <c r="AT277" s="1" t="str">
        <f t="array" ref="AT277">IF($B277="","",SUMPRODUCT(--($B$2:$B$313=B277),--(AQ277&lt;$AQ$2:$AQ$313))+1)</f>
        <v/>
      </c>
      <c r="AU277" s="1" t="str">
        <f t="shared" si="277"/>
        <v/>
      </c>
      <c r="AV277" s="1" t="str">
        <f t="shared" si="278"/>
        <v/>
      </c>
      <c r="AW277" s="1" t="str">
        <f t="shared" si="251"/>
        <v/>
      </c>
      <c r="AX277" s="1" t="str">
        <f t="shared" si="279"/>
        <v/>
      </c>
      <c r="AY277" s="8" t="str">
        <f t="shared" si="280"/>
        <v/>
      </c>
      <c r="AZ277" s="1" t="str" cm="1">
        <f t="array" ref="AZ277">IF($B277="","",SUMPRODUCT(--($B$2:$B$313=B277),--(AY277&gt;$AY$2:$AY$313))+1)</f>
        <v/>
      </c>
      <c r="BA277" s="1" t="str">
        <f t="shared" si="281"/>
        <v/>
      </c>
      <c r="BB277" s="1" t="str">
        <f t="shared" si="282"/>
        <v/>
      </c>
      <c r="BC277" s="1" t="str">
        <f t="shared" si="283"/>
        <v/>
      </c>
      <c r="BD277" s="1" t="str">
        <f t="shared" si="284"/>
        <v/>
      </c>
      <c r="BE277" s="1" t="str">
        <f t="shared" si="285"/>
        <v/>
      </c>
      <c r="BF277" s="1" t="str">
        <f t="shared" si="286"/>
        <v/>
      </c>
      <c r="BG277" s="1" t="str">
        <f t="shared" si="287"/>
        <v/>
      </c>
      <c r="BH277" s="1" t="str">
        <f t="shared" si="288"/>
        <v/>
      </c>
      <c r="BI277" s="1" t="str">
        <f t="shared" si="289"/>
        <v/>
      </c>
      <c r="BJ277" s="1" t="str">
        <f t="shared" si="290"/>
        <v/>
      </c>
      <c r="BK277" s="1" t="str">
        <f t="shared" si="291"/>
        <v/>
      </c>
      <c r="BL277" s="1" t="str">
        <f t="shared" si="292"/>
        <v/>
      </c>
      <c r="BM277" s="1" t="str">
        <f t="shared" si="293"/>
        <v/>
      </c>
      <c r="BN277" s="1" t="str">
        <f t="shared" si="294"/>
        <v/>
      </c>
      <c r="BO277" s="1" t="str">
        <f t="shared" si="252"/>
        <v/>
      </c>
      <c r="BP277" s="1" t="str">
        <f t="shared" si="295"/>
        <v/>
      </c>
      <c r="BQ277" s="1" t="str" cm="1">
        <f t="array" ref="BQ277">IF(I277="","",IF(BP277=1,"",IF(L277=0,"",IF(B277=1,"",_xlfn.XLOOKUP(1,($I$2:$I$313=$I277)*($B$2:$B$313=($B277-1)),$BO$2:$BO$313)))))</f>
        <v/>
      </c>
      <c r="BR277" s="1" t="str">
        <f>IF(I277="","",IF($B277=1,_xlfn.MINIFS($BO$2:$BO$313,$B$2:$B$313,$B277),_xlfn.MINIFS(BQ$2:$BQ$313,$B$2:$B$313,$B277)))</f>
        <v/>
      </c>
      <c r="BS277" s="1" t="str">
        <f t="shared" si="296"/>
        <v/>
      </c>
      <c r="BT277" s="1" t="str" cm="1">
        <f t="array" ref="BT277">IF($I277="","",IF($B277=1,_xlfn.XLOOKUP(1,($B$2:$B$313=$B277)*($BO$2:$BO$313=BR277),Data!$I$2:$I$313,,0),_xlfn.XLOOKUP(1,($B$2:$B$313=$B277)*($BQ$2:$BQ$313=$BR277),$I$2:$I$313,,0)))</f>
        <v/>
      </c>
      <c r="BU277" s="1" t="str" cm="1">
        <f t="array" ref="BU277">IF(I277="","",IF($B277=1,_xlfn.XLOOKUP(1,($B$2:$B$313=$B277)*($BO$2:$BO$313=$BS277),$I$2:$I$313,,0),_xlfn.XLOOKUP(1,($B$2:$B$313=$B277)*($BQ$2:$BQ$313=$BS277),$I$2:$I$313,,0)))</f>
        <v/>
      </c>
      <c r="BV277" s="1" t="str" cm="1">
        <f t="array" ref="BV277">IF($I277="","",IF($B277=1,"",IF($B277=2,_xlfn.XLOOKUP(1,($B$2:$B$313=1)*($BO$2:$BO$313=1),$I$2:$I$313,,0),_xlfn.XLOOKUP($B277-1,$B$2:$B$313,$CH$2:$CH$313,,0))))</f>
        <v/>
      </c>
      <c r="BW277" s="1" t="str" cm="1">
        <f t="array" ref="BW277">IF($I277="","",IF($B277=1,"",IF(_xlfn.XLOOKUP(1,($B$2:$B$313=$B277)*($I$2:$I$313=$BV277),$BQ$2:$BQ$313,,0)="","NOK","OK")))</f>
        <v/>
      </c>
      <c r="BX277" s="1" t="str">
        <f t="shared" si="297"/>
        <v/>
      </c>
      <c r="BY277" s="1" t="str">
        <f t="shared" si="298"/>
        <v/>
      </c>
      <c r="BZ277" s="1" t="str">
        <f t="shared" si="299"/>
        <v/>
      </c>
      <c r="CA277" s="1" t="str">
        <f t="shared" si="300"/>
        <v/>
      </c>
      <c r="CB277" s="1" t="str">
        <f t="shared" si="301"/>
        <v/>
      </c>
      <c r="CC277" s="1" t="str">
        <f t="shared" si="302"/>
        <v/>
      </c>
      <c r="CD277" s="1" t="str">
        <f t="shared" si="303"/>
        <v/>
      </c>
      <c r="CE277" s="1" t="str">
        <f t="shared" si="304"/>
        <v/>
      </c>
      <c r="CF277" s="1" t="str">
        <f t="shared" si="305"/>
        <v/>
      </c>
      <c r="CG277" s="1" t="str">
        <f t="shared" si="306"/>
        <v/>
      </c>
      <c r="CH277" s="1" t="str">
        <f t="shared" si="307"/>
        <v/>
      </c>
      <c r="CI277" s="1" t="str">
        <f t="shared" si="308"/>
        <v/>
      </c>
      <c r="CJ277" s="1" t="str">
        <f>IF(B277="","",IF(SUM(AI277:AK277)&gt;0,"+SP","")&amp;IF(CI277&gt;0,"+KK","")&amp;IF(AB277&gt;0,"+KGP1","")&amp;IF(AC277&gt;0,"+KGP2","")&amp;IF(AG277&lt;0,"-KGP1","")&amp;IF(AH277&lt;0,"-KGP2",""))</f>
        <v/>
      </c>
    </row>
    <row r="278" spans="1:88" x14ac:dyDescent="0.25">
      <c r="A278" s="1" t="str">
        <f>IFERROR(IF(ROW(A277)=1,1,IF(1+A277&lt;=$CP$1*$CP$2,1+A277,"")),"")</f>
        <v/>
      </c>
      <c r="B278" s="1" t="str">
        <f>IF($I278="","",IF(ROW(B277)=1,1,ROUNDUP(A278/$CP$2,0)))</f>
        <v/>
      </c>
      <c r="C278" s="4" t="str">
        <f t="shared" si="253"/>
        <v/>
      </c>
      <c r="D278" s="4" t="str">
        <f t="shared" si="248"/>
        <v/>
      </c>
      <c r="E278" s="1" t="str">
        <f>IF($B278="","",COUNTIF($B$2:B278,B278))</f>
        <v/>
      </c>
      <c r="F278" s="1" t="str">
        <f t="shared" si="249"/>
        <v/>
      </c>
      <c r="G278" s="1" t="str">
        <f t="shared" si="254"/>
        <v/>
      </c>
      <c r="H278" s="1">
        <f t="shared" si="255"/>
        <v>0</v>
      </c>
      <c r="I278" s="3"/>
      <c r="J278" s="3"/>
      <c r="K278" s="3"/>
      <c r="L278" s="1" t="str">
        <f t="shared" si="256"/>
        <v/>
      </c>
      <c r="M278" s="1" t="str">
        <f t="shared" si="257"/>
        <v/>
      </c>
      <c r="N278" s="1" t="str">
        <f t="shared" si="258"/>
        <v/>
      </c>
      <c r="O278" s="1" t="str">
        <f t="shared" si="259"/>
        <v/>
      </c>
      <c r="P278" s="1" t="str">
        <f t="shared" si="260"/>
        <v/>
      </c>
      <c r="Q278" s="1" t="str">
        <f t="array" ref="Q278">IF($B278="","",IF(MAX(IF(B278=$B$2:$B$313,$L$2:$L$313))-L278=0,"",MAX(IF(B278=$B$2:$B$313,$L$2:$L$313))-L278))</f>
        <v/>
      </c>
      <c r="R278" s="1" t="str">
        <f t="array" ref="R278">IF($B278="","",SUMPRODUCT(--($B$2:$B$313=B278),--(L278&lt;$L$2:$L$313))+1)</f>
        <v/>
      </c>
      <c r="S278" s="1" t="str">
        <f t="shared" si="261"/>
        <v/>
      </c>
      <c r="T278" s="1" t="str" cm="1">
        <f t="array" ref="T278">IF($B278="","",IF(M278=0,"",SUMPRODUCT(--($B$2:$B$313=B278),--(J278&lt;$J$2:$J$313))+1))</f>
        <v/>
      </c>
      <c r="U278" s="1" t="str">
        <f t="shared" si="262"/>
        <v/>
      </c>
      <c r="V278" s="1" t="str">
        <f t="shared" si="263"/>
        <v/>
      </c>
      <c r="W278" s="1" t="str">
        <f t="shared" si="264"/>
        <v/>
      </c>
      <c r="X278" s="1" t="str">
        <f t="shared" si="250"/>
        <v/>
      </c>
      <c r="Y278" s="1" t="str">
        <f>IF($B278="","",MAX(_xlfn.MAXIFS($J$2:J278,$I$2:I278,$I278),_xlfn.MAXIFS($K$2:K278,$I$2:I278,$I278)))</f>
        <v/>
      </c>
      <c r="Z278" s="1" t="str">
        <f t="shared" si="265"/>
        <v/>
      </c>
      <c r="AA278" s="1" t="str">
        <f t="shared" si="266"/>
        <v/>
      </c>
      <c r="AB278" s="1" t="str">
        <f t="shared" si="267"/>
        <v/>
      </c>
      <c r="AC278" s="1" t="str">
        <f t="shared" si="268"/>
        <v/>
      </c>
      <c r="AD278" s="1" t="str">
        <f>IF($B278="","",MIN(_xlfn.MINIFS($J$2:J278,$I$2:I278,$I278),_xlfn.MINIFS($K$2:K278,$I$2:I278,$I278)))</f>
        <v/>
      </c>
      <c r="AE278" s="1" t="str">
        <f t="shared" si="269"/>
        <v/>
      </c>
      <c r="AF278" s="1" t="str">
        <f t="shared" si="270"/>
        <v/>
      </c>
      <c r="AG278" s="1" t="str">
        <f t="shared" si="271"/>
        <v/>
      </c>
      <c r="AH278" s="1" t="str">
        <f t="shared" si="272"/>
        <v/>
      </c>
      <c r="AI278" s="1" t="str">
        <f ca="1">IF($B278="","",IF($K278="",0,OFFSET($CO$17,R278,W278)))</f>
        <v/>
      </c>
      <c r="AJ278" s="1" t="str">
        <f t="shared" ca="1" si="273"/>
        <v/>
      </c>
      <c r="AK278" s="1" t="str">
        <f ca="1">IF(AJ278="","",IF(AJ278=0,0,IF(W278=1,0,SUM(OFFSET($CO$17,N278,1):OFFSET($CO$17,N278+W278-2,1))/W278)))</f>
        <v/>
      </c>
      <c r="AL278" s="1" t="str">
        <f t="shared" si="274"/>
        <v/>
      </c>
      <c r="AM278" s="1" t="str">
        <f>IF($B278="","",SUMIFS($AL$2:AL278,$I$2:I278,$I278))</f>
        <v/>
      </c>
      <c r="AN278" s="1" t="str">
        <f t="shared" si="275"/>
        <v/>
      </c>
      <c r="AO278" s="1" t="str">
        <f>IFERROR(IF($B278="","",AVERAGEIFS($L$2:L278,$I$2:I278,I278,$L$2:L278,"&lt;&gt;0")),0)</f>
        <v/>
      </c>
      <c r="AP278" s="1" t="str">
        <f t="shared" si="276"/>
        <v/>
      </c>
      <c r="AQ278" s="1" t="str">
        <f>IF($B278="","",COUNTIFS($R$2:R278,1,$I$2:I278,$I278))</f>
        <v/>
      </c>
      <c r="AR278" s="1" t="str">
        <f t="array" ref="AR278">IF($B278="","",SUMPRODUCT(--($B$2:$B$313=B278),--(AM278&lt;$AM$2:$AM$313))+1)</f>
        <v/>
      </c>
      <c r="AS278" s="1" t="str">
        <f t="array" ref="AS278">IF($B278="","",SUMPRODUCT(--($B$2:$B$313=B278),--(AP278&lt;$AP$2:$AP$313))+1)</f>
        <v/>
      </c>
      <c r="AT278" s="1" t="str">
        <f t="array" ref="AT278">IF($B278="","",SUMPRODUCT(--($B$2:$B$313=B278),--(AQ278&lt;$AQ$2:$AQ$313))+1)</f>
        <v/>
      </c>
      <c r="AU278" s="1" t="str">
        <f t="shared" si="277"/>
        <v/>
      </c>
      <c r="AV278" s="1" t="str">
        <f t="shared" si="278"/>
        <v/>
      </c>
      <c r="AW278" s="1" t="str">
        <f t="shared" si="251"/>
        <v/>
      </c>
      <c r="AX278" s="1" t="str">
        <f t="shared" si="279"/>
        <v/>
      </c>
      <c r="AY278" s="8" t="str">
        <f t="shared" si="280"/>
        <v/>
      </c>
      <c r="AZ278" s="1" t="str" cm="1">
        <f t="array" ref="AZ278">IF($B278="","",SUMPRODUCT(--($B$2:$B$313=B278),--(AY278&gt;$AY$2:$AY$313))+1)</f>
        <v/>
      </c>
      <c r="BA278" s="1" t="str">
        <f t="shared" si="281"/>
        <v/>
      </c>
      <c r="BB278" s="1" t="str">
        <f t="shared" si="282"/>
        <v/>
      </c>
      <c r="BC278" s="1" t="str">
        <f t="shared" si="283"/>
        <v/>
      </c>
      <c r="BD278" s="1" t="str">
        <f t="shared" si="284"/>
        <v/>
      </c>
      <c r="BE278" s="1" t="str">
        <f t="shared" si="285"/>
        <v/>
      </c>
      <c r="BF278" s="1" t="str">
        <f t="shared" si="286"/>
        <v/>
      </c>
      <c r="BG278" s="1" t="str">
        <f t="shared" si="287"/>
        <v/>
      </c>
      <c r="BH278" s="1" t="str">
        <f t="shared" si="288"/>
        <v/>
      </c>
      <c r="BI278" s="1" t="str">
        <f t="shared" si="289"/>
        <v/>
      </c>
      <c r="BJ278" s="1" t="str">
        <f t="shared" si="290"/>
        <v/>
      </c>
      <c r="BK278" s="1" t="str">
        <f t="shared" si="291"/>
        <v/>
      </c>
      <c r="BL278" s="1" t="str">
        <f t="shared" si="292"/>
        <v/>
      </c>
      <c r="BM278" s="1" t="str">
        <f t="shared" si="293"/>
        <v/>
      </c>
      <c r="BN278" s="1" t="str">
        <f t="shared" si="294"/>
        <v/>
      </c>
      <c r="BO278" s="1" t="str">
        <f t="shared" si="252"/>
        <v/>
      </c>
      <c r="BP278" s="1" t="str">
        <f t="shared" si="295"/>
        <v/>
      </c>
      <c r="BQ278" s="1" t="str" cm="1">
        <f t="array" ref="BQ278">IF(I278="","",IF(BP278=1,"",IF(L278=0,"",IF(B278=1,"",_xlfn.XLOOKUP(1,($I$2:$I$313=$I278)*($B$2:$B$313=($B278-1)),$BO$2:$BO$313)))))</f>
        <v/>
      </c>
      <c r="BR278" s="1" t="str">
        <f>IF(I278="","",IF($B278=1,_xlfn.MINIFS($BO$2:$BO$313,$B$2:$B$313,$B278),_xlfn.MINIFS(BQ$2:$BQ$313,$B$2:$B$313,$B278)))</f>
        <v/>
      </c>
      <c r="BS278" s="1" t="str">
        <f t="shared" si="296"/>
        <v/>
      </c>
      <c r="BT278" s="1" t="str" cm="1">
        <f t="array" ref="BT278">IF($I278="","",IF($B278=1,_xlfn.XLOOKUP(1,($B$2:$B$313=$B278)*($BO$2:$BO$313=BR278),Data!$I$2:$I$313,,0),_xlfn.XLOOKUP(1,($B$2:$B$313=$B278)*($BQ$2:$BQ$313=$BR278),$I$2:$I$313,,0)))</f>
        <v/>
      </c>
      <c r="BU278" s="1" t="str" cm="1">
        <f t="array" ref="BU278">IF(I278="","",IF($B278=1,_xlfn.XLOOKUP(1,($B$2:$B$313=$B278)*($BO$2:$BO$313=$BS278),$I$2:$I$313,,0),_xlfn.XLOOKUP(1,($B$2:$B$313=$B278)*($BQ$2:$BQ$313=$BS278),$I$2:$I$313,,0)))</f>
        <v/>
      </c>
      <c r="BV278" s="1" t="str" cm="1">
        <f t="array" ref="BV278">IF($I278="","",IF($B278=1,"",IF($B278=2,_xlfn.XLOOKUP(1,($B$2:$B$313=1)*($BO$2:$BO$313=1),$I$2:$I$313,,0),_xlfn.XLOOKUP($B278-1,$B$2:$B$313,$CH$2:$CH$313,,0))))</f>
        <v/>
      </c>
      <c r="BW278" s="1" t="str" cm="1">
        <f t="array" ref="BW278">IF($I278="","",IF($B278=1,"",IF(_xlfn.XLOOKUP(1,($B$2:$B$313=$B278)*($I$2:$I$313=$BV278),$BQ$2:$BQ$313,,0)="","NOK","OK")))</f>
        <v/>
      </c>
      <c r="BX278" s="1" t="str">
        <f t="shared" si="297"/>
        <v/>
      </c>
      <c r="BY278" s="1" t="str">
        <f t="shared" si="298"/>
        <v/>
      </c>
      <c r="BZ278" s="1" t="str">
        <f t="shared" si="299"/>
        <v/>
      </c>
      <c r="CA278" s="1" t="str">
        <f t="shared" si="300"/>
        <v/>
      </c>
      <c r="CB278" s="1" t="str">
        <f t="shared" si="301"/>
        <v/>
      </c>
      <c r="CC278" s="1" t="str">
        <f t="shared" si="302"/>
        <v/>
      </c>
      <c r="CD278" s="1" t="str">
        <f t="shared" si="303"/>
        <v/>
      </c>
      <c r="CE278" s="1" t="str">
        <f t="shared" si="304"/>
        <v/>
      </c>
      <c r="CF278" s="1" t="str">
        <f t="shared" si="305"/>
        <v/>
      </c>
      <c r="CG278" s="1" t="str">
        <f t="shared" si="306"/>
        <v/>
      </c>
      <c r="CH278" s="1" t="str">
        <f t="shared" si="307"/>
        <v/>
      </c>
      <c r="CI278" s="1" t="str">
        <f t="shared" si="308"/>
        <v/>
      </c>
      <c r="CJ278" s="1" t="str">
        <f>IF(B278="","",IF(SUM(AI278:AK278)&gt;0,"+SP","")&amp;IF(CI278&gt;0,"+KK","")&amp;IF(AB278&gt;0,"+KGP1","")&amp;IF(AC278&gt;0,"+KGP2","")&amp;IF(AG278&lt;0,"-KGP1","")&amp;IF(AH278&lt;0,"-KGP2",""))</f>
        <v/>
      </c>
    </row>
    <row r="279" spans="1:88" x14ac:dyDescent="0.25">
      <c r="A279" s="1" t="str">
        <f>IFERROR(IF(ROW(A278)=1,1,IF(1+A278&lt;=$CP$1*$CP$2,1+A278,"")),"")</f>
        <v/>
      </c>
      <c r="B279" s="1" t="str">
        <f>IF($I279="","",IF(ROW(B278)=1,1,ROUNDUP(A279/$CP$2,0)))</f>
        <v/>
      </c>
      <c r="C279" s="4" t="str">
        <f t="shared" si="253"/>
        <v/>
      </c>
      <c r="D279" s="4" t="str">
        <f t="shared" si="248"/>
        <v/>
      </c>
      <c r="E279" s="1" t="str">
        <f>IF($B279="","",COUNTIF($B$2:B279,B279))</f>
        <v/>
      </c>
      <c r="F279" s="1" t="str">
        <f t="shared" si="249"/>
        <v/>
      </c>
      <c r="G279" s="1" t="str">
        <f t="shared" si="254"/>
        <v/>
      </c>
      <c r="H279" s="1">
        <f t="shared" si="255"/>
        <v>0</v>
      </c>
      <c r="I279" s="3"/>
      <c r="J279" s="3"/>
      <c r="K279" s="3"/>
      <c r="L279" s="1" t="str">
        <f t="shared" si="256"/>
        <v/>
      </c>
      <c r="M279" s="1" t="str">
        <f t="shared" si="257"/>
        <v/>
      </c>
      <c r="N279" s="1" t="str">
        <f t="shared" si="258"/>
        <v/>
      </c>
      <c r="O279" s="1" t="str">
        <f t="shared" si="259"/>
        <v/>
      </c>
      <c r="P279" s="1" t="str">
        <f t="shared" si="260"/>
        <v/>
      </c>
      <c r="Q279" s="1" t="str">
        <f t="array" ref="Q279">IF($B279="","",IF(MAX(IF(B279=$B$2:$B$313,$L$2:$L$313))-L279=0,"",MAX(IF(B279=$B$2:$B$313,$L$2:$L$313))-L279))</f>
        <v/>
      </c>
      <c r="R279" s="1" t="str">
        <f t="array" ref="R279">IF($B279="","",SUMPRODUCT(--($B$2:$B$313=B279),--(L279&lt;$L$2:$L$313))+1)</f>
        <v/>
      </c>
      <c r="S279" s="1" t="str">
        <f t="shared" si="261"/>
        <v/>
      </c>
      <c r="T279" s="1" t="str" cm="1">
        <f t="array" ref="T279">IF($B279="","",IF(M279=0,"",SUMPRODUCT(--($B$2:$B$313=B279),--(J279&lt;$J$2:$J$313))+1))</f>
        <v/>
      </c>
      <c r="U279" s="1" t="str">
        <f t="shared" si="262"/>
        <v/>
      </c>
      <c r="V279" s="1" t="str">
        <f t="shared" si="263"/>
        <v/>
      </c>
      <c r="W279" s="1" t="str">
        <f t="shared" si="264"/>
        <v/>
      </c>
      <c r="X279" s="1" t="str">
        <f t="shared" si="250"/>
        <v/>
      </c>
      <c r="Y279" s="1" t="str">
        <f>IF($B279="","",MAX(_xlfn.MAXIFS($J$2:J279,$I$2:I279,$I279),_xlfn.MAXIFS($K$2:K279,$I$2:I279,$I279)))</f>
        <v/>
      </c>
      <c r="Z279" s="1" t="str">
        <f t="shared" si="265"/>
        <v/>
      </c>
      <c r="AA279" s="1" t="str">
        <f t="shared" si="266"/>
        <v/>
      </c>
      <c r="AB279" s="1" t="str">
        <f t="shared" si="267"/>
        <v/>
      </c>
      <c r="AC279" s="1" t="str">
        <f t="shared" si="268"/>
        <v/>
      </c>
      <c r="AD279" s="1" t="str">
        <f>IF($B279="","",MIN(_xlfn.MINIFS($J$2:J279,$I$2:I279,$I279),_xlfn.MINIFS($K$2:K279,$I$2:I279,$I279)))</f>
        <v/>
      </c>
      <c r="AE279" s="1" t="str">
        <f t="shared" si="269"/>
        <v/>
      </c>
      <c r="AF279" s="1" t="str">
        <f t="shared" si="270"/>
        <v/>
      </c>
      <c r="AG279" s="1" t="str">
        <f t="shared" si="271"/>
        <v/>
      </c>
      <c r="AH279" s="1" t="str">
        <f t="shared" si="272"/>
        <v/>
      </c>
      <c r="AI279" s="1" t="str">
        <f ca="1">IF($B279="","",IF($K279="",0,OFFSET($CO$17,R279,W279)))</f>
        <v/>
      </c>
      <c r="AJ279" s="1" t="str">
        <f t="shared" ca="1" si="273"/>
        <v/>
      </c>
      <c r="AK279" s="1" t="str">
        <f ca="1">IF(AJ279="","",IF(AJ279=0,0,IF(W279=1,0,SUM(OFFSET($CO$17,N279,1):OFFSET($CO$17,N279+W279-2,1))/W279)))</f>
        <v/>
      </c>
      <c r="AL279" s="1" t="str">
        <f t="shared" si="274"/>
        <v/>
      </c>
      <c r="AM279" s="1" t="str">
        <f>IF($B279="","",SUMIFS($AL$2:AL279,$I$2:I279,$I279))</f>
        <v/>
      </c>
      <c r="AN279" s="1" t="str">
        <f t="shared" si="275"/>
        <v/>
      </c>
      <c r="AO279" s="1" t="str">
        <f>IFERROR(IF($B279="","",AVERAGEIFS($L$2:L279,$I$2:I279,I279,$L$2:L279,"&lt;&gt;0")),0)</f>
        <v/>
      </c>
      <c r="AP279" s="1" t="str">
        <f t="shared" si="276"/>
        <v/>
      </c>
      <c r="AQ279" s="1" t="str">
        <f>IF($B279="","",COUNTIFS($R$2:R279,1,$I$2:I279,$I279))</f>
        <v/>
      </c>
      <c r="AR279" s="1" t="str">
        <f t="array" ref="AR279">IF($B279="","",SUMPRODUCT(--($B$2:$B$313=B279),--(AM279&lt;$AM$2:$AM$313))+1)</f>
        <v/>
      </c>
      <c r="AS279" s="1" t="str">
        <f t="array" ref="AS279">IF($B279="","",SUMPRODUCT(--($B$2:$B$313=B279),--(AP279&lt;$AP$2:$AP$313))+1)</f>
        <v/>
      </c>
      <c r="AT279" s="1" t="str">
        <f t="array" ref="AT279">IF($B279="","",SUMPRODUCT(--($B$2:$B$313=B279),--(AQ279&lt;$AQ$2:$AQ$313))+1)</f>
        <v/>
      </c>
      <c r="AU279" s="1" t="str">
        <f t="shared" si="277"/>
        <v/>
      </c>
      <c r="AV279" s="1" t="str">
        <f t="shared" si="278"/>
        <v/>
      </c>
      <c r="AW279" s="1" t="str">
        <f t="shared" si="251"/>
        <v/>
      </c>
      <c r="AX279" s="1" t="str">
        <f t="shared" si="279"/>
        <v/>
      </c>
      <c r="AY279" s="8" t="str">
        <f t="shared" si="280"/>
        <v/>
      </c>
      <c r="AZ279" s="1" t="str" cm="1">
        <f t="array" ref="AZ279">IF($B279="","",SUMPRODUCT(--($B$2:$B$313=B279),--(AY279&gt;$AY$2:$AY$313))+1)</f>
        <v/>
      </c>
      <c r="BA279" s="1" t="str">
        <f t="shared" si="281"/>
        <v/>
      </c>
      <c r="BB279" s="1" t="str">
        <f t="shared" si="282"/>
        <v/>
      </c>
      <c r="BC279" s="1" t="str">
        <f t="shared" si="283"/>
        <v/>
      </c>
      <c r="BD279" s="1" t="str">
        <f t="shared" si="284"/>
        <v/>
      </c>
      <c r="BE279" s="1" t="str">
        <f t="shared" si="285"/>
        <v/>
      </c>
      <c r="BF279" s="1" t="str">
        <f t="shared" si="286"/>
        <v/>
      </c>
      <c r="BG279" s="1" t="str">
        <f t="shared" si="287"/>
        <v/>
      </c>
      <c r="BH279" s="1" t="str">
        <f t="shared" si="288"/>
        <v/>
      </c>
      <c r="BI279" s="1" t="str">
        <f t="shared" si="289"/>
        <v/>
      </c>
      <c r="BJ279" s="1" t="str">
        <f t="shared" si="290"/>
        <v/>
      </c>
      <c r="BK279" s="1" t="str">
        <f t="shared" si="291"/>
        <v/>
      </c>
      <c r="BL279" s="1" t="str">
        <f t="shared" si="292"/>
        <v/>
      </c>
      <c r="BM279" s="1" t="str">
        <f t="shared" si="293"/>
        <v/>
      </c>
      <c r="BN279" s="1" t="str">
        <f t="shared" si="294"/>
        <v/>
      </c>
      <c r="BO279" s="1" t="str">
        <f t="shared" si="252"/>
        <v/>
      </c>
      <c r="BP279" s="1" t="str">
        <f t="shared" si="295"/>
        <v/>
      </c>
      <c r="BQ279" s="1" t="str" cm="1">
        <f t="array" ref="BQ279">IF(I279="","",IF(BP279=1,"",IF(L279=0,"",IF(B279=1,"",_xlfn.XLOOKUP(1,($I$2:$I$313=$I279)*($B$2:$B$313=($B279-1)),$BO$2:$BO$313)))))</f>
        <v/>
      </c>
      <c r="BR279" s="1" t="str">
        <f>IF(I279="","",IF($B279=1,_xlfn.MINIFS($BO$2:$BO$313,$B$2:$B$313,$B279),_xlfn.MINIFS(BQ$2:$BQ$313,$B$2:$B$313,$B279)))</f>
        <v/>
      </c>
      <c r="BS279" s="1" t="str">
        <f t="shared" si="296"/>
        <v/>
      </c>
      <c r="BT279" s="1" t="str" cm="1">
        <f t="array" ref="BT279">IF($I279="","",IF($B279=1,_xlfn.XLOOKUP(1,($B$2:$B$313=$B279)*($BO$2:$BO$313=BR279),Data!$I$2:$I$313,,0),_xlfn.XLOOKUP(1,($B$2:$B$313=$B279)*($BQ$2:$BQ$313=$BR279),$I$2:$I$313,,0)))</f>
        <v/>
      </c>
      <c r="BU279" s="1" t="str" cm="1">
        <f t="array" ref="BU279">IF(I279="","",IF($B279=1,_xlfn.XLOOKUP(1,($B$2:$B$313=$B279)*($BO$2:$BO$313=$BS279),$I$2:$I$313,,0),_xlfn.XLOOKUP(1,($B$2:$B$313=$B279)*($BQ$2:$BQ$313=$BS279),$I$2:$I$313,,0)))</f>
        <v/>
      </c>
      <c r="BV279" s="1" t="str" cm="1">
        <f t="array" ref="BV279">IF($I279="","",IF($B279=1,"",IF($B279=2,_xlfn.XLOOKUP(1,($B$2:$B$313=1)*($BO$2:$BO$313=1),$I$2:$I$313,,0),_xlfn.XLOOKUP($B279-1,$B$2:$B$313,$CH$2:$CH$313,,0))))</f>
        <v/>
      </c>
      <c r="BW279" s="1" t="str" cm="1">
        <f t="array" ref="BW279">IF($I279="","",IF($B279=1,"",IF(_xlfn.XLOOKUP(1,($B$2:$B$313=$B279)*($I$2:$I$313=$BV279),$BQ$2:$BQ$313,,0)="","NOK","OK")))</f>
        <v/>
      </c>
      <c r="BX279" s="1" t="str">
        <f t="shared" si="297"/>
        <v/>
      </c>
      <c r="BY279" s="1" t="str">
        <f t="shared" si="298"/>
        <v/>
      </c>
      <c r="BZ279" s="1" t="str">
        <f t="shared" si="299"/>
        <v/>
      </c>
      <c r="CA279" s="1" t="str">
        <f t="shared" si="300"/>
        <v/>
      </c>
      <c r="CB279" s="1" t="str">
        <f t="shared" si="301"/>
        <v/>
      </c>
      <c r="CC279" s="1" t="str">
        <f t="shared" si="302"/>
        <v/>
      </c>
      <c r="CD279" s="1" t="str">
        <f t="shared" si="303"/>
        <v/>
      </c>
      <c r="CE279" s="1" t="str">
        <f t="shared" si="304"/>
        <v/>
      </c>
      <c r="CF279" s="1" t="str">
        <f t="shared" si="305"/>
        <v/>
      </c>
      <c r="CG279" s="1" t="str">
        <f t="shared" si="306"/>
        <v/>
      </c>
      <c r="CH279" s="1" t="str">
        <f t="shared" si="307"/>
        <v/>
      </c>
      <c r="CI279" s="1" t="str">
        <f t="shared" si="308"/>
        <v/>
      </c>
      <c r="CJ279" s="1" t="str">
        <f>IF(B279="","",IF(SUM(AI279:AK279)&gt;0,"+SP","")&amp;IF(CI279&gt;0,"+KK","")&amp;IF(AB279&gt;0,"+KGP1","")&amp;IF(AC279&gt;0,"+KGP2","")&amp;IF(AG279&lt;0,"-KGP1","")&amp;IF(AH279&lt;0,"-KGP2",""))</f>
        <v/>
      </c>
    </row>
    <row r="280" spans="1:88" x14ac:dyDescent="0.25">
      <c r="A280" s="1" t="str">
        <f>IFERROR(IF(ROW(A279)=1,1,IF(1+A279&lt;=$CP$1*$CP$2,1+A279,"")),"")</f>
        <v/>
      </c>
      <c r="B280" s="1" t="str">
        <f>IF($I280="","",IF(ROW(B279)=1,1,ROUNDUP(A280/$CP$2,0)))</f>
        <v/>
      </c>
      <c r="C280" s="4" t="str">
        <f t="shared" si="253"/>
        <v/>
      </c>
      <c r="D280" s="4" t="str">
        <f t="shared" si="248"/>
        <v/>
      </c>
      <c r="E280" s="1" t="str">
        <f>IF($B280="","",COUNTIF($B$2:B280,B280))</f>
        <v/>
      </c>
      <c r="F280" s="1" t="str">
        <f t="shared" si="249"/>
        <v/>
      </c>
      <c r="G280" s="1" t="str">
        <f t="shared" si="254"/>
        <v/>
      </c>
      <c r="H280" s="1">
        <f t="shared" si="255"/>
        <v>0</v>
      </c>
      <c r="I280" s="3"/>
      <c r="J280" s="3"/>
      <c r="K280" s="3"/>
      <c r="L280" s="1" t="str">
        <f t="shared" si="256"/>
        <v/>
      </c>
      <c r="M280" s="1" t="str">
        <f t="shared" si="257"/>
        <v/>
      </c>
      <c r="N280" s="1" t="str">
        <f t="shared" si="258"/>
        <v/>
      </c>
      <c r="O280" s="1" t="str">
        <f t="shared" si="259"/>
        <v/>
      </c>
      <c r="P280" s="1" t="str">
        <f t="shared" si="260"/>
        <v/>
      </c>
      <c r="Q280" s="1" t="str">
        <f t="array" ref="Q280">IF($B280="","",IF(MAX(IF(B280=$B$2:$B$313,$L$2:$L$313))-L280=0,"",MAX(IF(B280=$B$2:$B$313,$L$2:$L$313))-L280))</f>
        <v/>
      </c>
      <c r="R280" s="1" t="str">
        <f t="array" ref="R280">IF($B280="","",SUMPRODUCT(--($B$2:$B$313=B280),--(L280&lt;$L$2:$L$313))+1)</f>
        <v/>
      </c>
      <c r="S280" s="1" t="str">
        <f t="shared" si="261"/>
        <v/>
      </c>
      <c r="T280" s="1" t="str" cm="1">
        <f t="array" ref="T280">IF($B280="","",IF(M280=0,"",SUMPRODUCT(--($B$2:$B$313=B280),--(J280&lt;$J$2:$J$313))+1))</f>
        <v/>
      </c>
      <c r="U280" s="1" t="str">
        <f t="shared" si="262"/>
        <v/>
      </c>
      <c r="V280" s="1" t="str">
        <f t="shared" si="263"/>
        <v/>
      </c>
      <c r="W280" s="1" t="str">
        <f t="shared" si="264"/>
        <v/>
      </c>
      <c r="X280" s="1" t="str">
        <f t="shared" si="250"/>
        <v/>
      </c>
      <c r="Y280" s="1" t="str">
        <f>IF($B280="","",MAX(_xlfn.MAXIFS($J$2:J280,$I$2:I280,$I280),_xlfn.MAXIFS($K$2:K280,$I$2:I280,$I280)))</f>
        <v/>
      </c>
      <c r="Z280" s="1" t="str">
        <f t="shared" si="265"/>
        <v/>
      </c>
      <c r="AA280" s="1" t="str">
        <f t="shared" si="266"/>
        <v/>
      </c>
      <c r="AB280" s="1" t="str">
        <f t="shared" si="267"/>
        <v/>
      </c>
      <c r="AC280" s="1" t="str">
        <f t="shared" si="268"/>
        <v/>
      </c>
      <c r="AD280" s="1" t="str">
        <f>IF($B280="","",MIN(_xlfn.MINIFS($J$2:J280,$I$2:I280,$I280),_xlfn.MINIFS($K$2:K280,$I$2:I280,$I280)))</f>
        <v/>
      </c>
      <c r="AE280" s="1" t="str">
        <f t="shared" si="269"/>
        <v/>
      </c>
      <c r="AF280" s="1" t="str">
        <f t="shared" si="270"/>
        <v/>
      </c>
      <c r="AG280" s="1" t="str">
        <f t="shared" si="271"/>
        <v/>
      </c>
      <c r="AH280" s="1" t="str">
        <f t="shared" si="272"/>
        <v/>
      </c>
      <c r="AI280" s="1" t="str">
        <f ca="1">IF($B280="","",IF($K280="",0,OFFSET($CO$17,R280,W280)))</f>
        <v/>
      </c>
      <c r="AJ280" s="1" t="str">
        <f t="shared" ca="1" si="273"/>
        <v/>
      </c>
      <c r="AK280" s="1" t="str">
        <f ca="1">IF(AJ280="","",IF(AJ280=0,0,IF(W280=1,0,SUM(OFFSET($CO$17,N280,1):OFFSET($CO$17,N280+W280-2,1))/W280)))</f>
        <v/>
      </c>
      <c r="AL280" s="1" t="str">
        <f t="shared" si="274"/>
        <v/>
      </c>
      <c r="AM280" s="1" t="str">
        <f>IF($B280="","",SUMIFS($AL$2:AL280,$I$2:I280,$I280))</f>
        <v/>
      </c>
      <c r="AN280" s="1" t="str">
        <f t="shared" si="275"/>
        <v/>
      </c>
      <c r="AO280" s="1" t="str">
        <f>IFERROR(IF($B280="","",AVERAGEIFS($L$2:L280,$I$2:I280,I280,$L$2:L280,"&lt;&gt;0")),0)</f>
        <v/>
      </c>
      <c r="AP280" s="1" t="str">
        <f t="shared" si="276"/>
        <v/>
      </c>
      <c r="AQ280" s="1" t="str">
        <f>IF($B280="","",COUNTIFS($R$2:R280,1,$I$2:I280,$I280))</f>
        <v/>
      </c>
      <c r="AR280" s="1" t="str">
        <f t="array" ref="AR280">IF($B280="","",SUMPRODUCT(--($B$2:$B$313=B280),--(AM280&lt;$AM$2:$AM$313))+1)</f>
        <v/>
      </c>
      <c r="AS280" s="1" t="str">
        <f t="array" ref="AS280">IF($B280="","",SUMPRODUCT(--($B$2:$B$313=B280),--(AP280&lt;$AP$2:$AP$313))+1)</f>
        <v/>
      </c>
      <c r="AT280" s="1" t="str">
        <f t="array" ref="AT280">IF($B280="","",SUMPRODUCT(--($B$2:$B$313=B280),--(AQ280&lt;$AQ$2:$AQ$313))+1)</f>
        <v/>
      </c>
      <c r="AU280" s="1" t="str">
        <f t="shared" si="277"/>
        <v/>
      </c>
      <c r="AV280" s="1" t="str">
        <f t="shared" si="278"/>
        <v/>
      </c>
      <c r="AW280" s="1" t="str">
        <f t="shared" si="251"/>
        <v/>
      </c>
      <c r="AX280" s="1" t="str">
        <f t="shared" si="279"/>
        <v/>
      </c>
      <c r="AY280" s="8" t="str">
        <f t="shared" si="280"/>
        <v/>
      </c>
      <c r="AZ280" s="1" t="str" cm="1">
        <f t="array" ref="AZ280">IF($B280="","",SUMPRODUCT(--($B$2:$B$313=B280),--(AY280&gt;$AY$2:$AY$313))+1)</f>
        <v/>
      </c>
      <c r="BA280" s="1" t="str">
        <f t="shared" si="281"/>
        <v/>
      </c>
      <c r="BB280" s="1" t="str">
        <f t="shared" si="282"/>
        <v/>
      </c>
      <c r="BC280" s="1" t="str">
        <f t="shared" si="283"/>
        <v/>
      </c>
      <c r="BD280" s="1" t="str">
        <f t="shared" si="284"/>
        <v/>
      </c>
      <c r="BE280" s="1" t="str">
        <f t="shared" si="285"/>
        <v/>
      </c>
      <c r="BF280" s="1" t="str">
        <f t="shared" si="286"/>
        <v/>
      </c>
      <c r="BG280" s="1" t="str">
        <f t="shared" si="287"/>
        <v/>
      </c>
      <c r="BH280" s="1" t="str">
        <f t="shared" si="288"/>
        <v/>
      </c>
      <c r="BI280" s="1" t="str">
        <f t="shared" si="289"/>
        <v/>
      </c>
      <c r="BJ280" s="1" t="str">
        <f t="shared" si="290"/>
        <v/>
      </c>
      <c r="BK280" s="1" t="str">
        <f t="shared" si="291"/>
        <v/>
      </c>
      <c r="BL280" s="1" t="str">
        <f t="shared" si="292"/>
        <v/>
      </c>
      <c r="BM280" s="1" t="str">
        <f t="shared" si="293"/>
        <v/>
      </c>
      <c r="BN280" s="1" t="str">
        <f t="shared" si="294"/>
        <v/>
      </c>
      <c r="BO280" s="1" t="str">
        <f t="shared" si="252"/>
        <v/>
      </c>
      <c r="BP280" s="1" t="str">
        <f t="shared" si="295"/>
        <v/>
      </c>
      <c r="BQ280" s="1" t="str" cm="1">
        <f t="array" ref="BQ280">IF(I280="","",IF(BP280=1,"",IF(L280=0,"",IF(B280=1,"",_xlfn.XLOOKUP(1,($I$2:$I$313=$I280)*($B$2:$B$313=($B280-1)),$BO$2:$BO$313)))))</f>
        <v/>
      </c>
      <c r="BR280" s="1" t="str">
        <f>IF(I280="","",IF($B280=1,_xlfn.MINIFS($BO$2:$BO$313,$B$2:$B$313,$B280),_xlfn.MINIFS(BQ$2:$BQ$313,$B$2:$B$313,$B280)))</f>
        <v/>
      </c>
      <c r="BS280" s="1" t="str">
        <f t="shared" si="296"/>
        <v/>
      </c>
      <c r="BT280" s="1" t="str" cm="1">
        <f t="array" ref="BT280">IF($I280="","",IF($B280=1,_xlfn.XLOOKUP(1,($B$2:$B$313=$B280)*($BO$2:$BO$313=BR280),Data!$I$2:$I$313,,0),_xlfn.XLOOKUP(1,($B$2:$B$313=$B280)*($BQ$2:$BQ$313=$BR280),$I$2:$I$313,,0)))</f>
        <v/>
      </c>
      <c r="BU280" s="1" t="str" cm="1">
        <f t="array" ref="BU280">IF(I280="","",IF($B280=1,_xlfn.XLOOKUP(1,($B$2:$B$313=$B280)*($BO$2:$BO$313=$BS280),$I$2:$I$313,,0),_xlfn.XLOOKUP(1,($B$2:$B$313=$B280)*($BQ$2:$BQ$313=$BS280),$I$2:$I$313,,0)))</f>
        <v/>
      </c>
      <c r="BV280" s="1" t="str" cm="1">
        <f t="array" ref="BV280">IF($I280="","",IF($B280=1,"",IF($B280=2,_xlfn.XLOOKUP(1,($B$2:$B$313=1)*($BO$2:$BO$313=1),$I$2:$I$313,,0),_xlfn.XLOOKUP($B280-1,$B$2:$B$313,$CH$2:$CH$313,,0))))</f>
        <v/>
      </c>
      <c r="BW280" s="1" t="str" cm="1">
        <f t="array" ref="BW280">IF($I280="","",IF($B280=1,"",IF(_xlfn.XLOOKUP(1,($B$2:$B$313=$B280)*($I$2:$I$313=$BV280),$BQ$2:$BQ$313,,0)="","NOK","OK")))</f>
        <v/>
      </c>
      <c r="BX280" s="1" t="str">
        <f t="shared" si="297"/>
        <v/>
      </c>
      <c r="BY280" s="1" t="str">
        <f t="shared" si="298"/>
        <v/>
      </c>
      <c r="BZ280" s="1" t="str">
        <f t="shared" si="299"/>
        <v/>
      </c>
      <c r="CA280" s="1" t="str">
        <f t="shared" si="300"/>
        <v/>
      </c>
      <c r="CB280" s="1" t="str">
        <f t="shared" si="301"/>
        <v/>
      </c>
      <c r="CC280" s="1" t="str">
        <f t="shared" si="302"/>
        <v/>
      </c>
      <c r="CD280" s="1" t="str">
        <f t="shared" si="303"/>
        <v/>
      </c>
      <c r="CE280" s="1" t="str">
        <f t="shared" si="304"/>
        <v/>
      </c>
      <c r="CF280" s="1" t="str">
        <f t="shared" si="305"/>
        <v/>
      </c>
      <c r="CG280" s="1" t="str">
        <f t="shared" si="306"/>
        <v/>
      </c>
      <c r="CH280" s="1" t="str">
        <f t="shared" si="307"/>
        <v/>
      </c>
      <c r="CI280" s="1" t="str">
        <f t="shared" si="308"/>
        <v/>
      </c>
      <c r="CJ280" s="1" t="str">
        <f>IF(B280="","",IF(SUM(AI280:AK280)&gt;0,"+SP","")&amp;IF(CI280&gt;0,"+KK","")&amp;IF(AB280&gt;0,"+KGP1","")&amp;IF(AC280&gt;0,"+KGP2","")&amp;IF(AG280&lt;0,"-KGP1","")&amp;IF(AH280&lt;0,"-KGP2",""))</f>
        <v/>
      </c>
    </row>
    <row r="281" spans="1:88" x14ac:dyDescent="0.25">
      <c r="A281" s="1" t="str">
        <f>IFERROR(IF(ROW(A280)=1,1,IF(1+A280&lt;=$CP$1*$CP$2,1+A280,"")),"")</f>
        <v/>
      </c>
      <c r="B281" s="1" t="str">
        <f>IF($I281="","",IF(ROW(B280)=1,1,ROUNDUP(A281/$CP$2,0)))</f>
        <v/>
      </c>
      <c r="C281" s="4" t="str">
        <f t="shared" si="253"/>
        <v/>
      </c>
      <c r="D281" s="4" t="str">
        <f t="shared" si="248"/>
        <v/>
      </c>
      <c r="E281" s="1" t="str">
        <f>IF($B281="","",COUNTIF($B$2:B281,B281))</f>
        <v/>
      </c>
      <c r="F281" s="1" t="str">
        <f t="shared" si="249"/>
        <v/>
      </c>
      <c r="G281" s="1" t="str">
        <f t="shared" si="254"/>
        <v/>
      </c>
      <c r="H281" s="1">
        <f t="shared" si="255"/>
        <v>0</v>
      </c>
      <c r="I281" s="3"/>
      <c r="J281" s="3"/>
      <c r="K281" s="3"/>
      <c r="L281" s="1" t="str">
        <f t="shared" si="256"/>
        <v/>
      </c>
      <c r="M281" s="1" t="str">
        <f t="shared" si="257"/>
        <v/>
      </c>
      <c r="N281" s="1" t="str">
        <f t="shared" si="258"/>
        <v/>
      </c>
      <c r="O281" s="1" t="str">
        <f t="shared" si="259"/>
        <v/>
      </c>
      <c r="P281" s="1" t="str">
        <f t="shared" si="260"/>
        <v/>
      </c>
      <c r="Q281" s="1" t="str">
        <f t="array" ref="Q281">IF($B281="","",IF(MAX(IF(B281=$B$2:$B$313,$L$2:$L$313))-L281=0,"",MAX(IF(B281=$B$2:$B$313,$L$2:$L$313))-L281))</f>
        <v/>
      </c>
      <c r="R281" s="1" t="str">
        <f t="array" ref="R281">IF($B281="","",SUMPRODUCT(--($B$2:$B$313=B281),--(L281&lt;$L$2:$L$313))+1)</f>
        <v/>
      </c>
      <c r="S281" s="1" t="str">
        <f t="shared" si="261"/>
        <v/>
      </c>
      <c r="T281" s="1" t="str" cm="1">
        <f t="array" ref="T281">IF($B281="","",IF(M281=0,"",SUMPRODUCT(--($B$2:$B$313=B281),--(J281&lt;$J$2:$J$313))+1))</f>
        <v/>
      </c>
      <c r="U281" s="1" t="str">
        <f t="shared" si="262"/>
        <v/>
      </c>
      <c r="V281" s="1" t="str">
        <f t="shared" si="263"/>
        <v/>
      </c>
      <c r="W281" s="1" t="str">
        <f t="shared" si="264"/>
        <v/>
      </c>
      <c r="X281" s="1" t="str">
        <f t="shared" si="250"/>
        <v/>
      </c>
      <c r="Y281" s="1" t="str">
        <f>IF($B281="","",MAX(_xlfn.MAXIFS($J$2:J281,$I$2:I281,$I281),_xlfn.MAXIFS($K$2:K281,$I$2:I281,$I281)))</f>
        <v/>
      </c>
      <c r="Z281" s="1" t="str">
        <f t="shared" si="265"/>
        <v/>
      </c>
      <c r="AA281" s="1" t="str">
        <f t="shared" si="266"/>
        <v/>
      </c>
      <c r="AB281" s="1" t="str">
        <f t="shared" si="267"/>
        <v/>
      </c>
      <c r="AC281" s="1" t="str">
        <f t="shared" si="268"/>
        <v/>
      </c>
      <c r="AD281" s="1" t="str">
        <f>IF($B281="","",MIN(_xlfn.MINIFS($J$2:J281,$I$2:I281,$I281),_xlfn.MINIFS($K$2:K281,$I$2:I281,$I281)))</f>
        <v/>
      </c>
      <c r="AE281" s="1" t="str">
        <f t="shared" si="269"/>
        <v/>
      </c>
      <c r="AF281" s="1" t="str">
        <f t="shared" si="270"/>
        <v/>
      </c>
      <c r="AG281" s="1" t="str">
        <f t="shared" si="271"/>
        <v/>
      </c>
      <c r="AH281" s="1" t="str">
        <f t="shared" si="272"/>
        <v/>
      </c>
      <c r="AI281" s="1" t="str">
        <f ca="1">IF($B281="","",IF($K281="",0,OFFSET($CO$17,R281,W281)))</f>
        <v/>
      </c>
      <c r="AJ281" s="1" t="str">
        <f t="shared" ca="1" si="273"/>
        <v/>
      </c>
      <c r="AK281" s="1" t="str">
        <f ca="1">IF(AJ281="","",IF(AJ281=0,0,IF(W281=1,0,SUM(OFFSET($CO$17,N281,1):OFFSET($CO$17,N281+W281-2,1))/W281)))</f>
        <v/>
      </c>
      <c r="AL281" s="1" t="str">
        <f t="shared" si="274"/>
        <v/>
      </c>
      <c r="AM281" s="1" t="str">
        <f>IF($B281="","",SUMIFS($AL$2:AL281,$I$2:I281,$I281))</f>
        <v/>
      </c>
      <c r="AN281" s="1" t="str">
        <f t="shared" si="275"/>
        <v/>
      </c>
      <c r="AO281" s="1" t="str">
        <f>IFERROR(IF($B281="","",AVERAGEIFS($L$2:L281,$I$2:I281,I281,$L$2:L281,"&lt;&gt;0")),0)</f>
        <v/>
      </c>
      <c r="AP281" s="1" t="str">
        <f t="shared" si="276"/>
        <v/>
      </c>
      <c r="AQ281" s="1" t="str">
        <f>IF($B281="","",COUNTIFS($R$2:R281,1,$I$2:I281,$I281))</f>
        <v/>
      </c>
      <c r="AR281" s="1" t="str">
        <f t="array" ref="AR281">IF($B281="","",SUMPRODUCT(--($B$2:$B$313=B281),--(AM281&lt;$AM$2:$AM$313))+1)</f>
        <v/>
      </c>
      <c r="AS281" s="1" t="str">
        <f t="array" ref="AS281">IF($B281="","",SUMPRODUCT(--($B$2:$B$313=B281),--(AP281&lt;$AP$2:$AP$313))+1)</f>
        <v/>
      </c>
      <c r="AT281" s="1" t="str">
        <f t="array" ref="AT281">IF($B281="","",SUMPRODUCT(--($B$2:$B$313=B281),--(AQ281&lt;$AQ$2:$AQ$313))+1)</f>
        <v/>
      </c>
      <c r="AU281" s="1" t="str">
        <f t="shared" si="277"/>
        <v/>
      </c>
      <c r="AV281" s="1" t="str">
        <f t="shared" si="278"/>
        <v/>
      </c>
      <c r="AW281" s="1" t="str">
        <f t="shared" si="251"/>
        <v/>
      </c>
      <c r="AX281" s="1" t="str">
        <f t="shared" si="279"/>
        <v/>
      </c>
      <c r="AY281" s="8" t="str">
        <f t="shared" si="280"/>
        <v/>
      </c>
      <c r="AZ281" s="1" t="str" cm="1">
        <f t="array" ref="AZ281">IF($B281="","",SUMPRODUCT(--($B$2:$B$313=B281),--(AY281&gt;$AY$2:$AY$313))+1)</f>
        <v/>
      </c>
      <c r="BA281" s="1" t="str">
        <f t="shared" si="281"/>
        <v/>
      </c>
      <c r="BB281" s="1" t="str">
        <f t="shared" si="282"/>
        <v/>
      </c>
      <c r="BC281" s="1" t="str">
        <f t="shared" si="283"/>
        <v/>
      </c>
      <c r="BD281" s="1" t="str">
        <f t="shared" si="284"/>
        <v/>
      </c>
      <c r="BE281" s="1" t="str">
        <f t="shared" si="285"/>
        <v/>
      </c>
      <c r="BF281" s="1" t="str">
        <f t="shared" si="286"/>
        <v/>
      </c>
      <c r="BG281" s="1" t="str">
        <f t="shared" si="287"/>
        <v/>
      </c>
      <c r="BH281" s="1" t="str">
        <f t="shared" si="288"/>
        <v/>
      </c>
      <c r="BI281" s="1" t="str">
        <f t="shared" si="289"/>
        <v/>
      </c>
      <c r="BJ281" s="1" t="str">
        <f t="shared" si="290"/>
        <v/>
      </c>
      <c r="BK281" s="1" t="str">
        <f t="shared" si="291"/>
        <v/>
      </c>
      <c r="BL281" s="1" t="str">
        <f t="shared" si="292"/>
        <v/>
      </c>
      <c r="BM281" s="1" t="str">
        <f t="shared" si="293"/>
        <v/>
      </c>
      <c r="BN281" s="1" t="str">
        <f t="shared" si="294"/>
        <v/>
      </c>
      <c r="BO281" s="1" t="str">
        <f t="shared" si="252"/>
        <v/>
      </c>
      <c r="BP281" s="1" t="str">
        <f t="shared" si="295"/>
        <v/>
      </c>
      <c r="BQ281" s="1" t="str" cm="1">
        <f t="array" ref="BQ281">IF(I281="","",IF(BP281=1,"",IF(L281=0,"",IF(B281=1,"",_xlfn.XLOOKUP(1,($I$2:$I$313=$I281)*($B$2:$B$313=($B281-1)),$BO$2:$BO$313)))))</f>
        <v/>
      </c>
      <c r="BR281" s="1" t="str">
        <f>IF(I281="","",IF($B281=1,_xlfn.MINIFS($BO$2:$BO$313,$B$2:$B$313,$B281),_xlfn.MINIFS(BQ$2:$BQ$313,$B$2:$B$313,$B281)))</f>
        <v/>
      </c>
      <c r="BS281" s="1" t="str">
        <f t="shared" si="296"/>
        <v/>
      </c>
      <c r="BT281" s="1" t="str" cm="1">
        <f t="array" ref="BT281">IF($I281="","",IF($B281=1,_xlfn.XLOOKUP(1,($B$2:$B$313=$B281)*($BO$2:$BO$313=BR281),Data!$I$2:$I$313,,0),_xlfn.XLOOKUP(1,($B$2:$B$313=$B281)*($BQ$2:$BQ$313=$BR281),$I$2:$I$313,,0)))</f>
        <v/>
      </c>
      <c r="BU281" s="1" t="str" cm="1">
        <f t="array" ref="BU281">IF(I281="","",IF($B281=1,_xlfn.XLOOKUP(1,($B$2:$B$313=$B281)*($BO$2:$BO$313=$BS281),$I$2:$I$313,,0),_xlfn.XLOOKUP(1,($B$2:$B$313=$B281)*($BQ$2:$BQ$313=$BS281),$I$2:$I$313,,0)))</f>
        <v/>
      </c>
      <c r="BV281" s="1" t="str" cm="1">
        <f t="array" ref="BV281">IF($I281="","",IF($B281=1,"",IF($B281=2,_xlfn.XLOOKUP(1,($B$2:$B$313=1)*($BO$2:$BO$313=1),$I$2:$I$313,,0),_xlfn.XLOOKUP($B281-1,$B$2:$B$313,$CH$2:$CH$313,,0))))</f>
        <v/>
      </c>
      <c r="BW281" s="1" t="str" cm="1">
        <f t="array" ref="BW281">IF($I281="","",IF($B281=1,"",IF(_xlfn.XLOOKUP(1,($B$2:$B$313=$B281)*($I$2:$I$313=$BV281),$BQ$2:$BQ$313,,0)="","NOK","OK")))</f>
        <v/>
      </c>
      <c r="BX281" s="1" t="str">
        <f t="shared" si="297"/>
        <v/>
      </c>
      <c r="BY281" s="1" t="str">
        <f t="shared" si="298"/>
        <v/>
      </c>
      <c r="BZ281" s="1" t="str">
        <f t="shared" si="299"/>
        <v/>
      </c>
      <c r="CA281" s="1" t="str">
        <f t="shared" si="300"/>
        <v/>
      </c>
      <c r="CB281" s="1" t="str">
        <f t="shared" si="301"/>
        <v/>
      </c>
      <c r="CC281" s="1" t="str">
        <f t="shared" si="302"/>
        <v/>
      </c>
      <c r="CD281" s="1" t="str">
        <f t="shared" si="303"/>
        <v/>
      </c>
      <c r="CE281" s="1" t="str">
        <f t="shared" si="304"/>
        <v/>
      </c>
      <c r="CF281" s="1" t="str">
        <f t="shared" si="305"/>
        <v/>
      </c>
      <c r="CG281" s="1" t="str">
        <f t="shared" si="306"/>
        <v/>
      </c>
      <c r="CH281" s="1" t="str">
        <f t="shared" si="307"/>
        <v/>
      </c>
      <c r="CI281" s="1" t="str">
        <f t="shared" si="308"/>
        <v/>
      </c>
      <c r="CJ281" s="1" t="str">
        <f>IF(B281="","",IF(SUM(AI281:AK281)&gt;0,"+SP","")&amp;IF(CI281&gt;0,"+KK","")&amp;IF(AB281&gt;0,"+KGP1","")&amp;IF(AC281&gt;0,"+KGP2","")&amp;IF(AG281&lt;0,"-KGP1","")&amp;IF(AH281&lt;0,"-KGP2",""))</f>
        <v/>
      </c>
    </row>
    <row r="282" spans="1:88" x14ac:dyDescent="0.25">
      <c r="A282" s="1" t="str">
        <f>IFERROR(IF(ROW(A281)=1,1,IF(1+A281&lt;=$CP$1*$CP$2,1+A281,"")),"")</f>
        <v/>
      </c>
      <c r="B282" s="1" t="str">
        <f>IF($I282="","",IF(ROW(B281)=1,1,ROUNDUP(A282/$CP$2,0)))</f>
        <v/>
      </c>
      <c r="C282" s="4" t="str">
        <f t="shared" si="253"/>
        <v/>
      </c>
      <c r="D282" s="4" t="str">
        <f t="shared" si="248"/>
        <v/>
      </c>
      <c r="E282" s="1" t="str">
        <f>IF($B282="","",COUNTIF($B$2:B282,B282))</f>
        <v/>
      </c>
      <c r="F282" s="1" t="str">
        <f t="shared" si="249"/>
        <v/>
      </c>
      <c r="G282" s="1" t="str">
        <f t="shared" si="254"/>
        <v/>
      </c>
      <c r="H282" s="1">
        <f t="shared" si="255"/>
        <v>0</v>
      </c>
      <c r="I282" s="3"/>
      <c r="J282" s="3"/>
      <c r="K282" s="3"/>
      <c r="L282" s="1" t="str">
        <f t="shared" si="256"/>
        <v/>
      </c>
      <c r="M282" s="1" t="str">
        <f t="shared" si="257"/>
        <v/>
      </c>
      <c r="N282" s="1" t="str">
        <f t="shared" si="258"/>
        <v/>
      </c>
      <c r="O282" s="1" t="str">
        <f t="shared" si="259"/>
        <v/>
      </c>
      <c r="P282" s="1" t="str">
        <f t="shared" si="260"/>
        <v/>
      </c>
      <c r="Q282" s="1" t="str">
        <f t="array" ref="Q282">IF($B282="","",IF(MAX(IF(B282=$B$2:$B$313,$L$2:$L$313))-L282=0,"",MAX(IF(B282=$B$2:$B$313,$L$2:$L$313))-L282))</f>
        <v/>
      </c>
      <c r="R282" s="1" t="str">
        <f t="array" ref="R282">IF($B282="","",SUMPRODUCT(--($B$2:$B$313=B282),--(L282&lt;$L$2:$L$313))+1)</f>
        <v/>
      </c>
      <c r="S282" s="1" t="str">
        <f t="shared" si="261"/>
        <v/>
      </c>
      <c r="T282" s="1" t="str" cm="1">
        <f t="array" ref="T282">IF($B282="","",IF(M282=0,"",SUMPRODUCT(--($B$2:$B$313=B282),--(J282&lt;$J$2:$J$313))+1))</f>
        <v/>
      </c>
      <c r="U282" s="1" t="str">
        <f t="shared" si="262"/>
        <v/>
      </c>
      <c r="V282" s="1" t="str">
        <f t="shared" si="263"/>
        <v/>
      </c>
      <c r="W282" s="1" t="str">
        <f t="shared" si="264"/>
        <v/>
      </c>
      <c r="X282" s="1" t="str">
        <f t="shared" si="250"/>
        <v/>
      </c>
      <c r="Y282" s="1" t="str">
        <f>IF($B282="","",MAX(_xlfn.MAXIFS($J$2:J282,$I$2:I282,$I282),_xlfn.MAXIFS($K$2:K282,$I$2:I282,$I282)))</f>
        <v/>
      </c>
      <c r="Z282" s="1" t="str">
        <f t="shared" si="265"/>
        <v/>
      </c>
      <c r="AA282" s="1" t="str">
        <f t="shared" si="266"/>
        <v/>
      </c>
      <c r="AB282" s="1" t="str">
        <f t="shared" si="267"/>
        <v/>
      </c>
      <c r="AC282" s="1" t="str">
        <f t="shared" si="268"/>
        <v/>
      </c>
      <c r="AD282" s="1" t="str">
        <f>IF($B282="","",MIN(_xlfn.MINIFS($J$2:J282,$I$2:I282,$I282),_xlfn.MINIFS($K$2:K282,$I$2:I282,$I282)))</f>
        <v/>
      </c>
      <c r="AE282" s="1" t="str">
        <f t="shared" si="269"/>
        <v/>
      </c>
      <c r="AF282" s="1" t="str">
        <f t="shared" si="270"/>
        <v/>
      </c>
      <c r="AG282" s="1" t="str">
        <f t="shared" si="271"/>
        <v/>
      </c>
      <c r="AH282" s="1" t="str">
        <f t="shared" si="272"/>
        <v/>
      </c>
      <c r="AI282" s="1" t="str">
        <f ca="1">IF($B282="","",IF($K282="",0,OFFSET($CO$17,R282,W282)))</f>
        <v/>
      </c>
      <c r="AJ282" s="1" t="str">
        <f t="shared" ca="1" si="273"/>
        <v/>
      </c>
      <c r="AK282" s="1" t="str">
        <f ca="1">IF(AJ282="","",IF(AJ282=0,0,IF(W282=1,0,SUM(OFFSET($CO$17,N282,1):OFFSET($CO$17,N282+W282-2,1))/W282)))</f>
        <v/>
      </c>
      <c r="AL282" s="1" t="str">
        <f t="shared" si="274"/>
        <v/>
      </c>
      <c r="AM282" s="1" t="str">
        <f>IF($B282="","",SUMIFS($AL$2:AL282,$I$2:I282,$I282))</f>
        <v/>
      </c>
      <c r="AN282" s="1" t="str">
        <f t="shared" si="275"/>
        <v/>
      </c>
      <c r="AO282" s="1" t="str">
        <f>IFERROR(IF($B282="","",AVERAGEIFS($L$2:L282,$I$2:I282,I282,$L$2:L282,"&lt;&gt;0")),0)</f>
        <v/>
      </c>
      <c r="AP282" s="1" t="str">
        <f t="shared" si="276"/>
        <v/>
      </c>
      <c r="AQ282" s="1" t="str">
        <f>IF($B282="","",COUNTIFS($R$2:R282,1,$I$2:I282,$I282))</f>
        <v/>
      </c>
      <c r="AR282" s="1" t="str">
        <f t="array" ref="AR282">IF($B282="","",SUMPRODUCT(--($B$2:$B$313=B282),--(AM282&lt;$AM$2:$AM$313))+1)</f>
        <v/>
      </c>
      <c r="AS282" s="1" t="str">
        <f t="array" ref="AS282">IF($B282="","",SUMPRODUCT(--($B$2:$B$313=B282),--(AP282&lt;$AP$2:$AP$313))+1)</f>
        <v/>
      </c>
      <c r="AT282" s="1" t="str">
        <f t="array" ref="AT282">IF($B282="","",SUMPRODUCT(--($B$2:$B$313=B282),--(AQ282&lt;$AQ$2:$AQ$313))+1)</f>
        <v/>
      </c>
      <c r="AU282" s="1" t="str">
        <f t="shared" si="277"/>
        <v/>
      </c>
      <c r="AV282" s="1" t="str">
        <f t="shared" si="278"/>
        <v/>
      </c>
      <c r="AW282" s="1" t="str">
        <f t="shared" si="251"/>
        <v/>
      </c>
      <c r="AX282" s="1" t="str">
        <f t="shared" si="279"/>
        <v/>
      </c>
      <c r="AY282" s="8" t="str">
        <f t="shared" si="280"/>
        <v/>
      </c>
      <c r="AZ282" s="1" t="str" cm="1">
        <f t="array" ref="AZ282">IF($B282="","",SUMPRODUCT(--($B$2:$B$313=B282),--(AY282&gt;$AY$2:$AY$313))+1)</f>
        <v/>
      </c>
      <c r="BA282" s="1" t="str">
        <f t="shared" si="281"/>
        <v/>
      </c>
      <c r="BB282" s="1" t="str">
        <f t="shared" si="282"/>
        <v/>
      </c>
      <c r="BC282" s="1" t="str">
        <f t="shared" si="283"/>
        <v/>
      </c>
      <c r="BD282" s="1" t="str">
        <f t="shared" si="284"/>
        <v/>
      </c>
      <c r="BE282" s="1" t="str">
        <f t="shared" si="285"/>
        <v/>
      </c>
      <c r="BF282" s="1" t="str">
        <f t="shared" si="286"/>
        <v/>
      </c>
      <c r="BG282" s="1" t="str">
        <f t="shared" si="287"/>
        <v/>
      </c>
      <c r="BH282" s="1" t="str">
        <f t="shared" si="288"/>
        <v/>
      </c>
      <c r="BI282" s="1" t="str">
        <f t="shared" si="289"/>
        <v/>
      </c>
      <c r="BJ282" s="1" t="str">
        <f t="shared" si="290"/>
        <v/>
      </c>
      <c r="BK282" s="1" t="str">
        <f t="shared" si="291"/>
        <v/>
      </c>
      <c r="BL282" s="1" t="str">
        <f t="shared" si="292"/>
        <v/>
      </c>
      <c r="BM282" s="1" t="str">
        <f t="shared" si="293"/>
        <v/>
      </c>
      <c r="BN282" s="1" t="str">
        <f t="shared" si="294"/>
        <v/>
      </c>
      <c r="BO282" s="1" t="str">
        <f t="shared" si="252"/>
        <v/>
      </c>
      <c r="BP282" s="1" t="str">
        <f t="shared" si="295"/>
        <v/>
      </c>
      <c r="BQ282" s="1" t="str" cm="1">
        <f t="array" ref="BQ282">IF(I282="","",IF(BP282=1,"",IF(L282=0,"",IF(B282=1,"",_xlfn.XLOOKUP(1,($I$2:$I$313=$I282)*($B$2:$B$313=($B282-1)),$BO$2:$BO$313)))))</f>
        <v/>
      </c>
      <c r="BR282" s="1" t="str">
        <f>IF(I282="","",IF($B282=1,_xlfn.MINIFS($BO$2:$BO$313,$B$2:$B$313,$B282),_xlfn.MINIFS(BQ$2:$BQ$313,$B$2:$B$313,$B282)))</f>
        <v/>
      </c>
      <c r="BS282" s="1" t="str">
        <f t="shared" si="296"/>
        <v/>
      </c>
      <c r="BT282" s="1" t="str" cm="1">
        <f t="array" ref="BT282">IF($I282="","",IF($B282=1,_xlfn.XLOOKUP(1,($B$2:$B$313=$B282)*($BO$2:$BO$313=BR282),Data!$I$2:$I$313,,0),_xlfn.XLOOKUP(1,($B$2:$B$313=$B282)*($BQ$2:$BQ$313=$BR282),$I$2:$I$313,,0)))</f>
        <v/>
      </c>
      <c r="BU282" s="1" t="str" cm="1">
        <f t="array" ref="BU282">IF(I282="","",IF($B282=1,_xlfn.XLOOKUP(1,($B$2:$B$313=$B282)*($BO$2:$BO$313=$BS282),$I$2:$I$313,,0),_xlfn.XLOOKUP(1,($B$2:$B$313=$B282)*($BQ$2:$BQ$313=$BS282),$I$2:$I$313,,0)))</f>
        <v/>
      </c>
      <c r="BV282" s="1" t="str" cm="1">
        <f t="array" ref="BV282">IF($I282="","",IF($B282=1,"",IF($B282=2,_xlfn.XLOOKUP(1,($B$2:$B$313=1)*($BO$2:$BO$313=1),$I$2:$I$313,,0),_xlfn.XLOOKUP($B282-1,$B$2:$B$313,$CH$2:$CH$313,,0))))</f>
        <v/>
      </c>
      <c r="BW282" s="1" t="str" cm="1">
        <f t="array" ref="BW282">IF($I282="","",IF($B282=1,"",IF(_xlfn.XLOOKUP(1,($B$2:$B$313=$B282)*($I$2:$I$313=$BV282),$BQ$2:$BQ$313,,0)="","NOK","OK")))</f>
        <v/>
      </c>
      <c r="BX282" s="1" t="str">
        <f t="shared" si="297"/>
        <v/>
      </c>
      <c r="BY282" s="1" t="str">
        <f t="shared" si="298"/>
        <v/>
      </c>
      <c r="BZ282" s="1" t="str">
        <f t="shared" si="299"/>
        <v/>
      </c>
      <c r="CA282" s="1" t="str">
        <f t="shared" si="300"/>
        <v/>
      </c>
      <c r="CB282" s="1" t="str">
        <f t="shared" si="301"/>
        <v/>
      </c>
      <c r="CC282" s="1" t="str">
        <f t="shared" si="302"/>
        <v/>
      </c>
      <c r="CD282" s="1" t="str">
        <f t="shared" si="303"/>
        <v/>
      </c>
      <c r="CE282" s="1" t="str">
        <f t="shared" si="304"/>
        <v/>
      </c>
      <c r="CF282" s="1" t="str">
        <f t="shared" si="305"/>
        <v/>
      </c>
      <c r="CG282" s="1" t="str">
        <f t="shared" si="306"/>
        <v/>
      </c>
      <c r="CH282" s="1" t="str">
        <f t="shared" si="307"/>
        <v/>
      </c>
      <c r="CI282" s="1" t="str">
        <f t="shared" si="308"/>
        <v/>
      </c>
      <c r="CJ282" s="1" t="str">
        <f>IF(B282="","",IF(SUM(AI282:AK282)&gt;0,"+SP","")&amp;IF(CI282&gt;0,"+KK","")&amp;IF(AB282&gt;0,"+KGP1","")&amp;IF(AC282&gt;0,"+KGP2","")&amp;IF(AG282&lt;0,"-KGP1","")&amp;IF(AH282&lt;0,"-KGP2",""))</f>
        <v/>
      </c>
    </row>
    <row r="283" spans="1:88" x14ac:dyDescent="0.25">
      <c r="A283" s="1" t="str">
        <f>IFERROR(IF(ROW(A282)=1,1,IF(1+A282&lt;=$CP$1*$CP$2,1+A282,"")),"")</f>
        <v/>
      </c>
      <c r="B283" s="1" t="str">
        <f>IF($I283="","",IF(ROW(B282)=1,1,ROUNDUP(A283/$CP$2,0)))</f>
        <v/>
      </c>
      <c r="C283" s="4" t="str">
        <f t="shared" si="253"/>
        <v/>
      </c>
      <c r="D283" s="4" t="str">
        <f t="shared" si="248"/>
        <v/>
      </c>
      <c r="E283" s="1" t="str">
        <f>IF($B283="","",COUNTIF($B$2:B283,B283))</f>
        <v/>
      </c>
      <c r="F283" s="1" t="str">
        <f t="shared" si="249"/>
        <v/>
      </c>
      <c r="G283" s="1" t="str">
        <f t="shared" si="254"/>
        <v/>
      </c>
      <c r="H283" s="1">
        <f t="shared" si="255"/>
        <v>0</v>
      </c>
      <c r="I283" s="3"/>
      <c r="J283" s="3"/>
      <c r="K283" s="3"/>
      <c r="L283" s="1" t="str">
        <f t="shared" si="256"/>
        <v/>
      </c>
      <c r="M283" s="1" t="str">
        <f t="shared" si="257"/>
        <v/>
      </c>
      <c r="N283" s="1" t="str">
        <f t="shared" si="258"/>
        <v/>
      </c>
      <c r="O283" s="1" t="str">
        <f t="shared" si="259"/>
        <v/>
      </c>
      <c r="P283" s="1" t="str">
        <f t="shared" si="260"/>
        <v/>
      </c>
      <c r="Q283" s="1" t="str">
        <f t="array" ref="Q283">IF($B283="","",IF(MAX(IF(B283=$B$2:$B$313,$L$2:$L$313))-L283=0,"",MAX(IF(B283=$B$2:$B$313,$L$2:$L$313))-L283))</f>
        <v/>
      </c>
      <c r="R283" s="1" t="str">
        <f t="array" ref="R283">IF($B283="","",SUMPRODUCT(--($B$2:$B$313=B283),--(L283&lt;$L$2:$L$313))+1)</f>
        <v/>
      </c>
      <c r="S283" s="1" t="str">
        <f t="shared" si="261"/>
        <v/>
      </c>
      <c r="T283" s="1" t="str" cm="1">
        <f t="array" ref="T283">IF($B283="","",IF(M283=0,"",SUMPRODUCT(--($B$2:$B$313=B283),--(J283&lt;$J$2:$J$313))+1))</f>
        <v/>
      </c>
      <c r="U283" s="1" t="str">
        <f t="shared" si="262"/>
        <v/>
      </c>
      <c r="V283" s="1" t="str">
        <f t="shared" si="263"/>
        <v/>
      </c>
      <c r="W283" s="1" t="str">
        <f t="shared" si="264"/>
        <v/>
      </c>
      <c r="X283" s="1" t="str">
        <f t="shared" si="250"/>
        <v/>
      </c>
      <c r="Y283" s="1" t="str">
        <f>IF($B283="","",MAX(_xlfn.MAXIFS($J$2:J283,$I$2:I283,$I283),_xlfn.MAXIFS($K$2:K283,$I$2:I283,$I283)))</f>
        <v/>
      </c>
      <c r="Z283" s="1" t="str">
        <f t="shared" si="265"/>
        <v/>
      </c>
      <c r="AA283" s="1" t="str">
        <f t="shared" si="266"/>
        <v/>
      </c>
      <c r="AB283" s="1" t="str">
        <f t="shared" si="267"/>
        <v/>
      </c>
      <c r="AC283" s="1" t="str">
        <f t="shared" si="268"/>
        <v/>
      </c>
      <c r="AD283" s="1" t="str">
        <f>IF($B283="","",MIN(_xlfn.MINIFS($J$2:J283,$I$2:I283,$I283),_xlfn.MINIFS($K$2:K283,$I$2:I283,$I283)))</f>
        <v/>
      </c>
      <c r="AE283" s="1" t="str">
        <f t="shared" si="269"/>
        <v/>
      </c>
      <c r="AF283" s="1" t="str">
        <f t="shared" si="270"/>
        <v/>
      </c>
      <c r="AG283" s="1" t="str">
        <f t="shared" si="271"/>
        <v/>
      </c>
      <c r="AH283" s="1" t="str">
        <f t="shared" si="272"/>
        <v/>
      </c>
      <c r="AI283" s="1" t="str">
        <f ca="1">IF($B283="","",IF($K283="",0,OFFSET($CO$17,R283,W283)))</f>
        <v/>
      </c>
      <c r="AJ283" s="1" t="str">
        <f t="shared" ca="1" si="273"/>
        <v/>
      </c>
      <c r="AK283" s="1" t="str">
        <f ca="1">IF(AJ283="","",IF(AJ283=0,0,IF(W283=1,0,SUM(OFFSET($CO$17,N283,1):OFFSET($CO$17,N283+W283-2,1))/W283)))</f>
        <v/>
      </c>
      <c r="AL283" s="1" t="str">
        <f t="shared" si="274"/>
        <v/>
      </c>
      <c r="AM283" s="1" t="str">
        <f>IF($B283="","",SUMIFS($AL$2:AL283,$I$2:I283,$I283))</f>
        <v/>
      </c>
      <c r="AN283" s="1" t="str">
        <f t="shared" si="275"/>
        <v/>
      </c>
      <c r="AO283" s="1" t="str">
        <f>IFERROR(IF($B283="","",AVERAGEIFS($L$2:L283,$I$2:I283,I283,$L$2:L283,"&lt;&gt;0")),0)</f>
        <v/>
      </c>
      <c r="AP283" s="1" t="str">
        <f t="shared" si="276"/>
        <v/>
      </c>
      <c r="AQ283" s="1" t="str">
        <f>IF($B283="","",COUNTIFS($R$2:R283,1,$I$2:I283,$I283))</f>
        <v/>
      </c>
      <c r="AR283" s="1" t="str">
        <f t="array" ref="AR283">IF($B283="","",SUMPRODUCT(--($B$2:$B$313=B283),--(AM283&lt;$AM$2:$AM$313))+1)</f>
        <v/>
      </c>
      <c r="AS283" s="1" t="str">
        <f t="array" ref="AS283">IF($B283="","",SUMPRODUCT(--($B$2:$B$313=B283),--(AP283&lt;$AP$2:$AP$313))+1)</f>
        <v/>
      </c>
      <c r="AT283" s="1" t="str">
        <f t="array" ref="AT283">IF($B283="","",SUMPRODUCT(--($B$2:$B$313=B283),--(AQ283&lt;$AQ$2:$AQ$313))+1)</f>
        <v/>
      </c>
      <c r="AU283" s="1" t="str">
        <f t="shared" si="277"/>
        <v/>
      </c>
      <c r="AV283" s="1" t="str">
        <f t="shared" si="278"/>
        <v/>
      </c>
      <c r="AW283" s="1" t="str">
        <f t="shared" si="251"/>
        <v/>
      </c>
      <c r="AX283" s="1" t="str">
        <f t="shared" si="279"/>
        <v/>
      </c>
      <c r="AY283" s="8" t="str">
        <f t="shared" si="280"/>
        <v/>
      </c>
      <c r="AZ283" s="1" t="str" cm="1">
        <f t="array" ref="AZ283">IF($B283="","",SUMPRODUCT(--($B$2:$B$313=B283),--(AY283&gt;$AY$2:$AY$313))+1)</f>
        <v/>
      </c>
      <c r="BA283" s="1" t="str">
        <f t="shared" si="281"/>
        <v/>
      </c>
      <c r="BB283" s="1" t="str">
        <f t="shared" si="282"/>
        <v/>
      </c>
      <c r="BC283" s="1" t="str">
        <f t="shared" si="283"/>
        <v/>
      </c>
      <c r="BD283" s="1" t="str">
        <f t="shared" si="284"/>
        <v/>
      </c>
      <c r="BE283" s="1" t="str">
        <f t="shared" si="285"/>
        <v/>
      </c>
      <c r="BF283" s="1" t="str">
        <f t="shared" si="286"/>
        <v/>
      </c>
      <c r="BG283" s="1" t="str">
        <f t="shared" si="287"/>
        <v/>
      </c>
      <c r="BH283" s="1" t="str">
        <f t="shared" si="288"/>
        <v/>
      </c>
      <c r="BI283" s="1" t="str">
        <f t="shared" si="289"/>
        <v/>
      </c>
      <c r="BJ283" s="1" t="str">
        <f t="shared" si="290"/>
        <v/>
      </c>
      <c r="BK283" s="1" t="str">
        <f t="shared" si="291"/>
        <v/>
      </c>
      <c r="BL283" s="1" t="str">
        <f t="shared" si="292"/>
        <v/>
      </c>
      <c r="BM283" s="1" t="str">
        <f t="shared" si="293"/>
        <v/>
      </c>
      <c r="BN283" s="1" t="str">
        <f t="shared" si="294"/>
        <v/>
      </c>
      <c r="BO283" s="1" t="str">
        <f t="shared" si="252"/>
        <v/>
      </c>
      <c r="BP283" s="1" t="str">
        <f t="shared" si="295"/>
        <v/>
      </c>
      <c r="BQ283" s="1" t="str" cm="1">
        <f t="array" ref="BQ283">IF(I283="","",IF(BP283=1,"",IF(L283=0,"",IF(B283=1,"",_xlfn.XLOOKUP(1,($I$2:$I$313=$I283)*($B$2:$B$313=($B283-1)),$BO$2:$BO$313)))))</f>
        <v/>
      </c>
      <c r="BR283" s="1" t="str">
        <f>IF(I283="","",IF($B283=1,_xlfn.MINIFS($BO$2:$BO$313,$B$2:$B$313,$B283),_xlfn.MINIFS(BQ$2:$BQ$313,$B$2:$B$313,$B283)))</f>
        <v/>
      </c>
      <c r="BS283" s="1" t="str">
        <f t="shared" si="296"/>
        <v/>
      </c>
      <c r="BT283" s="1" t="str" cm="1">
        <f t="array" ref="BT283">IF($I283="","",IF($B283=1,_xlfn.XLOOKUP(1,($B$2:$B$313=$B283)*($BO$2:$BO$313=BR283),Data!$I$2:$I$313,,0),_xlfn.XLOOKUP(1,($B$2:$B$313=$B283)*($BQ$2:$BQ$313=$BR283),$I$2:$I$313,,0)))</f>
        <v/>
      </c>
      <c r="BU283" s="1" t="str" cm="1">
        <f t="array" ref="BU283">IF(I283="","",IF($B283=1,_xlfn.XLOOKUP(1,($B$2:$B$313=$B283)*($BO$2:$BO$313=$BS283),$I$2:$I$313,,0),_xlfn.XLOOKUP(1,($B$2:$B$313=$B283)*($BQ$2:$BQ$313=$BS283),$I$2:$I$313,,0)))</f>
        <v/>
      </c>
      <c r="BV283" s="1" t="str" cm="1">
        <f t="array" ref="BV283">IF($I283="","",IF($B283=1,"",IF($B283=2,_xlfn.XLOOKUP(1,($B$2:$B$313=1)*($BO$2:$BO$313=1),$I$2:$I$313,,0),_xlfn.XLOOKUP($B283-1,$B$2:$B$313,$CH$2:$CH$313,,0))))</f>
        <v/>
      </c>
      <c r="BW283" s="1" t="str" cm="1">
        <f t="array" ref="BW283">IF($I283="","",IF($B283=1,"",IF(_xlfn.XLOOKUP(1,($B$2:$B$313=$B283)*($I$2:$I$313=$BV283),$BQ$2:$BQ$313,,0)="","NOK","OK")))</f>
        <v/>
      </c>
      <c r="BX283" s="1" t="str">
        <f t="shared" si="297"/>
        <v/>
      </c>
      <c r="BY283" s="1" t="str">
        <f t="shared" si="298"/>
        <v/>
      </c>
      <c r="BZ283" s="1" t="str">
        <f t="shared" si="299"/>
        <v/>
      </c>
      <c r="CA283" s="1" t="str">
        <f t="shared" si="300"/>
        <v/>
      </c>
      <c r="CB283" s="1" t="str">
        <f t="shared" si="301"/>
        <v/>
      </c>
      <c r="CC283" s="1" t="str">
        <f t="shared" si="302"/>
        <v/>
      </c>
      <c r="CD283" s="1" t="str">
        <f t="shared" si="303"/>
        <v/>
      </c>
      <c r="CE283" s="1" t="str">
        <f t="shared" si="304"/>
        <v/>
      </c>
      <c r="CF283" s="1" t="str">
        <f t="shared" si="305"/>
        <v/>
      </c>
      <c r="CG283" s="1" t="str">
        <f t="shared" si="306"/>
        <v/>
      </c>
      <c r="CH283" s="1" t="str">
        <f t="shared" si="307"/>
        <v/>
      </c>
      <c r="CI283" s="1" t="str">
        <f t="shared" si="308"/>
        <v/>
      </c>
      <c r="CJ283" s="1" t="str">
        <f>IF(B283="","",IF(SUM(AI283:AK283)&gt;0,"+SP","")&amp;IF(CI283&gt;0,"+KK","")&amp;IF(AB283&gt;0,"+KGP1","")&amp;IF(AC283&gt;0,"+KGP2","")&amp;IF(AG283&lt;0,"-KGP1","")&amp;IF(AH283&lt;0,"-KGP2",""))</f>
        <v/>
      </c>
    </row>
    <row r="284" spans="1:88" x14ac:dyDescent="0.25">
      <c r="A284" s="1" t="str">
        <f>IFERROR(IF(ROW(A283)=1,1,IF(1+A283&lt;=$CP$1*$CP$2,1+A283,"")),"")</f>
        <v/>
      </c>
      <c r="B284" s="1" t="str">
        <f>IF($I284="","",IF(ROW(B283)=1,1,ROUNDUP(A284/$CP$2,0)))</f>
        <v/>
      </c>
      <c r="C284" s="4" t="str">
        <f t="shared" si="253"/>
        <v/>
      </c>
      <c r="D284" s="4" t="str">
        <f t="shared" si="248"/>
        <v/>
      </c>
      <c r="E284" s="1" t="str">
        <f>IF($B284="","",COUNTIF($B$2:B284,B284))</f>
        <v/>
      </c>
      <c r="F284" s="1" t="str">
        <f t="shared" si="249"/>
        <v/>
      </c>
      <c r="G284" s="1" t="str">
        <f t="shared" si="254"/>
        <v/>
      </c>
      <c r="H284" s="1">
        <f t="shared" si="255"/>
        <v>0</v>
      </c>
      <c r="I284" s="3"/>
      <c r="J284" s="3"/>
      <c r="K284" s="3"/>
      <c r="L284" s="1" t="str">
        <f t="shared" si="256"/>
        <v/>
      </c>
      <c r="M284" s="1" t="str">
        <f t="shared" si="257"/>
        <v/>
      </c>
      <c r="N284" s="1" t="str">
        <f t="shared" si="258"/>
        <v/>
      </c>
      <c r="O284" s="1" t="str">
        <f t="shared" si="259"/>
        <v/>
      </c>
      <c r="P284" s="1" t="str">
        <f t="shared" si="260"/>
        <v/>
      </c>
      <c r="Q284" s="1" t="str">
        <f t="array" ref="Q284">IF($B284="","",IF(MAX(IF(B284=$B$2:$B$313,$L$2:$L$313))-L284=0,"",MAX(IF(B284=$B$2:$B$313,$L$2:$L$313))-L284))</f>
        <v/>
      </c>
      <c r="R284" s="1" t="str">
        <f t="array" ref="R284">IF($B284="","",SUMPRODUCT(--($B$2:$B$313=B284),--(L284&lt;$L$2:$L$313))+1)</f>
        <v/>
      </c>
      <c r="S284" s="1" t="str">
        <f t="shared" si="261"/>
        <v/>
      </c>
      <c r="T284" s="1" t="str" cm="1">
        <f t="array" ref="T284">IF($B284="","",IF(M284=0,"",SUMPRODUCT(--($B$2:$B$313=B284),--(J284&lt;$J$2:$J$313))+1))</f>
        <v/>
      </c>
      <c r="U284" s="1" t="str">
        <f t="shared" si="262"/>
        <v/>
      </c>
      <c r="V284" s="1" t="str">
        <f t="shared" si="263"/>
        <v/>
      </c>
      <c r="W284" s="1" t="str">
        <f t="shared" si="264"/>
        <v/>
      </c>
      <c r="X284" s="1" t="str">
        <f t="shared" si="250"/>
        <v/>
      </c>
      <c r="Y284" s="1" t="str">
        <f>IF($B284="","",MAX(_xlfn.MAXIFS($J$2:J284,$I$2:I284,$I284),_xlfn.MAXIFS($K$2:K284,$I$2:I284,$I284)))</f>
        <v/>
      </c>
      <c r="Z284" s="1" t="str">
        <f t="shared" si="265"/>
        <v/>
      </c>
      <c r="AA284" s="1" t="str">
        <f t="shared" si="266"/>
        <v/>
      </c>
      <c r="AB284" s="1" t="str">
        <f t="shared" si="267"/>
        <v/>
      </c>
      <c r="AC284" s="1" t="str">
        <f t="shared" si="268"/>
        <v/>
      </c>
      <c r="AD284" s="1" t="str">
        <f>IF($B284="","",MIN(_xlfn.MINIFS($J$2:J284,$I$2:I284,$I284),_xlfn.MINIFS($K$2:K284,$I$2:I284,$I284)))</f>
        <v/>
      </c>
      <c r="AE284" s="1" t="str">
        <f t="shared" si="269"/>
        <v/>
      </c>
      <c r="AF284" s="1" t="str">
        <f t="shared" si="270"/>
        <v/>
      </c>
      <c r="AG284" s="1" t="str">
        <f t="shared" si="271"/>
        <v/>
      </c>
      <c r="AH284" s="1" t="str">
        <f t="shared" si="272"/>
        <v/>
      </c>
      <c r="AI284" s="1" t="str">
        <f ca="1">IF($B284="","",IF($K284="",0,OFFSET($CO$17,R284,W284)))</f>
        <v/>
      </c>
      <c r="AJ284" s="1" t="str">
        <f t="shared" ca="1" si="273"/>
        <v/>
      </c>
      <c r="AK284" s="1" t="str">
        <f ca="1">IF(AJ284="","",IF(AJ284=0,0,IF(W284=1,0,SUM(OFFSET($CO$17,N284,1):OFFSET($CO$17,N284+W284-2,1))/W284)))</f>
        <v/>
      </c>
      <c r="AL284" s="1" t="str">
        <f t="shared" si="274"/>
        <v/>
      </c>
      <c r="AM284" s="1" t="str">
        <f>IF($B284="","",SUMIFS($AL$2:AL284,$I$2:I284,$I284))</f>
        <v/>
      </c>
      <c r="AN284" s="1" t="str">
        <f t="shared" si="275"/>
        <v/>
      </c>
      <c r="AO284" s="1" t="str">
        <f>IFERROR(IF($B284="","",AVERAGEIFS($L$2:L284,$I$2:I284,I284,$L$2:L284,"&lt;&gt;0")),0)</f>
        <v/>
      </c>
      <c r="AP284" s="1" t="str">
        <f t="shared" si="276"/>
        <v/>
      </c>
      <c r="AQ284" s="1" t="str">
        <f>IF($B284="","",COUNTIFS($R$2:R284,1,$I$2:I284,$I284))</f>
        <v/>
      </c>
      <c r="AR284" s="1" t="str">
        <f t="array" ref="AR284">IF($B284="","",SUMPRODUCT(--($B$2:$B$313=B284),--(AM284&lt;$AM$2:$AM$313))+1)</f>
        <v/>
      </c>
      <c r="AS284" s="1" t="str">
        <f t="array" ref="AS284">IF($B284="","",SUMPRODUCT(--($B$2:$B$313=B284),--(AP284&lt;$AP$2:$AP$313))+1)</f>
        <v/>
      </c>
      <c r="AT284" s="1" t="str">
        <f t="array" ref="AT284">IF($B284="","",SUMPRODUCT(--($B$2:$B$313=B284),--(AQ284&lt;$AQ$2:$AQ$313))+1)</f>
        <v/>
      </c>
      <c r="AU284" s="1" t="str">
        <f t="shared" si="277"/>
        <v/>
      </c>
      <c r="AV284" s="1" t="str">
        <f t="shared" si="278"/>
        <v/>
      </c>
      <c r="AW284" s="1" t="str">
        <f t="shared" si="251"/>
        <v/>
      </c>
      <c r="AX284" s="1" t="str">
        <f t="shared" si="279"/>
        <v/>
      </c>
      <c r="AY284" s="8" t="str">
        <f t="shared" si="280"/>
        <v/>
      </c>
      <c r="AZ284" s="1" t="str" cm="1">
        <f t="array" ref="AZ284">IF($B284="","",SUMPRODUCT(--($B$2:$B$313=B284),--(AY284&gt;$AY$2:$AY$313))+1)</f>
        <v/>
      </c>
      <c r="BA284" s="1" t="str">
        <f t="shared" si="281"/>
        <v/>
      </c>
      <c r="BB284" s="1" t="str">
        <f t="shared" si="282"/>
        <v/>
      </c>
      <c r="BC284" s="1" t="str">
        <f t="shared" si="283"/>
        <v/>
      </c>
      <c r="BD284" s="1" t="str">
        <f t="shared" si="284"/>
        <v/>
      </c>
      <c r="BE284" s="1" t="str">
        <f t="shared" si="285"/>
        <v/>
      </c>
      <c r="BF284" s="1" t="str">
        <f t="shared" si="286"/>
        <v/>
      </c>
      <c r="BG284" s="1" t="str">
        <f t="shared" si="287"/>
        <v/>
      </c>
      <c r="BH284" s="1" t="str">
        <f t="shared" si="288"/>
        <v/>
      </c>
      <c r="BI284" s="1" t="str">
        <f t="shared" si="289"/>
        <v/>
      </c>
      <c r="BJ284" s="1" t="str">
        <f t="shared" si="290"/>
        <v/>
      </c>
      <c r="BK284" s="1" t="str">
        <f t="shared" si="291"/>
        <v/>
      </c>
      <c r="BL284" s="1" t="str">
        <f t="shared" si="292"/>
        <v/>
      </c>
      <c r="BM284" s="1" t="str">
        <f t="shared" si="293"/>
        <v/>
      </c>
      <c r="BN284" s="1" t="str">
        <f t="shared" si="294"/>
        <v/>
      </c>
      <c r="BO284" s="1" t="str">
        <f t="shared" si="252"/>
        <v/>
      </c>
      <c r="BP284" s="1" t="str">
        <f t="shared" si="295"/>
        <v/>
      </c>
      <c r="BQ284" s="1" t="str" cm="1">
        <f t="array" ref="BQ284">IF(I284="","",IF(BP284=1,"",IF(L284=0,"",IF(B284=1,"",_xlfn.XLOOKUP(1,($I$2:$I$313=$I284)*($B$2:$B$313=($B284-1)),$BO$2:$BO$313)))))</f>
        <v/>
      </c>
      <c r="BR284" s="1" t="str">
        <f>IF(I284="","",IF($B284=1,_xlfn.MINIFS($BO$2:$BO$313,$B$2:$B$313,$B284),_xlfn.MINIFS(BQ$2:$BQ$313,$B$2:$B$313,$B284)))</f>
        <v/>
      </c>
      <c r="BS284" s="1" t="str">
        <f t="shared" si="296"/>
        <v/>
      </c>
      <c r="BT284" s="1" t="str" cm="1">
        <f t="array" ref="BT284">IF($I284="","",IF($B284=1,_xlfn.XLOOKUP(1,($B$2:$B$313=$B284)*($BO$2:$BO$313=BR284),Data!$I$2:$I$313,,0),_xlfn.XLOOKUP(1,($B$2:$B$313=$B284)*($BQ$2:$BQ$313=$BR284),$I$2:$I$313,,0)))</f>
        <v/>
      </c>
      <c r="BU284" s="1" t="str" cm="1">
        <f t="array" ref="BU284">IF(I284="","",IF($B284=1,_xlfn.XLOOKUP(1,($B$2:$B$313=$B284)*($BO$2:$BO$313=$BS284),$I$2:$I$313,,0),_xlfn.XLOOKUP(1,($B$2:$B$313=$B284)*($BQ$2:$BQ$313=$BS284),$I$2:$I$313,,0)))</f>
        <v/>
      </c>
      <c r="BV284" s="1" t="str" cm="1">
        <f t="array" ref="BV284">IF($I284="","",IF($B284=1,"",IF($B284=2,_xlfn.XLOOKUP(1,($B$2:$B$313=1)*($BO$2:$BO$313=1),$I$2:$I$313,,0),_xlfn.XLOOKUP($B284-1,$B$2:$B$313,$CH$2:$CH$313,,0))))</f>
        <v/>
      </c>
      <c r="BW284" s="1" t="str" cm="1">
        <f t="array" ref="BW284">IF($I284="","",IF($B284=1,"",IF(_xlfn.XLOOKUP(1,($B$2:$B$313=$B284)*($I$2:$I$313=$BV284),$BQ$2:$BQ$313,,0)="","NOK","OK")))</f>
        <v/>
      </c>
      <c r="BX284" s="1" t="str">
        <f t="shared" si="297"/>
        <v/>
      </c>
      <c r="BY284" s="1" t="str">
        <f t="shared" si="298"/>
        <v/>
      </c>
      <c r="BZ284" s="1" t="str">
        <f t="shared" si="299"/>
        <v/>
      </c>
      <c r="CA284" s="1" t="str">
        <f t="shared" si="300"/>
        <v/>
      </c>
      <c r="CB284" s="1" t="str">
        <f t="shared" si="301"/>
        <v/>
      </c>
      <c r="CC284" s="1" t="str">
        <f t="shared" si="302"/>
        <v/>
      </c>
      <c r="CD284" s="1" t="str">
        <f t="shared" si="303"/>
        <v/>
      </c>
      <c r="CE284" s="1" t="str">
        <f t="shared" si="304"/>
        <v/>
      </c>
      <c r="CF284" s="1" t="str">
        <f t="shared" si="305"/>
        <v/>
      </c>
      <c r="CG284" s="1" t="str">
        <f t="shared" si="306"/>
        <v/>
      </c>
      <c r="CH284" s="1" t="str">
        <f t="shared" si="307"/>
        <v/>
      </c>
      <c r="CI284" s="1" t="str">
        <f t="shared" si="308"/>
        <v/>
      </c>
      <c r="CJ284" s="1" t="str">
        <f>IF(B284="","",IF(SUM(AI284:AK284)&gt;0,"+SP","")&amp;IF(CI284&gt;0,"+KK","")&amp;IF(AB284&gt;0,"+KGP1","")&amp;IF(AC284&gt;0,"+KGP2","")&amp;IF(AG284&lt;0,"-KGP1","")&amp;IF(AH284&lt;0,"-KGP2",""))</f>
        <v/>
      </c>
    </row>
    <row r="285" spans="1:88" x14ac:dyDescent="0.25">
      <c r="A285" s="1" t="str">
        <f>IFERROR(IF(ROW(A284)=1,1,IF(1+A284&lt;=$CP$1*$CP$2,1+A284,"")),"")</f>
        <v/>
      </c>
      <c r="B285" s="1" t="str">
        <f>IF($I285="","",IF(ROW(B284)=1,1,ROUNDUP(A285/$CP$2,0)))</f>
        <v/>
      </c>
      <c r="C285" s="4" t="str">
        <f t="shared" si="253"/>
        <v/>
      </c>
      <c r="D285" s="4" t="str">
        <f t="shared" si="248"/>
        <v/>
      </c>
      <c r="E285" s="1" t="str">
        <f>IF($B285="","",COUNTIF($B$2:B285,B285))</f>
        <v/>
      </c>
      <c r="F285" s="1" t="str">
        <f t="shared" si="249"/>
        <v/>
      </c>
      <c r="G285" s="1" t="str">
        <f t="shared" si="254"/>
        <v/>
      </c>
      <c r="H285" s="1">
        <f t="shared" si="255"/>
        <v>0</v>
      </c>
      <c r="I285" s="3"/>
      <c r="J285" s="3"/>
      <c r="K285" s="3"/>
      <c r="L285" s="1" t="str">
        <f t="shared" si="256"/>
        <v/>
      </c>
      <c r="M285" s="1" t="str">
        <f t="shared" si="257"/>
        <v/>
      </c>
      <c r="N285" s="1" t="str">
        <f t="shared" si="258"/>
        <v/>
      </c>
      <c r="O285" s="1" t="str">
        <f t="shared" si="259"/>
        <v/>
      </c>
      <c r="P285" s="1" t="str">
        <f t="shared" si="260"/>
        <v/>
      </c>
      <c r="Q285" s="1" t="str">
        <f t="array" ref="Q285">IF($B285="","",IF(MAX(IF(B285=$B$2:$B$313,$L$2:$L$313))-L285=0,"",MAX(IF(B285=$B$2:$B$313,$L$2:$L$313))-L285))</f>
        <v/>
      </c>
      <c r="R285" s="1" t="str">
        <f t="array" ref="R285">IF($B285="","",SUMPRODUCT(--($B$2:$B$313=B285),--(L285&lt;$L$2:$L$313))+1)</f>
        <v/>
      </c>
      <c r="S285" s="1" t="str">
        <f t="shared" si="261"/>
        <v/>
      </c>
      <c r="T285" s="1" t="str" cm="1">
        <f t="array" ref="T285">IF($B285="","",IF(M285=0,"",SUMPRODUCT(--($B$2:$B$313=B285),--(J285&lt;$J$2:$J$313))+1))</f>
        <v/>
      </c>
      <c r="U285" s="1" t="str">
        <f t="shared" si="262"/>
        <v/>
      </c>
      <c r="V285" s="1" t="str">
        <f t="shared" si="263"/>
        <v/>
      </c>
      <c r="W285" s="1" t="str">
        <f t="shared" si="264"/>
        <v/>
      </c>
      <c r="X285" s="1" t="str">
        <f t="shared" si="250"/>
        <v/>
      </c>
      <c r="Y285" s="1" t="str">
        <f>IF($B285="","",MAX(_xlfn.MAXIFS($J$2:J285,$I$2:I285,$I285),_xlfn.MAXIFS($K$2:K285,$I$2:I285,$I285)))</f>
        <v/>
      </c>
      <c r="Z285" s="1" t="str">
        <f t="shared" si="265"/>
        <v/>
      </c>
      <c r="AA285" s="1" t="str">
        <f t="shared" si="266"/>
        <v/>
      </c>
      <c r="AB285" s="1" t="str">
        <f t="shared" si="267"/>
        <v/>
      </c>
      <c r="AC285" s="1" t="str">
        <f t="shared" si="268"/>
        <v/>
      </c>
      <c r="AD285" s="1" t="str">
        <f>IF($B285="","",MIN(_xlfn.MINIFS($J$2:J285,$I$2:I285,$I285),_xlfn.MINIFS($K$2:K285,$I$2:I285,$I285)))</f>
        <v/>
      </c>
      <c r="AE285" s="1" t="str">
        <f t="shared" si="269"/>
        <v/>
      </c>
      <c r="AF285" s="1" t="str">
        <f t="shared" si="270"/>
        <v/>
      </c>
      <c r="AG285" s="1" t="str">
        <f t="shared" si="271"/>
        <v/>
      </c>
      <c r="AH285" s="1" t="str">
        <f t="shared" si="272"/>
        <v/>
      </c>
      <c r="AI285" s="1" t="str">
        <f ca="1">IF($B285="","",IF($K285="",0,OFFSET($CO$17,R285,W285)))</f>
        <v/>
      </c>
      <c r="AJ285" s="1" t="str">
        <f t="shared" ca="1" si="273"/>
        <v/>
      </c>
      <c r="AK285" s="1" t="str">
        <f ca="1">IF(AJ285="","",IF(AJ285=0,0,IF(W285=1,0,SUM(OFFSET($CO$17,N285,1):OFFSET($CO$17,N285+W285-2,1))/W285)))</f>
        <v/>
      </c>
      <c r="AL285" s="1" t="str">
        <f t="shared" si="274"/>
        <v/>
      </c>
      <c r="AM285" s="1" t="str">
        <f>IF($B285="","",SUMIFS($AL$2:AL285,$I$2:I285,$I285))</f>
        <v/>
      </c>
      <c r="AN285" s="1" t="str">
        <f t="shared" si="275"/>
        <v/>
      </c>
      <c r="AO285" s="1" t="str">
        <f>IFERROR(IF($B285="","",AVERAGEIFS($L$2:L285,$I$2:I285,I285,$L$2:L285,"&lt;&gt;0")),0)</f>
        <v/>
      </c>
      <c r="AP285" s="1" t="str">
        <f t="shared" si="276"/>
        <v/>
      </c>
      <c r="AQ285" s="1" t="str">
        <f>IF($B285="","",COUNTIFS($R$2:R285,1,$I$2:I285,$I285))</f>
        <v/>
      </c>
      <c r="AR285" s="1" t="str">
        <f t="array" ref="AR285">IF($B285="","",SUMPRODUCT(--($B$2:$B$313=B285),--(AM285&lt;$AM$2:$AM$313))+1)</f>
        <v/>
      </c>
      <c r="AS285" s="1" t="str">
        <f t="array" ref="AS285">IF($B285="","",SUMPRODUCT(--($B$2:$B$313=B285),--(AP285&lt;$AP$2:$AP$313))+1)</f>
        <v/>
      </c>
      <c r="AT285" s="1" t="str">
        <f t="array" ref="AT285">IF($B285="","",SUMPRODUCT(--($B$2:$B$313=B285),--(AQ285&lt;$AQ$2:$AQ$313))+1)</f>
        <v/>
      </c>
      <c r="AU285" s="1" t="str">
        <f t="shared" si="277"/>
        <v/>
      </c>
      <c r="AV285" s="1" t="str">
        <f t="shared" si="278"/>
        <v/>
      </c>
      <c r="AW285" s="1" t="str">
        <f t="shared" si="251"/>
        <v/>
      </c>
      <c r="AX285" s="1" t="str">
        <f t="shared" si="279"/>
        <v/>
      </c>
      <c r="AY285" s="8" t="str">
        <f t="shared" si="280"/>
        <v/>
      </c>
      <c r="AZ285" s="1" t="str" cm="1">
        <f t="array" ref="AZ285">IF($B285="","",SUMPRODUCT(--($B$2:$B$313=B285),--(AY285&gt;$AY$2:$AY$313))+1)</f>
        <v/>
      </c>
      <c r="BA285" s="1" t="str">
        <f t="shared" si="281"/>
        <v/>
      </c>
      <c r="BB285" s="1" t="str">
        <f t="shared" si="282"/>
        <v/>
      </c>
      <c r="BC285" s="1" t="str">
        <f t="shared" si="283"/>
        <v/>
      </c>
      <c r="BD285" s="1" t="str">
        <f t="shared" si="284"/>
        <v/>
      </c>
      <c r="BE285" s="1" t="str">
        <f t="shared" si="285"/>
        <v/>
      </c>
      <c r="BF285" s="1" t="str">
        <f t="shared" si="286"/>
        <v/>
      </c>
      <c r="BG285" s="1" t="str">
        <f t="shared" si="287"/>
        <v/>
      </c>
      <c r="BH285" s="1" t="str">
        <f t="shared" si="288"/>
        <v/>
      </c>
      <c r="BI285" s="1" t="str">
        <f t="shared" si="289"/>
        <v/>
      </c>
      <c r="BJ285" s="1" t="str">
        <f t="shared" si="290"/>
        <v/>
      </c>
      <c r="BK285" s="1" t="str">
        <f t="shared" si="291"/>
        <v/>
      </c>
      <c r="BL285" s="1" t="str">
        <f t="shared" si="292"/>
        <v/>
      </c>
      <c r="BM285" s="1" t="str">
        <f t="shared" si="293"/>
        <v/>
      </c>
      <c r="BN285" s="1" t="str">
        <f t="shared" si="294"/>
        <v/>
      </c>
      <c r="BO285" s="1" t="str">
        <f t="shared" si="252"/>
        <v/>
      </c>
      <c r="BP285" s="1" t="str">
        <f t="shared" si="295"/>
        <v/>
      </c>
      <c r="BQ285" s="1" t="str" cm="1">
        <f t="array" ref="BQ285">IF(I285="","",IF(BP285=1,"",IF(L285=0,"",IF(B285=1,"",_xlfn.XLOOKUP(1,($I$2:$I$313=$I285)*($B$2:$B$313=($B285-1)),$BO$2:$BO$313)))))</f>
        <v/>
      </c>
      <c r="BR285" s="1" t="str">
        <f>IF(I285="","",IF($B285=1,_xlfn.MINIFS($BO$2:$BO$313,$B$2:$B$313,$B285),_xlfn.MINIFS(BQ$2:$BQ$313,$B$2:$B$313,$B285)))</f>
        <v/>
      </c>
      <c r="BS285" s="1" t="str">
        <f t="shared" si="296"/>
        <v/>
      </c>
      <c r="BT285" s="1" t="str" cm="1">
        <f t="array" ref="BT285">IF($I285="","",IF($B285=1,_xlfn.XLOOKUP(1,($B$2:$B$313=$B285)*($BO$2:$BO$313=BR285),Data!$I$2:$I$313,,0),_xlfn.XLOOKUP(1,($B$2:$B$313=$B285)*($BQ$2:$BQ$313=$BR285),$I$2:$I$313,,0)))</f>
        <v/>
      </c>
      <c r="BU285" s="1" t="str" cm="1">
        <f t="array" ref="BU285">IF(I285="","",IF($B285=1,_xlfn.XLOOKUP(1,($B$2:$B$313=$B285)*($BO$2:$BO$313=$BS285),$I$2:$I$313,,0),_xlfn.XLOOKUP(1,($B$2:$B$313=$B285)*($BQ$2:$BQ$313=$BS285),$I$2:$I$313,,0)))</f>
        <v/>
      </c>
      <c r="BV285" s="1" t="str" cm="1">
        <f t="array" ref="BV285">IF($I285="","",IF($B285=1,"",IF($B285=2,_xlfn.XLOOKUP(1,($B$2:$B$313=1)*($BO$2:$BO$313=1),$I$2:$I$313,,0),_xlfn.XLOOKUP($B285-1,$B$2:$B$313,$CH$2:$CH$313,,0))))</f>
        <v/>
      </c>
      <c r="BW285" s="1" t="str" cm="1">
        <f t="array" ref="BW285">IF($I285="","",IF($B285=1,"",IF(_xlfn.XLOOKUP(1,($B$2:$B$313=$B285)*($I$2:$I$313=$BV285),$BQ$2:$BQ$313,,0)="","NOK","OK")))</f>
        <v/>
      </c>
      <c r="BX285" s="1" t="str">
        <f t="shared" si="297"/>
        <v/>
      </c>
      <c r="BY285" s="1" t="str">
        <f t="shared" si="298"/>
        <v/>
      </c>
      <c r="BZ285" s="1" t="str">
        <f t="shared" si="299"/>
        <v/>
      </c>
      <c r="CA285" s="1" t="str">
        <f t="shared" si="300"/>
        <v/>
      </c>
      <c r="CB285" s="1" t="str">
        <f t="shared" si="301"/>
        <v/>
      </c>
      <c r="CC285" s="1" t="str">
        <f t="shared" si="302"/>
        <v/>
      </c>
      <c r="CD285" s="1" t="str">
        <f t="shared" si="303"/>
        <v/>
      </c>
      <c r="CE285" s="1" t="str">
        <f t="shared" si="304"/>
        <v/>
      </c>
      <c r="CF285" s="1" t="str">
        <f t="shared" si="305"/>
        <v/>
      </c>
      <c r="CG285" s="1" t="str">
        <f t="shared" si="306"/>
        <v/>
      </c>
      <c r="CH285" s="1" t="str">
        <f t="shared" si="307"/>
        <v/>
      </c>
      <c r="CI285" s="1" t="str">
        <f t="shared" si="308"/>
        <v/>
      </c>
      <c r="CJ285" s="1" t="str">
        <f>IF(B285="","",IF(SUM(AI285:AK285)&gt;0,"+SP","")&amp;IF(CI285&gt;0,"+KK","")&amp;IF(AB285&gt;0,"+KGP1","")&amp;IF(AC285&gt;0,"+KGP2","")&amp;IF(AG285&lt;0,"-KGP1","")&amp;IF(AH285&lt;0,"-KGP2",""))</f>
        <v/>
      </c>
    </row>
    <row r="286" spans="1:88" x14ac:dyDescent="0.25">
      <c r="A286" s="1" t="str">
        <f>IFERROR(IF(ROW(A285)=1,1,IF(1+A285&lt;=$CP$1*$CP$2,1+A285,"")),"")</f>
        <v/>
      </c>
      <c r="B286" s="1" t="str">
        <f>IF($I286="","",IF(ROW(B285)=1,1,ROUNDUP(A286/$CP$2,0)))</f>
        <v/>
      </c>
      <c r="C286" s="4" t="str">
        <f t="shared" si="253"/>
        <v/>
      </c>
      <c r="D286" s="4" t="str">
        <f t="shared" si="248"/>
        <v/>
      </c>
      <c r="E286" s="1" t="str">
        <f>IF($B286="","",COUNTIF($B$2:B286,B286))</f>
        <v/>
      </c>
      <c r="F286" s="1" t="str">
        <f t="shared" si="249"/>
        <v/>
      </c>
      <c r="G286" s="1" t="str">
        <f t="shared" si="254"/>
        <v/>
      </c>
      <c r="H286" s="1">
        <f t="shared" si="255"/>
        <v>0</v>
      </c>
      <c r="I286" s="3"/>
      <c r="J286" s="3"/>
      <c r="K286" s="3"/>
      <c r="L286" s="1" t="str">
        <f t="shared" si="256"/>
        <v/>
      </c>
      <c r="M286" s="1" t="str">
        <f t="shared" si="257"/>
        <v/>
      </c>
      <c r="N286" s="1" t="str">
        <f t="shared" si="258"/>
        <v/>
      </c>
      <c r="O286" s="1" t="str">
        <f t="shared" si="259"/>
        <v/>
      </c>
      <c r="P286" s="1" t="str">
        <f t="shared" si="260"/>
        <v/>
      </c>
      <c r="Q286" s="1" t="str">
        <f t="array" ref="Q286">IF($B286="","",IF(MAX(IF(B286=$B$2:$B$313,$L$2:$L$313))-L286=0,"",MAX(IF(B286=$B$2:$B$313,$L$2:$L$313))-L286))</f>
        <v/>
      </c>
      <c r="R286" s="1" t="str">
        <f t="array" ref="R286">IF($B286="","",SUMPRODUCT(--($B$2:$B$313=B286),--(L286&lt;$L$2:$L$313))+1)</f>
        <v/>
      </c>
      <c r="S286" s="1" t="str">
        <f t="shared" si="261"/>
        <v/>
      </c>
      <c r="T286" s="1" t="str" cm="1">
        <f t="array" ref="T286">IF($B286="","",IF(M286=0,"",SUMPRODUCT(--($B$2:$B$313=B286),--(J286&lt;$J$2:$J$313))+1))</f>
        <v/>
      </c>
      <c r="U286" s="1" t="str">
        <f t="shared" si="262"/>
        <v/>
      </c>
      <c r="V286" s="1" t="str">
        <f t="shared" si="263"/>
        <v/>
      </c>
      <c r="W286" s="1" t="str">
        <f t="shared" si="264"/>
        <v/>
      </c>
      <c r="X286" s="1" t="str">
        <f t="shared" si="250"/>
        <v/>
      </c>
      <c r="Y286" s="1" t="str">
        <f>IF($B286="","",MAX(_xlfn.MAXIFS($J$2:J286,$I$2:I286,$I286),_xlfn.MAXIFS($K$2:K286,$I$2:I286,$I286)))</f>
        <v/>
      </c>
      <c r="Z286" s="1" t="str">
        <f t="shared" si="265"/>
        <v/>
      </c>
      <c r="AA286" s="1" t="str">
        <f t="shared" si="266"/>
        <v/>
      </c>
      <c r="AB286" s="1" t="str">
        <f t="shared" si="267"/>
        <v/>
      </c>
      <c r="AC286" s="1" t="str">
        <f t="shared" si="268"/>
        <v/>
      </c>
      <c r="AD286" s="1" t="str">
        <f>IF($B286="","",MIN(_xlfn.MINIFS($J$2:J286,$I$2:I286,$I286),_xlfn.MINIFS($K$2:K286,$I$2:I286,$I286)))</f>
        <v/>
      </c>
      <c r="AE286" s="1" t="str">
        <f t="shared" si="269"/>
        <v/>
      </c>
      <c r="AF286" s="1" t="str">
        <f t="shared" si="270"/>
        <v/>
      </c>
      <c r="AG286" s="1" t="str">
        <f t="shared" si="271"/>
        <v/>
      </c>
      <c r="AH286" s="1" t="str">
        <f t="shared" si="272"/>
        <v/>
      </c>
      <c r="AI286" s="1" t="str">
        <f ca="1">IF($B286="","",IF($K286="",0,OFFSET($CO$17,R286,W286)))</f>
        <v/>
      </c>
      <c r="AJ286" s="1" t="str">
        <f t="shared" ca="1" si="273"/>
        <v/>
      </c>
      <c r="AK286" s="1" t="str">
        <f ca="1">IF(AJ286="","",IF(AJ286=0,0,IF(W286=1,0,SUM(OFFSET($CO$17,N286,1):OFFSET($CO$17,N286+W286-2,1))/W286)))</f>
        <v/>
      </c>
      <c r="AL286" s="1" t="str">
        <f t="shared" si="274"/>
        <v/>
      </c>
      <c r="AM286" s="1" t="str">
        <f>IF($B286="","",SUMIFS($AL$2:AL286,$I$2:I286,$I286))</f>
        <v/>
      </c>
      <c r="AN286" s="1" t="str">
        <f t="shared" si="275"/>
        <v/>
      </c>
      <c r="AO286" s="1" t="str">
        <f>IFERROR(IF($B286="","",AVERAGEIFS($L$2:L286,$I$2:I286,I286,$L$2:L286,"&lt;&gt;0")),0)</f>
        <v/>
      </c>
      <c r="AP286" s="1" t="str">
        <f t="shared" si="276"/>
        <v/>
      </c>
      <c r="AQ286" s="1" t="str">
        <f>IF($B286="","",COUNTIFS($R$2:R286,1,$I$2:I286,$I286))</f>
        <v/>
      </c>
      <c r="AR286" s="1" t="str">
        <f t="array" ref="AR286">IF($B286="","",SUMPRODUCT(--($B$2:$B$313=B286),--(AM286&lt;$AM$2:$AM$313))+1)</f>
        <v/>
      </c>
      <c r="AS286" s="1" t="str">
        <f t="array" ref="AS286">IF($B286="","",SUMPRODUCT(--($B$2:$B$313=B286),--(AP286&lt;$AP$2:$AP$313))+1)</f>
        <v/>
      </c>
      <c r="AT286" s="1" t="str">
        <f t="array" ref="AT286">IF($B286="","",SUMPRODUCT(--($B$2:$B$313=B286),--(AQ286&lt;$AQ$2:$AQ$313))+1)</f>
        <v/>
      </c>
      <c r="AU286" s="1" t="str">
        <f t="shared" si="277"/>
        <v/>
      </c>
      <c r="AV286" s="1" t="str">
        <f t="shared" si="278"/>
        <v/>
      </c>
      <c r="AW286" s="1" t="str">
        <f t="shared" si="251"/>
        <v/>
      </c>
      <c r="AX286" s="1" t="str">
        <f t="shared" si="279"/>
        <v/>
      </c>
      <c r="AY286" s="8" t="str">
        <f t="shared" si="280"/>
        <v/>
      </c>
      <c r="AZ286" s="1" t="str" cm="1">
        <f t="array" ref="AZ286">IF($B286="","",SUMPRODUCT(--($B$2:$B$313=B286),--(AY286&gt;$AY$2:$AY$313))+1)</f>
        <v/>
      </c>
      <c r="BA286" s="1" t="str">
        <f t="shared" si="281"/>
        <v/>
      </c>
      <c r="BB286" s="1" t="str">
        <f t="shared" si="282"/>
        <v/>
      </c>
      <c r="BC286" s="1" t="str">
        <f t="shared" si="283"/>
        <v/>
      </c>
      <c r="BD286" s="1" t="str">
        <f t="shared" si="284"/>
        <v/>
      </c>
      <c r="BE286" s="1" t="str">
        <f t="shared" si="285"/>
        <v/>
      </c>
      <c r="BF286" s="1" t="str">
        <f t="shared" si="286"/>
        <v/>
      </c>
      <c r="BG286" s="1" t="str">
        <f t="shared" si="287"/>
        <v/>
      </c>
      <c r="BH286" s="1" t="str">
        <f t="shared" si="288"/>
        <v/>
      </c>
      <c r="BI286" s="1" t="str">
        <f t="shared" si="289"/>
        <v/>
      </c>
      <c r="BJ286" s="1" t="str">
        <f t="shared" si="290"/>
        <v/>
      </c>
      <c r="BK286" s="1" t="str">
        <f t="shared" si="291"/>
        <v/>
      </c>
      <c r="BL286" s="1" t="str">
        <f t="shared" si="292"/>
        <v/>
      </c>
      <c r="BM286" s="1" t="str">
        <f t="shared" si="293"/>
        <v/>
      </c>
      <c r="BN286" s="1" t="str">
        <f t="shared" si="294"/>
        <v/>
      </c>
      <c r="BO286" s="1" t="str">
        <f t="shared" si="252"/>
        <v/>
      </c>
      <c r="BP286" s="1" t="str">
        <f t="shared" si="295"/>
        <v/>
      </c>
      <c r="BQ286" s="1" t="str" cm="1">
        <f t="array" ref="BQ286">IF(I286="","",IF(BP286=1,"",IF(L286=0,"",IF(B286=1,"",_xlfn.XLOOKUP(1,($I$2:$I$313=$I286)*($B$2:$B$313=($B286-1)),$BO$2:$BO$313)))))</f>
        <v/>
      </c>
      <c r="BR286" s="1" t="str">
        <f>IF(I286="","",IF($B286=1,_xlfn.MINIFS($BO$2:$BO$313,$B$2:$B$313,$B286),_xlfn.MINIFS(BQ$2:$BQ$313,$B$2:$B$313,$B286)))</f>
        <v/>
      </c>
      <c r="BS286" s="1" t="str">
        <f t="shared" si="296"/>
        <v/>
      </c>
      <c r="BT286" s="1" t="str" cm="1">
        <f t="array" ref="BT286">IF($I286="","",IF($B286=1,_xlfn.XLOOKUP(1,($B$2:$B$313=$B286)*($BO$2:$BO$313=BR286),Data!$I$2:$I$313,,0),_xlfn.XLOOKUP(1,($B$2:$B$313=$B286)*($BQ$2:$BQ$313=$BR286),$I$2:$I$313,,0)))</f>
        <v/>
      </c>
      <c r="BU286" s="1" t="str" cm="1">
        <f t="array" ref="BU286">IF(I286="","",IF($B286=1,_xlfn.XLOOKUP(1,($B$2:$B$313=$B286)*($BO$2:$BO$313=$BS286),$I$2:$I$313,,0),_xlfn.XLOOKUP(1,($B$2:$B$313=$B286)*($BQ$2:$BQ$313=$BS286),$I$2:$I$313,,0)))</f>
        <v/>
      </c>
      <c r="BV286" s="1" t="str" cm="1">
        <f t="array" ref="BV286">IF($I286="","",IF($B286=1,"",IF($B286=2,_xlfn.XLOOKUP(1,($B$2:$B$313=1)*($BO$2:$BO$313=1),$I$2:$I$313,,0),_xlfn.XLOOKUP($B286-1,$B$2:$B$313,$CH$2:$CH$313,,0))))</f>
        <v/>
      </c>
      <c r="BW286" s="1" t="str" cm="1">
        <f t="array" ref="BW286">IF($I286="","",IF($B286=1,"",IF(_xlfn.XLOOKUP(1,($B$2:$B$313=$B286)*($I$2:$I$313=$BV286),$BQ$2:$BQ$313,,0)="","NOK","OK")))</f>
        <v/>
      </c>
      <c r="BX286" s="1" t="str">
        <f t="shared" si="297"/>
        <v/>
      </c>
      <c r="BY286" s="1" t="str">
        <f t="shared" si="298"/>
        <v/>
      </c>
      <c r="BZ286" s="1" t="str">
        <f t="shared" si="299"/>
        <v/>
      </c>
      <c r="CA286" s="1" t="str">
        <f t="shared" si="300"/>
        <v/>
      </c>
      <c r="CB286" s="1" t="str">
        <f t="shared" si="301"/>
        <v/>
      </c>
      <c r="CC286" s="1" t="str">
        <f t="shared" si="302"/>
        <v/>
      </c>
      <c r="CD286" s="1" t="str">
        <f t="shared" si="303"/>
        <v/>
      </c>
      <c r="CE286" s="1" t="str">
        <f t="shared" si="304"/>
        <v/>
      </c>
      <c r="CF286" s="1" t="str">
        <f t="shared" si="305"/>
        <v/>
      </c>
      <c r="CG286" s="1" t="str">
        <f t="shared" si="306"/>
        <v/>
      </c>
      <c r="CH286" s="1" t="str">
        <f t="shared" si="307"/>
        <v/>
      </c>
      <c r="CI286" s="1" t="str">
        <f t="shared" si="308"/>
        <v/>
      </c>
      <c r="CJ286" s="1" t="str">
        <f>IF(B286="","",IF(SUM(AI286:AK286)&gt;0,"+SP","")&amp;IF(CI286&gt;0,"+KK","")&amp;IF(AB286&gt;0,"+KGP1","")&amp;IF(AC286&gt;0,"+KGP2","")&amp;IF(AG286&lt;0,"-KGP1","")&amp;IF(AH286&lt;0,"-KGP2",""))</f>
        <v/>
      </c>
    </row>
    <row r="287" spans="1:88" x14ac:dyDescent="0.25">
      <c r="A287" s="1" t="str">
        <f>IFERROR(IF(ROW(A286)=1,1,IF(1+A286&lt;=$CP$1*$CP$2,1+A286,"")),"")</f>
        <v/>
      </c>
      <c r="B287" s="1" t="str">
        <f>IF($I287="","",IF(ROW(B286)=1,1,ROUNDUP(A287/$CP$2,0)))</f>
        <v/>
      </c>
      <c r="C287" s="4" t="str">
        <f t="shared" si="253"/>
        <v/>
      </c>
      <c r="D287" s="4" t="str">
        <f t="shared" si="248"/>
        <v/>
      </c>
      <c r="E287" s="1" t="str">
        <f>IF($B287="","",COUNTIF($B$2:B287,B287))</f>
        <v/>
      </c>
      <c r="F287" s="1" t="str">
        <f t="shared" si="249"/>
        <v/>
      </c>
      <c r="G287" s="1" t="str">
        <f t="shared" si="254"/>
        <v/>
      </c>
      <c r="H287" s="1">
        <f t="shared" si="255"/>
        <v>0</v>
      </c>
      <c r="I287" s="3"/>
      <c r="J287" s="3"/>
      <c r="K287" s="3"/>
      <c r="L287" s="1" t="str">
        <f t="shared" si="256"/>
        <v/>
      </c>
      <c r="M287" s="1" t="str">
        <f t="shared" si="257"/>
        <v/>
      </c>
      <c r="N287" s="1" t="str">
        <f t="shared" si="258"/>
        <v/>
      </c>
      <c r="O287" s="1" t="str">
        <f t="shared" si="259"/>
        <v/>
      </c>
      <c r="P287" s="1" t="str">
        <f t="shared" si="260"/>
        <v/>
      </c>
      <c r="Q287" s="1" t="str">
        <f t="array" ref="Q287">IF($B287="","",IF(MAX(IF(B287=$B$2:$B$313,$L$2:$L$313))-L287=0,"",MAX(IF(B287=$B$2:$B$313,$L$2:$L$313))-L287))</f>
        <v/>
      </c>
      <c r="R287" s="1" t="str">
        <f t="array" ref="R287">IF($B287="","",SUMPRODUCT(--($B$2:$B$313=B287),--(L287&lt;$L$2:$L$313))+1)</f>
        <v/>
      </c>
      <c r="S287" s="1" t="str">
        <f t="shared" si="261"/>
        <v/>
      </c>
      <c r="T287" s="1" t="str" cm="1">
        <f t="array" ref="T287">IF($B287="","",IF(M287=0,"",SUMPRODUCT(--($B$2:$B$313=B287),--(J287&lt;$J$2:$J$313))+1))</f>
        <v/>
      </c>
      <c r="U287" s="1" t="str">
        <f t="shared" si="262"/>
        <v/>
      </c>
      <c r="V287" s="1" t="str">
        <f t="shared" si="263"/>
        <v/>
      </c>
      <c r="W287" s="1" t="str">
        <f t="shared" si="264"/>
        <v/>
      </c>
      <c r="X287" s="1" t="str">
        <f t="shared" si="250"/>
        <v/>
      </c>
      <c r="Y287" s="1" t="str">
        <f>IF($B287="","",MAX(_xlfn.MAXIFS($J$2:J287,$I$2:I287,$I287),_xlfn.MAXIFS($K$2:K287,$I$2:I287,$I287)))</f>
        <v/>
      </c>
      <c r="Z287" s="1" t="str">
        <f t="shared" si="265"/>
        <v/>
      </c>
      <c r="AA287" s="1" t="str">
        <f t="shared" si="266"/>
        <v/>
      </c>
      <c r="AB287" s="1" t="str">
        <f t="shared" si="267"/>
        <v/>
      </c>
      <c r="AC287" s="1" t="str">
        <f t="shared" si="268"/>
        <v/>
      </c>
      <c r="AD287" s="1" t="str">
        <f>IF($B287="","",MIN(_xlfn.MINIFS($J$2:J287,$I$2:I287,$I287),_xlfn.MINIFS($K$2:K287,$I$2:I287,$I287)))</f>
        <v/>
      </c>
      <c r="AE287" s="1" t="str">
        <f t="shared" si="269"/>
        <v/>
      </c>
      <c r="AF287" s="1" t="str">
        <f t="shared" si="270"/>
        <v/>
      </c>
      <c r="AG287" s="1" t="str">
        <f t="shared" si="271"/>
        <v/>
      </c>
      <c r="AH287" s="1" t="str">
        <f t="shared" si="272"/>
        <v/>
      </c>
      <c r="AI287" s="1" t="str">
        <f ca="1">IF($B287="","",IF($K287="",0,OFFSET($CO$17,R287,W287)))</f>
        <v/>
      </c>
      <c r="AJ287" s="1" t="str">
        <f t="shared" ca="1" si="273"/>
        <v/>
      </c>
      <c r="AK287" s="1" t="str">
        <f ca="1">IF(AJ287="","",IF(AJ287=0,0,IF(W287=1,0,SUM(OFFSET($CO$17,N287,1):OFFSET($CO$17,N287+W287-2,1))/W287)))</f>
        <v/>
      </c>
      <c r="AL287" s="1" t="str">
        <f t="shared" si="274"/>
        <v/>
      </c>
      <c r="AM287" s="1" t="str">
        <f>IF($B287="","",SUMIFS($AL$2:AL287,$I$2:I287,$I287))</f>
        <v/>
      </c>
      <c r="AN287" s="1" t="str">
        <f t="shared" si="275"/>
        <v/>
      </c>
      <c r="AO287" s="1" t="str">
        <f>IFERROR(IF($B287="","",AVERAGEIFS($L$2:L287,$I$2:I287,I287,$L$2:L287,"&lt;&gt;0")),0)</f>
        <v/>
      </c>
      <c r="AP287" s="1" t="str">
        <f t="shared" si="276"/>
        <v/>
      </c>
      <c r="AQ287" s="1" t="str">
        <f>IF($B287="","",COUNTIFS($R$2:R287,1,$I$2:I287,$I287))</f>
        <v/>
      </c>
      <c r="AR287" s="1" t="str">
        <f t="array" ref="AR287">IF($B287="","",SUMPRODUCT(--($B$2:$B$313=B287),--(AM287&lt;$AM$2:$AM$313))+1)</f>
        <v/>
      </c>
      <c r="AS287" s="1" t="str">
        <f t="array" ref="AS287">IF($B287="","",SUMPRODUCT(--($B$2:$B$313=B287),--(AP287&lt;$AP$2:$AP$313))+1)</f>
        <v/>
      </c>
      <c r="AT287" s="1" t="str">
        <f t="array" ref="AT287">IF($B287="","",SUMPRODUCT(--($B$2:$B$313=B287),--(AQ287&lt;$AQ$2:$AQ$313))+1)</f>
        <v/>
      </c>
      <c r="AU287" s="1" t="str">
        <f t="shared" si="277"/>
        <v/>
      </c>
      <c r="AV287" s="1" t="str">
        <f t="shared" si="278"/>
        <v/>
      </c>
      <c r="AW287" s="1" t="str">
        <f t="shared" si="251"/>
        <v/>
      </c>
      <c r="AX287" s="1" t="str">
        <f t="shared" si="279"/>
        <v/>
      </c>
      <c r="AY287" s="8" t="str">
        <f t="shared" si="280"/>
        <v/>
      </c>
      <c r="AZ287" s="1" t="str" cm="1">
        <f t="array" ref="AZ287">IF($B287="","",SUMPRODUCT(--($B$2:$B$313=B287),--(AY287&gt;$AY$2:$AY$313))+1)</f>
        <v/>
      </c>
      <c r="BA287" s="1" t="str">
        <f t="shared" si="281"/>
        <v/>
      </c>
      <c r="BB287" s="1" t="str">
        <f t="shared" si="282"/>
        <v/>
      </c>
      <c r="BC287" s="1" t="str">
        <f t="shared" si="283"/>
        <v/>
      </c>
      <c r="BD287" s="1" t="str">
        <f t="shared" si="284"/>
        <v/>
      </c>
      <c r="BE287" s="1" t="str">
        <f t="shared" si="285"/>
        <v/>
      </c>
      <c r="BF287" s="1" t="str">
        <f t="shared" si="286"/>
        <v/>
      </c>
      <c r="BG287" s="1" t="str">
        <f t="shared" si="287"/>
        <v/>
      </c>
      <c r="BH287" s="1" t="str">
        <f t="shared" si="288"/>
        <v/>
      </c>
      <c r="BI287" s="1" t="str">
        <f t="shared" si="289"/>
        <v/>
      </c>
      <c r="BJ287" s="1" t="str">
        <f t="shared" si="290"/>
        <v/>
      </c>
      <c r="BK287" s="1" t="str">
        <f t="shared" si="291"/>
        <v/>
      </c>
      <c r="BL287" s="1" t="str">
        <f t="shared" si="292"/>
        <v/>
      </c>
      <c r="BM287" s="1" t="str">
        <f t="shared" si="293"/>
        <v/>
      </c>
      <c r="BN287" s="1" t="str">
        <f t="shared" si="294"/>
        <v/>
      </c>
      <c r="BO287" s="1" t="str">
        <f t="shared" si="252"/>
        <v/>
      </c>
      <c r="BP287" s="1" t="str">
        <f t="shared" si="295"/>
        <v/>
      </c>
      <c r="BQ287" s="1" t="str" cm="1">
        <f t="array" ref="BQ287">IF(I287="","",IF(BP287=1,"",IF(L287=0,"",IF(B287=1,"",_xlfn.XLOOKUP(1,($I$2:$I$313=$I287)*($B$2:$B$313=($B287-1)),$BO$2:$BO$313)))))</f>
        <v/>
      </c>
      <c r="BR287" s="1" t="str">
        <f>IF(I287="","",IF($B287=1,_xlfn.MINIFS($BO$2:$BO$313,$B$2:$B$313,$B287),_xlfn.MINIFS(BQ$2:$BQ$313,$B$2:$B$313,$B287)))</f>
        <v/>
      </c>
      <c r="BS287" s="1" t="str">
        <f t="shared" si="296"/>
        <v/>
      </c>
      <c r="BT287" s="1" t="str" cm="1">
        <f t="array" ref="BT287">IF($I287="","",IF($B287=1,_xlfn.XLOOKUP(1,($B$2:$B$313=$B287)*($BO$2:$BO$313=BR287),Data!$I$2:$I$313,,0),_xlfn.XLOOKUP(1,($B$2:$B$313=$B287)*($BQ$2:$BQ$313=$BR287),$I$2:$I$313,,0)))</f>
        <v/>
      </c>
      <c r="BU287" s="1" t="str" cm="1">
        <f t="array" ref="BU287">IF(I287="","",IF($B287=1,_xlfn.XLOOKUP(1,($B$2:$B$313=$B287)*($BO$2:$BO$313=$BS287),$I$2:$I$313,,0),_xlfn.XLOOKUP(1,($B$2:$B$313=$B287)*($BQ$2:$BQ$313=$BS287),$I$2:$I$313,,0)))</f>
        <v/>
      </c>
      <c r="BV287" s="1" t="str" cm="1">
        <f t="array" ref="BV287">IF($I287="","",IF($B287=1,"",IF($B287=2,_xlfn.XLOOKUP(1,($B$2:$B$313=1)*($BO$2:$BO$313=1),$I$2:$I$313,,0),_xlfn.XLOOKUP($B287-1,$B$2:$B$313,$CH$2:$CH$313,,0))))</f>
        <v/>
      </c>
      <c r="BW287" s="1" t="str" cm="1">
        <f t="array" ref="BW287">IF($I287="","",IF($B287=1,"",IF(_xlfn.XLOOKUP(1,($B$2:$B$313=$B287)*($I$2:$I$313=$BV287),$BQ$2:$BQ$313,,0)="","NOK","OK")))</f>
        <v/>
      </c>
      <c r="BX287" s="1" t="str">
        <f t="shared" si="297"/>
        <v/>
      </c>
      <c r="BY287" s="1" t="str">
        <f t="shared" si="298"/>
        <v/>
      </c>
      <c r="BZ287" s="1" t="str">
        <f t="shared" si="299"/>
        <v/>
      </c>
      <c r="CA287" s="1" t="str">
        <f t="shared" si="300"/>
        <v/>
      </c>
      <c r="CB287" s="1" t="str">
        <f t="shared" si="301"/>
        <v/>
      </c>
      <c r="CC287" s="1" t="str">
        <f t="shared" si="302"/>
        <v/>
      </c>
      <c r="CD287" s="1" t="str">
        <f t="shared" si="303"/>
        <v/>
      </c>
      <c r="CE287" s="1" t="str">
        <f t="shared" si="304"/>
        <v/>
      </c>
      <c r="CF287" s="1" t="str">
        <f t="shared" si="305"/>
        <v/>
      </c>
      <c r="CG287" s="1" t="str">
        <f t="shared" si="306"/>
        <v/>
      </c>
      <c r="CH287" s="1" t="str">
        <f t="shared" si="307"/>
        <v/>
      </c>
      <c r="CI287" s="1" t="str">
        <f t="shared" si="308"/>
        <v/>
      </c>
      <c r="CJ287" s="1" t="str">
        <f>IF(B287="","",IF(SUM(AI287:AK287)&gt;0,"+SP","")&amp;IF(CI287&gt;0,"+KK","")&amp;IF(AB287&gt;0,"+KGP1","")&amp;IF(AC287&gt;0,"+KGP2","")&amp;IF(AG287&lt;0,"-KGP1","")&amp;IF(AH287&lt;0,"-KGP2",""))</f>
        <v/>
      </c>
    </row>
    <row r="288" spans="1:88" x14ac:dyDescent="0.25">
      <c r="A288" s="1" t="str">
        <f>IFERROR(IF(ROW(A287)=1,1,IF(1+A287&lt;=$CP$1*$CP$2,1+A287,"")),"")</f>
        <v/>
      </c>
      <c r="B288" s="1" t="str">
        <f>IF($I288="","",IF(ROW(B287)=1,1,ROUNDUP(A288/$CP$2,0)))</f>
        <v/>
      </c>
      <c r="C288" s="4" t="str">
        <f t="shared" si="253"/>
        <v/>
      </c>
      <c r="D288" s="4" t="str">
        <f t="shared" si="248"/>
        <v/>
      </c>
      <c r="E288" s="1" t="str">
        <f>IF($B288="","",COUNTIF($B$2:B288,B288))</f>
        <v/>
      </c>
      <c r="F288" s="1" t="str">
        <f t="shared" si="249"/>
        <v/>
      </c>
      <c r="G288" s="1" t="str">
        <f t="shared" si="254"/>
        <v/>
      </c>
      <c r="H288" s="1">
        <f t="shared" si="255"/>
        <v>0</v>
      </c>
      <c r="I288" s="3"/>
      <c r="J288" s="3"/>
      <c r="K288" s="3"/>
      <c r="L288" s="1" t="str">
        <f t="shared" si="256"/>
        <v/>
      </c>
      <c r="M288" s="1" t="str">
        <f t="shared" si="257"/>
        <v/>
      </c>
      <c r="N288" s="1" t="str">
        <f t="shared" si="258"/>
        <v/>
      </c>
      <c r="O288" s="1" t="str">
        <f t="shared" si="259"/>
        <v/>
      </c>
      <c r="P288" s="1" t="str">
        <f t="shared" si="260"/>
        <v/>
      </c>
      <c r="Q288" s="1" t="str">
        <f t="array" ref="Q288">IF($B288="","",IF(MAX(IF(B288=$B$2:$B$313,$L$2:$L$313))-L288=0,"",MAX(IF(B288=$B$2:$B$313,$L$2:$L$313))-L288))</f>
        <v/>
      </c>
      <c r="R288" s="1" t="str">
        <f t="array" ref="R288">IF($B288="","",SUMPRODUCT(--($B$2:$B$313=B288),--(L288&lt;$L$2:$L$313))+1)</f>
        <v/>
      </c>
      <c r="S288" s="1" t="str">
        <f t="shared" si="261"/>
        <v/>
      </c>
      <c r="T288" s="1" t="str" cm="1">
        <f t="array" ref="T288">IF($B288="","",IF(M288=0,"",SUMPRODUCT(--($B$2:$B$313=B288),--(J288&lt;$J$2:$J$313))+1))</f>
        <v/>
      </c>
      <c r="U288" s="1" t="str">
        <f t="shared" si="262"/>
        <v/>
      </c>
      <c r="V288" s="1" t="str">
        <f t="shared" si="263"/>
        <v/>
      </c>
      <c r="W288" s="1" t="str">
        <f t="shared" si="264"/>
        <v/>
      </c>
      <c r="X288" s="1" t="str">
        <f t="shared" si="250"/>
        <v/>
      </c>
      <c r="Y288" s="1" t="str">
        <f>IF($B288="","",MAX(_xlfn.MAXIFS($J$2:J288,$I$2:I288,$I288),_xlfn.MAXIFS($K$2:K288,$I$2:I288,$I288)))</f>
        <v/>
      </c>
      <c r="Z288" s="1" t="str">
        <f t="shared" si="265"/>
        <v/>
      </c>
      <c r="AA288" s="1" t="str">
        <f t="shared" si="266"/>
        <v/>
      </c>
      <c r="AB288" s="1" t="str">
        <f t="shared" si="267"/>
        <v/>
      </c>
      <c r="AC288" s="1" t="str">
        <f t="shared" si="268"/>
        <v/>
      </c>
      <c r="AD288" s="1" t="str">
        <f>IF($B288="","",MIN(_xlfn.MINIFS($J$2:J288,$I$2:I288,$I288),_xlfn.MINIFS($K$2:K288,$I$2:I288,$I288)))</f>
        <v/>
      </c>
      <c r="AE288" s="1" t="str">
        <f t="shared" si="269"/>
        <v/>
      </c>
      <c r="AF288" s="1" t="str">
        <f t="shared" si="270"/>
        <v/>
      </c>
      <c r="AG288" s="1" t="str">
        <f t="shared" si="271"/>
        <v/>
      </c>
      <c r="AH288" s="1" t="str">
        <f t="shared" si="272"/>
        <v/>
      </c>
      <c r="AI288" s="1" t="str">
        <f ca="1">IF($B288="","",IF($K288="",0,OFFSET($CO$17,R288,W288)))</f>
        <v/>
      </c>
      <c r="AJ288" s="1" t="str">
        <f t="shared" ca="1" si="273"/>
        <v/>
      </c>
      <c r="AK288" s="1" t="str">
        <f ca="1">IF(AJ288="","",IF(AJ288=0,0,IF(W288=1,0,SUM(OFFSET($CO$17,N288,1):OFFSET($CO$17,N288+W288-2,1))/W288)))</f>
        <v/>
      </c>
      <c r="AL288" s="1" t="str">
        <f t="shared" si="274"/>
        <v/>
      </c>
      <c r="AM288" s="1" t="str">
        <f>IF($B288="","",SUMIFS($AL$2:AL288,$I$2:I288,$I288))</f>
        <v/>
      </c>
      <c r="AN288" s="1" t="str">
        <f t="shared" si="275"/>
        <v/>
      </c>
      <c r="AO288" s="1" t="str">
        <f>IFERROR(IF($B288="","",AVERAGEIFS($L$2:L288,$I$2:I288,I288,$L$2:L288,"&lt;&gt;0")),0)</f>
        <v/>
      </c>
      <c r="AP288" s="1" t="str">
        <f t="shared" si="276"/>
        <v/>
      </c>
      <c r="AQ288" s="1" t="str">
        <f>IF($B288="","",COUNTIFS($R$2:R288,1,$I$2:I288,$I288))</f>
        <v/>
      </c>
      <c r="AR288" s="1" t="str">
        <f t="array" ref="AR288">IF($B288="","",SUMPRODUCT(--($B$2:$B$313=B288),--(AM288&lt;$AM$2:$AM$313))+1)</f>
        <v/>
      </c>
      <c r="AS288" s="1" t="str">
        <f t="array" ref="AS288">IF($B288="","",SUMPRODUCT(--($B$2:$B$313=B288),--(AP288&lt;$AP$2:$AP$313))+1)</f>
        <v/>
      </c>
      <c r="AT288" s="1" t="str">
        <f t="array" ref="AT288">IF($B288="","",SUMPRODUCT(--($B$2:$B$313=B288),--(AQ288&lt;$AQ$2:$AQ$313))+1)</f>
        <v/>
      </c>
      <c r="AU288" s="1" t="str">
        <f t="shared" si="277"/>
        <v/>
      </c>
      <c r="AV288" s="1" t="str">
        <f t="shared" si="278"/>
        <v/>
      </c>
      <c r="AW288" s="1" t="str">
        <f t="shared" si="251"/>
        <v/>
      </c>
      <c r="AX288" s="1" t="str">
        <f t="shared" si="279"/>
        <v/>
      </c>
      <c r="AY288" s="8" t="str">
        <f t="shared" si="280"/>
        <v/>
      </c>
      <c r="AZ288" s="1" t="str" cm="1">
        <f t="array" ref="AZ288">IF($B288="","",SUMPRODUCT(--($B$2:$B$313=B288),--(AY288&gt;$AY$2:$AY$313))+1)</f>
        <v/>
      </c>
      <c r="BA288" s="1" t="str">
        <f t="shared" si="281"/>
        <v/>
      </c>
      <c r="BB288" s="1" t="str">
        <f t="shared" si="282"/>
        <v/>
      </c>
      <c r="BC288" s="1" t="str">
        <f t="shared" si="283"/>
        <v/>
      </c>
      <c r="BD288" s="1" t="str">
        <f t="shared" si="284"/>
        <v/>
      </c>
      <c r="BE288" s="1" t="str">
        <f t="shared" si="285"/>
        <v/>
      </c>
      <c r="BF288" s="1" t="str">
        <f t="shared" si="286"/>
        <v/>
      </c>
      <c r="BG288" s="1" t="str">
        <f t="shared" si="287"/>
        <v/>
      </c>
      <c r="BH288" s="1" t="str">
        <f t="shared" si="288"/>
        <v/>
      </c>
      <c r="BI288" s="1" t="str">
        <f t="shared" si="289"/>
        <v/>
      </c>
      <c r="BJ288" s="1" t="str">
        <f t="shared" si="290"/>
        <v/>
      </c>
      <c r="BK288" s="1" t="str">
        <f t="shared" si="291"/>
        <v/>
      </c>
      <c r="BL288" s="1" t="str">
        <f t="shared" si="292"/>
        <v/>
      </c>
      <c r="BM288" s="1" t="str">
        <f t="shared" si="293"/>
        <v/>
      </c>
      <c r="BN288" s="1" t="str">
        <f t="shared" si="294"/>
        <v/>
      </c>
      <c r="BO288" s="1" t="str">
        <f t="shared" si="252"/>
        <v/>
      </c>
      <c r="BP288" s="1" t="str">
        <f t="shared" si="295"/>
        <v/>
      </c>
      <c r="BQ288" s="1" t="str" cm="1">
        <f t="array" ref="BQ288">IF(I288="","",IF(BP288=1,"",IF(L288=0,"",IF(B288=1,"",_xlfn.XLOOKUP(1,($I$2:$I$313=$I288)*($B$2:$B$313=($B288-1)),$BO$2:$BO$313)))))</f>
        <v/>
      </c>
      <c r="BR288" s="1" t="str">
        <f>IF(I288="","",IF($B288=1,_xlfn.MINIFS($BO$2:$BO$313,$B$2:$B$313,$B288),_xlfn.MINIFS(BQ$2:$BQ$313,$B$2:$B$313,$B288)))</f>
        <v/>
      </c>
      <c r="BS288" s="1" t="str">
        <f t="shared" si="296"/>
        <v/>
      </c>
      <c r="BT288" s="1" t="str" cm="1">
        <f t="array" ref="BT288">IF($I288="","",IF($B288=1,_xlfn.XLOOKUP(1,($B$2:$B$313=$B288)*($BO$2:$BO$313=BR288),Data!$I$2:$I$313,,0),_xlfn.XLOOKUP(1,($B$2:$B$313=$B288)*($BQ$2:$BQ$313=$BR288),$I$2:$I$313,,0)))</f>
        <v/>
      </c>
      <c r="BU288" s="1" t="str" cm="1">
        <f t="array" ref="BU288">IF(I288="","",IF($B288=1,_xlfn.XLOOKUP(1,($B$2:$B$313=$B288)*($BO$2:$BO$313=$BS288),$I$2:$I$313,,0),_xlfn.XLOOKUP(1,($B$2:$B$313=$B288)*($BQ$2:$BQ$313=$BS288),$I$2:$I$313,,0)))</f>
        <v/>
      </c>
      <c r="BV288" s="1" t="str" cm="1">
        <f t="array" ref="BV288">IF($I288="","",IF($B288=1,"",IF($B288=2,_xlfn.XLOOKUP(1,($B$2:$B$313=1)*($BO$2:$BO$313=1),$I$2:$I$313,,0),_xlfn.XLOOKUP($B288-1,$B$2:$B$313,$CH$2:$CH$313,,0))))</f>
        <v/>
      </c>
      <c r="BW288" s="1" t="str" cm="1">
        <f t="array" ref="BW288">IF($I288="","",IF($B288=1,"",IF(_xlfn.XLOOKUP(1,($B$2:$B$313=$B288)*($I$2:$I$313=$BV288),$BQ$2:$BQ$313,,0)="","NOK","OK")))</f>
        <v/>
      </c>
      <c r="BX288" s="1" t="str">
        <f t="shared" si="297"/>
        <v/>
      </c>
      <c r="BY288" s="1" t="str">
        <f t="shared" si="298"/>
        <v/>
      </c>
      <c r="BZ288" s="1" t="str">
        <f t="shared" si="299"/>
        <v/>
      </c>
      <c r="CA288" s="1" t="str">
        <f t="shared" si="300"/>
        <v/>
      </c>
      <c r="CB288" s="1" t="str">
        <f t="shared" si="301"/>
        <v/>
      </c>
      <c r="CC288" s="1" t="str">
        <f t="shared" si="302"/>
        <v/>
      </c>
      <c r="CD288" s="1" t="str">
        <f t="shared" si="303"/>
        <v/>
      </c>
      <c r="CE288" s="1" t="str">
        <f t="shared" si="304"/>
        <v/>
      </c>
      <c r="CF288" s="1" t="str">
        <f t="shared" si="305"/>
        <v/>
      </c>
      <c r="CG288" s="1" t="str">
        <f t="shared" si="306"/>
        <v/>
      </c>
      <c r="CH288" s="1" t="str">
        <f t="shared" si="307"/>
        <v/>
      </c>
      <c r="CI288" s="1" t="str">
        <f t="shared" si="308"/>
        <v/>
      </c>
      <c r="CJ288" s="1" t="str">
        <f>IF(B288="","",IF(SUM(AI288:AK288)&gt;0,"+SP","")&amp;IF(CI288&gt;0,"+KK","")&amp;IF(AB288&gt;0,"+KGP1","")&amp;IF(AC288&gt;0,"+KGP2","")&amp;IF(AG288&lt;0,"-KGP1","")&amp;IF(AH288&lt;0,"-KGP2",""))</f>
        <v/>
      </c>
    </row>
    <row r="289" spans="1:88" x14ac:dyDescent="0.25">
      <c r="A289" s="1" t="str">
        <f>IFERROR(IF(ROW(A288)=1,1,IF(1+A288&lt;=$CP$1*$CP$2,1+A288,"")),"")</f>
        <v/>
      </c>
      <c r="B289" s="1" t="str">
        <f>IF($I289="","",IF(ROW(B288)=1,1,ROUNDUP(A289/$CP$2,0)))</f>
        <v/>
      </c>
      <c r="C289" s="4" t="str">
        <f t="shared" si="253"/>
        <v/>
      </c>
      <c r="D289" s="4" t="str">
        <f t="shared" si="248"/>
        <v/>
      </c>
      <c r="E289" s="1" t="str">
        <f>IF($B289="","",COUNTIF($B$2:B289,B289))</f>
        <v/>
      </c>
      <c r="F289" s="1" t="str">
        <f t="shared" si="249"/>
        <v/>
      </c>
      <c r="G289" s="1" t="str">
        <f t="shared" si="254"/>
        <v/>
      </c>
      <c r="H289" s="1">
        <f t="shared" si="255"/>
        <v>0</v>
      </c>
      <c r="I289" s="3"/>
      <c r="J289" s="3"/>
      <c r="K289" s="3"/>
      <c r="L289" s="1" t="str">
        <f t="shared" si="256"/>
        <v/>
      </c>
      <c r="M289" s="1" t="str">
        <f t="shared" si="257"/>
        <v/>
      </c>
      <c r="N289" s="1" t="str">
        <f t="shared" si="258"/>
        <v/>
      </c>
      <c r="O289" s="1" t="str">
        <f t="shared" si="259"/>
        <v/>
      </c>
      <c r="P289" s="1" t="str">
        <f t="shared" si="260"/>
        <v/>
      </c>
      <c r="Q289" s="1" t="str">
        <f t="array" ref="Q289">IF($B289="","",IF(MAX(IF(B289=$B$2:$B$313,$L$2:$L$313))-L289=0,"",MAX(IF(B289=$B$2:$B$313,$L$2:$L$313))-L289))</f>
        <v/>
      </c>
      <c r="R289" s="1" t="str">
        <f t="array" ref="R289">IF($B289="","",SUMPRODUCT(--($B$2:$B$313=B289),--(L289&lt;$L$2:$L$313))+1)</f>
        <v/>
      </c>
      <c r="S289" s="1" t="str">
        <f t="shared" si="261"/>
        <v/>
      </c>
      <c r="T289" s="1" t="str" cm="1">
        <f t="array" ref="T289">IF($B289="","",IF(M289=0,"",SUMPRODUCT(--($B$2:$B$313=B289),--(J289&lt;$J$2:$J$313))+1))</f>
        <v/>
      </c>
      <c r="U289" s="1" t="str">
        <f t="shared" si="262"/>
        <v/>
      </c>
      <c r="V289" s="1" t="str">
        <f t="shared" si="263"/>
        <v/>
      </c>
      <c r="W289" s="1" t="str">
        <f t="shared" si="264"/>
        <v/>
      </c>
      <c r="X289" s="1" t="str">
        <f t="shared" si="250"/>
        <v/>
      </c>
      <c r="Y289" s="1" t="str">
        <f>IF($B289="","",MAX(_xlfn.MAXIFS($J$2:J289,$I$2:I289,$I289),_xlfn.MAXIFS($K$2:K289,$I$2:I289,$I289)))</f>
        <v/>
      </c>
      <c r="Z289" s="1" t="str">
        <f t="shared" si="265"/>
        <v/>
      </c>
      <c r="AA289" s="1" t="str">
        <f t="shared" si="266"/>
        <v/>
      </c>
      <c r="AB289" s="1" t="str">
        <f t="shared" si="267"/>
        <v/>
      </c>
      <c r="AC289" s="1" t="str">
        <f t="shared" si="268"/>
        <v/>
      </c>
      <c r="AD289" s="1" t="str">
        <f>IF($B289="","",MIN(_xlfn.MINIFS($J$2:J289,$I$2:I289,$I289),_xlfn.MINIFS($K$2:K289,$I$2:I289,$I289)))</f>
        <v/>
      </c>
      <c r="AE289" s="1" t="str">
        <f t="shared" si="269"/>
        <v/>
      </c>
      <c r="AF289" s="1" t="str">
        <f t="shared" si="270"/>
        <v/>
      </c>
      <c r="AG289" s="1" t="str">
        <f t="shared" si="271"/>
        <v/>
      </c>
      <c r="AH289" s="1" t="str">
        <f t="shared" si="272"/>
        <v/>
      </c>
      <c r="AI289" s="1" t="str">
        <f ca="1">IF($B289="","",IF($K289="",0,OFFSET($CO$17,R289,W289)))</f>
        <v/>
      </c>
      <c r="AJ289" s="1" t="str">
        <f t="shared" ca="1" si="273"/>
        <v/>
      </c>
      <c r="AK289" s="1" t="str">
        <f ca="1">IF(AJ289="","",IF(AJ289=0,0,IF(W289=1,0,SUM(OFFSET($CO$17,N289,1):OFFSET($CO$17,N289+W289-2,1))/W289)))</f>
        <v/>
      </c>
      <c r="AL289" s="1" t="str">
        <f t="shared" si="274"/>
        <v/>
      </c>
      <c r="AM289" s="1" t="str">
        <f>IF($B289="","",SUMIFS($AL$2:AL289,$I$2:I289,$I289))</f>
        <v/>
      </c>
      <c r="AN289" s="1" t="str">
        <f t="shared" si="275"/>
        <v/>
      </c>
      <c r="AO289" s="1" t="str">
        <f>IFERROR(IF($B289="","",AVERAGEIFS($L$2:L289,$I$2:I289,I289,$L$2:L289,"&lt;&gt;0")),0)</f>
        <v/>
      </c>
      <c r="AP289" s="1" t="str">
        <f t="shared" si="276"/>
        <v/>
      </c>
      <c r="AQ289" s="1" t="str">
        <f>IF($B289="","",COUNTIFS($R$2:R289,1,$I$2:I289,$I289))</f>
        <v/>
      </c>
      <c r="AR289" s="1" t="str">
        <f t="array" ref="AR289">IF($B289="","",SUMPRODUCT(--($B$2:$B$313=B289),--(AM289&lt;$AM$2:$AM$313))+1)</f>
        <v/>
      </c>
      <c r="AS289" s="1" t="str">
        <f t="array" ref="AS289">IF($B289="","",SUMPRODUCT(--($B$2:$B$313=B289),--(AP289&lt;$AP$2:$AP$313))+1)</f>
        <v/>
      </c>
      <c r="AT289" s="1" t="str">
        <f t="array" ref="AT289">IF($B289="","",SUMPRODUCT(--($B$2:$B$313=B289),--(AQ289&lt;$AQ$2:$AQ$313))+1)</f>
        <v/>
      </c>
      <c r="AU289" s="1" t="str">
        <f t="shared" si="277"/>
        <v/>
      </c>
      <c r="AV289" s="1" t="str">
        <f t="shared" si="278"/>
        <v/>
      </c>
      <c r="AW289" s="1" t="str">
        <f t="shared" si="251"/>
        <v/>
      </c>
      <c r="AX289" s="1" t="str">
        <f t="shared" si="279"/>
        <v/>
      </c>
      <c r="AY289" s="8" t="str">
        <f t="shared" si="280"/>
        <v/>
      </c>
      <c r="AZ289" s="1" t="str" cm="1">
        <f t="array" ref="AZ289">IF($B289="","",SUMPRODUCT(--($B$2:$B$313=B289),--(AY289&gt;$AY$2:$AY$313))+1)</f>
        <v/>
      </c>
      <c r="BA289" s="1" t="str">
        <f t="shared" si="281"/>
        <v/>
      </c>
      <c r="BB289" s="1" t="str">
        <f t="shared" si="282"/>
        <v/>
      </c>
      <c r="BC289" s="1" t="str">
        <f t="shared" si="283"/>
        <v/>
      </c>
      <c r="BD289" s="1" t="str">
        <f t="shared" si="284"/>
        <v/>
      </c>
      <c r="BE289" s="1" t="str">
        <f t="shared" si="285"/>
        <v/>
      </c>
      <c r="BF289" s="1" t="str">
        <f t="shared" si="286"/>
        <v/>
      </c>
      <c r="BG289" s="1" t="str">
        <f t="shared" si="287"/>
        <v/>
      </c>
      <c r="BH289" s="1" t="str">
        <f t="shared" si="288"/>
        <v/>
      </c>
      <c r="BI289" s="1" t="str">
        <f t="shared" si="289"/>
        <v/>
      </c>
      <c r="BJ289" s="1" t="str">
        <f t="shared" si="290"/>
        <v/>
      </c>
      <c r="BK289" s="1" t="str">
        <f t="shared" si="291"/>
        <v/>
      </c>
      <c r="BL289" s="1" t="str">
        <f t="shared" si="292"/>
        <v/>
      </c>
      <c r="BM289" s="1" t="str">
        <f t="shared" si="293"/>
        <v/>
      </c>
      <c r="BN289" s="1" t="str">
        <f t="shared" si="294"/>
        <v/>
      </c>
      <c r="BO289" s="1" t="str">
        <f t="shared" si="252"/>
        <v/>
      </c>
      <c r="BP289" s="1" t="str">
        <f t="shared" si="295"/>
        <v/>
      </c>
      <c r="BQ289" s="1" t="str" cm="1">
        <f t="array" ref="BQ289">IF(I289="","",IF(BP289=1,"",IF(L289=0,"",IF(B289=1,"",_xlfn.XLOOKUP(1,($I$2:$I$313=$I289)*($B$2:$B$313=($B289-1)),$BO$2:$BO$313)))))</f>
        <v/>
      </c>
      <c r="BR289" s="1" t="str">
        <f>IF(I289="","",IF($B289=1,_xlfn.MINIFS($BO$2:$BO$313,$B$2:$B$313,$B289),_xlfn.MINIFS(BQ$2:$BQ$313,$B$2:$B$313,$B289)))</f>
        <v/>
      </c>
      <c r="BS289" s="1" t="str">
        <f t="shared" si="296"/>
        <v/>
      </c>
      <c r="BT289" s="1" t="str" cm="1">
        <f t="array" ref="BT289">IF($I289="","",IF($B289=1,_xlfn.XLOOKUP(1,($B$2:$B$313=$B289)*($BO$2:$BO$313=BR289),Data!$I$2:$I$313,,0),_xlfn.XLOOKUP(1,($B$2:$B$313=$B289)*($BQ$2:$BQ$313=$BR289),$I$2:$I$313,,0)))</f>
        <v/>
      </c>
      <c r="BU289" s="1" t="str" cm="1">
        <f t="array" ref="BU289">IF(I289="","",IF($B289=1,_xlfn.XLOOKUP(1,($B$2:$B$313=$B289)*($BO$2:$BO$313=$BS289),$I$2:$I$313,,0),_xlfn.XLOOKUP(1,($B$2:$B$313=$B289)*($BQ$2:$BQ$313=$BS289),$I$2:$I$313,,0)))</f>
        <v/>
      </c>
      <c r="BV289" s="1" t="str" cm="1">
        <f t="array" ref="BV289">IF($I289="","",IF($B289=1,"",IF($B289=2,_xlfn.XLOOKUP(1,($B$2:$B$313=1)*($BO$2:$BO$313=1),$I$2:$I$313,,0),_xlfn.XLOOKUP($B289-1,$B$2:$B$313,$CH$2:$CH$313,,0))))</f>
        <v/>
      </c>
      <c r="BW289" s="1" t="str" cm="1">
        <f t="array" ref="BW289">IF($I289="","",IF($B289=1,"",IF(_xlfn.XLOOKUP(1,($B$2:$B$313=$B289)*($I$2:$I$313=$BV289),$BQ$2:$BQ$313,,0)="","NOK","OK")))</f>
        <v/>
      </c>
      <c r="BX289" s="1" t="str">
        <f t="shared" si="297"/>
        <v/>
      </c>
      <c r="BY289" s="1" t="str">
        <f t="shared" si="298"/>
        <v/>
      </c>
      <c r="BZ289" s="1" t="str">
        <f t="shared" si="299"/>
        <v/>
      </c>
      <c r="CA289" s="1" t="str">
        <f t="shared" si="300"/>
        <v/>
      </c>
      <c r="CB289" s="1" t="str">
        <f t="shared" si="301"/>
        <v/>
      </c>
      <c r="CC289" s="1" t="str">
        <f t="shared" si="302"/>
        <v/>
      </c>
      <c r="CD289" s="1" t="str">
        <f t="shared" si="303"/>
        <v/>
      </c>
      <c r="CE289" s="1" t="str">
        <f t="shared" si="304"/>
        <v/>
      </c>
      <c r="CF289" s="1" t="str">
        <f t="shared" si="305"/>
        <v/>
      </c>
      <c r="CG289" s="1" t="str">
        <f t="shared" si="306"/>
        <v/>
      </c>
      <c r="CH289" s="1" t="str">
        <f t="shared" si="307"/>
        <v/>
      </c>
      <c r="CI289" s="1" t="str">
        <f t="shared" si="308"/>
        <v/>
      </c>
      <c r="CJ289" s="1" t="str">
        <f>IF(B289="","",IF(SUM(AI289:AK289)&gt;0,"+SP","")&amp;IF(CI289&gt;0,"+KK","")&amp;IF(AB289&gt;0,"+KGP1","")&amp;IF(AC289&gt;0,"+KGP2","")&amp;IF(AG289&lt;0,"-KGP1","")&amp;IF(AH289&lt;0,"-KGP2",""))</f>
        <v/>
      </c>
    </row>
    <row r="290" spans="1:88" x14ac:dyDescent="0.25">
      <c r="A290" s="1" t="str">
        <f>IFERROR(IF(ROW(A289)=1,1,IF(1+A289&lt;=$CP$1*$CP$2,1+A289,"")),"")</f>
        <v/>
      </c>
      <c r="B290" s="1" t="str">
        <f>IF($I290="","",IF(ROW(B289)=1,1,ROUNDUP(A290/$CP$2,0)))</f>
        <v/>
      </c>
      <c r="C290" s="4" t="str">
        <f t="shared" si="253"/>
        <v/>
      </c>
      <c r="D290" s="4" t="str">
        <f t="shared" si="248"/>
        <v/>
      </c>
      <c r="E290" s="1" t="str">
        <f>IF($B290="","",COUNTIF($B$2:B290,B290))</f>
        <v/>
      </c>
      <c r="F290" s="1" t="str">
        <f t="shared" si="249"/>
        <v/>
      </c>
      <c r="G290" s="1" t="str">
        <f t="shared" si="254"/>
        <v/>
      </c>
      <c r="H290" s="1">
        <f t="shared" si="255"/>
        <v>0</v>
      </c>
      <c r="I290" s="3"/>
      <c r="J290" s="3"/>
      <c r="K290" s="3"/>
      <c r="L290" s="1" t="str">
        <f t="shared" si="256"/>
        <v/>
      </c>
      <c r="M290" s="1" t="str">
        <f t="shared" si="257"/>
        <v/>
      </c>
      <c r="N290" s="1" t="str">
        <f t="shared" si="258"/>
        <v/>
      </c>
      <c r="O290" s="1" t="str">
        <f t="shared" si="259"/>
        <v/>
      </c>
      <c r="P290" s="1" t="str">
        <f t="shared" si="260"/>
        <v/>
      </c>
      <c r="Q290" s="1" t="str">
        <f t="array" ref="Q290">IF($B290="","",IF(MAX(IF(B290=$B$2:$B$313,$L$2:$L$313))-L290=0,"",MAX(IF(B290=$B$2:$B$313,$L$2:$L$313))-L290))</f>
        <v/>
      </c>
      <c r="R290" s="1" t="str">
        <f t="array" ref="R290">IF($B290="","",SUMPRODUCT(--($B$2:$B$313=B290),--(L290&lt;$L$2:$L$313))+1)</f>
        <v/>
      </c>
      <c r="S290" s="1" t="str">
        <f t="shared" si="261"/>
        <v/>
      </c>
      <c r="T290" s="1" t="str" cm="1">
        <f t="array" ref="T290">IF($B290="","",IF(M290=0,"",SUMPRODUCT(--($B$2:$B$313=B290),--(J290&lt;$J$2:$J$313))+1))</f>
        <v/>
      </c>
      <c r="U290" s="1" t="str">
        <f t="shared" si="262"/>
        <v/>
      </c>
      <c r="V290" s="1" t="str">
        <f t="shared" si="263"/>
        <v/>
      </c>
      <c r="W290" s="1" t="str">
        <f t="shared" si="264"/>
        <v/>
      </c>
      <c r="X290" s="1" t="str">
        <f t="shared" si="250"/>
        <v/>
      </c>
      <c r="Y290" s="1" t="str">
        <f>IF($B290="","",MAX(_xlfn.MAXIFS($J$2:J290,$I$2:I290,$I290),_xlfn.MAXIFS($K$2:K290,$I$2:I290,$I290)))</f>
        <v/>
      </c>
      <c r="Z290" s="1" t="str">
        <f t="shared" si="265"/>
        <v/>
      </c>
      <c r="AA290" s="1" t="str">
        <f t="shared" si="266"/>
        <v/>
      </c>
      <c r="AB290" s="1" t="str">
        <f t="shared" si="267"/>
        <v/>
      </c>
      <c r="AC290" s="1" t="str">
        <f t="shared" si="268"/>
        <v/>
      </c>
      <c r="AD290" s="1" t="str">
        <f>IF($B290="","",MIN(_xlfn.MINIFS($J$2:J290,$I$2:I290,$I290),_xlfn.MINIFS($K$2:K290,$I$2:I290,$I290)))</f>
        <v/>
      </c>
      <c r="AE290" s="1" t="str">
        <f t="shared" si="269"/>
        <v/>
      </c>
      <c r="AF290" s="1" t="str">
        <f t="shared" si="270"/>
        <v/>
      </c>
      <c r="AG290" s="1" t="str">
        <f t="shared" si="271"/>
        <v/>
      </c>
      <c r="AH290" s="1" t="str">
        <f t="shared" si="272"/>
        <v/>
      </c>
      <c r="AI290" s="1" t="str">
        <f ca="1">IF($B290="","",IF($K290="",0,OFFSET($CO$17,R290,W290)))</f>
        <v/>
      </c>
      <c r="AJ290" s="1" t="str">
        <f t="shared" ca="1" si="273"/>
        <v/>
      </c>
      <c r="AK290" s="1" t="str">
        <f ca="1">IF(AJ290="","",IF(AJ290=0,0,IF(W290=1,0,SUM(OFFSET($CO$17,N290,1):OFFSET($CO$17,N290+W290-2,1))/W290)))</f>
        <v/>
      </c>
      <c r="AL290" s="1" t="str">
        <f t="shared" si="274"/>
        <v/>
      </c>
      <c r="AM290" s="1" t="str">
        <f>IF($B290="","",SUMIFS($AL$2:AL290,$I$2:I290,$I290))</f>
        <v/>
      </c>
      <c r="AN290" s="1" t="str">
        <f t="shared" si="275"/>
        <v/>
      </c>
      <c r="AO290" s="1" t="str">
        <f>IFERROR(IF($B290="","",AVERAGEIFS($L$2:L290,$I$2:I290,I290,$L$2:L290,"&lt;&gt;0")),0)</f>
        <v/>
      </c>
      <c r="AP290" s="1" t="str">
        <f t="shared" si="276"/>
        <v/>
      </c>
      <c r="AQ290" s="1" t="str">
        <f>IF($B290="","",COUNTIFS($R$2:R290,1,$I$2:I290,$I290))</f>
        <v/>
      </c>
      <c r="AR290" s="1" t="str">
        <f t="array" ref="AR290">IF($B290="","",SUMPRODUCT(--($B$2:$B$313=B290),--(AM290&lt;$AM$2:$AM$313))+1)</f>
        <v/>
      </c>
      <c r="AS290" s="1" t="str">
        <f t="array" ref="AS290">IF($B290="","",SUMPRODUCT(--($B$2:$B$313=B290),--(AP290&lt;$AP$2:$AP$313))+1)</f>
        <v/>
      </c>
      <c r="AT290" s="1" t="str">
        <f t="array" ref="AT290">IF($B290="","",SUMPRODUCT(--($B$2:$B$313=B290),--(AQ290&lt;$AQ$2:$AQ$313))+1)</f>
        <v/>
      </c>
      <c r="AU290" s="1" t="str">
        <f t="shared" si="277"/>
        <v/>
      </c>
      <c r="AV290" s="1" t="str">
        <f t="shared" si="278"/>
        <v/>
      </c>
      <c r="AW290" s="1" t="str">
        <f t="shared" si="251"/>
        <v/>
      </c>
      <c r="AX290" s="1" t="str">
        <f t="shared" si="279"/>
        <v/>
      </c>
      <c r="AY290" s="8" t="str">
        <f t="shared" si="280"/>
        <v/>
      </c>
      <c r="AZ290" s="1" t="str" cm="1">
        <f t="array" ref="AZ290">IF($B290="","",SUMPRODUCT(--($B$2:$B$313=B290),--(AY290&gt;$AY$2:$AY$313))+1)</f>
        <v/>
      </c>
      <c r="BA290" s="1" t="str">
        <f t="shared" si="281"/>
        <v/>
      </c>
      <c r="BB290" s="1" t="str">
        <f t="shared" si="282"/>
        <v/>
      </c>
      <c r="BC290" s="1" t="str">
        <f t="shared" si="283"/>
        <v/>
      </c>
      <c r="BD290" s="1" t="str">
        <f t="shared" si="284"/>
        <v/>
      </c>
      <c r="BE290" s="1" t="str">
        <f t="shared" si="285"/>
        <v/>
      </c>
      <c r="BF290" s="1" t="str">
        <f t="shared" si="286"/>
        <v/>
      </c>
      <c r="BG290" s="1" t="str">
        <f t="shared" si="287"/>
        <v/>
      </c>
      <c r="BH290" s="1" t="str">
        <f t="shared" si="288"/>
        <v/>
      </c>
      <c r="BI290" s="1" t="str">
        <f t="shared" si="289"/>
        <v/>
      </c>
      <c r="BJ290" s="1" t="str">
        <f t="shared" si="290"/>
        <v/>
      </c>
      <c r="BK290" s="1" t="str">
        <f t="shared" si="291"/>
        <v/>
      </c>
      <c r="BL290" s="1" t="str">
        <f t="shared" si="292"/>
        <v/>
      </c>
      <c r="BM290" s="1" t="str">
        <f t="shared" si="293"/>
        <v/>
      </c>
      <c r="BN290" s="1" t="str">
        <f t="shared" si="294"/>
        <v/>
      </c>
      <c r="BO290" s="1" t="str">
        <f t="shared" si="252"/>
        <v/>
      </c>
      <c r="BP290" s="1" t="str">
        <f t="shared" si="295"/>
        <v/>
      </c>
      <c r="BQ290" s="1" t="str" cm="1">
        <f t="array" ref="BQ290">IF(I290="","",IF(BP290=1,"",IF(L290=0,"",IF(B290=1,"",_xlfn.XLOOKUP(1,($I$2:$I$313=$I290)*($B$2:$B$313=($B290-1)),$BO$2:$BO$313)))))</f>
        <v/>
      </c>
      <c r="BR290" s="1" t="str">
        <f>IF(I290="","",IF($B290=1,_xlfn.MINIFS($BO$2:$BO$313,$B$2:$B$313,$B290),_xlfn.MINIFS(BQ$2:$BQ$313,$B$2:$B$313,$B290)))</f>
        <v/>
      </c>
      <c r="BS290" s="1" t="str">
        <f t="shared" si="296"/>
        <v/>
      </c>
      <c r="BT290" s="1" t="str" cm="1">
        <f t="array" ref="BT290">IF($I290="","",IF($B290=1,_xlfn.XLOOKUP(1,($B$2:$B$313=$B290)*($BO$2:$BO$313=BR290),Data!$I$2:$I$313,,0),_xlfn.XLOOKUP(1,($B$2:$B$313=$B290)*($BQ$2:$BQ$313=$BR290),$I$2:$I$313,,0)))</f>
        <v/>
      </c>
      <c r="BU290" s="1" t="str" cm="1">
        <f t="array" ref="BU290">IF(I290="","",IF($B290=1,_xlfn.XLOOKUP(1,($B$2:$B$313=$B290)*($BO$2:$BO$313=$BS290),$I$2:$I$313,,0),_xlfn.XLOOKUP(1,($B$2:$B$313=$B290)*($BQ$2:$BQ$313=$BS290),$I$2:$I$313,,0)))</f>
        <v/>
      </c>
      <c r="BV290" s="1" t="str" cm="1">
        <f t="array" ref="BV290">IF($I290="","",IF($B290=1,"",IF($B290=2,_xlfn.XLOOKUP(1,($B$2:$B$313=1)*($BO$2:$BO$313=1),$I$2:$I$313,,0),_xlfn.XLOOKUP($B290-1,$B$2:$B$313,$CH$2:$CH$313,,0))))</f>
        <v/>
      </c>
      <c r="BW290" s="1" t="str" cm="1">
        <f t="array" ref="BW290">IF($I290="","",IF($B290=1,"",IF(_xlfn.XLOOKUP(1,($B$2:$B$313=$B290)*($I$2:$I$313=$BV290),$BQ$2:$BQ$313,,0)="","NOK","OK")))</f>
        <v/>
      </c>
      <c r="BX290" s="1" t="str">
        <f t="shared" si="297"/>
        <v/>
      </c>
      <c r="BY290" s="1" t="str">
        <f t="shared" si="298"/>
        <v/>
      </c>
      <c r="BZ290" s="1" t="str">
        <f t="shared" si="299"/>
        <v/>
      </c>
      <c r="CA290" s="1" t="str">
        <f t="shared" si="300"/>
        <v/>
      </c>
      <c r="CB290" s="1" t="str">
        <f t="shared" si="301"/>
        <v/>
      </c>
      <c r="CC290" s="1" t="str">
        <f t="shared" si="302"/>
        <v/>
      </c>
      <c r="CD290" s="1" t="str">
        <f t="shared" si="303"/>
        <v/>
      </c>
      <c r="CE290" s="1" t="str">
        <f t="shared" si="304"/>
        <v/>
      </c>
      <c r="CF290" s="1" t="str">
        <f t="shared" si="305"/>
        <v/>
      </c>
      <c r="CG290" s="1" t="str">
        <f t="shared" si="306"/>
        <v/>
      </c>
      <c r="CH290" s="1" t="str">
        <f t="shared" si="307"/>
        <v/>
      </c>
      <c r="CI290" s="1" t="str">
        <f t="shared" si="308"/>
        <v/>
      </c>
      <c r="CJ290" s="1" t="str">
        <f>IF(B290="","",IF(SUM(AI290:AK290)&gt;0,"+SP","")&amp;IF(CI290&gt;0,"+KK","")&amp;IF(AB290&gt;0,"+KGP1","")&amp;IF(AC290&gt;0,"+KGP2","")&amp;IF(AG290&lt;0,"-KGP1","")&amp;IF(AH290&lt;0,"-KGP2",""))</f>
        <v/>
      </c>
    </row>
    <row r="291" spans="1:88" x14ac:dyDescent="0.25">
      <c r="A291" s="1" t="str">
        <f>IFERROR(IF(ROW(A290)=1,1,IF(1+A290&lt;=$CP$1*$CP$2,1+A290,"")),"")</f>
        <v/>
      </c>
      <c r="B291" s="1" t="str">
        <f>IF($I291="","",IF(ROW(B290)=1,1,ROUNDUP(A291/$CP$2,0)))</f>
        <v/>
      </c>
      <c r="C291" s="4" t="str">
        <f t="shared" si="253"/>
        <v/>
      </c>
      <c r="D291" s="4" t="str">
        <f t="shared" si="248"/>
        <v/>
      </c>
      <c r="E291" s="1" t="str">
        <f>IF($B291="","",COUNTIF($B$2:B291,B291))</f>
        <v/>
      </c>
      <c r="F291" s="1" t="str">
        <f t="shared" si="249"/>
        <v/>
      </c>
      <c r="G291" s="1" t="str">
        <f t="shared" si="254"/>
        <v/>
      </c>
      <c r="H291" s="1">
        <f t="shared" si="255"/>
        <v>0</v>
      </c>
      <c r="I291" s="3"/>
      <c r="J291" s="3"/>
      <c r="K291" s="3"/>
      <c r="L291" s="1" t="str">
        <f t="shared" si="256"/>
        <v/>
      </c>
      <c r="M291" s="1" t="str">
        <f t="shared" si="257"/>
        <v/>
      </c>
      <c r="N291" s="1" t="str">
        <f t="shared" si="258"/>
        <v/>
      </c>
      <c r="O291" s="1" t="str">
        <f t="shared" si="259"/>
        <v/>
      </c>
      <c r="P291" s="1" t="str">
        <f t="shared" si="260"/>
        <v/>
      </c>
      <c r="Q291" s="1" t="str">
        <f t="array" ref="Q291">IF($B291="","",IF(MAX(IF(B291=$B$2:$B$313,$L$2:$L$313))-L291=0,"",MAX(IF(B291=$B$2:$B$313,$L$2:$L$313))-L291))</f>
        <v/>
      </c>
      <c r="R291" s="1" t="str">
        <f t="array" ref="R291">IF($B291="","",SUMPRODUCT(--($B$2:$B$313=B291),--(L291&lt;$L$2:$L$313))+1)</f>
        <v/>
      </c>
      <c r="S291" s="1" t="str">
        <f t="shared" si="261"/>
        <v/>
      </c>
      <c r="T291" s="1" t="str" cm="1">
        <f t="array" ref="T291">IF($B291="","",IF(M291=0,"",SUMPRODUCT(--($B$2:$B$313=B291),--(J291&lt;$J$2:$J$313))+1))</f>
        <v/>
      </c>
      <c r="U291" s="1" t="str">
        <f t="shared" si="262"/>
        <v/>
      </c>
      <c r="V291" s="1" t="str">
        <f t="shared" si="263"/>
        <v/>
      </c>
      <c r="W291" s="1" t="str">
        <f t="shared" si="264"/>
        <v/>
      </c>
      <c r="X291" s="1" t="str">
        <f t="shared" si="250"/>
        <v/>
      </c>
      <c r="Y291" s="1" t="str">
        <f>IF($B291="","",MAX(_xlfn.MAXIFS($J$2:J291,$I$2:I291,$I291),_xlfn.MAXIFS($K$2:K291,$I$2:I291,$I291)))</f>
        <v/>
      </c>
      <c r="Z291" s="1" t="str">
        <f t="shared" si="265"/>
        <v/>
      </c>
      <c r="AA291" s="1" t="str">
        <f t="shared" si="266"/>
        <v/>
      </c>
      <c r="AB291" s="1" t="str">
        <f t="shared" si="267"/>
        <v/>
      </c>
      <c r="AC291" s="1" t="str">
        <f t="shared" si="268"/>
        <v/>
      </c>
      <c r="AD291" s="1" t="str">
        <f>IF($B291="","",MIN(_xlfn.MINIFS($J$2:J291,$I$2:I291,$I291),_xlfn.MINIFS($K$2:K291,$I$2:I291,$I291)))</f>
        <v/>
      </c>
      <c r="AE291" s="1" t="str">
        <f t="shared" si="269"/>
        <v/>
      </c>
      <c r="AF291" s="1" t="str">
        <f t="shared" si="270"/>
        <v/>
      </c>
      <c r="AG291" s="1" t="str">
        <f t="shared" si="271"/>
        <v/>
      </c>
      <c r="AH291" s="1" t="str">
        <f t="shared" si="272"/>
        <v/>
      </c>
      <c r="AI291" s="1" t="str">
        <f ca="1">IF($B291="","",IF($K291="",0,OFFSET($CO$17,R291,W291)))</f>
        <v/>
      </c>
      <c r="AJ291" s="1" t="str">
        <f t="shared" ca="1" si="273"/>
        <v/>
      </c>
      <c r="AK291" s="1" t="str">
        <f ca="1">IF(AJ291="","",IF(AJ291=0,0,IF(W291=1,0,SUM(OFFSET($CO$17,N291,1):OFFSET($CO$17,N291+W291-2,1))/W291)))</f>
        <v/>
      </c>
      <c r="AL291" s="1" t="str">
        <f t="shared" si="274"/>
        <v/>
      </c>
      <c r="AM291" s="1" t="str">
        <f>IF($B291="","",SUMIFS($AL$2:AL291,$I$2:I291,$I291))</f>
        <v/>
      </c>
      <c r="AN291" s="1" t="str">
        <f t="shared" si="275"/>
        <v/>
      </c>
      <c r="AO291" s="1" t="str">
        <f>IFERROR(IF($B291="","",AVERAGEIFS($L$2:L291,$I$2:I291,I291,$L$2:L291,"&lt;&gt;0")),0)</f>
        <v/>
      </c>
      <c r="AP291" s="1" t="str">
        <f t="shared" si="276"/>
        <v/>
      </c>
      <c r="AQ291" s="1" t="str">
        <f>IF($B291="","",COUNTIFS($R$2:R291,1,$I$2:I291,$I291))</f>
        <v/>
      </c>
      <c r="AR291" s="1" t="str">
        <f t="array" ref="AR291">IF($B291="","",SUMPRODUCT(--($B$2:$B$313=B291),--(AM291&lt;$AM$2:$AM$313))+1)</f>
        <v/>
      </c>
      <c r="AS291" s="1" t="str">
        <f t="array" ref="AS291">IF($B291="","",SUMPRODUCT(--($B$2:$B$313=B291),--(AP291&lt;$AP$2:$AP$313))+1)</f>
        <v/>
      </c>
      <c r="AT291" s="1" t="str">
        <f t="array" ref="AT291">IF($B291="","",SUMPRODUCT(--($B$2:$B$313=B291),--(AQ291&lt;$AQ$2:$AQ$313))+1)</f>
        <v/>
      </c>
      <c r="AU291" s="1" t="str">
        <f t="shared" si="277"/>
        <v/>
      </c>
      <c r="AV291" s="1" t="str">
        <f t="shared" si="278"/>
        <v/>
      </c>
      <c r="AW291" s="1" t="str">
        <f t="shared" si="251"/>
        <v/>
      </c>
      <c r="AX291" s="1" t="str">
        <f t="shared" si="279"/>
        <v/>
      </c>
      <c r="AY291" s="8" t="str">
        <f t="shared" si="280"/>
        <v/>
      </c>
      <c r="AZ291" s="1" t="str" cm="1">
        <f t="array" ref="AZ291">IF($B291="","",SUMPRODUCT(--($B$2:$B$313=B291),--(AY291&gt;$AY$2:$AY$313))+1)</f>
        <v/>
      </c>
      <c r="BA291" s="1" t="str">
        <f t="shared" si="281"/>
        <v/>
      </c>
      <c r="BB291" s="1" t="str">
        <f t="shared" si="282"/>
        <v/>
      </c>
      <c r="BC291" s="1" t="str">
        <f t="shared" si="283"/>
        <v/>
      </c>
      <c r="BD291" s="1" t="str">
        <f t="shared" si="284"/>
        <v/>
      </c>
      <c r="BE291" s="1" t="str">
        <f t="shared" si="285"/>
        <v/>
      </c>
      <c r="BF291" s="1" t="str">
        <f t="shared" si="286"/>
        <v/>
      </c>
      <c r="BG291" s="1" t="str">
        <f t="shared" si="287"/>
        <v/>
      </c>
      <c r="BH291" s="1" t="str">
        <f t="shared" si="288"/>
        <v/>
      </c>
      <c r="BI291" s="1" t="str">
        <f t="shared" si="289"/>
        <v/>
      </c>
      <c r="BJ291" s="1" t="str">
        <f t="shared" si="290"/>
        <v/>
      </c>
      <c r="BK291" s="1" t="str">
        <f t="shared" si="291"/>
        <v/>
      </c>
      <c r="BL291" s="1" t="str">
        <f t="shared" si="292"/>
        <v/>
      </c>
      <c r="BM291" s="1" t="str">
        <f t="shared" si="293"/>
        <v/>
      </c>
      <c r="BN291" s="1" t="str">
        <f t="shared" si="294"/>
        <v/>
      </c>
      <c r="BO291" s="1" t="str">
        <f t="shared" si="252"/>
        <v/>
      </c>
      <c r="BP291" s="1" t="str">
        <f t="shared" si="295"/>
        <v/>
      </c>
      <c r="BQ291" s="1" t="str" cm="1">
        <f t="array" ref="BQ291">IF(I291="","",IF(BP291=1,"",IF(L291=0,"",IF(B291=1,"",_xlfn.XLOOKUP(1,($I$2:$I$313=$I291)*($B$2:$B$313=($B291-1)),$BO$2:$BO$313)))))</f>
        <v/>
      </c>
      <c r="BR291" s="1" t="str">
        <f>IF(I291="","",IF($B291=1,_xlfn.MINIFS($BO$2:$BO$313,$B$2:$B$313,$B291),_xlfn.MINIFS(BQ$2:$BQ$313,$B$2:$B$313,$B291)))</f>
        <v/>
      </c>
      <c r="BS291" s="1" t="str">
        <f t="shared" si="296"/>
        <v/>
      </c>
      <c r="BT291" s="1" t="str" cm="1">
        <f t="array" ref="BT291">IF($I291="","",IF($B291=1,_xlfn.XLOOKUP(1,($B$2:$B$313=$B291)*($BO$2:$BO$313=BR291),Data!$I$2:$I$313,,0),_xlfn.XLOOKUP(1,($B$2:$B$313=$B291)*($BQ$2:$BQ$313=$BR291),$I$2:$I$313,,0)))</f>
        <v/>
      </c>
      <c r="BU291" s="1" t="str" cm="1">
        <f t="array" ref="BU291">IF(I291="","",IF($B291=1,_xlfn.XLOOKUP(1,($B$2:$B$313=$B291)*($BO$2:$BO$313=$BS291),$I$2:$I$313,,0),_xlfn.XLOOKUP(1,($B$2:$B$313=$B291)*($BQ$2:$BQ$313=$BS291),$I$2:$I$313,,0)))</f>
        <v/>
      </c>
      <c r="BV291" s="1" t="str" cm="1">
        <f t="array" ref="BV291">IF($I291="","",IF($B291=1,"",IF($B291=2,_xlfn.XLOOKUP(1,($B$2:$B$313=1)*($BO$2:$BO$313=1),$I$2:$I$313,,0),_xlfn.XLOOKUP($B291-1,$B$2:$B$313,$CH$2:$CH$313,,0))))</f>
        <v/>
      </c>
      <c r="BW291" s="1" t="str" cm="1">
        <f t="array" ref="BW291">IF($I291="","",IF($B291=1,"",IF(_xlfn.XLOOKUP(1,($B$2:$B$313=$B291)*($I$2:$I$313=$BV291),$BQ$2:$BQ$313,,0)="","NOK","OK")))</f>
        <v/>
      </c>
      <c r="BX291" s="1" t="str">
        <f t="shared" si="297"/>
        <v/>
      </c>
      <c r="BY291" s="1" t="str">
        <f t="shared" si="298"/>
        <v/>
      </c>
      <c r="BZ291" s="1" t="str">
        <f t="shared" si="299"/>
        <v/>
      </c>
      <c r="CA291" s="1" t="str">
        <f t="shared" si="300"/>
        <v/>
      </c>
      <c r="CB291" s="1" t="str">
        <f t="shared" si="301"/>
        <v/>
      </c>
      <c r="CC291" s="1" t="str">
        <f t="shared" si="302"/>
        <v/>
      </c>
      <c r="CD291" s="1" t="str">
        <f t="shared" si="303"/>
        <v/>
      </c>
      <c r="CE291" s="1" t="str">
        <f t="shared" si="304"/>
        <v/>
      </c>
      <c r="CF291" s="1" t="str">
        <f t="shared" si="305"/>
        <v/>
      </c>
      <c r="CG291" s="1" t="str">
        <f t="shared" si="306"/>
        <v/>
      </c>
      <c r="CH291" s="1" t="str">
        <f t="shared" si="307"/>
        <v/>
      </c>
      <c r="CI291" s="1" t="str">
        <f t="shared" si="308"/>
        <v/>
      </c>
      <c r="CJ291" s="1" t="str">
        <f>IF(B291="","",IF(SUM(AI291:AK291)&gt;0,"+SP","")&amp;IF(CI291&gt;0,"+KK","")&amp;IF(AB291&gt;0,"+KGP1","")&amp;IF(AC291&gt;0,"+KGP2","")&amp;IF(AG291&lt;0,"-KGP1","")&amp;IF(AH291&lt;0,"-KGP2",""))</f>
        <v/>
      </c>
    </row>
    <row r="292" spans="1:88" x14ac:dyDescent="0.25">
      <c r="A292" s="1" t="str">
        <f>IFERROR(IF(ROW(A291)=1,1,IF(1+A291&lt;=$CP$1*$CP$2,1+A291,"")),"")</f>
        <v/>
      </c>
      <c r="B292" s="1" t="str">
        <f>IF($I292="","",IF(ROW(B291)=1,1,ROUNDUP(A292/$CP$2,0)))</f>
        <v/>
      </c>
      <c r="C292" s="4" t="str">
        <f t="shared" si="253"/>
        <v/>
      </c>
      <c r="D292" s="4" t="str">
        <f t="shared" si="248"/>
        <v/>
      </c>
      <c r="E292" s="1" t="str">
        <f>IF($B292="","",COUNTIF($B$2:B292,B292))</f>
        <v/>
      </c>
      <c r="F292" s="1" t="str">
        <f t="shared" si="249"/>
        <v/>
      </c>
      <c r="G292" s="1" t="str">
        <f t="shared" si="254"/>
        <v/>
      </c>
      <c r="H292" s="1">
        <f t="shared" si="255"/>
        <v>0</v>
      </c>
      <c r="I292" s="3"/>
      <c r="J292" s="3"/>
      <c r="K292" s="3"/>
      <c r="L292" s="1" t="str">
        <f t="shared" si="256"/>
        <v/>
      </c>
      <c r="M292" s="1" t="str">
        <f t="shared" si="257"/>
        <v/>
      </c>
      <c r="N292" s="1" t="str">
        <f t="shared" si="258"/>
        <v/>
      </c>
      <c r="O292" s="1" t="str">
        <f t="shared" si="259"/>
        <v/>
      </c>
      <c r="P292" s="1" t="str">
        <f t="shared" si="260"/>
        <v/>
      </c>
      <c r="Q292" s="1" t="str">
        <f t="array" ref="Q292">IF($B292="","",IF(MAX(IF(B292=$B$2:$B$313,$L$2:$L$313))-L292=0,"",MAX(IF(B292=$B$2:$B$313,$L$2:$L$313))-L292))</f>
        <v/>
      </c>
      <c r="R292" s="1" t="str">
        <f t="array" ref="R292">IF($B292="","",SUMPRODUCT(--($B$2:$B$313=B292),--(L292&lt;$L$2:$L$313))+1)</f>
        <v/>
      </c>
      <c r="S292" s="1" t="str">
        <f t="shared" si="261"/>
        <v/>
      </c>
      <c r="T292" s="1" t="str" cm="1">
        <f t="array" ref="T292">IF($B292="","",IF(M292=0,"",SUMPRODUCT(--($B$2:$B$313=B292),--(J292&lt;$J$2:$J$313))+1))</f>
        <v/>
      </c>
      <c r="U292" s="1" t="str">
        <f t="shared" si="262"/>
        <v/>
      </c>
      <c r="V292" s="1" t="str">
        <f t="shared" si="263"/>
        <v/>
      </c>
      <c r="W292" s="1" t="str">
        <f t="shared" si="264"/>
        <v/>
      </c>
      <c r="X292" s="1" t="str">
        <f t="shared" si="250"/>
        <v/>
      </c>
      <c r="Y292" s="1" t="str">
        <f>IF($B292="","",MAX(_xlfn.MAXIFS($J$2:J292,$I$2:I292,$I292),_xlfn.MAXIFS($K$2:K292,$I$2:I292,$I292)))</f>
        <v/>
      </c>
      <c r="Z292" s="1" t="str">
        <f t="shared" si="265"/>
        <v/>
      </c>
      <c r="AA292" s="1" t="str">
        <f t="shared" si="266"/>
        <v/>
      </c>
      <c r="AB292" s="1" t="str">
        <f t="shared" si="267"/>
        <v/>
      </c>
      <c r="AC292" s="1" t="str">
        <f t="shared" si="268"/>
        <v/>
      </c>
      <c r="AD292" s="1" t="str">
        <f>IF($B292="","",MIN(_xlfn.MINIFS($J$2:J292,$I$2:I292,$I292),_xlfn.MINIFS($K$2:K292,$I$2:I292,$I292)))</f>
        <v/>
      </c>
      <c r="AE292" s="1" t="str">
        <f t="shared" si="269"/>
        <v/>
      </c>
      <c r="AF292" s="1" t="str">
        <f t="shared" si="270"/>
        <v/>
      </c>
      <c r="AG292" s="1" t="str">
        <f t="shared" si="271"/>
        <v/>
      </c>
      <c r="AH292" s="1" t="str">
        <f t="shared" si="272"/>
        <v/>
      </c>
      <c r="AI292" s="1" t="str">
        <f ca="1">IF($B292="","",IF($K292="",0,OFFSET($CO$17,R292,W292)))</f>
        <v/>
      </c>
      <c r="AJ292" s="1" t="str">
        <f t="shared" ca="1" si="273"/>
        <v/>
      </c>
      <c r="AK292" s="1" t="str">
        <f ca="1">IF(AJ292="","",IF(AJ292=0,0,IF(W292=1,0,SUM(OFFSET($CO$17,N292,1):OFFSET($CO$17,N292+W292-2,1))/W292)))</f>
        <v/>
      </c>
      <c r="AL292" s="1" t="str">
        <f t="shared" si="274"/>
        <v/>
      </c>
      <c r="AM292" s="1" t="str">
        <f>IF($B292="","",SUMIFS($AL$2:AL292,$I$2:I292,$I292))</f>
        <v/>
      </c>
      <c r="AN292" s="1" t="str">
        <f t="shared" si="275"/>
        <v/>
      </c>
      <c r="AO292" s="1" t="str">
        <f>IFERROR(IF($B292="","",AVERAGEIFS($L$2:L292,$I$2:I292,I292,$L$2:L292,"&lt;&gt;0")),0)</f>
        <v/>
      </c>
      <c r="AP292" s="1" t="str">
        <f t="shared" si="276"/>
        <v/>
      </c>
      <c r="AQ292" s="1" t="str">
        <f>IF($B292="","",COUNTIFS($R$2:R292,1,$I$2:I292,$I292))</f>
        <v/>
      </c>
      <c r="AR292" s="1" t="str">
        <f t="array" ref="AR292">IF($B292="","",SUMPRODUCT(--($B$2:$B$313=B292),--(AM292&lt;$AM$2:$AM$313))+1)</f>
        <v/>
      </c>
      <c r="AS292" s="1" t="str">
        <f t="array" ref="AS292">IF($B292="","",SUMPRODUCT(--($B$2:$B$313=B292),--(AP292&lt;$AP$2:$AP$313))+1)</f>
        <v/>
      </c>
      <c r="AT292" s="1" t="str">
        <f t="array" ref="AT292">IF($B292="","",SUMPRODUCT(--($B$2:$B$313=B292),--(AQ292&lt;$AQ$2:$AQ$313))+1)</f>
        <v/>
      </c>
      <c r="AU292" s="1" t="str">
        <f t="shared" si="277"/>
        <v/>
      </c>
      <c r="AV292" s="1" t="str">
        <f t="shared" si="278"/>
        <v/>
      </c>
      <c r="AW292" s="1" t="str">
        <f t="shared" si="251"/>
        <v/>
      </c>
      <c r="AX292" s="1" t="str">
        <f t="shared" si="279"/>
        <v/>
      </c>
      <c r="AY292" s="8" t="str">
        <f t="shared" si="280"/>
        <v/>
      </c>
      <c r="AZ292" s="1" t="str" cm="1">
        <f t="array" ref="AZ292">IF($B292="","",SUMPRODUCT(--($B$2:$B$313=B292),--(AY292&gt;$AY$2:$AY$313))+1)</f>
        <v/>
      </c>
      <c r="BA292" s="1" t="str">
        <f t="shared" si="281"/>
        <v/>
      </c>
      <c r="BB292" s="1" t="str">
        <f t="shared" si="282"/>
        <v/>
      </c>
      <c r="BC292" s="1" t="str">
        <f t="shared" si="283"/>
        <v/>
      </c>
      <c r="BD292" s="1" t="str">
        <f t="shared" si="284"/>
        <v/>
      </c>
      <c r="BE292" s="1" t="str">
        <f t="shared" si="285"/>
        <v/>
      </c>
      <c r="BF292" s="1" t="str">
        <f t="shared" si="286"/>
        <v/>
      </c>
      <c r="BG292" s="1" t="str">
        <f t="shared" si="287"/>
        <v/>
      </c>
      <c r="BH292" s="1" t="str">
        <f t="shared" si="288"/>
        <v/>
      </c>
      <c r="BI292" s="1" t="str">
        <f t="shared" si="289"/>
        <v/>
      </c>
      <c r="BJ292" s="1" t="str">
        <f t="shared" si="290"/>
        <v/>
      </c>
      <c r="BK292" s="1" t="str">
        <f t="shared" si="291"/>
        <v/>
      </c>
      <c r="BL292" s="1" t="str">
        <f t="shared" si="292"/>
        <v/>
      </c>
      <c r="BM292" s="1" t="str">
        <f t="shared" si="293"/>
        <v/>
      </c>
      <c r="BN292" s="1" t="str">
        <f t="shared" si="294"/>
        <v/>
      </c>
      <c r="BO292" s="1" t="str">
        <f t="shared" si="252"/>
        <v/>
      </c>
      <c r="BP292" s="1" t="str">
        <f t="shared" si="295"/>
        <v/>
      </c>
      <c r="BQ292" s="1" t="str" cm="1">
        <f t="array" ref="BQ292">IF(I292="","",IF(BP292=1,"",IF(L292=0,"",IF(B292=1,"",_xlfn.XLOOKUP(1,($I$2:$I$313=$I292)*($B$2:$B$313=($B292-1)),$BO$2:$BO$313)))))</f>
        <v/>
      </c>
      <c r="BR292" s="1" t="str">
        <f>IF(I292="","",IF($B292=1,_xlfn.MINIFS($BO$2:$BO$313,$B$2:$B$313,$B292),_xlfn.MINIFS(BQ$2:$BQ$313,$B$2:$B$313,$B292)))</f>
        <v/>
      </c>
      <c r="BS292" s="1" t="str">
        <f t="shared" si="296"/>
        <v/>
      </c>
      <c r="BT292" s="1" t="str" cm="1">
        <f t="array" ref="BT292">IF($I292="","",IF($B292=1,_xlfn.XLOOKUP(1,($B$2:$B$313=$B292)*($BO$2:$BO$313=BR292),Data!$I$2:$I$313,,0),_xlfn.XLOOKUP(1,($B$2:$B$313=$B292)*($BQ$2:$BQ$313=$BR292),$I$2:$I$313,,0)))</f>
        <v/>
      </c>
      <c r="BU292" s="1" t="str" cm="1">
        <f t="array" ref="BU292">IF(I292="","",IF($B292=1,_xlfn.XLOOKUP(1,($B$2:$B$313=$B292)*($BO$2:$BO$313=$BS292),$I$2:$I$313,,0),_xlfn.XLOOKUP(1,($B$2:$B$313=$B292)*($BQ$2:$BQ$313=$BS292),$I$2:$I$313,,0)))</f>
        <v/>
      </c>
      <c r="BV292" s="1" t="str" cm="1">
        <f t="array" ref="BV292">IF($I292="","",IF($B292=1,"",IF($B292=2,_xlfn.XLOOKUP(1,($B$2:$B$313=1)*($BO$2:$BO$313=1),$I$2:$I$313,,0),_xlfn.XLOOKUP($B292-1,$B$2:$B$313,$CH$2:$CH$313,,0))))</f>
        <v/>
      </c>
      <c r="BW292" s="1" t="str" cm="1">
        <f t="array" ref="BW292">IF($I292="","",IF($B292=1,"",IF(_xlfn.XLOOKUP(1,($B$2:$B$313=$B292)*($I$2:$I$313=$BV292),$BQ$2:$BQ$313,,0)="","NOK","OK")))</f>
        <v/>
      </c>
      <c r="BX292" s="1" t="str">
        <f t="shared" si="297"/>
        <v/>
      </c>
      <c r="BY292" s="1" t="str">
        <f t="shared" si="298"/>
        <v/>
      </c>
      <c r="BZ292" s="1" t="str">
        <f t="shared" si="299"/>
        <v/>
      </c>
      <c r="CA292" s="1" t="str">
        <f t="shared" si="300"/>
        <v/>
      </c>
      <c r="CB292" s="1" t="str">
        <f t="shared" si="301"/>
        <v/>
      </c>
      <c r="CC292" s="1" t="str">
        <f t="shared" si="302"/>
        <v/>
      </c>
      <c r="CD292" s="1" t="str">
        <f t="shared" si="303"/>
        <v/>
      </c>
      <c r="CE292" s="1" t="str">
        <f t="shared" si="304"/>
        <v/>
      </c>
      <c r="CF292" s="1" t="str">
        <f t="shared" si="305"/>
        <v/>
      </c>
      <c r="CG292" s="1" t="str">
        <f t="shared" si="306"/>
        <v/>
      </c>
      <c r="CH292" s="1" t="str">
        <f t="shared" si="307"/>
        <v/>
      </c>
      <c r="CI292" s="1" t="str">
        <f t="shared" si="308"/>
        <v/>
      </c>
      <c r="CJ292" s="1" t="str">
        <f>IF(B292="","",IF(SUM(AI292:AK292)&gt;0,"+SP","")&amp;IF(CI292&gt;0,"+KK","")&amp;IF(AB292&gt;0,"+KGP1","")&amp;IF(AC292&gt;0,"+KGP2","")&amp;IF(AG292&lt;0,"-KGP1","")&amp;IF(AH292&lt;0,"-KGP2",""))</f>
        <v/>
      </c>
    </row>
    <row r="293" spans="1:88" x14ac:dyDescent="0.25">
      <c r="A293" s="1" t="str">
        <f>IFERROR(IF(ROW(A292)=1,1,IF(1+A292&lt;=$CP$1*$CP$2,1+A292,"")),"")</f>
        <v/>
      </c>
      <c r="B293" s="1" t="str">
        <f>IF($I293="","",IF(ROW(B292)=1,1,ROUNDUP(A293/$CP$2,0)))</f>
        <v/>
      </c>
      <c r="C293" s="4" t="str">
        <f t="shared" si="253"/>
        <v/>
      </c>
      <c r="D293" s="4" t="str">
        <f t="shared" si="248"/>
        <v/>
      </c>
      <c r="E293" s="1" t="str">
        <f>IF($B293="","",COUNTIF($B$2:B293,B293))</f>
        <v/>
      </c>
      <c r="F293" s="1" t="str">
        <f t="shared" si="249"/>
        <v/>
      </c>
      <c r="G293" s="1" t="str">
        <f t="shared" si="254"/>
        <v/>
      </c>
      <c r="H293" s="1">
        <f t="shared" si="255"/>
        <v>0</v>
      </c>
      <c r="I293" s="3"/>
      <c r="J293" s="3"/>
      <c r="K293" s="3"/>
      <c r="L293" s="1" t="str">
        <f t="shared" si="256"/>
        <v/>
      </c>
      <c r="M293" s="1" t="str">
        <f t="shared" si="257"/>
        <v/>
      </c>
      <c r="N293" s="1" t="str">
        <f t="shared" si="258"/>
        <v/>
      </c>
      <c r="O293" s="1" t="str">
        <f t="shared" si="259"/>
        <v/>
      </c>
      <c r="P293" s="1" t="str">
        <f t="shared" si="260"/>
        <v/>
      </c>
      <c r="Q293" s="1" t="str">
        <f t="array" ref="Q293">IF($B293="","",IF(MAX(IF(B293=$B$2:$B$313,$L$2:$L$313))-L293=0,"",MAX(IF(B293=$B$2:$B$313,$L$2:$L$313))-L293))</f>
        <v/>
      </c>
      <c r="R293" s="1" t="str">
        <f t="array" ref="R293">IF($B293="","",SUMPRODUCT(--($B$2:$B$313=B293),--(L293&lt;$L$2:$L$313))+1)</f>
        <v/>
      </c>
      <c r="S293" s="1" t="str">
        <f t="shared" si="261"/>
        <v/>
      </c>
      <c r="T293" s="1" t="str" cm="1">
        <f t="array" ref="T293">IF($B293="","",IF(M293=0,"",SUMPRODUCT(--($B$2:$B$313=B293),--(J293&lt;$J$2:$J$313))+1))</f>
        <v/>
      </c>
      <c r="U293" s="1" t="str">
        <f t="shared" si="262"/>
        <v/>
      </c>
      <c r="V293" s="1" t="str">
        <f t="shared" si="263"/>
        <v/>
      </c>
      <c r="W293" s="1" t="str">
        <f t="shared" si="264"/>
        <v/>
      </c>
      <c r="X293" s="1" t="str">
        <f t="shared" si="250"/>
        <v/>
      </c>
      <c r="Y293" s="1" t="str">
        <f>IF($B293="","",MAX(_xlfn.MAXIFS($J$2:J293,$I$2:I293,$I293),_xlfn.MAXIFS($K$2:K293,$I$2:I293,$I293)))</f>
        <v/>
      </c>
      <c r="Z293" s="1" t="str">
        <f t="shared" si="265"/>
        <v/>
      </c>
      <c r="AA293" s="1" t="str">
        <f t="shared" si="266"/>
        <v/>
      </c>
      <c r="AB293" s="1" t="str">
        <f t="shared" si="267"/>
        <v/>
      </c>
      <c r="AC293" s="1" t="str">
        <f t="shared" si="268"/>
        <v/>
      </c>
      <c r="AD293" s="1" t="str">
        <f>IF($B293="","",MIN(_xlfn.MINIFS($J$2:J293,$I$2:I293,$I293),_xlfn.MINIFS($K$2:K293,$I$2:I293,$I293)))</f>
        <v/>
      </c>
      <c r="AE293" s="1" t="str">
        <f t="shared" si="269"/>
        <v/>
      </c>
      <c r="AF293" s="1" t="str">
        <f t="shared" si="270"/>
        <v/>
      </c>
      <c r="AG293" s="1" t="str">
        <f t="shared" si="271"/>
        <v/>
      </c>
      <c r="AH293" s="1" t="str">
        <f t="shared" si="272"/>
        <v/>
      </c>
      <c r="AI293" s="1" t="str">
        <f ca="1">IF($B293="","",IF($K293="",0,OFFSET($CO$17,R293,W293)))</f>
        <v/>
      </c>
      <c r="AJ293" s="1" t="str">
        <f t="shared" ca="1" si="273"/>
        <v/>
      </c>
      <c r="AK293" s="1" t="str">
        <f ca="1">IF(AJ293="","",IF(AJ293=0,0,IF(W293=1,0,SUM(OFFSET($CO$17,N293,1):OFFSET($CO$17,N293+W293-2,1))/W293)))</f>
        <v/>
      </c>
      <c r="AL293" s="1" t="str">
        <f t="shared" si="274"/>
        <v/>
      </c>
      <c r="AM293" s="1" t="str">
        <f>IF($B293="","",SUMIFS($AL$2:AL293,$I$2:I293,$I293))</f>
        <v/>
      </c>
      <c r="AN293" s="1" t="str">
        <f t="shared" si="275"/>
        <v/>
      </c>
      <c r="AO293" s="1" t="str">
        <f>IFERROR(IF($B293="","",AVERAGEIFS($L$2:L293,$I$2:I293,I293,$L$2:L293,"&lt;&gt;0")),0)</f>
        <v/>
      </c>
      <c r="AP293" s="1" t="str">
        <f t="shared" si="276"/>
        <v/>
      </c>
      <c r="AQ293" s="1" t="str">
        <f>IF($B293="","",COUNTIFS($R$2:R293,1,$I$2:I293,$I293))</f>
        <v/>
      </c>
      <c r="AR293" s="1" t="str">
        <f t="array" ref="AR293">IF($B293="","",SUMPRODUCT(--($B$2:$B$313=B293),--(AM293&lt;$AM$2:$AM$313))+1)</f>
        <v/>
      </c>
      <c r="AS293" s="1" t="str">
        <f t="array" ref="AS293">IF($B293="","",SUMPRODUCT(--($B$2:$B$313=B293),--(AP293&lt;$AP$2:$AP$313))+1)</f>
        <v/>
      </c>
      <c r="AT293" s="1" t="str">
        <f t="array" ref="AT293">IF($B293="","",SUMPRODUCT(--($B$2:$B$313=B293),--(AQ293&lt;$AQ$2:$AQ$313))+1)</f>
        <v/>
      </c>
      <c r="AU293" s="1" t="str">
        <f t="shared" si="277"/>
        <v/>
      </c>
      <c r="AV293" s="1" t="str">
        <f t="shared" si="278"/>
        <v/>
      </c>
      <c r="AW293" s="1" t="str">
        <f t="shared" si="251"/>
        <v/>
      </c>
      <c r="AX293" s="1" t="str">
        <f t="shared" si="279"/>
        <v/>
      </c>
      <c r="AY293" s="8" t="str">
        <f t="shared" si="280"/>
        <v/>
      </c>
      <c r="AZ293" s="1" t="str" cm="1">
        <f t="array" ref="AZ293">IF($B293="","",SUMPRODUCT(--($B$2:$B$313=B293),--(AY293&gt;$AY$2:$AY$313))+1)</f>
        <v/>
      </c>
      <c r="BA293" s="1" t="str">
        <f t="shared" si="281"/>
        <v/>
      </c>
      <c r="BB293" s="1" t="str">
        <f t="shared" si="282"/>
        <v/>
      </c>
      <c r="BC293" s="1" t="str">
        <f t="shared" si="283"/>
        <v/>
      </c>
      <c r="BD293" s="1" t="str">
        <f t="shared" si="284"/>
        <v/>
      </c>
      <c r="BE293" s="1" t="str">
        <f t="shared" si="285"/>
        <v/>
      </c>
      <c r="BF293" s="1" t="str">
        <f t="shared" si="286"/>
        <v/>
      </c>
      <c r="BG293" s="1" t="str">
        <f t="shared" si="287"/>
        <v/>
      </c>
      <c r="BH293" s="1" t="str">
        <f t="shared" si="288"/>
        <v/>
      </c>
      <c r="BI293" s="1" t="str">
        <f t="shared" si="289"/>
        <v/>
      </c>
      <c r="BJ293" s="1" t="str">
        <f t="shared" si="290"/>
        <v/>
      </c>
      <c r="BK293" s="1" t="str">
        <f t="shared" si="291"/>
        <v/>
      </c>
      <c r="BL293" s="1" t="str">
        <f t="shared" si="292"/>
        <v/>
      </c>
      <c r="BM293" s="1" t="str">
        <f t="shared" si="293"/>
        <v/>
      </c>
      <c r="BN293" s="1" t="str">
        <f t="shared" si="294"/>
        <v/>
      </c>
      <c r="BO293" s="1" t="str">
        <f t="shared" si="252"/>
        <v/>
      </c>
      <c r="BP293" s="1" t="str">
        <f t="shared" si="295"/>
        <v/>
      </c>
      <c r="BQ293" s="1" t="str" cm="1">
        <f t="array" ref="BQ293">IF(I293="","",IF(BP293=1,"",IF(L293=0,"",IF(B293=1,"",_xlfn.XLOOKUP(1,($I$2:$I$313=$I293)*($B$2:$B$313=($B293-1)),$BO$2:$BO$313)))))</f>
        <v/>
      </c>
      <c r="BR293" s="1" t="str">
        <f>IF(I293="","",IF($B293=1,_xlfn.MINIFS($BO$2:$BO$313,$B$2:$B$313,$B293),_xlfn.MINIFS(BQ$2:$BQ$313,$B$2:$B$313,$B293)))</f>
        <v/>
      </c>
      <c r="BS293" s="1" t="str">
        <f t="shared" si="296"/>
        <v/>
      </c>
      <c r="BT293" s="1" t="str" cm="1">
        <f t="array" ref="BT293">IF($I293="","",IF($B293=1,_xlfn.XLOOKUP(1,($B$2:$B$313=$B293)*($BO$2:$BO$313=BR293),Data!$I$2:$I$313,,0),_xlfn.XLOOKUP(1,($B$2:$B$313=$B293)*($BQ$2:$BQ$313=$BR293),$I$2:$I$313,,0)))</f>
        <v/>
      </c>
      <c r="BU293" s="1" t="str" cm="1">
        <f t="array" ref="BU293">IF(I293="","",IF($B293=1,_xlfn.XLOOKUP(1,($B$2:$B$313=$B293)*($BO$2:$BO$313=$BS293),$I$2:$I$313,,0),_xlfn.XLOOKUP(1,($B$2:$B$313=$B293)*($BQ$2:$BQ$313=$BS293),$I$2:$I$313,,0)))</f>
        <v/>
      </c>
      <c r="BV293" s="1" t="str" cm="1">
        <f t="array" ref="BV293">IF($I293="","",IF($B293=1,"",IF($B293=2,_xlfn.XLOOKUP(1,($B$2:$B$313=1)*($BO$2:$BO$313=1),$I$2:$I$313,,0),_xlfn.XLOOKUP($B293-1,$B$2:$B$313,$CH$2:$CH$313,,0))))</f>
        <v/>
      </c>
      <c r="BW293" s="1" t="str" cm="1">
        <f t="array" ref="BW293">IF($I293="","",IF($B293=1,"",IF(_xlfn.XLOOKUP(1,($B$2:$B$313=$B293)*($I$2:$I$313=$BV293),$BQ$2:$BQ$313,,0)="","NOK","OK")))</f>
        <v/>
      </c>
      <c r="BX293" s="1" t="str">
        <f t="shared" si="297"/>
        <v/>
      </c>
      <c r="BY293" s="1" t="str">
        <f t="shared" si="298"/>
        <v/>
      </c>
      <c r="BZ293" s="1" t="str">
        <f t="shared" si="299"/>
        <v/>
      </c>
      <c r="CA293" s="1" t="str">
        <f t="shared" si="300"/>
        <v/>
      </c>
      <c r="CB293" s="1" t="str">
        <f t="shared" si="301"/>
        <v/>
      </c>
      <c r="CC293" s="1" t="str">
        <f t="shared" si="302"/>
        <v/>
      </c>
      <c r="CD293" s="1" t="str">
        <f t="shared" si="303"/>
        <v/>
      </c>
      <c r="CE293" s="1" t="str">
        <f t="shared" si="304"/>
        <v/>
      </c>
      <c r="CF293" s="1" t="str">
        <f t="shared" si="305"/>
        <v/>
      </c>
      <c r="CG293" s="1" t="str">
        <f t="shared" si="306"/>
        <v/>
      </c>
      <c r="CH293" s="1" t="str">
        <f t="shared" si="307"/>
        <v/>
      </c>
      <c r="CI293" s="1" t="str">
        <f t="shared" si="308"/>
        <v/>
      </c>
      <c r="CJ293" s="1" t="str">
        <f>IF(B293="","",IF(SUM(AI293:AK293)&gt;0,"+SP","")&amp;IF(CI293&gt;0,"+KK","")&amp;IF(AB293&gt;0,"+KGP1","")&amp;IF(AC293&gt;0,"+KGP2","")&amp;IF(AG293&lt;0,"-KGP1","")&amp;IF(AH293&lt;0,"-KGP2",""))</f>
        <v/>
      </c>
    </row>
    <row r="294" spans="1:88" x14ac:dyDescent="0.25">
      <c r="A294" s="1" t="str">
        <f>IFERROR(IF(ROW(A293)=1,1,IF(1+A293&lt;=$CP$1*$CP$2,1+A293,"")),"")</f>
        <v/>
      </c>
      <c r="B294" s="1" t="str">
        <f>IF($I294="","",IF(ROW(B293)=1,1,ROUNDUP(A294/$CP$2,0)))</f>
        <v/>
      </c>
      <c r="C294" s="4" t="str">
        <f t="shared" si="253"/>
        <v/>
      </c>
      <c r="D294" s="4" t="str">
        <f t="shared" si="248"/>
        <v/>
      </c>
      <c r="E294" s="1" t="str">
        <f>IF($B294="","",COUNTIF($B$2:B294,B294))</f>
        <v/>
      </c>
      <c r="F294" s="1" t="str">
        <f t="shared" si="249"/>
        <v/>
      </c>
      <c r="G294" s="1" t="str">
        <f t="shared" si="254"/>
        <v/>
      </c>
      <c r="H294" s="1">
        <f t="shared" si="255"/>
        <v>0</v>
      </c>
      <c r="I294" s="3"/>
      <c r="J294" s="3"/>
      <c r="K294" s="3"/>
      <c r="L294" s="1" t="str">
        <f t="shared" si="256"/>
        <v/>
      </c>
      <c r="M294" s="1" t="str">
        <f t="shared" si="257"/>
        <v/>
      </c>
      <c r="N294" s="1" t="str">
        <f t="shared" si="258"/>
        <v/>
      </c>
      <c r="O294" s="1" t="str">
        <f t="shared" si="259"/>
        <v/>
      </c>
      <c r="P294" s="1" t="str">
        <f t="shared" si="260"/>
        <v/>
      </c>
      <c r="Q294" s="1" t="str">
        <f t="array" ref="Q294">IF($B294="","",IF(MAX(IF(B294=$B$2:$B$313,$L$2:$L$313))-L294=0,"",MAX(IF(B294=$B$2:$B$313,$L$2:$L$313))-L294))</f>
        <v/>
      </c>
      <c r="R294" s="1" t="str">
        <f t="array" ref="R294">IF($B294="","",SUMPRODUCT(--($B$2:$B$313=B294),--(L294&lt;$L$2:$L$313))+1)</f>
        <v/>
      </c>
      <c r="S294" s="1" t="str">
        <f t="shared" si="261"/>
        <v/>
      </c>
      <c r="T294" s="1" t="str" cm="1">
        <f t="array" ref="T294">IF($B294="","",IF(M294=0,"",SUMPRODUCT(--($B$2:$B$313=B294),--(J294&lt;$J$2:$J$313))+1))</f>
        <v/>
      </c>
      <c r="U294" s="1" t="str">
        <f t="shared" si="262"/>
        <v/>
      </c>
      <c r="V294" s="1" t="str">
        <f t="shared" si="263"/>
        <v/>
      </c>
      <c r="W294" s="1" t="str">
        <f t="shared" si="264"/>
        <v/>
      </c>
      <c r="X294" s="1" t="str">
        <f t="shared" si="250"/>
        <v/>
      </c>
      <c r="Y294" s="1" t="str">
        <f>IF($B294="","",MAX(_xlfn.MAXIFS($J$2:J294,$I$2:I294,$I294),_xlfn.MAXIFS($K$2:K294,$I$2:I294,$I294)))</f>
        <v/>
      </c>
      <c r="Z294" s="1" t="str">
        <f t="shared" si="265"/>
        <v/>
      </c>
      <c r="AA294" s="1" t="str">
        <f t="shared" si="266"/>
        <v/>
      </c>
      <c r="AB294" s="1" t="str">
        <f t="shared" si="267"/>
        <v/>
      </c>
      <c r="AC294" s="1" t="str">
        <f t="shared" si="268"/>
        <v/>
      </c>
      <c r="AD294" s="1" t="str">
        <f>IF($B294="","",MIN(_xlfn.MINIFS($J$2:J294,$I$2:I294,$I294),_xlfn.MINIFS($K$2:K294,$I$2:I294,$I294)))</f>
        <v/>
      </c>
      <c r="AE294" s="1" t="str">
        <f t="shared" si="269"/>
        <v/>
      </c>
      <c r="AF294" s="1" t="str">
        <f t="shared" si="270"/>
        <v/>
      </c>
      <c r="AG294" s="1" t="str">
        <f t="shared" si="271"/>
        <v/>
      </c>
      <c r="AH294" s="1" t="str">
        <f t="shared" si="272"/>
        <v/>
      </c>
      <c r="AI294" s="1" t="str">
        <f ca="1">IF($B294="","",IF($K294="",0,OFFSET($CO$17,R294,W294)))</f>
        <v/>
      </c>
      <c r="AJ294" s="1" t="str">
        <f t="shared" ca="1" si="273"/>
        <v/>
      </c>
      <c r="AK294" s="1" t="str">
        <f ca="1">IF(AJ294="","",IF(AJ294=0,0,IF(W294=1,0,SUM(OFFSET($CO$17,N294,1):OFFSET($CO$17,N294+W294-2,1))/W294)))</f>
        <v/>
      </c>
      <c r="AL294" s="1" t="str">
        <f t="shared" si="274"/>
        <v/>
      </c>
      <c r="AM294" s="1" t="str">
        <f>IF($B294="","",SUMIFS($AL$2:AL294,$I$2:I294,$I294))</f>
        <v/>
      </c>
      <c r="AN294" s="1" t="str">
        <f t="shared" si="275"/>
        <v/>
      </c>
      <c r="AO294" s="1" t="str">
        <f>IFERROR(IF($B294="","",AVERAGEIFS($L$2:L294,$I$2:I294,I294,$L$2:L294,"&lt;&gt;0")),0)</f>
        <v/>
      </c>
      <c r="AP294" s="1" t="str">
        <f t="shared" si="276"/>
        <v/>
      </c>
      <c r="AQ294" s="1" t="str">
        <f>IF($B294="","",COUNTIFS($R$2:R294,1,$I$2:I294,$I294))</f>
        <v/>
      </c>
      <c r="AR294" s="1" t="str">
        <f t="array" ref="AR294">IF($B294="","",SUMPRODUCT(--($B$2:$B$313=B294),--(AM294&lt;$AM$2:$AM$313))+1)</f>
        <v/>
      </c>
      <c r="AS294" s="1" t="str">
        <f t="array" ref="AS294">IF($B294="","",SUMPRODUCT(--($B$2:$B$313=B294),--(AP294&lt;$AP$2:$AP$313))+1)</f>
        <v/>
      </c>
      <c r="AT294" s="1" t="str">
        <f t="array" ref="AT294">IF($B294="","",SUMPRODUCT(--($B$2:$B$313=B294),--(AQ294&lt;$AQ$2:$AQ$313))+1)</f>
        <v/>
      </c>
      <c r="AU294" s="1" t="str">
        <f t="shared" si="277"/>
        <v/>
      </c>
      <c r="AV294" s="1" t="str">
        <f t="shared" si="278"/>
        <v/>
      </c>
      <c r="AW294" s="1" t="str">
        <f t="shared" si="251"/>
        <v/>
      </c>
      <c r="AX294" s="1" t="str">
        <f t="shared" si="279"/>
        <v/>
      </c>
      <c r="AY294" s="8" t="str">
        <f t="shared" si="280"/>
        <v/>
      </c>
      <c r="AZ294" s="1" t="str" cm="1">
        <f t="array" ref="AZ294">IF($B294="","",SUMPRODUCT(--($B$2:$B$313=B294),--(AY294&gt;$AY$2:$AY$313))+1)</f>
        <v/>
      </c>
      <c r="BA294" s="1" t="str">
        <f t="shared" si="281"/>
        <v/>
      </c>
      <c r="BB294" s="1" t="str">
        <f t="shared" si="282"/>
        <v/>
      </c>
      <c r="BC294" s="1" t="str">
        <f t="shared" si="283"/>
        <v/>
      </c>
      <c r="BD294" s="1" t="str">
        <f t="shared" si="284"/>
        <v/>
      </c>
      <c r="BE294" s="1" t="str">
        <f t="shared" si="285"/>
        <v/>
      </c>
      <c r="BF294" s="1" t="str">
        <f t="shared" si="286"/>
        <v/>
      </c>
      <c r="BG294" s="1" t="str">
        <f t="shared" si="287"/>
        <v/>
      </c>
      <c r="BH294" s="1" t="str">
        <f t="shared" si="288"/>
        <v/>
      </c>
      <c r="BI294" s="1" t="str">
        <f t="shared" si="289"/>
        <v/>
      </c>
      <c r="BJ294" s="1" t="str">
        <f t="shared" si="290"/>
        <v/>
      </c>
      <c r="BK294" s="1" t="str">
        <f t="shared" si="291"/>
        <v/>
      </c>
      <c r="BL294" s="1" t="str">
        <f t="shared" si="292"/>
        <v/>
      </c>
      <c r="BM294" s="1" t="str">
        <f t="shared" si="293"/>
        <v/>
      </c>
      <c r="BN294" s="1" t="str">
        <f t="shared" si="294"/>
        <v/>
      </c>
      <c r="BO294" s="1" t="str">
        <f t="shared" si="252"/>
        <v/>
      </c>
      <c r="BP294" s="1" t="str">
        <f t="shared" si="295"/>
        <v/>
      </c>
      <c r="BQ294" s="1" t="str" cm="1">
        <f t="array" ref="BQ294">IF(I294="","",IF(BP294=1,"",IF(L294=0,"",IF(B294=1,"",_xlfn.XLOOKUP(1,($I$2:$I$313=$I294)*($B$2:$B$313=($B294-1)),$BO$2:$BO$313)))))</f>
        <v/>
      </c>
      <c r="BR294" s="1" t="str">
        <f>IF(I294="","",IF($B294=1,_xlfn.MINIFS($BO$2:$BO$313,$B$2:$B$313,$B294),_xlfn.MINIFS(BQ$2:$BQ$313,$B$2:$B$313,$B294)))</f>
        <v/>
      </c>
      <c r="BS294" s="1" t="str">
        <f t="shared" si="296"/>
        <v/>
      </c>
      <c r="BT294" s="1" t="str" cm="1">
        <f t="array" ref="BT294">IF($I294="","",IF($B294=1,_xlfn.XLOOKUP(1,($B$2:$B$313=$B294)*($BO$2:$BO$313=BR294),Data!$I$2:$I$313,,0),_xlfn.XLOOKUP(1,($B$2:$B$313=$B294)*($BQ$2:$BQ$313=$BR294),$I$2:$I$313,,0)))</f>
        <v/>
      </c>
      <c r="BU294" s="1" t="str" cm="1">
        <f t="array" ref="BU294">IF(I294="","",IF($B294=1,_xlfn.XLOOKUP(1,($B$2:$B$313=$B294)*($BO$2:$BO$313=$BS294),$I$2:$I$313,,0),_xlfn.XLOOKUP(1,($B$2:$B$313=$B294)*($BQ$2:$BQ$313=$BS294),$I$2:$I$313,,0)))</f>
        <v/>
      </c>
      <c r="BV294" s="1" t="str" cm="1">
        <f t="array" ref="BV294">IF($I294="","",IF($B294=1,"",IF($B294=2,_xlfn.XLOOKUP(1,($B$2:$B$313=1)*($BO$2:$BO$313=1),$I$2:$I$313,,0),_xlfn.XLOOKUP($B294-1,$B$2:$B$313,$CH$2:$CH$313,,0))))</f>
        <v/>
      </c>
      <c r="BW294" s="1" t="str" cm="1">
        <f t="array" ref="BW294">IF($I294="","",IF($B294=1,"",IF(_xlfn.XLOOKUP(1,($B$2:$B$313=$B294)*($I$2:$I$313=$BV294),$BQ$2:$BQ$313,,0)="","NOK","OK")))</f>
        <v/>
      </c>
      <c r="BX294" s="1" t="str">
        <f t="shared" si="297"/>
        <v/>
      </c>
      <c r="BY294" s="1" t="str">
        <f t="shared" si="298"/>
        <v/>
      </c>
      <c r="BZ294" s="1" t="str">
        <f t="shared" si="299"/>
        <v/>
      </c>
      <c r="CA294" s="1" t="str">
        <f t="shared" si="300"/>
        <v/>
      </c>
      <c r="CB294" s="1" t="str">
        <f t="shared" si="301"/>
        <v/>
      </c>
      <c r="CC294" s="1" t="str">
        <f t="shared" si="302"/>
        <v/>
      </c>
      <c r="CD294" s="1" t="str">
        <f t="shared" si="303"/>
        <v/>
      </c>
      <c r="CE294" s="1" t="str">
        <f t="shared" si="304"/>
        <v/>
      </c>
      <c r="CF294" s="1" t="str">
        <f t="shared" si="305"/>
        <v/>
      </c>
      <c r="CG294" s="1" t="str">
        <f t="shared" si="306"/>
        <v/>
      </c>
      <c r="CH294" s="1" t="str">
        <f t="shared" si="307"/>
        <v/>
      </c>
      <c r="CI294" s="1" t="str">
        <f t="shared" si="308"/>
        <v/>
      </c>
      <c r="CJ294" s="1" t="str">
        <f>IF(B294="","",IF(SUM(AI294:AK294)&gt;0,"+SP","")&amp;IF(CI294&gt;0,"+KK","")&amp;IF(AB294&gt;0,"+KGP1","")&amp;IF(AC294&gt;0,"+KGP2","")&amp;IF(AG294&lt;0,"-KGP1","")&amp;IF(AH294&lt;0,"-KGP2",""))</f>
        <v/>
      </c>
    </row>
    <row r="295" spans="1:88" x14ac:dyDescent="0.25">
      <c r="A295" s="1" t="str">
        <f>IFERROR(IF(ROW(A294)=1,1,IF(1+A294&lt;=$CP$1*$CP$2,1+A294,"")),"")</f>
        <v/>
      </c>
      <c r="B295" s="1" t="str">
        <f>IF($I295="","",IF(ROW(B294)=1,1,ROUNDUP(A295/$CP$2,0)))</f>
        <v/>
      </c>
      <c r="C295" s="4" t="str">
        <f t="shared" si="253"/>
        <v/>
      </c>
      <c r="D295" s="4" t="str">
        <f t="shared" si="248"/>
        <v/>
      </c>
      <c r="E295" s="1" t="str">
        <f>IF($B295="","",COUNTIF($B$2:B295,B295))</f>
        <v/>
      </c>
      <c r="F295" s="1" t="str">
        <f t="shared" si="249"/>
        <v/>
      </c>
      <c r="G295" s="1" t="str">
        <f t="shared" si="254"/>
        <v/>
      </c>
      <c r="H295" s="1">
        <f t="shared" si="255"/>
        <v>0</v>
      </c>
      <c r="I295" s="3"/>
      <c r="J295" s="3"/>
      <c r="K295" s="3"/>
      <c r="L295" s="1" t="str">
        <f t="shared" si="256"/>
        <v/>
      </c>
      <c r="M295" s="1" t="str">
        <f t="shared" si="257"/>
        <v/>
      </c>
      <c r="N295" s="1" t="str">
        <f t="shared" si="258"/>
        <v/>
      </c>
      <c r="O295" s="1" t="str">
        <f t="shared" si="259"/>
        <v/>
      </c>
      <c r="P295" s="1" t="str">
        <f t="shared" si="260"/>
        <v/>
      </c>
      <c r="Q295" s="1" t="str">
        <f t="array" ref="Q295">IF($B295="","",IF(MAX(IF(B295=$B$2:$B$313,$L$2:$L$313))-L295=0,"",MAX(IF(B295=$B$2:$B$313,$L$2:$L$313))-L295))</f>
        <v/>
      </c>
      <c r="R295" s="1" t="str">
        <f t="array" ref="R295">IF($B295="","",SUMPRODUCT(--($B$2:$B$313=B295),--(L295&lt;$L$2:$L$313))+1)</f>
        <v/>
      </c>
      <c r="S295" s="1" t="str">
        <f t="shared" si="261"/>
        <v/>
      </c>
      <c r="T295" s="1" t="str" cm="1">
        <f t="array" ref="T295">IF($B295="","",IF(M295=0,"",SUMPRODUCT(--($B$2:$B$313=B295),--(J295&lt;$J$2:$J$313))+1))</f>
        <v/>
      </c>
      <c r="U295" s="1" t="str">
        <f t="shared" si="262"/>
        <v/>
      </c>
      <c r="V295" s="1" t="str">
        <f t="shared" si="263"/>
        <v/>
      </c>
      <c r="W295" s="1" t="str">
        <f t="shared" si="264"/>
        <v/>
      </c>
      <c r="X295" s="1" t="str">
        <f t="shared" si="250"/>
        <v/>
      </c>
      <c r="Y295" s="1" t="str">
        <f>IF($B295="","",MAX(_xlfn.MAXIFS($J$2:J295,$I$2:I295,$I295),_xlfn.MAXIFS($K$2:K295,$I$2:I295,$I295)))</f>
        <v/>
      </c>
      <c r="Z295" s="1" t="str">
        <f t="shared" si="265"/>
        <v/>
      </c>
      <c r="AA295" s="1" t="str">
        <f t="shared" si="266"/>
        <v/>
      </c>
      <c r="AB295" s="1" t="str">
        <f t="shared" si="267"/>
        <v/>
      </c>
      <c r="AC295" s="1" t="str">
        <f t="shared" si="268"/>
        <v/>
      </c>
      <c r="AD295" s="1" t="str">
        <f>IF($B295="","",MIN(_xlfn.MINIFS($J$2:J295,$I$2:I295,$I295),_xlfn.MINIFS($K$2:K295,$I$2:I295,$I295)))</f>
        <v/>
      </c>
      <c r="AE295" s="1" t="str">
        <f t="shared" si="269"/>
        <v/>
      </c>
      <c r="AF295" s="1" t="str">
        <f t="shared" si="270"/>
        <v/>
      </c>
      <c r="AG295" s="1" t="str">
        <f t="shared" si="271"/>
        <v/>
      </c>
      <c r="AH295" s="1" t="str">
        <f t="shared" si="272"/>
        <v/>
      </c>
      <c r="AI295" s="1" t="str">
        <f ca="1">IF($B295="","",IF($K295="",0,OFFSET($CO$17,R295,W295)))</f>
        <v/>
      </c>
      <c r="AJ295" s="1" t="str">
        <f t="shared" ca="1" si="273"/>
        <v/>
      </c>
      <c r="AK295" s="1" t="str">
        <f ca="1">IF(AJ295="","",IF(AJ295=0,0,IF(W295=1,0,SUM(OFFSET($CO$17,N295,1):OFFSET($CO$17,N295+W295-2,1))/W295)))</f>
        <v/>
      </c>
      <c r="AL295" s="1" t="str">
        <f t="shared" si="274"/>
        <v/>
      </c>
      <c r="AM295" s="1" t="str">
        <f>IF($B295="","",SUMIFS($AL$2:AL295,$I$2:I295,$I295))</f>
        <v/>
      </c>
      <c r="AN295" s="1" t="str">
        <f t="shared" si="275"/>
        <v/>
      </c>
      <c r="AO295" s="1" t="str">
        <f>IFERROR(IF($B295="","",AVERAGEIFS($L$2:L295,$I$2:I295,I295,$L$2:L295,"&lt;&gt;0")),0)</f>
        <v/>
      </c>
      <c r="AP295" s="1" t="str">
        <f t="shared" si="276"/>
        <v/>
      </c>
      <c r="AQ295" s="1" t="str">
        <f>IF($B295="","",COUNTIFS($R$2:R295,1,$I$2:I295,$I295))</f>
        <v/>
      </c>
      <c r="AR295" s="1" t="str">
        <f t="array" ref="AR295">IF($B295="","",SUMPRODUCT(--($B$2:$B$313=B295),--(AM295&lt;$AM$2:$AM$313))+1)</f>
        <v/>
      </c>
      <c r="AS295" s="1" t="str">
        <f t="array" ref="AS295">IF($B295="","",SUMPRODUCT(--($B$2:$B$313=B295),--(AP295&lt;$AP$2:$AP$313))+1)</f>
        <v/>
      </c>
      <c r="AT295" s="1" t="str">
        <f t="array" ref="AT295">IF($B295="","",SUMPRODUCT(--($B$2:$B$313=B295),--(AQ295&lt;$AQ$2:$AQ$313))+1)</f>
        <v/>
      </c>
      <c r="AU295" s="1" t="str">
        <f t="shared" si="277"/>
        <v/>
      </c>
      <c r="AV295" s="1" t="str">
        <f t="shared" si="278"/>
        <v/>
      </c>
      <c r="AW295" s="1" t="str">
        <f t="shared" si="251"/>
        <v/>
      </c>
      <c r="AX295" s="1" t="str">
        <f t="shared" si="279"/>
        <v/>
      </c>
      <c r="AY295" s="8" t="str">
        <f t="shared" si="280"/>
        <v/>
      </c>
      <c r="AZ295" s="1" t="str" cm="1">
        <f t="array" ref="AZ295">IF($B295="","",SUMPRODUCT(--($B$2:$B$313=B295),--(AY295&gt;$AY$2:$AY$313))+1)</f>
        <v/>
      </c>
      <c r="BA295" s="1" t="str">
        <f t="shared" si="281"/>
        <v/>
      </c>
      <c r="BB295" s="1" t="str">
        <f t="shared" si="282"/>
        <v/>
      </c>
      <c r="BC295" s="1" t="str">
        <f t="shared" si="283"/>
        <v/>
      </c>
      <c r="BD295" s="1" t="str">
        <f t="shared" si="284"/>
        <v/>
      </c>
      <c r="BE295" s="1" t="str">
        <f t="shared" si="285"/>
        <v/>
      </c>
      <c r="BF295" s="1" t="str">
        <f t="shared" si="286"/>
        <v/>
      </c>
      <c r="BG295" s="1" t="str">
        <f t="shared" si="287"/>
        <v/>
      </c>
      <c r="BH295" s="1" t="str">
        <f t="shared" si="288"/>
        <v/>
      </c>
      <c r="BI295" s="1" t="str">
        <f t="shared" si="289"/>
        <v/>
      </c>
      <c r="BJ295" s="1" t="str">
        <f t="shared" si="290"/>
        <v/>
      </c>
      <c r="BK295" s="1" t="str">
        <f t="shared" si="291"/>
        <v/>
      </c>
      <c r="BL295" s="1" t="str">
        <f t="shared" si="292"/>
        <v/>
      </c>
      <c r="BM295" s="1" t="str">
        <f t="shared" si="293"/>
        <v/>
      </c>
      <c r="BN295" s="1" t="str">
        <f t="shared" si="294"/>
        <v/>
      </c>
      <c r="BO295" s="1" t="str">
        <f t="shared" si="252"/>
        <v/>
      </c>
      <c r="BP295" s="1" t="str">
        <f t="shared" si="295"/>
        <v/>
      </c>
      <c r="BQ295" s="1" t="str" cm="1">
        <f t="array" ref="BQ295">IF(I295="","",IF(BP295=1,"",IF(L295=0,"",IF(B295=1,"",_xlfn.XLOOKUP(1,($I$2:$I$313=$I295)*($B$2:$B$313=($B295-1)),$BO$2:$BO$313)))))</f>
        <v/>
      </c>
      <c r="BR295" s="1" t="str">
        <f>IF(I295="","",IF($B295=1,_xlfn.MINIFS($BO$2:$BO$313,$B$2:$B$313,$B295),_xlfn.MINIFS(BQ$2:$BQ$313,$B$2:$B$313,$B295)))</f>
        <v/>
      </c>
      <c r="BS295" s="1" t="str">
        <f t="shared" si="296"/>
        <v/>
      </c>
      <c r="BT295" s="1" t="str" cm="1">
        <f t="array" ref="BT295">IF($I295="","",IF($B295=1,_xlfn.XLOOKUP(1,($B$2:$B$313=$B295)*($BO$2:$BO$313=BR295),Data!$I$2:$I$313,,0),_xlfn.XLOOKUP(1,($B$2:$B$313=$B295)*($BQ$2:$BQ$313=$BR295),$I$2:$I$313,,0)))</f>
        <v/>
      </c>
      <c r="BU295" s="1" t="str" cm="1">
        <f t="array" ref="BU295">IF(I295="","",IF($B295=1,_xlfn.XLOOKUP(1,($B$2:$B$313=$B295)*($BO$2:$BO$313=$BS295),$I$2:$I$313,,0),_xlfn.XLOOKUP(1,($B$2:$B$313=$B295)*($BQ$2:$BQ$313=$BS295),$I$2:$I$313,,0)))</f>
        <v/>
      </c>
      <c r="BV295" s="1" t="str" cm="1">
        <f t="array" ref="BV295">IF($I295="","",IF($B295=1,"",IF($B295=2,_xlfn.XLOOKUP(1,($B$2:$B$313=1)*($BO$2:$BO$313=1),$I$2:$I$313,,0),_xlfn.XLOOKUP($B295-1,$B$2:$B$313,$CH$2:$CH$313,,0))))</f>
        <v/>
      </c>
      <c r="BW295" s="1" t="str" cm="1">
        <f t="array" ref="BW295">IF($I295="","",IF($B295=1,"",IF(_xlfn.XLOOKUP(1,($B$2:$B$313=$B295)*($I$2:$I$313=$BV295),$BQ$2:$BQ$313,,0)="","NOK","OK")))</f>
        <v/>
      </c>
      <c r="BX295" s="1" t="str">
        <f t="shared" si="297"/>
        <v/>
      </c>
      <c r="BY295" s="1" t="str">
        <f t="shared" si="298"/>
        <v/>
      </c>
      <c r="BZ295" s="1" t="str">
        <f t="shared" si="299"/>
        <v/>
      </c>
      <c r="CA295" s="1" t="str">
        <f t="shared" si="300"/>
        <v/>
      </c>
      <c r="CB295" s="1" t="str">
        <f t="shared" si="301"/>
        <v/>
      </c>
      <c r="CC295" s="1" t="str">
        <f t="shared" si="302"/>
        <v/>
      </c>
      <c r="CD295" s="1" t="str">
        <f t="shared" si="303"/>
        <v/>
      </c>
      <c r="CE295" s="1" t="str">
        <f t="shared" si="304"/>
        <v/>
      </c>
      <c r="CF295" s="1" t="str">
        <f t="shared" si="305"/>
        <v/>
      </c>
      <c r="CG295" s="1" t="str">
        <f t="shared" si="306"/>
        <v/>
      </c>
      <c r="CH295" s="1" t="str">
        <f t="shared" si="307"/>
        <v/>
      </c>
      <c r="CI295" s="1" t="str">
        <f t="shared" si="308"/>
        <v/>
      </c>
      <c r="CJ295" s="1" t="str">
        <f>IF(B295="","",IF(SUM(AI295:AK295)&gt;0,"+SP","")&amp;IF(CI295&gt;0,"+KK","")&amp;IF(AB295&gt;0,"+KGP1","")&amp;IF(AC295&gt;0,"+KGP2","")&amp;IF(AG295&lt;0,"-KGP1","")&amp;IF(AH295&lt;0,"-KGP2",""))</f>
        <v/>
      </c>
    </row>
    <row r="296" spans="1:88" x14ac:dyDescent="0.25">
      <c r="A296" s="1" t="str">
        <f>IFERROR(IF(ROW(A295)=1,1,IF(1+A295&lt;=$CP$1*$CP$2,1+A295,"")),"")</f>
        <v/>
      </c>
      <c r="B296" s="1" t="str">
        <f>IF($I296="","",IF(ROW(B295)=1,1,ROUNDUP(A296/$CP$2,0)))</f>
        <v/>
      </c>
      <c r="C296" s="4" t="str">
        <f t="shared" si="253"/>
        <v/>
      </c>
      <c r="D296" s="4" t="str">
        <f t="shared" si="248"/>
        <v/>
      </c>
      <c r="E296" s="1" t="str">
        <f>IF($B296="","",COUNTIF($B$2:B296,B296))</f>
        <v/>
      </c>
      <c r="F296" s="1" t="str">
        <f t="shared" si="249"/>
        <v/>
      </c>
      <c r="G296" s="1" t="str">
        <f t="shared" si="254"/>
        <v/>
      </c>
      <c r="H296" s="1">
        <f t="shared" si="255"/>
        <v>0</v>
      </c>
      <c r="I296" s="3"/>
      <c r="J296" s="3"/>
      <c r="K296" s="3"/>
      <c r="L296" s="1" t="str">
        <f t="shared" si="256"/>
        <v/>
      </c>
      <c r="M296" s="1" t="str">
        <f t="shared" si="257"/>
        <v/>
      </c>
      <c r="N296" s="1" t="str">
        <f t="shared" si="258"/>
        <v/>
      </c>
      <c r="O296" s="1" t="str">
        <f t="shared" si="259"/>
        <v/>
      </c>
      <c r="P296" s="1" t="str">
        <f t="shared" si="260"/>
        <v/>
      </c>
      <c r="Q296" s="1" t="str">
        <f t="array" ref="Q296">IF($B296="","",IF(MAX(IF(B296=$B$2:$B$313,$L$2:$L$313))-L296=0,"",MAX(IF(B296=$B$2:$B$313,$L$2:$L$313))-L296))</f>
        <v/>
      </c>
      <c r="R296" s="1" t="str">
        <f t="array" ref="R296">IF($B296="","",SUMPRODUCT(--($B$2:$B$313=B296),--(L296&lt;$L$2:$L$313))+1)</f>
        <v/>
      </c>
      <c r="S296" s="1" t="str">
        <f t="shared" si="261"/>
        <v/>
      </c>
      <c r="T296" s="1" t="str" cm="1">
        <f t="array" ref="T296">IF($B296="","",IF(M296=0,"",SUMPRODUCT(--($B$2:$B$313=B296),--(J296&lt;$J$2:$J$313))+1))</f>
        <v/>
      </c>
      <c r="U296" s="1" t="str">
        <f t="shared" si="262"/>
        <v/>
      </c>
      <c r="V296" s="1" t="str">
        <f t="shared" si="263"/>
        <v/>
      </c>
      <c r="W296" s="1" t="str">
        <f t="shared" si="264"/>
        <v/>
      </c>
      <c r="X296" s="1" t="str">
        <f t="shared" si="250"/>
        <v/>
      </c>
      <c r="Y296" s="1" t="str">
        <f>IF($B296="","",MAX(_xlfn.MAXIFS($J$2:J296,$I$2:I296,$I296),_xlfn.MAXIFS($K$2:K296,$I$2:I296,$I296)))</f>
        <v/>
      </c>
      <c r="Z296" s="1" t="str">
        <f t="shared" si="265"/>
        <v/>
      </c>
      <c r="AA296" s="1" t="str">
        <f t="shared" si="266"/>
        <v/>
      </c>
      <c r="AB296" s="1" t="str">
        <f t="shared" si="267"/>
        <v/>
      </c>
      <c r="AC296" s="1" t="str">
        <f t="shared" si="268"/>
        <v/>
      </c>
      <c r="AD296" s="1" t="str">
        <f>IF($B296="","",MIN(_xlfn.MINIFS($J$2:J296,$I$2:I296,$I296),_xlfn.MINIFS($K$2:K296,$I$2:I296,$I296)))</f>
        <v/>
      </c>
      <c r="AE296" s="1" t="str">
        <f t="shared" si="269"/>
        <v/>
      </c>
      <c r="AF296" s="1" t="str">
        <f t="shared" si="270"/>
        <v/>
      </c>
      <c r="AG296" s="1" t="str">
        <f t="shared" si="271"/>
        <v/>
      </c>
      <c r="AH296" s="1" t="str">
        <f t="shared" si="272"/>
        <v/>
      </c>
      <c r="AI296" s="1" t="str">
        <f ca="1">IF($B296="","",IF($K296="",0,OFFSET($CO$17,R296,W296)))</f>
        <v/>
      </c>
      <c r="AJ296" s="1" t="str">
        <f t="shared" ca="1" si="273"/>
        <v/>
      </c>
      <c r="AK296" s="1" t="str">
        <f ca="1">IF(AJ296="","",IF(AJ296=0,0,IF(W296=1,0,SUM(OFFSET($CO$17,N296,1):OFFSET($CO$17,N296+W296-2,1))/W296)))</f>
        <v/>
      </c>
      <c r="AL296" s="1" t="str">
        <f t="shared" si="274"/>
        <v/>
      </c>
      <c r="AM296" s="1" t="str">
        <f>IF($B296="","",SUMIFS($AL$2:AL296,$I$2:I296,$I296))</f>
        <v/>
      </c>
      <c r="AN296" s="1" t="str">
        <f t="shared" si="275"/>
        <v/>
      </c>
      <c r="AO296" s="1" t="str">
        <f>IFERROR(IF($B296="","",AVERAGEIFS($L$2:L296,$I$2:I296,I296,$L$2:L296,"&lt;&gt;0")),0)</f>
        <v/>
      </c>
      <c r="AP296" s="1" t="str">
        <f t="shared" si="276"/>
        <v/>
      </c>
      <c r="AQ296" s="1" t="str">
        <f>IF($B296="","",COUNTIFS($R$2:R296,1,$I$2:I296,$I296))</f>
        <v/>
      </c>
      <c r="AR296" s="1" t="str">
        <f t="array" ref="AR296">IF($B296="","",SUMPRODUCT(--($B$2:$B$313=B296),--(AM296&lt;$AM$2:$AM$313))+1)</f>
        <v/>
      </c>
      <c r="AS296" s="1" t="str">
        <f t="array" ref="AS296">IF($B296="","",SUMPRODUCT(--($B$2:$B$313=B296),--(AP296&lt;$AP$2:$AP$313))+1)</f>
        <v/>
      </c>
      <c r="AT296" s="1" t="str">
        <f t="array" ref="AT296">IF($B296="","",SUMPRODUCT(--($B$2:$B$313=B296),--(AQ296&lt;$AQ$2:$AQ$313))+1)</f>
        <v/>
      </c>
      <c r="AU296" s="1" t="str">
        <f t="shared" si="277"/>
        <v/>
      </c>
      <c r="AV296" s="1" t="str">
        <f t="shared" si="278"/>
        <v/>
      </c>
      <c r="AW296" s="1" t="str">
        <f t="shared" si="251"/>
        <v/>
      </c>
      <c r="AX296" s="1" t="str">
        <f t="shared" si="279"/>
        <v/>
      </c>
      <c r="AY296" s="8" t="str">
        <f t="shared" si="280"/>
        <v/>
      </c>
      <c r="AZ296" s="1" t="str" cm="1">
        <f t="array" ref="AZ296">IF($B296="","",SUMPRODUCT(--($B$2:$B$313=B296),--(AY296&gt;$AY$2:$AY$313))+1)</f>
        <v/>
      </c>
      <c r="BA296" s="1" t="str">
        <f t="shared" si="281"/>
        <v/>
      </c>
      <c r="BB296" s="1" t="str">
        <f t="shared" si="282"/>
        <v/>
      </c>
      <c r="BC296" s="1" t="str">
        <f t="shared" si="283"/>
        <v/>
      </c>
      <c r="BD296" s="1" t="str">
        <f t="shared" si="284"/>
        <v/>
      </c>
      <c r="BE296" s="1" t="str">
        <f t="shared" si="285"/>
        <v/>
      </c>
      <c r="BF296" s="1" t="str">
        <f t="shared" si="286"/>
        <v/>
      </c>
      <c r="BG296" s="1" t="str">
        <f t="shared" si="287"/>
        <v/>
      </c>
      <c r="BH296" s="1" t="str">
        <f t="shared" si="288"/>
        <v/>
      </c>
      <c r="BI296" s="1" t="str">
        <f t="shared" si="289"/>
        <v/>
      </c>
      <c r="BJ296" s="1" t="str">
        <f t="shared" si="290"/>
        <v/>
      </c>
      <c r="BK296" s="1" t="str">
        <f t="shared" si="291"/>
        <v/>
      </c>
      <c r="BL296" s="1" t="str">
        <f t="shared" si="292"/>
        <v/>
      </c>
      <c r="BM296" s="1" t="str">
        <f t="shared" si="293"/>
        <v/>
      </c>
      <c r="BN296" s="1" t="str">
        <f t="shared" si="294"/>
        <v/>
      </c>
      <c r="BO296" s="1" t="str">
        <f t="shared" si="252"/>
        <v/>
      </c>
      <c r="BP296" s="1" t="str">
        <f t="shared" si="295"/>
        <v/>
      </c>
      <c r="BQ296" s="1" t="str" cm="1">
        <f t="array" ref="BQ296">IF(I296="","",IF(BP296=1,"",IF(L296=0,"",IF(B296=1,"",_xlfn.XLOOKUP(1,($I$2:$I$313=$I296)*($B$2:$B$313=($B296-1)),$BO$2:$BO$313)))))</f>
        <v/>
      </c>
      <c r="BR296" s="1" t="str">
        <f>IF(I296="","",IF($B296=1,_xlfn.MINIFS($BO$2:$BO$313,$B$2:$B$313,$B296),_xlfn.MINIFS(BQ$2:$BQ$313,$B$2:$B$313,$B296)))</f>
        <v/>
      </c>
      <c r="BS296" s="1" t="str">
        <f t="shared" si="296"/>
        <v/>
      </c>
      <c r="BT296" s="1" t="str" cm="1">
        <f t="array" ref="BT296">IF($I296="","",IF($B296=1,_xlfn.XLOOKUP(1,($B$2:$B$313=$B296)*($BO$2:$BO$313=BR296),Data!$I$2:$I$313,,0),_xlfn.XLOOKUP(1,($B$2:$B$313=$B296)*($BQ$2:$BQ$313=$BR296),$I$2:$I$313,,0)))</f>
        <v/>
      </c>
      <c r="BU296" s="1" t="str" cm="1">
        <f t="array" ref="BU296">IF(I296="","",IF($B296=1,_xlfn.XLOOKUP(1,($B$2:$B$313=$B296)*($BO$2:$BO$313=$BS296),$I$2:$I$313,,0),_xlfn.XLOOKUP(1,($B$2:$B$313=$B296)*($BQ$2:$BQ$313=$BS296),$I$2:$I$313,,0)))</f>
        <v/>
      </c>
      <c r="BV296" s="1" t="str" cm="1">
        <f t="array" ref="BV296">IF($I296="","",IF($B296=1,"",IF($B296=2,_xlfn.XLOOKUP(1,($B$2:$B$313=1)*($BO$2:$BO$313=1),$I$2:$I$313,,0),_xlfn.XLOOKUP($B296-1,$B$2:$B$313,$CH$2:$CH$313,,0))))</f>
        <v/>
      </c>
      <c r="BW296" s="1" t="str" cm="1">
        <f t="array" ref="BW296">IF($I296="","",IF($B296=1,"",IF(_xlfn.XLOOKUP(1,($B$2:$B$313=$B296)*($I$2:$I$313=$BV296),$BQ$2:$BQ$313,,0)="","NOK","OK")))</f>
        <v/>
      </c>
      <c r="BX296" s="1" t="str">
        <f t="shared" si="297"/>
        <v/>
      </c>
      <c r="BY296" s="1" t="str">
        <f t="shared" si="298"/>
        <v/>
      </c>
      <c r="BZ296" s="1" t="str">
        <f t="shared" si="299"/>
        <v/>
      </c>
      <c r="CA296" s="1" t="str">
        <f t="shared" si="300"/>
        <v/>
      </c>
      <c r="CB296" s="1" t="str">
        <f t="shared" si="301"/>
        <v/>
      </c>
      <c r="CC296" s="1" t="str">
        <f t="shared" si="302"/>
        <v/>
      </c>
      <c r="CD296" s="1" t="str">
        <f t="shared" si="303"/>
        <v/>
      </c>
      <c r="CE296" s="1" t="str">
        <f t="shared" si="304"/>
        <v/>
      </c>
      <c r="CF296" s="1" t="str">
        <f t="shared" si="305"/>
        <v/>
      </c>
      <c r="CG296" s="1" t="str">
        <f t="shared" si="306"/>
        <v/>
      </c>
      <c r="CH296" s="1" t="str">
        <f t="shared" si="307"/>
        <v/>
      </c>
      <c r="CI296" s="1" t="str">
        <f t="shared" si="308"/>
        <v/>
      </c>
      <c r="CJ296" s="1" t="str">
        <f>IF(B296="","",IF(SUM(AI296:AK296)&gt;0,"+SP","")&amp;IF(CI296&gt;0,"+KK","")&amp;IF(AB296&gt;0,"+KGP1","")&amp;IF(AC296&gt;0,"+KGP2","")&amp;IF(AG296&lt;0,"-KGP1","")&amp;IF(AH296&lt;0,"-KGP2",""))</f>
        <v/>
      </c>
    </row>
    <row r="297" spans="1:88" x14ac:dyDescent="0.25">
      <c r="A297" s="1" t="str">
        <f>IFERROR(IF(ROW(A296)=1,1,IF(1+A296&lt;=$CP$1*$CP$2,1+A296,"")),"")</f>
        <v/>
      </c>
      <c r="B297" s="1" t="str">
        <f>IF($I297="","",IF(ROW(B296)=1,1,ROUNDUP(A297/$CP$2,0)))</f>
        <v/>
      </c>
      <c r="C297" s="4" t="str">
        <f t="shared" si="253"/>
        <v/>
      </c>
      <c r="D297" s="4" t="str">
        <f t="shared" si="248"/>
        <v/>
      </c>
      <c r="E297" s="1" t="str">
        <f>IF($B297="","",COUNTIF($B$2:B297,B297))</f>
        <v/>
      </c>
      <c r="F297" s="1" t="str">
        <f t="shared" si="249"/>
        <v/>
      </c>
      <c r="G297" s="1" t="str">
        <f t="shared" si="254"/>
        <v/>
      </c>
      <c r="H297" s="1">
        <f t="shared" si="255"/>
        <v>0</v>
      </c>
      <c r="I297" s="3"/>
      <c r="J297" s="3"/>
      <c r="K297" s="3"/>
      <c r="L297" s="1" t="str">
        <f t="shared" si="256"/>
        <v/>
      </c>
      <c r="M297" s="1" t="str">
        <f t="shared" si="257"/>
        <v/>
      </c>
      <c r="N297" s="1" t="str">
        <f t="shared" si="258"/>
        <v/>
      </c>
      <c r="O297" s="1" t="str">
        <f t="shared" si="259"/>
        <v/>
      </c>
      <c r="P297" s="1" t="str">
        <f t="shared" si="260"/>
        <v/>
      </c>
      <c r="Q297" s="1" t="str">
        <f t="array" ref="Q297">IF($B297="","",IF(MAX(IF(B297=$B$2:$B$313,$L$2:$L$313))-L297=0,"",MAX(IF(B297=$B$2:$B$313,$L$2:$L$313))-L297))</f>
        <v/>
      </c>
      <c r="R297" s="1" t="str">
        <f t="array" ref="R297">IF($B297="","",SUMPRODUCT(--($B$2:$B$313=B297),--(L297&lt;$L$2:$L$313))+1)</f>
        <v/>
      </c>
      <c r="S297" s="1" t="str">
        <f t="shared" si="261"/>
        <v/>
      </c>
      <c r="T297" s="1" t="str" cm="1">
        <f t="array" ref="T297">IF($B297="","",IF(M297=0,"",SUMPRODUCT(--($B$2:$B$313=B297),--(J297&lt;$J$2:$J$313))+1))</f>
        <v/>
      </c>
      <c r="U297" s="1" t="str">
        <f t="shared" si="262"/>
        <v/>
      </c>
      <c r="V297" s="1" t="str">
        <f t="shared" si="263"/>
        <v/>
      </c>
      <c r="W297" s="1" t="str">
        <f t="shared" si="264"/>
        <v/>
      </c>
      <c r="X297" s="1" t="str">
        <f t="shared" si="250"/>
        <v/>
      </c>
      <c r="Y297" s="1" t="str">
        <f>IF($B297="","",MAX(_xlfn.MAXIFS($J$2:J297,$I$2:I297,$I297),_xlfn.MAXIFS($K$2:K297,$I$2:I297,$I297)))</f>
        <v/>
      </c>
      <c r="Z297" s="1" t="str">
        <f t="shared" si="265"/>
        <v/>
      </c>
      <c r="AA297" s="1" t="str">
        <f t="shared" si="266"/>
        <v/>
      </c>
      <c r="AB297" s="1" t="str">
        <f t="shared" si="267"/>
        <v/>
      </c>
      <c r="AC297" s="1" t="str">
        <f t="shared" si="268"/>
        <v/>
      </c>
      <c r="AD297" s="1" t="str">
        <f>IF($B297="","",MIN(_xlfn.MINIFS($J$2:J297,$I$2:I297,$I297),_xlfn.MINIFS($K$2:K297,$I$2:I297,$I297)))</f>
        <v/>
      </c>
      <c r="AE297" s="1" t="str">
        <f t="shared" si="269"/>
        <v/>
      </c>
      <c r="AF297" s="1" t="str">
        <f t="shared" si="270"/>
        <v/>
      </c>
      <c r="AG297" s="1" t="str">
        <f t="shared" si="271"/>
        <v/>
      </c>
      <c r="AH297" s="1" t="str">
        <f t="shared" si="272"/>
        <v/>
      </c>
      <c r="AI297" s="1" t="str">
        <f ca="1">IF($B297="","",IF($K297="",0,OFFSET($CO$17,R297,W297)))</f>
        <v/>
      </c>
      <c r="AJ297" s="1" t="str">
        <f t="shared" ca="1" si="273"/>
        <v/>
      </c>
      <c r="AK297" s="1" t="str">
        <f ca="1">IF(AJ297="","",IF(AJ297=0,0,IF(W297=1,0,SUM(OFFSET($CO$17,N297,1):OFFSET($CO$17,N297+W297-2,1))/W297)))</f>
        <v/>
      </c>
      <c r="AL297" s="1" t="str">
        <f t="shared" si="274"/>
        <v/>
      </c>
      <c r="AM297" s="1" t="str">
        <f>IF($B297="","",SUMIFS($AL$2:AL297,$I$2:I297,$I297))</f>
        <v/>
      </c>
      <c r="AN297" s="1" t="str">
        <f t="shared" si="275"/>
        <v/>
      </c>
      <c r="AO297" s="1" t="str">
        <f>IFERROR(IF($B297="","",AVERAGEIFS($L$2:L297,$I$2:I297,I297,$L$2:L297,"&lt;&gt;0")),0)</f>
        <v/>
      </c>
      <c r="AP297" s="1" t="str">
        <f t="shared" si="276"/>
        <v/>
      </c>
      <c r="AQ297" s="1" t="str">
        <f>IF($B297="","",COUNTIFS($R$2:R297,1,$I$2:I297,$I297))</f>
        <v/>
      </c>
      <c r="AR297" s="1" t="str">
        <f t="array" ref="AR297">IF($B297="","",SUMPRODUCT(--($B$2:$B$313=B297),--(AM297&lt;$AM$2:$AM$313))+1)</f>
        <v/>
      </c>
      <c r="AS297" s="1" t="str">
        <f t="array" ref="AS297">IF($B297="","",SUMPRODUCT(--($B$2:$B$313=B297),--(AP297&lt;$AP$2:$AP$313))+1)</f>
        <v/>
      </c>
      <c r="AT297" s="1" t="str">
        <f t="array" ref="AT297">IF($B297="","",SUMPRODUCT(--($B$2:$B$313=B297),--(AQ297&lt;$AQ$2:$AQ$313))+1)</f>
        <v/>
      </c>
      <c r="AU297" s="1" t="str">
        <f t="shared" si="277"/>
        <v/>
      </c>
      <c r="AV297" s="1" t="str">
        <f t="shared" si="278"/>
        <v/>
      </c>
      <c r="AW297" s="1" t="str">
        <f t="shared" si="251"/>
        <v/>
      </c>
      <c r="AX297" s="1" t="str">
        <f t="shared" si="279"/>
        <v/>
      </c>
      <c r="AY297" s="8" t="str">
        <f t="shared" si="280"/>
        <v/>
      </c>
      <c r="AZ297" s="1" t="str" cm="1">
        <f t="array" ref="AZ297">IF($B297="","",SUMPRODUCT(--($B$2:$B$313=B297),--(AY297&gt;$AY$2:$AY$313))+1)</f>
        <v/>
      </c>
      <c r="BA297" s="1" t="str">
        <f t="shared" si="281"/>
        <v/>
      </c>
      <c r="BB297" s="1" t="str">
        <f t="shared" si="282"/>
        <v/>
      </c>
      <c r="BC297" s="1" t="str">
        <f t="shared" si="283"/>
        <v/>
      </c>
      <c r="BD297" s="1" t="str">
        <f t="shared" si="284"/>
        <v/>
      </c>
      <c r="BE297" s="1" t="str">
        <f t="shared" si="285"/>
        <v/>
      </c>
      <c r="BF297" s="1" t="str">
        <f t="shared" si="286"/>
        <v/>
      </c>
      <c r="BG297" s="1" t="str">
        <f t="shared" si="287"/>
        <v/>
      </c>
      <c r="BH297" s="1" t="str">
        <f t="shared" si="288"/>
        <v/>
      </c>
      <c r="BI297" s="1" t="str">
        <f t="shared" si="289"/>
        <v/>
      </c>
      <c r="BJ297" s="1" t="str">
        <f t="shared" si="290"/>
        <v/>
      </c>
      <c r="BK297" s="1" t="str">
        <f t="shared" si="291"/>
        <v/>
      </c>
      <c r="BL297" s="1" t="str">
        <f t="shared" si="292"/>
        <v/>
      </c>
      <c r="BM297" s="1" t="str">
        <f t="shared" si="293"/>
        <v/>
      </c>
      <c r="BN297" s="1" t="str">
        <f t="shared" si="294"/>
        <v/>
      </c>
      <c r="BO297" s="1" t="str">
        <f t="shared" si="252"/>
        <v/>
      </c>
      <c r="BP297" s="1" t="str">
        <f t="shared" si="295"/>
        <v/>
      </c>
      <c r="BQ297" s="1" t="str" cm="1">
        <f t="array" ref="BQ297">IF(I297="","",IF(BP297=1,"",IF(L297=0,"",IF(B297=1,"",_xlfn.XLOOKUP(1,($I$2:$I$313=$I297)*($B$2:$B$313=($B297-1)),$BO$2:$BO$313)))))</f>
        <v/>
      </c>
      <c r="BR297" s="1" t="str">
        <f>IF(I297="","",IF($B297=1,_xlfn.MINIFS($BO$2:$BO$313,$B$2:$B$313,$B297),_xlfn.MINIFS(BQ$2:$BQ$313,$B$2:$B$313,$B297)))</f>
        <v/>
      </c>
      <c r="BS297" s="1" t="str">
        <f t="shared" si="296"/>
        <v/>
      </c>
      <c r="BT297" s="1" t="str" cm="1">
        <f t="array" ref="BT297">IF($I297="","",IF($B297=1,_xlfn.XLOOKUP(1,($B$2:$B$313=$B297)*($BO$2:$BO$313=BR297),Data!$I$2:$I$313,,0),_xlfn.XLOOKUP(1,($B$2:$B$313=$B297)*($BQ$2:$BQ$313=$BR297),$I$2:$I$313,,0)))</f>
        <v/>
      </c>
      <c r="BU297" s="1" t="str" cm="1">
        <f t="array" ref="BU297">IF(I297="","",IF($B297=1,_xlfn.XLOOKUP(1,($B$2:$B$313=$B297)*($BO$2:$BO$313=$BS297),$I$2:$I$313,,0),_xlfn.XLOOKUP(1,($B$2:$B$313=$B297)*($BQ$2:$BQ$313=$BS297),$I$2:$I$313,,0)))</f>
        <v/>
      </c>
      <c r="BV297" s="1" t="str" cm="1">
        <f t="array" ref="BV297">IF($I297="","",IF($B297=1,"",IF($B297=2,_xlfn.XLOOKUP(1,($B$2:$B$313=1)*($BO$2:$BO$313=1),$I$2:$I$313,,0),_xlfn.XLOOKUP($B297-1,$B$2:$B$313,$CH$2:$CH$313,,0))))</f>
        <v/>
      </c>
      <c r="BW297" s="1" t="str" cm="1">
        <f t="array" ref="BW297">IF($I297="","",IF($B297=1,"",IF(_xlfn.XLOOKUP(1,($B$2:$B$313=$B297)*($I$2:$I$313=$BV297),$BQ$2:$BQ$313,,0)="","NOK","OK")))</f>
        <v/>
      </c>
      <c r="BX297" s="1" t="str">
        <f t="shared" si="297"/>
        <v/>
      </c>
      <c r="BY297" s="1" t="str">
        <f t="shared" si="298"/>
        <v/>
      </c>
      <c r="BZ297" s="1" t="str">
        <f t="shared" si="299"/>
        <v/>
      </c>
      <c r="CA297" s="1" t="str">
        <f t="shared" si="300"/>
        <v/>
      </c>
      <c r="CB297" s="1" t="str">
        <f t="shared" si="301"/>
        <v/>
      </c>
      <c r="CC297" s="1" t="str">
        <f t="shared" si="302"/>
        <v/>
      </c>
      <c r="CD297" s="1" t="str">
        <f t="shared" si="303"/>
        <v/>
      </c>
      <c r="CE297" s="1" t="str">
        <f t="shared" si="304"/>
        <v/>
      </c>
      <c r="CF297" s="1" t="str">
        <f t="shared" si="305"/>
        <v/>
      </c>
      <c r="CG297" s="1" t="str">
        <f t="shared" si="306"/>
        <v/>
      </c>
      <c r="CH297" s="1" t="str">
        <f t="shared" si="307"/>
        <v/>
      </c>
      <c r="CI297" s="1" t="str">
        <f t="shared" si="308"/>
        <v/>
      </c>
      <c r="CJ297" s="1" t="str">
        <f>IF(B297="","",IF(SUM(AI297:AK297)&gt;0,"+SP","")&amp;IF(CI297&gt;0,"+KK","")&amp;IF(AB297&gt;0,"+KGP1","")&amp;IF(AC297&gt;0,"+KGP2","")&amp;IF(AG297&lt;0,"-KGP1","")&amp;IF(AH297&lt;0,"-KGP2",""))</f>
        <v/>
      </c>
    </row>
    <row r="298" spans="1:88" x14ac:dyDescent="0.25">
      <c r="A298" s="1" t="str">
        <f>IFERROR(IF(ROW(A297)=1,1,IF(1+A297&lt;=$CP$1*$CP$2,1+A297,"")),"")</f>
        <v/>
      </c>
      <c r="B298" s="1" t="str">
        <f>IF($I298="","",IF(ROW(B297)=1,1,ROUNDUP(A298/$CP$2,0)))</f>
        <v/>
      </c>
      <c r="C298" s="4" t="str">
        <f t="shared" si="253"/>
        <v/>
      </c>
      <c r="D298" s="4" t="str">
        <f t="shared" si="248"/>
        <v/>
      </c>
      <c r="E298" s="1" t="str">
        <f>IF($B298="","",COUNTIF($B$2:B298,B298))</f>
        <v/>
      </c>
      <c r="F298" s="1" t="str">
        <f t="shared" si="249"/>
        <v/>
      </c>
      <c r="G298" s="1" t="str">
        <f t="shared" si="254"/>
        <v/>
      </c>
      <c r="H298" s="1">
        <f t="shared" si="255"/>
        <v>0</v>
      </c>
      <c r="I298" s="3"/>
      <c r="J298" s="3"/>
      <c r="K298" s="3"/>
      <c r="L298" s="1" t="str">
        <f t="shared" si="256"/>
        <v/>
      </c>
      <c r="M298" s="1" t="str">
        <f t="shared" si="257"/>
        <v/>
      </c>
      <c r="N298" s="1" t="str">
        <f t="shared" si="258"/>
        <v/>
      </c>
      <c r="O298" s="1" t="str">
        <f t="shared" si="259"/>
        <v/>
      </c>
      <c r="P298" s="1" t="str">
        <f t="shared" si="260"/>
        <v/>
      </c>
      <c r="Q298" s="1" t="str">
        <f t="array" ref="Q298">IF($B298="","",IF(MAX(IF(B298=$B$2:$B$313,$L$2:$L$313))-L298=0,"",MAX(IF(B298=$B$2:$B$313,$L$2:$L$313))-L298))</f>
        <v/>
      </c>
      <c r="R298" s="1" t="str">
        <f t="array" ref="R298">IF($B298="","",SUMPRODUCT(--($B$2:$B$313=B298),--(L298&lt;$L$2:$L$313))+1)</f>
        <v/>
      </c>
      <c r="S298" s="1" t="str">
        <f t="shared" si="261"/>
        <v/>
      </c>
      <c r="T298" s="1" t="str" cm="1">
        <f t="array" ref="T298">IF($B298="","",IF(M298=0,"",SUMPRODUCT(--($B$2:$B$313=B298),--(J298&lt;$J$2:$J$313))+1))</f>
        <v/>
      </c>
      <c r="U298" s="1" t="str">
        <f t="shared" si="262"/>
        <v/>
      </c>
      <c r="V298" s="1" t="str">
        <f t="shared" si="263"/>
        <v/>
      </c>
      <c r="W298" s="1" t="str">
        <f t="shared" si="264"/>
        <v/>
      </c>
      <c r="X298" s="1" t="str">
        <f t="shared" si="250"/>
        <v/>
      </c>
      <c r="Y298" s="1" t="str">
        <f>IF($B298="","",MAX(_xlfn.MAXIFS($J$2:J298,$I$2:I298,$I298),_xlfn.MAXIFS($K$2:K298,$I$2:I298,$I298)))</f>
        <v/>
      </c>
      <c r="Z298" s="1" t="str">
        <f t="shared" si="265"/>
        <v/>
      </c>
      <c r="AA298" s="1" t="str">
        <f t="shared" si="266"/>
        <v/>
      </c>
      <c r="AB298" s="1" t="str">
        <f t="shared" si="267"/>
        <v/>
      </c>
      <c r="AC298" s="1" t="str">
        <f t="shared" si="268"/>
        <v/>
      </c>
      <c r="AD298" s="1" t="str">
        <f>IF($B298="","",MIN(_xlfn.MINIFS($J$2:J298,$I$2:I298,$I298),_xlfn.MINIFS($K$2:K298,$I$2:I298,$I298)))</f>
        <v/>
      </c>
      <c r="AE298" s="1" t="str">
        <f t="shared" si="269"/>
        <v/>
      </c>
      <c r="AF298" s="1" t="str">
        <f t="shared" si="270"/>
        <v/>
      </c>
      <c r="AG298" s="1" t="str">
        <f t="shared" si="271"/>
        <v/>
      </c>
      <c r="AH298" s="1" t="str">
        <f t="shared" si="272"/>
        <v/>
      </c>
      <c r="AI298" s="1" t="str">
        <f ca="1">IF($B298="","",IF($K298="",0,OFFSET($CO$17,R298,W298)))</f>
        <v/>
      </c>
      <c r="AJ298" s="1" t="str">
        <f t="shared" ca="1" si="273"/>
        <v/>
      </c>
      <c r="AK298" s="1" t="str">
        <f ca="1">IF(AJ298="","",IF(AJ298=0,0,IF(W298=1,0,SUM(OFFSET($CO$17,N298,1):OFFSET($CO$17,N298+W298-2,1))/W298)))</f>
        <v/>
      </c>
      <c r="AL298" s="1" t="str">
        <f t="shared" si="274"/>
        <v/>
      </c>
      <c r="AM298" s="1" t="str">
        <f>IF($B298="","",SUMIFS($AL$2:AL298,$I$2:I298,$I298))</f>
        <v/>
      </c>
      <c r="AN298" s="1" t="str">
        <f t="shared" si="275"/>
        <v/>
      </c>
      <c r="AO298" s="1" t="str">
        <f>IFERROR(IF($B298="","",AVERAGEIFS($L$2:L298,$I$2:I298,I298,$L$2:L298,"&lt;&gt;0")),0)</f>
        <v/>
      </c>
      <c r="AP298" s="1" t="str">
        <f t="shared" si="276"/>
        <v/>
      </c>
      <c r="AQ298" s="1" t="str">
        <f>IF($B298="","",COUNTIFS($R$2:R298,1,$I$2:I298,$I298))</f>
        <v/>
      </c>
      <c r="AR298" s="1" t="str">
        <f t="array" ref="AR298">IF($B298="","",SUMPRODUCT(--($B$2:$B$313=B298),--(AM298&lt;$AM$2:$AM$313))+1)</f>
        <v/>
      </c>
      <c r="AS298" s="1" t="str">
        <f t="array" ref="AS298">IF($B298="","",SUMPRODUCT(--($B$2:$B$313=B298),--(AP298&lt;$AP$2:$AP$313))+1)</f>
        <v/>
      </c>
      <c r="AT298" s="1" t="str">
        <f t="array" ref="AT298">IF($B298="","",SUMPRODUCT(--($B$2:$B$313=B298),--(AQ298&lt;$AQ$2:$AQ$313))+1)</f>
        <v/>
      </c>
      <c r="AU298" s="1" t="str">
        <f t="shared" si="277"/>
        <v/>
      </c>
      <c r="AV298" s="1" t="str">
        <f t="shared" si="278"/>
        <v/>
      </c>
      <c r="AW298" s="1" t="str">
        <f t="shared" si="251"/>
        <v/>
      </c>
      <c r="AX298" s="1" t="str">
        <f t="shared" si="279"/>
        <v/>
      </c>
      <c r="AY298" s="8" t="str">
        <f t="shared" si="280"/>
        <v/>
      </c>
      <c r="AZ298" s="1" t="str" cm="1">
        <f t="array" ref="AZ298">IF($B298="","",SUMPRODUCT(--($B$2:$B$313=B298),--(AY298&gt;$AY$2:$AY$313))+1)</f>
        <v/>
      </c>
      <c r="BA298" s="1" t="str">
        <f t="shared" si="281"/>
        <v/>
      </c>
      <c r="BB298" s="1" t="str">
        <f t="shared" si="282"/>
        <v/>
      </c>
      <c r="BC298" s="1" t="str">
        <f t="shared" si="283"/>
        <v/>
      </c>
      <c r="BD298" s="1" t="str">
        <f t="shared" si="284"/>
        <v/>
      </c>
      <c r="BE298" s="1" t="str">
        <f t="shared" si="285"/>
        <v/>
      </c>
      <c r="BF298" s="1" t="str">
        <f t="shared" si="286"/>
        <v/>
      </c>
      <c r="BG298" s="1" t="str">
        <f t="shared" si="287"/>
        <v/>
      </c>
      <c r="BH298" s="1" t="str">
        <f t="shared" si="288"/>
        <v/>
      </c>
      <c r="BI298" s="1" t="str">
        <f t="shared" si="289"/>
        <v/>
      </c>
      <c r="BJ298" s="1" t="str">
        <f t="shared" si="290"/>
        <v/>
      </c>
      <c r="BK298" s="1" t="str">
        <f t="shared" si="291"/>
        <v/>
      </c>
      <c r="BL298" s="1" t="str">
        <f t="shared" si="292"/>
        <v/>
      </c>
      <c r="BM298" s="1" t="str">
        <f t="shared" si="293"/>
        <v/>
      </c>
      <c r="BN298" s="1" t="str">
        <f t="shared" si="294"/>
        <v/>
      </c>
      <c r="BO298" s="1" t="str">
        <f t="shared" si="252"/>
        <v/>
      </c>
      <c r="BP298" s="1" t="str">
        <f t="shared" si="295"/>
        <v/>
      </c>
      <c r="BQ298" s="1" t="str" cm="1">
        <f t="array" ref="BQ298">IF(I298="","",IF(BP298=1,"",IF(L298=0,"",IF(B298=1,"",_xlfn.XLOOKUP(1,($I$2:$I$313=$I298)*($B$2:$B$313=($B298-1)),$BO$2:$BO$313)))))</f>
        <v/>
      </c>
      <c r="BR298" s="1" t="str">
        <f>IF(I298="","",IF($B298=1,_xlfn.MINIFS($BO$2:$BO$313,$B$2:$B$313,$B298),_xlfn.MINIFS(BQ$2:$BQ$313,$B$2:$B$313,$B298)))</f>
        <v/>
      </c>
      <c r="BS298" s="1" t="str">
        <f t="shared" si="296"/>
        <v/>
      </c>
      <c r="BT298" s="1" t="str" cm="1">
        <f t="array" ref="BT298">IF($I298="","",IF($B298=1,_xlfn.XLOOKUP(1,($B$2:$B$313=$B298)*($BO$2:$BO$313=BR298),Data!$I$2:$I$313,,0),_xlfn.XLOOKUP(1,($B$2:$B$313=$B298)*($BQ$2:$BQ$313=$BR298),$I$2:$I$313,,0)))</f>
        <v/>
      </c>
      <c r="BU298" s="1" t="str" cm="1">
        <f t="array" ref="BU298">IF(I298="","",IF($B298=1,_xlfn.XLOOKUP(1,($B$2:$B$313=$B298)*($BO$2:$BO$313=$BS298),$I$2:$I$313,,0),_xlfn.XLOOKUP(1,($B$2:$B$313=$B298)*($BQ$2:$BQ$313=$BS298),$I$2:$I$313,,0)))</f>
        <v/>
      </c>
      <c r="BV298" s="1" t="str" cm="1">
        <f t="array" ref="BV298">IF($I298="","",IF($B298=1,"",IF($B298=2,_xlfn.XLOOKUP(1,($B$2:$B$313=1)*($BO$2:$BO$313=1),$I$2:$I$313,,0),_xlfn.XLOOKUP($B298-1,$B$2:$B$313,$CH$2:$CH$313,,0))))</f>
        <v/>
      </c>
      <c r="BW298" s="1" t="str" cm="1">
        <f t="array" ref="BW298">IF($I298="","",IF($B298=1,"",IF(_xlfn.XLOOKUP(1,($B$2:$B$313=$B298)*($I$2:$I$313=$BV298),$BQ$2:$BQ$313,,0)="","NOK","OK")))</f>
        <v/>
      </c>
      <c r="BX298" s="1" t="str">
        <f t="shared" si="297"/>
        <v/>
      </c>
      <c r="BY298" s="1" t="str">
        <f t="shared" si="298"/>
        <v/>
      </c>
      <c r="BZ298" s="1" t="str">
        <f t="shared" si="299"/>
        <v/>
      </c>
      <c r="CA298" s="1" t="str">
        <f t="shared" si="300"/>
        <v/>
      </c>
      <c r="CB298" s="1" t="str">
        <f t="shared" si="301"/>
        <v/>
      </c>
      <c r="CC298" s="1" t="str">
        <f t="shared" si="302"/>
        <v/>
      </c>
      <c r="CD298" s="1" t="str">
        <f t="shared" si="303"/>
        <v/>
      </c>
      <c r="CE298" s="1" t="str">
        <f t="shared" si="304"/>
        <v/>
      </c>
      <c r="CF298" s="1" t="str">
        <f t="shared" si="305"/>
        <v/>
      </c>
      <c r="CG298" s="1" t="str">
        <f t="shared" si="306"/>
        <v/>
      </c>
      <c r="CH298" s="1" t="str">
        <f t="shared" si="307"/>
        <v/>
      </c>
      <c r="CI298" s="1" t="str">
        <f t="shared" si="308"/>
        <v/>
      </c>
      <c r="CJ298" s="1" t="str">
        <f>IF(B298="","",IF(SUM(AI298:AK298)&gt;0,"+SP","")&amp;IF(CI298&gt;0,"+KK","")&amp;IF(AB298&gt;0,"+KGP1","")&amp;IF(AC298&gt;0,"+KGP2","")&amp;IF(AG298&lt;0,"-KGP1","")&amp;IF(AH298&lt;0,"-KGP2",""))</f>
        <v/>
      </c>
    </row>
    <row r="299" spans="1:88" x14ac:dyDescent="0.25">
      <c r="A299" s="1" t="str">
        <f>IFERROR(IF(ROW(A298)=1,1,IF(1+A298&lt;=$CP$1*$CP$2,1+A298,"")),"")</f>
        <v/>
      </c>
      <c r="B299" s="1" t="str">
        <f>IF($I299="","",IF(ROW(B298)=1,1,ROUNDUP(A299/$CP$2,0)))</f>
        <v/>
      </c>
      <c r="C299" s="4" t="str">
        <f t="shared" si="253"/>
        <v/>
      </c>
      <c r="D299" s="4" t="str">
        <f t="shared" si="248"/>
        <v/>
      </c>
      <c r="E299" s="1" t="str">
        <f>IF($B299="","",COUNTIF($B$2:B299,B299))</f>
        <v/>
      </c>
      <c r="F299" s="1" t="str">
        <f t="shared" si="249"/>
        <v/>
      </c>
      <c r="G299" s="1" t="str">
        <f t="shared" si="254"/>
        <v/>
      </c>
      <c r="H299" s="1">
        <f t="shared" si="255"/>
        <v>0</v>
      </c>
      <c r="I299" s="3"/>
      <c r="J299" s="3"/>
      <c r="K299" s="3"/>
      <c r="L299" s="1" t="str">
        <f t="shared" si="256"/>
        <v/>
      </c>
      <c r="M299" s="1" t="str">
        <f t="shared" si="257"/>
        <v/>
      </c>
      <c r="N299" s="1" t="str">
        <f t="shared" si="258"/>
        <v/>
      </c>
      <c r="O299" s="1" t="str">
        <f t="shared" si="259"/>
        <v/>
      </c>
      <c r="P299" s="1" t="str">
        <f t="shared" si="260"/>
        <v/>
      </c>
      <c r="Q299" s="1" t="str">
        <f t="array" ref="Q299">IF($B299="","",IF(MAX(IF(B299=$B$2:$B$313,$L$2:$L$313))-L299=0,"",MAX(IF(B299=$B$2:$B$313,$L$2:$L$313))-L299))</f>
        <v/>
      </c>
      <c r="R299" s="1" t="str">
        <f t="array" ref="R299">IF($B299="","",SUMPRODUCT(--($B$2:$B$313=B299),--(L299&lt;$L$2:$L$313))+1)</f>
        <v/>
      </c>
      <c r="S299" s="1" t="str">
        <f t="shared" si="261"/>
        <v/>
      </c>
      <c r="T299" s="1" t="str" cm="1">
        <f t="array" ref="T299">IF($B299="","",IF(M299=0,"",SUMPRODUCT(--($B$2:$B$313=B299),--(J299&lt;$J$2:$J$313))+1))</f>
        <v/>
      </c>
      <c r="U299" s="1" t="str">
        <f t="shared" si="262"/>
        <v/>
      </c>
      <c r="V299" s="1" t="str">
        <f t="shared" si="263"/>
        <v/>
      </c>
      <c r="W299" s="1" t="str">
        <f t="shared" si="264"/>
        <v/>
      </c>
      <c r="X299" s="1" t="str">
        <f t="shared" si="250"/>
        <v/>
      </c>
      <c r="Y299" s="1" t="str">
        <f>IF($B299="","",MAX(_xlfn.MAXIFS($J$2:J299,$I$2:I299,$I299),_xlfn.MAXIFS($K$2:K299,$I$2:I299,$I299)))</f>
        <v/>
      </c>
      <c r="Z299" s="1" t="str">
        <f t="shared" si="265"/>
        <v/>
      </c>
      <c r="AA299" s="1" t="str">
        <f t="shared" si="266"/>
        <v/>
      </c>
      <c r="AB299" s="1" t="str">
        <f t="shared" si="267"/>
        <v/>
      </c>
      <c r="AC299" s="1" t="str">
        <f t="shared" si="268"/>
        <v/>
      </c>
      <c r="AD299" s="1" t="str">
        <f>IF($B299="","",MIN(_xlfn.MINIFS($J$2:J299,$I$2:I299,$I299),_xlfn.MINIFS($K$2:K299,$I$2:I299,$I299)))</f>
        <v/>
      </c>
      <c r="AE299" s="1" t="str">
        <f t="shared" si="269"/>
        <v/>
      </c>
      <c r="AF299" s="1" t="str">
        <f t="shared" si="270"/>
        <v/>
      </c>
      <c r="AG299" s="1" t="str">
        <f t="shared" si="271"/>
        <v/>
      </c>
      <c r="AH299" s="1" t="str">
        <f t="shared" si="272"/>
        <v/>
      </c>
      <c r="AI299" s="1" t="str">
        <f ca="1">IF($B299="","",IF($K299="",0,OFFSET($CO$17,R299,W299)))</f>
        <v/>
      </c>
      <c r="AJ299" s="1" t="str">
        <f t="shared" ca="1" si="273"/>
        <v/>
      </c>
      <c r="AK299" s="1" t="str">
        <f ca="1">IF(AJ299="","",IF(AJ299=0,0,IF(W299=1,0,SUM(OFFSET($CO$17,N299,1):OFFSET($CO$17,N299+W299-2,1))/W299)))</f>
        <v/>
      </c>
      <c r="AL299" s="1" t="str">
        <f t="shared" si="274"/>
        <v/>
      </c>
      <c r="AM299" s="1" t="str">
        <f>IF($B299="","",SUMIFS($AL$2:AL299,$I$2:I299,$I299))</f>
        <v/>
      </c>
      <c r="AN299" s="1" t="str">
        <f t="shared" si="275"/>
        <v/>
      </c>
      <c r="AO299" s="1" t="str">
        <f>IFERROR(IF($B299="","",AVERAGEIFS($L$2:L299,$I$2:I299,I299,$L$2:L299,"&lt;&gt;0")),0)</f>
        <v/>
      </c>
      <c r="AP299" s="1" t="str">
        <f t="shared" si="276"/>
        <v/>
      </c>
      <c r="AQ299" s="1" t="str">
        <f>IF($B299="","",COUNTIFS($R$2:R299,1,$I$2:I299,$I299))</f>
        <v/>
      </c>
      <c r="AR299" s="1" t="str">
        <f t="array" ref="AR299">IF($B299="","",SUMPRODUCT(--($B$2:$B$313=B299),--(AM299&lt;$AM$2:$AM$313))+1)</f>
        <v/>
      </c>
      <c r="AS299" s="1" t="str">
        <f t="array" ref="AS299">IF($B299="","",SUMPRODUCT(--($B$2:$B$313=B299),--(AP299&lt;$AP$2:$AP$313))+1)</f>
        <v/>
      </c>
      <c r="AT299" s="1" t="str">
        <f t="array" ref="AT299">IF($B299="","",SUMPRODUCT(--($B$2:$B$313=B299),--(AQ299&lt;$AQ$2:$AQ$313))+1)</f>
        <v/>
      </c>
      <c r="AU299" s="1" t="str">
        <f t="shared" si="277"/>
        <v/>
      </c>
      <c r="AV299" s="1" t="str">
        <f t="shared" si="278"/>
        <v/>
      </c>
      <c r="AW299" s="1" t="str">
        <f t="shared" si="251"/>
        <v/>
      </c>
      <c r="AX299" s="1" t="str">
        <f t="shared" si="279"/>
        <v/>
      </c>
      <c r="AY299" s="8" t="str">
        <f t="shared" si="280"/>
        <v/>
      </c>
      <c r="AZ299" s="1" t="str" cm="1">
        <f t="array" ref="AZ299">IF($B299="","",SUMPRODUCT(--($B$2:$B$313=B299),--(AY299&gt;$AY$2:$AY$313))+1)</f>
        <v/>
      </c>
      <c r="BA299" s="1" t="str">
        <f t="shared" si="281"/>
        <v/>
      </c>
      <c r="BB299" s="1" t="str">
        <f t="shared" si="282"/>
        <v/>
      </c>
      <c r="BC299" s="1" t="str">
        <f t="shared" si="283"/>
        <v/>
      </c>
      <c r="BD299" s="1" t="str">
        <f t="shared" si="284"/>
        <v/>
      </c>
      <c r="BE299" s="1" t="str">
        <f t="shared" si="285"/>
        <v/>
      </c>
      <c r="BF299" s="1" t="str">
        <f t="shared" si="286"/>
        <v/>
      </c>
      <c r="BG299" s="1" t="str">
        <f t="shared" si="287"/>
        <v/>
      </c>
      <c r="BH299" s="1" t="str">
        <f t="shared" si="288"/>
        <v/>
      </c>
      <c r="BI299" s="1" t="str">
        <f t="shared" si="289"/>
        <v/>
      </c>
      <c r="BJ299" s="1" t="str">
        <f t="shared" si="290"/>
        <v/>
      </c>
      <c r="BK299" s="1" t="str">
        <f t="shared" si="291"/>
        <v/>
      </c>
      <c r="BL299" s="1" t="str">
        <f t="shared" si="292"/>
        <v/>
      </c>
      <c r="BM299" s="1" t="str">
        <f t="shared" si="293"/>
        <v/>
      </c>
      <c r="BN299" s="1" t="str">
        <f t="shared" si="294"/>
        <v/>
      </c>
      <c r="BO299" s="1" t="str">
        <f t="shared" si="252"/>
        <v/>
      </c>
      <c r="BP299" s="1" t="str">
        <f t="shared" si="295"/>
        <v/>
      </c>
      <c r="BQ299" s="1" t="str" cm="1">
        <f t="array" ref="BQ299">IF(I299="","",IF(BP299=1,"",IF(L299=0,"",IF(B299=1,"",_xlfn.XLOOKUP(1,($I$2:$I$313=$I299)*($B$2:$B$313=($B299-1)),$BO$2:$BO$313)))))</f>
        <v/>
      </c>
      <c r="BR299" s="1" t="str">
        <f>IF(I299="","",IF($B299=1,_xlfn.MINIFS($BO$2:$BO$313,$B$2:$B$313,$B299),_xlfn.MINIFS(BQ$2:$BQ$313,$B$2:$B$313,$B299)))</f>
        <v/>
      </c>
      <c r="BS299" s="1" t="str">
        <f t="shared" si="296"/>
        <v/>
      </c>
      <c r="BT299" s="1" t="str" cm="1">
        <f t="array" ref="BT299">IF($I299="","",IF($B299=1,_xlfn.XLOOKUP(1,($B$2:$B$313=$B299)*($BO$2:$BO$313=BR299),Data!$I$2:$I$313,,0),_xlfn.XLOOKUP(1,($B$2:$B$313=$B299)*($BQ$2:$BQ$313=$BR299),$I$2:$I$313,,0)))</f>
        <v/>
      </c>
      <c r="BU299" s="1" t="str" cm="1">
        <f t="array" ref="BU299">IF(I299="","",IF($B299=1,_xlfn.XLOOKUP(1,($B$2:$B$313=$B299)*($BO$2:$BO$313=$BS299),$I$2:$I$313,,0),_xlfn.XLOOKUP(1,($B$2:$B$313=$B299)*($BQ$2:$BQ$313=$BS299),$I$2:$I$313,,0)))</f>
        <v/>
      </c>
      <c r="BV299" s="1" t="str" cm="1">
        <f t="array" ref="BV299">IF($I299="","",IF($B299=1,"",IF($B299=2,_xlfn.XLOOKUP(1,($B$2:$B$313=1)*($BO$2:$BO$313=1),$I$2:$I$313,,0),_xlfn.XLOOKUP($B299-1,$B$2:$B$313,$CH$2:$CH$313,,0))))</f>
        <v/>
      </c>
      <c r="BW299" s="1" t="str" cm="1">
        <f t="array" ref="BW299">IF($I299="","",IF($B299=1,"",IF(_xlfn.XLOOKUP(1,($B$2:$B$313=$B299)*($I$2:$I$313=$BV299),$BQ$2:$BQ$313,,0)="","NOK","OK")))</f>
        <v/>
      </c>
      <c r="BX299" s="1" t="str">
        <f t="shared" si="297"/>
        <v/>
      </c>
      <c r="BY299" s="1" t="str">
        <f t="shared" si="298"/>
        <v/>
      </c>
      <c r="BZ299" s="1" t="str">
        <f t="shared" si="299"/>
        <v/>
      </c>
      <c r="CA299" s="1" t="str">
        <f t="shared" si="300"/>
        <v/>
      </c>
      <c r="CB299" s="1" t="str">
        <f t="shared" si="301"/>
        <v/>
      </c>
      <c r="CC299" s="1" t="str">
        <f t="shared" si="302"/>
        <v/>
      </c>
      <c r="CD299" s="1" t="str">
        <f t="shared" si="303"/>
        <v/>
      </c>
      <c r="CE299" s="1" t="str">
        <f t="shared" si="304"/>
        <v/>
      </c>
      <c r="CF299" s="1" t="str">
        <f t="shared" si="305"/>
        <v/>
      </c>
      <c r="CG299" s="1" t="str">
        <f t="shared" si="306"/>
        <v/>
      </c>
      <c r="CH299" s="1" t="str">
        <f t="shared" si="307"/>
        <v/>
      </c>
      <c r="CI299" s="1" t="str">
        <f t="shared" si="308"/>
        <v/>
      </c>
      <c r="CJ299" s="1" t="str">
        <f>IF(B299="","",IF(SUM(AI299:AK299)&gt;0,"+SP","")&amp;IF(CI299&gt;0,"+KK","")&amp;IF(AB299&gt;0,"+KGP1","")&amp;IF(AC299&gt;0,"+KGP2","")&amp;IF(AG299&lt;0,"-KGP1","")&amp;IF(AH299&lt;0,"-KGP2",""))</f>
        <v/>
      </c>
    </row>
    <row r="300" spans="1:88" x14ac:dyDescent="0.25">
      <c r="A300" s="1" t="str">
        <f>IFERROR(IF(ROW(A299)=1,1,IF(1+A299&lt;=$CP$1*$CP$2,1+A299,"")),"")</f>
        <v/>
      </c>
      <c r="B300" s="1" t="str">
        <f>IF($I300="","",IF(ROW(B299)=1,1,ROUNDUP(A300/$CP$2,0)))</f>
        <v/>
      </c>
      <c r="C300" s="4" t="str">
        <f t="shared" si="253"/>
        <v/>
      </c>
      <c r="D300" s="4" t="str">
        <f t="shared" si="248"/>
        <v/>
      </c>
      <c r="E300" s="1" t="str">
        <f>IF($B300="","",COUNTIF($B$2:B300,B300))</f>
        <v/>
      </c>
      <c r="F300" s="1" t="str">
        <f t="shared" si="249"/>
        <v/>
      </c>
      <c r="G300" s="1" t="str">
        <f t="shared" si="254"/>
        <v/>
      </c>
      <c r="H300" s="1">
        <f t="shared" si="255"/>
        <v>0</v>
      </c>
      <c r="I300" s="3"/>
      <c r="J300" s="3"/>
      <c r="K300" s="3"/>
      <c r="L300" s="1" t="str">
        <f t="shared" si="256"/>
        <v/>
      </c>
      <c r="M300" s="1" t="str">
        <f t="shared" si="257"/>
        <v/>
      </c>
      <c r="N300" s="1" t="str">
        <f t="shared" si="258"/>
        <v/>
      </c>
      <c r="O300" s="1" t="str">
        <f t="shared" si="259"/>
        <v/>
      </c>
      <c r="P300" s="1" t="str">
        <f t="shared" si="260"/>
        <v/>
      </c>
      <c r="Q300" s="1" t="str">
        <f t="array" ref="Q300">IF($B300="","",IF(MAX(IF(B300=$B$2:$B$313,$L$2:$L$313))-L300=0,"",MAX(IF(B300=$B$2:$B$313,$L$2:$L$313))-L300))</f>
        <v/>
      </c>
      <c r="R300" s="1" t="str">
        <f t="array" ref="R300">IF($B300="","",SUMPRODUCT(--($B$2:$B$313=B300),--(L300&lt;$L$2:$L$313))+1)</f>
        <v/>
      </c>
      <c r="S300" s="1" t="str">
        <f t="shared" si="261"/>
        <v/>
      </c>
      <c r="T300" s="1" t="str" cm="1">
        <f t="array" ref="T300">IF($B300="","",IF(M300=0,"",SUMPRODUCT(--($B$2:$B$313=B300),--(J300&lt;$J$2:$J$313))+1))</f>
        <v/>
      </c>
      <c r="U300" s="1" t="str">
        <f t="shared" si="262"/>
        <v/>
      </c>
      <c r="V300" s="1" t="str">
        <f t="shared" si="263"/>
        <v/>
      </c>
      <c r="W300" s="1" t="str">
        <f t="shared" si="264"/>
        <v/>
      </c>
      <c r="X300" s="1" t="str">
        <f t="shared" si="250"/>
        <v/>
      </c>
      <c r="Y300" s="1" t="str">
        <f>IF($B300="","",MAX(_xlfn.MAXIFS($J$2:J300,$I$2:I300,$I300),_xlfn.MAXIFS($K$2:K300,$I$2:I300,$I300)))</f>
        <v/>
      </c>
      <c r="Z300" s="1" t="str">
        <f t="shared" si="265"/>
        <v/>
      </c>
      <c r="AA300" s="1" t="str">
        <f t="shared" si="266"/>
        <v/>
      </c>
      <c r="AB300" s="1" t="str">
        <f t="shared" si="267"/>
        <v/>
      </c>
      <c r="AC300" s="1" t="str">
        <f t="shared" si="268"/>
        <v/>
      </c>
      <c r="AD300" s="1" t="str">
        <f>IF($B300="","",MIN(_xlfn.MINIFS($J$2:J300,$I$2:I300,$I300),_xlfn.MINIFS($K$2:K300,$I$2:I300,$I300)))</f>
        <v/>
      </c>
      <c r="AE300" s="1" t="str">
        <f t="shared" si="269"/>
        <v/>
      </c>
      <c r="AF300" s="1" t="str">
        <f t="shared" si="270"/>
        <v/>
      </c>
      <c r="AG300" s="1" t="str">
        <f t="shared" si="271"/>
        <v/>
      </c>
      <c r="AH300" s="1" t="str">
        <f t="shared" si="272"/>
        <v/>
      </c>
      <c r="AI300" s="1" t="str">
        <f ca="1">IF($B300="","",IF($K300="",0,OFFSET($CO$17,R300,W300)))</f>
        <v/>
      </c>
      <c r="AJ300" s="1" t="str">
        <f t="shared" ca="1" si="273"/>
        <v/>
      </c>
      <c r="AK300" s="1" t="str">
        <f ca="1">IF(AJ300="","",IF(AJ300=0,0,IF(W300=1,0,SUM(OFFSET($CO$17,N300,1):OFFSET($CO$17,N300+W300-2,1))/W300)))</f>
        <v/>
      </c>
      <c r="AL300" s="1" t="str">
        <f t="shared" si="274"/>
        <v/>
      </c>
      <c r="AM300" s="1" t="str">
        <f>IF($B300="","",SUMIFS($AL$2:AL300,$I$2:I300,$I300))</f>
        <v/>
      </c>
      <c r="AN300" s="1" t="str">
        <f t="shared" si="275"/>
        <v/>
      </c>
      <c r="AO300" s="1" t="str">
        <f>IFERROR(IF($B300="","",AVERAGEIFS($L$2:L300,$I$2:I300,I300,$L$2:L300,"&lt;&gt;0")),0)</f>
        <v/>
      </c>
      <c r="AP300" s="1" t="str">
        <f t="shared" si="276"/>
        <v/>
      </c>
      <c r="AQ300" s="1" t="str">
        <f>IF($B300="","",COUNTIFS($R$2:R300,1,$I$2:I300,$I300))</f>
        <v/>
      </c>
      <c r="AR300" s="1" t="str">
        <f t="array" ref="AR300">IF($B300="","",SUMPRODUCT(--($B$2:$B$313=B300),--(AM300&lt;$AM$2:$AM$313))+1)</f>
        <v/>
      </c>
      <c r="AS300" s="1" t="str">
        <f t="array" ref="AS300">IF($B300="","",SUMPRODUCT(--($B$2:$B$313=B300),--(AP300&lt;$AP$2:$AP$313))+1)</f>
        <v/>
      </c>
      <c r="AT300" s="1" t="str">
        <f t="array" ref="AT300">IF($B300="","",SUMPRODUCT(--($B$2:$B$313=B300),--(AQ300&lt;$AQ$2:$AQ$313))+1)</f>
        <v/>
      </c>
      <c r="AU300" s="1" t="str">
        <f t="shared" si="277"/>
        <v/>
      </c>
      <c r="AV300" s="1" t="str">
        <f t="shared" si="278"/>
        <v/>
      </c>
      <c r="AW300" s="1" t="str">
        <f t="shared" si="251"/>
        <v/>
      </c>
      <c r="AX300" s="1" t="str">
        <f t="shared" si="279"/>
        <v/>
      </c>
      <c r="AY300" s="8" t="str">
        <f t="shared" si="280"/>
        <v/>
      </c>
      <c r="AZ300" s="1" t="str" cm="1">
        <f t="array" ref="AZ300">IF($B300="","",SUMPRODUCT(--($B$2:$B$313=B300),--(AY300&gt;$AY$2:$AY$313))+1)</f>
        <v/>
      </c>
      <c r="BA300" s="1" t="str">
        <f t="shared" si="281"/>
        <v/>
      </c>
      <c r="BB300" s="1" t="str">
        <f t="shared" si="282"/>
        <v/>
      </c>
      <c r="BC300" s="1" t="str">
        <f t="shared" si="283"/>
        <v/>
      </c>
      <c r="BD300" s="1" t="str">
        <f t="shared" si="284"/>
        <v/>
      </c>
      <c r="BE300" s="1" t="str">
        <f t="shared" si="285"/>
        <v/>
      </c>
      <c r="BF300" s="1" t="str">
        <f t="shared" si="286"/>
        <v/>
      </c>
      <c r="BG300" s="1" t="str">
        <f t="shared" si="287"/>
        <v/>
      </c>
      <c r="BH300" s="1" t="str">
        <f t="shared" si="288"/>
        <v/>
      </c>
      <c r="BI300" s="1" t="str">
        <f t="shared" si="289"/>
        <v/>
      </c>
      <c r="BJ300" s="1" t="str">
        <f t="shared" si="290"/>
        <v/>
      </c>
      <c r="BK300" s="1" t="str">
        <f t="shared" si="291"/>
        <v/>
      </c>
      <c r="BL300" s="1" t="str">
        <f t="shared" si="292"/>
        <v/>
      </c>
      <c r="BM300" s="1" t="str">
        <f t="shared" si="293"/>
        <v/>
      </c>
      <c r="BN300" s="1" t="str">
        <f t="shared" si="294"/>
        <v/>
      </c>
      <c r="BO300" s="1" t="str">
        <f t="shared" si="252"/>
        <v/>
      </c>
      <c r="BP300" s="1" t="str">
        <f t="shared" si="295"/>
        <v/>
      </c>
      <c r="BQ300" s="1" t="str" cm="1">
        <f t="array" ref="BQ300">IF(I300="","",IF(BP300=1,"",IF(L300=0,"",IF(B300=1,"",_xlfn.XLOOKUP(1,($I$2:$I$313=$I300)*($B$2:$B$313=($B300-1)),$BO$2:$BO$313)))))</f>
        <v/>
      </c>
      <c r="BR300" s="1" t="str">
        <f>IF(I300="","",IF($B300=1,_xlfn.MINIFS($BO$2:$BO$313,$B$2:$B$313,$B300),_xlfn.MINIFS(BQ$2:$BQ$313,$B$2:$B$313,$B300)))</f>
        <v/>
      </c>
      <c r="BS300" s="1" t="str">
        <f t="shared" si="296"/>
        <v/>
      </c>
      <c r="BT300" s="1" t="str" cm="1">
        <f t="array" ref="BT300">IF($I300="","",IF($B300=1,_xlfn.XLOOKUP(1,($B$2:$B$313=$B300)*($BO$2:$BO$313=BR300),Data!$I$2:$I$313,,0),_xlfn.XLOOKUP(1,($B$2:$B$313=$B300)*($BQ$2:$BQ$313=$BR300),$I$2:$I$313,,0)))</f>
        <v/>
      </c>
      <c r="BU300" s="1" t="str" cm="1">
        <f t="array" ref="BU300">IF(I300="","",IF($B300=1,_xlfn.XLOOKUP(1,($B$2:$B$313=$B300)*($BO$2:$BO$313=$BS300),$I$2:$I$313,,0),_xlfn.XLOOKUP(1,($B$2:$B$313=$B300)*($BQ$2:$BQ$313=$BS300),$I$2:$I$313,,0)))</f>
        <v/>
      </c>
      <c r="BV300" s="1" t="str" cm="1">
        <f t="array" ref="BV300">IF($I300="","",IF($B300=1,"",IF($B300=2,_xlfn.XLOOKUP(1,($B$2:$B$313=1)*($BO$2:$BO$313=1),$I$2:$I$313,,0),_xlfn.XLOOKUP($B300-1,$B$2:$B$313,$CH$2:$CH$313,,0))))</f>
        <v/>
      </c>
      <c r="BW300" s="1" t="str" cm="1">
        <f t="array" ref="BW300">IF($I300="","",IF($B300=1,"",IF(_xlfn.XLOOKUP(1,($B$2:$B$313=$B300)*($I$2:$I$313=$BV300),$BQ$2:$BQ$313,,0)="","NOK","OK")))</f>
        <v/>
      </c>
      <c r="BX300" s="1" t="str">
        <f t="shared" si="297"/>
        <v/>
      </c>
      <c r="BY300" s="1" t="str">
        <f t="shared" si="298"/>
        <v/>
      </c>
      <c r="BZ300" s="1" t="str">
        <f t="shared" si="299"/>
        <v/>
      </c>
      <c r="CA300" s="1" t="str">
        <f t="shared" si="300"/>
        <v/>
      </c>
      <c r="CB300" s="1" t="str">
        <f t="shared" si="301"/>
        <v/>
      </c>
      <c r="CC300" s="1" t="str">
        <f t="shared" si="302"/>
        <v/>
      </c>
      <c r="CD300" s="1" t="str">
        <f t="shared" si="303"/>
        <v/>
      </c>
      <c r="CE300" s="1" t="str">
        <f t="shared" si="304"/>
        <v/>
      </c>
      <c r="CF300" s="1" t="str">
        <f t="shared" si="305"/>
        <v/>
      </c>
      <c r="CG300" s="1" t="str">
        <f t="shared" si="306"/>
        <v/>
      </c>
      <c r="CH300" s="1" t="str">
        <f t="shared" si="307"/>
        <v/>
      </c>
      <c r="CI300" s="1" t="str">
        <f t="shared" si="308"/>
        <v/>
      </c>
      <c r="CJ300" s="1" t="str">
        <f>IF(B300="","",IF(SUM(AI300:AK300)&gt;0,"+SP","")&amp;IF(CI300&gt;0,"+KK","")&amp;IF(AB300&gt;0,"+KGP1","")&amp;IF(AC300&gt;0,"+KGP2","")&amp;IF(AG300&lt;0,"-KGP1","")&amp;IF(AH300&lt;0,"-KGP2",""))</f>
        <v/>
      </c>
    </row>
    <row r="301" spans="1:88" x14ac:dyDescent="0.25">
      <c r="A301" s="1" t="str">
        <f>IFERROR(IF(ROW(A300)=1,1,IF(1+A300&lt;=$CP$1*$CP$2,1+A300,"")),"")</f>
        <v/>
      </c>
      <c r="B301" s="1" t="str">
        <f>IF($I301="","",IF(ROW(B300)=1,1,ROUNDUP(A301/$CP$2,0)))</f>
        <v/>
      </c>
      <c r="C301" s="4" t="str">
        <f t="shared" si="253"/>
        <v/>
      </c>
      <c r="D301" s="4" t="str">
        <f t="shared" si="248"/>
        <v/>
      </c>
      <c r="E301" s="1" t="str">
        <f>IF($B301="","",COUNTIF($B$2:B301,B301))</f>
        <v/>
      </c>
      <c r="F301" s="1" t="str">
        <f t="shared" si="249"/>
        <v/>
      </c>
      <c r="G301" s="1" t="str">
        <f t="shared" si="254"/>
        <v/>
      </c>
      <c r="H301" s="1">
        <f t="shared" si="255"/>
        <v>0</v>
      </c>
      <c r="I301" s="3"/>
      <c r="J301" s="3"/>
      <c r="K301" s="3"/>
      <c r="L301" s="1" t="str">
        <f t="shared" si="256"/>
        <v/>
      </c>
      <c r="M301" s="1" t="str">
        <f t="shared" si="257"/>
        <v/>
      </c>
      <c r="N301" s="1" t="str">
        <f t="shared" si="258"/>
        <v/>
      </c>
      <c r="O301" s="1" t="str">
        <f t="shared" si="259"/>
        <v/>
      </c>
      <c r="P301" s="1" t="str">
        <f t="shared" si="260"/>
        <v/>
      </c>
      <c r="Q301" s="1" t="str">
        <f t="array" ref="Q301">IF($B301="","",IF(MAX(IF(B301=$B$2:$B$313,$L$2:$L$313))-L301=0,"",MAX(IF(B301=$B$2:$B$313,$L$2:$L$313))-L301))</f>
        <v/>
      </c>
      <c r="R301" s="1" t="str">
        <f t="array" ref="R301">IF($B301="","",SUMPRODUCT(--($B$2:$B$313=B301),--(L301&lt;$L$2:$L$313))+1)</f>
        <v/>
      </c>
      <c r="S301" s="1" t="str">
        <f t="shared" si="261"/>
        <v/>
      </c>
      <c r="T301" s="1" t="str" cm="1">
        <f t="array" ref="T301">IF($B301="","",IF(M301=0,"",SUMPRODUCT(--($B$2:$B$313=B301),--(J301&lt;$J$2:$J$313))+1))</f>
        <v/>
      </c>
      <c r="U301" s="1" t="str">
        <f t="shared" si="262"/>
        <v/>
      </c>
      <c r="V301" s="1" t="str">
        <f t="shared" si="263"/>
        <v/>
      </c>
      <c r="W301" s="1" t="str">
        <f t="shared" si="264"/>
        <v/>
      </c>
      <c r="X301" s="1" t="str">
        <f t="shared" si="250"/>
        <v/>
      </c>
      <c r="Y301" s="1" t="str">
        <f>IF($B301="","",MAX(_xlfn.MAXIFS($J$2:J301,$I$2:I301,$I301),_xlfn.MAXIFS($K$2:K301,$I$2:I301,$I301)))</f>
        <v/>
      </c>
      <c r="Z301" s="1" t="str">
        <f t="shared" si="265"/>
        <v/>
      </c>
      <c r="AA301" s="1" t="str">
        <f t="shared" si="266"/>
        <v/>
      </c>
      <c r="AB301" s="1" t="str">
        <f t="shared" si="267"/>
        <v/>
      </c>
      <c r="AC301" s="1" t="str">
        <f t="shared" si="268"/>
        <v/>
      </c>
      <c r="AD301" s="1" t="str">
        <f>IF($B301="","",MIN(_xlfn.MINIFS($J$2:J301,$I$2:I301,$I301),_xlfn.MINIFS($K$2:K301,$I$2:I301,$I301)))</f>
        <v/>
      </c>
      <c r="AE301" s="1" t="str">
        <f t="shared" si="269"/>
        <v/>
      </c>
      <c r="AF301" s="1" t="str">
        <f t="shared" si="270"/>
        <v/>
      </c>
      <c r="AG301" s="1" t="str">
        <f t="shared" si="271"/>
        <v/>
      </c>
      <c r="AH301" s="1" t="str">
        <f t="shared" si="272"/>
        <v/>
      </c>
      <c r="AI301" s="1" t="str">
        <f ca="1">IF($B301="","",IF($K301="",0,OFFSET($CO$17,R301,W301)))</f>
        <v/>
      </c>
      <c r="AJ301" s="1" t="str">
        <f t="shared" ca="1" si="273"/>
        <v/>
      </c>
      <c r="AK301" s="1" t="str">
        <f ca="1">IF(AJ301="","",IF(AJ301=0,0,IF(W301=1,0,SUM(OFFSET($CO$17,N301,1):OFFSET($CO$17,N301+W301-2,1))/W301)))</f>
        <v/>
      </c>
      <c r="AL301" s="1" t="str">
        <f t="shared" si="274"/>
        <v/>
      </c>
      <c r="AM301" s="1" t="str">
        <f>IF($B301="","",SUMIFS($AL$2:AL301,$I$2:I301,$I301))</f>
        <v/>
      </c>
      <c r="AN301" s="1" t="str">
        <f t="shared" si="275"/>
        <v/>
      </c>
      <c r="AO301" s="1" t="str">
        <f>IFERROR(IF($B301="","",AVERAGEIFS($L$2:L301,$I$2:I301,I301,$L$2:L301,"&lt;&gt;0")),0)</f>
        <v/>
      </c>
      <c r="AP301" s="1" t="str">
        <f t="shared" si="276"/>
        <v/>
      </c>
      <c r="AQ301" s="1" t="str">
        <f>IF($B301="","",COUNTIFS($R$2:R301,1,$I$2:I301,$I301))</f>
        <v/>
      </c>
      <c r="AR301" s="1" t="str">
        <f t="array" ref="AR301">IF($B301="","",SUMPRODUCT(--($B$2:$B$313=B301),--(AM301&lt;$AM$2:$AM$313))+1)</f>
        <v/>
      </c>
      <c r="AS301" s="1" t="str">
        <f t="array" ref="AS301">IF($B301="","",SUMPRODUCT(--($B$2:$B$313=B301),--(AP301&lt;$AP$2:$AP$313))+1)</f>
        <v/>
      </c>
      <c r="AT301" s="1" t="str">
        <f t="array" ref="AT301">IF($B301="","",SUMPRODUCT(--($B$2:$B$313=B301),--(AQ301&lt;$AQ$2:$AQ$313))+1)</f>
        <v/>
      </c>
      <c r="AU301" s="1" t="str">
        <f t="shared" si="277"/>
        <v/>
      </c>
      <c r="AV301" s="1" t="str">
        <f t="shared" si="278"/>
        <v/>
      </c>
      <c r="AW301" s="1" t="str">
        <f t="shared" si="251"/>
        <v/>
      </c>
      <c r="AX301" s="1" t="str">
        <f t="shared" si="279"/>
        <v/>
      </c>
      <c r="AY301" s="8" t="str">
        <f t="shared" si="280"/>
        <v/>
      </c>
      <c r="AZ301" s="1" t="str" cm="1">
        <f t="array" ref="AZ301">IF($B301="","",SUMPRODUCT(--($B$2:$B$313=B301),--(AY301&gt;$AY$2:$AY$313))+1)</f>
        <v/>
      </c>
      <c r="BA301" s="1" t="str">
        <f t="shared" si="281"/>
        <v/>
      </c>
      <c r="BB301" s="1" t="str">
        <f t="shared" si="282"/>
        <v/>
      </c>
      <c r="BC301" s="1" t="str">
        <f t="shared" si="283"/>
        <v/>
      </c>
      <c r="BD301" s="1" t="str">
        <f t="shared" si="284"/>
        <v/>
      </c>
      <c r="BE301" s="1" t="str">
        <f t="shared" si="285"/>
        <v/>
      </c>
      <c r="BF301" s="1" t="str">
        <f t="shared" si="286"/>
        <v/>
      </c>
      <c r="BG301" s="1" t="str">
        <f t="shared" si="287"/>
        <v/>
      </c>
      <c r="BH301" s="1" t="str">
        <f t="shared" si="288"/>
        <v/>
      </c>
      <c r="BI301" s="1" t="str">
        <f t="shared" si="289"/>
        <v/>
      </c>
      <c r="BJ301" s="1" t="str">
        <f t="shared" si="290"/>
        <v/>
      </c>
      <c r="BK301" s="1" t="str">
        <f t="shared" si="291"/>
        <v/>
      </c>
      <c r="BL301" s="1" t="str">
        <f t="shared" si="292"/>
        <v/>
      </c>
      <c r="BM301" s="1" t="str">
        <f t="shared" si="293"/>
        <v/>
      </c>
      <c r="BN301" s="1" t="str">
        <f t="shared" si="294"/>
        <v/>
      </c>
      <c r="BO301" s="1" t="str">
        <f t="shared" si="252"/>
        <v/>
      </c>
      <c r="BP301" s="1" t="str">
        <f t="shared" si="295"/>
        <v/>
      </c>
      <c r="BQ301" s="1" t="str" cm="1">
        <f t="array" ref="BQ301">IF(I301="","",IF(BP301=1,"",IF(L301=0,"",IF(B301=1,"",_xlfn.XLOOKUP(1,($I$2:$I$313=$I301)*($B$2:$B$313=($B301-1)),$BO$2:$BO$313)))))</f>
        <v/>
      </c>
      <c r="BR301" s="1" t="str">
        <f>IF(I301="","",IF($B301=1,_xlfn.MINIFS($BO$2:$BO$313,$B$2:$B$313,$B301),_xlfn.MINIFS(BQ$2:$BQ$313,$B$2:$B$313,$B301)))</f>
        <v/>
      </c>
      <c r="BS301" s="1" t="str">
        <f t="shared" si="296"/>
        <v/>
      </c>
      <c r="BT301" s="1" t="str" cm="1">
        <f t="array" ref="BT301">IF($I301="","",IF($B301=1,_xlfn.XLOOKUP(1,($B$2:$B$313=$B301)*($BO$2:$BO$313=BR301),Data!$I$2:$I$313,,0),_xlfn.XLOOKUP(1,($B$2:$B$313=$B301)*($BQ$2:$BQ$313=$BR301),$I$2:$I$313,,0)))</f>
        <v/>
      </c>
      <c r="BU301" s="1" t="str" cm="1">
        <f t="array" ref="BU301">IF(I301="","",IF($B301=1,_xlfn.XLOOKUP(1,($B$2:$B$313=$B301)*($BO$2:$BO$313=$BS301),$I$2:$I$313,,0),_xlfn.XLOOKUP(1,($B$2:$B$313=$B301)*($BQ$2:$BQ$313=$BS301),$I$2:$I$313,,0)))</f>
        <v/>
      </c>
      <c r="BV301" s="1" t="str" cm="1">
        <f t="array" ref="BV301">IF($I301="","",IF($B301=1,"",IF($B301=2,_xlfn.XLOOKUP(1,($B$2:$B$313=1)*($BO$2:$BO$313=1),$I$2:$I$313,,0),_xlfn.XLOOKUP($B301-1,$B$2:$B$313,$CH$2:$CH$313,,0))))</f>
        <v/>
      </c>
      <c r="BW301" s="1" t="str" cm="1">
        <f t="array" ref="BW301">IF($I301="","",IF($B301=1,"",IF(_xlfn.XLOOKUP(1,($B$2:$B$313=$B301)*($I$2:$I$313=$BV301),$BQ$2:$BQ$313,,0)="","NOK","OK")))</f>
        <v/>
      </c>
      <c r="BX301" s="1" t="str">
        <f t="shared" si="297"/>
        <v/>
      </c>
      <c r="BY301" s="1" t="str">
        <f t="shared" si="298"/>
        <v/>
      </c>
      <c r="BZ301" s="1" t="str">
        <f t="shared" si="299"/>
        <v/>
      </c>
      <c r="CA301" s="1" t="str">
        <f t="shared" si="300"/>
        <v/>
      </c>
      <c r="CB301" s="1" t="str">
        <f t="shared" si="301"/>
        <v/>
      </c>
      <c r="CC301" s="1" t="str">
        <f t="shared" si="302"/>
        <v/>
      </c>
      <c r="CD301" s="1" t="str">
        <f t="shared" si="303"/>
        <v/>
      </c>
      <c r="CE301" s="1" t="str">
        <f t="shared" si="304"/>
        <v/>
      </c>
      <c r="CF301" s="1" t="str">
        <f t="shared" si="305"/>
        <v/>
      </c>
      <c r="CG301" s="1" t="str">
        <f t="shared" si="306"/>
        <v/>
      </c>
      <c r="CH301" s="1" t="str">
        <f t="shared" si="307"/>
        <v/>
      </c>
      <c r="CI301" s="1" t="str">
        <f t="shared" si="308"/>
        <v/>
      </c>
      <c r="CJ301" s="1" t="str">
        <f>IF(B301="","",IF(SUM(AI301:AK301)&gt;0,"+SP","")&amp;IF(CI301&gt;0,"+KK","")&amp;IF(AB301&gt;0,"+KGP1","")&amp;IF(AC301&gt;0,"+KGP2","")&amp;IF(AG301&lt;0,"-KGP1","")&amp;IF(AH301&lt;0,"-KGP2",""))</f>
        <v/>
      </c>
    </row>
    <row r="302" spans="1:88" x14ac:dyDescent="0.25">
      <c r="A302" s="1" t="str">
        <f>IFERROR(IF(ROW(A301)=1,1,IF(1+A301&lt;=$CP$1*$CP$2,1+A301,"")),"")</f>
        <v/>
      </c>
      <c r="B302" s="1" t="str">
        <f>IF($I302="","",IF(ROW(B301)=1,1,ROUNDUP(A302/$CP$2,0)))</f>
        <v/>
      </c>
      <c r="C302" s="4" t="str">
        <f t="shared" si="253"/>
        <v/>
      </c>
      <c r="D302" s="4" t="str">
        <f t="shared" si="248"/>
        <v/>
      </c>
      <c r="E302" s="1" t="str">
        <f>IF($B302="","",COUNTIF($B$2:B302,B302))</f>
        <v/>
      </c>
      <c r="F302" s="1" t="str">
        <f t="shared" si="249"/>
        <v/>
      </c>
      <c r="G302" s="1" t="str">
        <f t="shared" si="254"/>
        <v/>
      </c>
      <c r="H302" s="1">
        <f t="shared" si="255"/>
        <v>0</v>
      </c>
      <c r="I302" s="3"/>
      <c r="J302" s="3"/>
      <c r="K302" s="3"/>
      <c r="L302" s="1" t="str">
        <f t="shared" si="256"/>
        <v/>
      </c>
      <c r="M302" s="1" t="str">
        <f t="shared" si="257"/>
        <v/>
      </c>
      <c r="N302" s="1" t="str">
        <f t="shared" si="258"/>
        <v/>
      </c>
      <c r="O302" s="1" t="str">
        <f t="shared" si="259"/>
        <v/>
      </c>
      <c r="P302" s="1" t="str">
        <f t="shared" si="260"/>
        <v/>
      </c>
      <c r="Q302" s="1" t="str">
        <f t="array" ref="Q302">IF($B302="","",IF(MAX(IF(B302=$B$2:$B$313,$L$2:$L$313))-L302=0,"",MAX(IF(B302=$B$2:$B$313,$L$2:$L$313))-L302))</f>
        <v/>
      </c>
      <c r="R302" s="1" t="str">
        <f t="array" ref="R302">IF($B302="","",SUMPRODUCT(--($B$2:$B$313=B302),--(L302&lt;$L$2:$L$313))+1)</f>
        <v/>
      </c>
      <c r="S302" s="1" t="str">
        <f t="shared" si="261"/>
        <v/>
      </c>
      <c r="T302" s="1" t="str" cm="1">
        <f t="array" ref="T302">IF($B302="","",IF(M302=0,"",SUMPRODUCT(--($B$2:$B$313=B302),--(J302&lt;$J$2:$J$313))+1))</f>
        <v/>
      </c>
      <c r="U302" s="1" t="str">
        <f t="shared" si="262"/>
        <v/>
      </c>
      <c r="V302" s="1" t="str">
        <f t="shared" si="263"/>
        <v/>
      </c>
      <c r="W302" s="1" t="str">
        <f t="shared" si="264"/>
        <v/>
      </c>
      <c r="X302" s="1" t="str">
        <f t="shared" si="250"/>
        <v/>
      </c>
      <c r="Y302" s="1" t="str">
        <f>IF($B302="","",MAX(_xlfn.MAXIFS($J$2:J302,$I$2:I302,$I302),_xlfn.MAXIFS($K$2:K302,$I$2:I302,$I302)))</f>
        <v/>
      </c>
      <c r="Z302" s="1" t="str">
        <f t="shared" si="265"/>
        <v/>
      </c>
      <c r="AA302" s="1" t="str">
        <f t="shared" si="266"/>
        <v/>
      </c>
      <c r="AB302" s="1" t="str">
        <f t="shared" si="267"/>
        <v/>
      </c>
      <c r="AC302" s="1" t="str">
        <f t="shared" si="268"/>
        <v/>
      </c>
      <c r="AD302" s="1" t="str">
        <f>IF($B302="","",MIN(_xlfn.MINIFS($J$2:J302,$I$2:I302,$I302),_xlfn.MINIFS($K$2:K302,$I$2:I302,$I302)))</f>
        <v/>
      </c>
      <c r="AE302" s="1" t="str">
        <f t="shared" si="269"/>
        <v/>
      </c>
      <c r="AF302" s="1" t="str">
        <f t="shared" si="270"/>
        <v/>
      </c>
      <c r="AG302" s="1" t="str">
        <f t="shared" si="271"/>
        <v/>
      </c>
      <c r="AH302" s="1" t="str">
        <f t="shared" si="272"/>
        <v/>
      </c>
      <c r="AI302" s="1" t="str">
        <f ca="1">IF($B302="","",IF($K302="",0,OFFSET($CO$17,R302,W302)))</f>
        <v/>
      </c>
      <c r="AJ302" s="1" t="str">
        <f t="shared" ca="1" si="273"/>
        <v/>
      </c>
      <c r="AK302" s="1" t="str">
        <f ca="1">IF(AJ302="","",IF(AJ302=0,0,IF(W302=1,0,SUM(OFFSET($CO$17,N302,1):OFFSET($CO$17,N302+W302-2,1))/W302)))</f>
        <v/>
      </c>
      <c r="AL302" s="1" t="str">
        <f t="shared" si="274"/>
        <v/>
      </c>
      <c r="AM302" s="1" t="str">
        <f>IF($B302="","",SUMIFS($AL$2:AL302,$I$2:I302,$I302))</f>
        <v/>
      </c>
      <c r="AN302" s="1" t="str">
        <f t="shared" si="275"/>
        <v/>
      </c>
      <c r="AO302" s="1" t="str">
        <f>IFERROR(IF($B302="","",AVERAGEIFS($L$2:L302,$I$2:I302,I302,$L$2:L302,"&lt;&gt;0")),0)</f>
        <v/>
      </c>
      <c r="AP302" s="1" t="str">
        <f t="shared" si="276"/>
        <v/>
      </c>
      <c r="AQ302" s="1" t="str">
        <f>IF($B302="","",COUNTIFS($R$2:R302,1,$I$2:I302,$I302))</f>
        <v/>
      </c>
      <c r="AR302" s="1" t="str">
        <f t="array" ref="AR302">IF($B302="","",SUMPRODUCT(--($B$2:$B$313=B302),--(AM302&lt;$AM$2:$AM$313))+1)</f>
        <v/>
      </c>
      <c r="AS302" s="1" t="str">
        <f t="array" ref="AS302">IF($B302="","",SUMPRODUCT(--($B$2:$B$313=B302),--(AP302&lt;$AP$2:$AP$313))+1)</f>
        <v/>
      </c>
      <c r="AT302" s="1" t="str">
        <f t="array" ref="AT302">IF($B302="","",SUMPRODUCT(--($B$2:$B$313=B302),--(AQ302&lt;$AQ$2:$AQ$313))+1)</f>
        <v/>
      </c>
      <c r="AU302" s="1" t="str">
        <f t="shared" si="277"/>
        <v/>
      </c>
      <c r="AV302" s="1" t="str">
        <f t="shared" si="278"/>
        <v/>
      </c>
      <c r="AW302" s="1" t="str">
        <f t="shared" si="251"/>
        <v/>
      </c>
      <c r="AX302" s="1" t="str">
        <f t="shared" si="279"/>
        <v/>
      </c>
      <c r="AY302" s="8" t="str">
        <f t="shared" si="280"/>
        <v/>
      </c>
      <c r="AZ302" s="1" t="str" cm="1">
        <f t="array" ref="AZ302">IF($B302="","",SUMPRODUCT(--($B$2:$B$313=B302),--(AY302&gt;$AY$2:$AY$313))+1)</f>
        <v/>
      </c>
      <c r="BA302" s="1" t="str">
        <f t="shared" si="281"/>
        <v/>
      </c>
      <c r="BB302" s="1" t="str">
        <f t="shared" si="282"/>
        <v/>
      </c>
      <c r="BC302" s="1" t="str">
        <f t="shared" si="283"/>
        <v/>
      </c>
      <c r="BD302" s="1" t="str">
        <f t="shared" si="284"/>
        <v/>
      </c>
      <c r="BE302" s="1" t="str">
        <f t="shared" si="285"/>
        <v/>
      </c>
      <c r="BF302" s="1" t="str">
        <f t="shared" si="286"/>
        <v/>
      </c>
      <c r="BG302" s="1" t="str">
        <f t="shared" si="287"/>
        <v/>
      </c>
      <c r="BH302" s="1" t="str">
        <f t="shared" si="288"/>
        <v/>
      </c>
      <c r="BI302" s="1" t="str">
        <f t="shared" si="289"/>
        <v/>
      </c>
      <c r="BJ302" s="1" t="str">
        <f t="shared" si="290"/>
        <v/>
      </c>
      <c r="BK302" s="1" t="str">
        <f t="shared" si="291"/>
        <v/>
      </c>
      <c r="BL302" s="1" t="str">
        <f t="shared" si="292"/>
        <v/>
      </c>
      <c r="BM302" s="1" t="str">
        <f t="shared" si="293"/>
        <v/>
      </c>
      <c r="BN302" s="1" t="str">
        <f t="shared" si="294"/>
        <v/>
      </c>
      <c r="BO302" s="1" t="str">
        <f t="shared" si="252"/>
        <v/>
      </c>
      <c r="BP302" s="1" t="str">
        <f t="shared" si="295"/>
        <v/>
      </c>
      <c r="BQ302" s="1" t="str" cm="1">
        <f t="array" ref="BQ302">IF(I302="","",IF(BP302=1,"",IF(L302=0,"",IF(B302=1,"",_xlfn.XLOOKUP(1,($I$2:$I$313=$I302)*($B$2:$B$313=($B302-1)),$BO$2:$BO$313)))))</f>
        <v/>
      </c>
      <c r="BR302" s="1" t="str">
        <f>IF(I302="","",IF($B302=1,_xlfn.MINIFS($BO$2:$BO$313,$B$2:$B$313,$B302),_xlfn.MINIFS(BQ$2:$BQ$313,$B$2:$B$313,$B302)))</f>
        <v/>
      </c>
      <c r="BS302" s="1" t="str">
        <f t="shared" si="296"/>
        <v/>
      </c>
      <c r="BT302" s="1" t="str" cm="1">
        <f t="array" ref="BT302">IF($I302="","",IF($B302=1,_xlfn.XLOOKUP(1,($B$2:$B$313=$B302)*($BO$2:$BO$313=BR302),Data!$I$2:$I$313,,0),_xlfn.XLOOKUP(1,($B$2:$B$313=$B302)*($BQ$2:$BQ$313=$BR302),$I$2:$I$313,,0)))</f>
        <v/>
      </c>
      <c r="BU302" s="1" t="str" cm="1">
        <f t="array" ref="BU302">IF(I302="","",IF($B302=1,_xlfn.XLOOKUP(1,($B$2:$B$313=$B302)*($BO$2:$BO$313=$BS302),$I$2:$I$313,,0),_xlfn.XLOOKUP(1,($B$2:$B$313=$B302)*($BQ$2:$BQ$313=$BS302),$I$2:$I$313,,0)))</f>
        <v/>
      </c>
      <c r="BV302" s="1" t="str" cm="1">
        <f t="array" ref="BV302">IF($I302="","",IF($B302=1,"",IF($B302=2,_xlfn.XLOOKUP(1,($B$2:$B$313=1)*($BO$2:$BO$313=1),$I$2:$I$313,,0),_xlfn.XLOOKUP($B302-1,$B$2:$B$313,$CH$2:$CH$313,,0))))</f>
        <v/>
      </c>
      <c r="BW302" s="1" t="str" cm="1">
        <f t="array" ref="BW302">IF($I302="","",IF($B302=1,"",IF(_xlfn.XLOOKUP(1,($B$2:$B$313=$B302)*($I$2:$I$313=$BV302),$BQ$2:$BQ$313,,0)="","NOK","OK")))</f>
        <v/>
      </c>
      <c r="BX302" s="1" t="str">
        <f t="shared" si="297"/>
        <v/>
      </c>
      <c r="BY302" s="1" t="str">
        <f t="shared" si="298"/>
        <v/>
      </c>
      <c r="BZ302" s="1" t="str">
        <f t="shared" si="299"/>
        <v/>
      </c>
      <c r="CA302" s="1" t="str">
        <f t="shared" si="300"/>
        <v/>
      </c>
      <c r="CB302" s="1" t="str">
        <f t="shared" si="301"/>
        <v/>
      </c>
      <c r="CC302" s="1" t="str">
        <f t="shared" si="302"/>
        <v/>
      </c>
      <c r="CD302" s="1" t="str">
        <f t="shared" si="303"/>
        <v/>
      </c>
      <c r="CE302" s="1" t="str">
        <f t="shared" si="304"/>
        <v/>
      </c>
      <c r="CF302" s="1" t="str">
        <f t="shared" si="305"/>
        <v/>
      </c>
      <c r="CG302" s="1" t="str">
        <f t="shared" si="306"/>
        <v/>
      </c>
      <c r="CH302" s="1" t="str">
        <f t="shared" si="307"/>
        <v/>
      </c>
      <c r="CI302" s="1" t="str">
        <f t="shared" si="308"/>
        <v/>
      </c>
      <c r="CJ302" s="1" t="str">
        <f>IF(B302="","",IF(SUM(AI302:AK302)&gt;0,"+SP","")&amp;IF(CI302&gt;0,"+KK","")&amp;IF(AB302&gt;0,"+KGP1","")&amp;IF(AC302&gt;0,"+KGP2","")&amp;IF(AG302&lt;0,"-KGP1","")&amp;IF(AH302&lt;0,"-KGP2",""))</f>
        <v/>
      </c>
    </row>
    <row r="303" spans="1:88" x14ac:dyDescent="0.25">
      <c r="A303" s="1" t="str">
        <f>IFERROR(IF(ROW(A302)=1,1,IF(1+A302&lt;=$CP$1*$CP$2,1+A302,"")),"")</f>
        <v/>
      </c>
      <c r="B303" s="1" t="str">
        <f>IF($I303="","",IF(ROW(B302)=1,1,ROUNDUP(A303/$CP$2,0)))</f>
        <v/>
      </c>
      <c r="C303" s="4" t="str">
        <f t="shared" si="253"/>
        <v/>
      </c>
      <c r="D303" s="4" t="str">
        <f t="shared" si="248"/>
        <v/>
      </c>
      <c r="E303" s="1" t="str">
        <f>IF($B303="","",COUNTIF($B$2:B303,B303))</f>
        <v/>
      </c>
      <c r="F303" s="1" t="str">
        <f t="shared" si="249"/>
        <v/>
      </c>
      <c r="G303" s="1" t="str">
        <f t="shared" si="254"/>
        <v/>
      </c>
      <c r="H303" s="1">
        <f t="shared" si="255"/>
        <v>0</v>
      </c>
      <c r="I303" s="3"/>
      <c r="J303" s="3"/>
      <c r="K303" s="3"/>
      <c r="L303" s="1" t="str">
        <f t="shared" si="256"/>
        <v/>
      </c>
      <c r="M303" s="1" t="str">
        <f t="shared" si="257"/>
        <v/>
      </c>
      <c r="N303" s="1" t="str">
        <f t="shared" si="258"/>
        <v/>
      </c>
      <c r="O303" s="1" t="str">
        <f t="shared" si="259"/>
        <v/>
      </c>
      <c r="P303" s="1" t="str">
        <f t="shared" si="260"/>
        <v/>
      </c>
      <c r="Q303" s="1" t="str">
        <f t="array" ref="Q303">IF($B303="","",IF(MAX(IF(B303=$B$2:$B$313,$L$2:$L$313))-L303=0,"",MAX(IF(B303=$B$2:$B$313,$L$2:$L$313))-L303))</f>
        <v/>
      </c>
      <c r="R303" s="1" t="str">
        <f t="array" ref="R303">IF($B303="","",SUMPRODUCT(--($B$2:$B$313=B303),--(L303&lt;$L$2:$L$313))+1)</f>
        <v/>
      </c>
      <c r="S303" s="1" t="str">
        <f t="shared" si="261"/>
        <v/>
      </c>
      <c r="T303" s="1" t="str" cm="1">
        <f t="array" ref="T303">IF($B303="","",IF(M303=0,"",SUMPRODUCT(--($B$2:$B$313=B303),--(J303&lt;$J$2:$J$313))+1))</f>
        <v/>
      </c>
      <c r="U303" s="1" t="str">
        <f t="shared" si="262"/>
        <v/>
      </c>
      <c r="V303" s="1" t="str">
        <f t="shared" si="263"/>
        <v/>
      </c>
      <c r="W303" s="1" t="str">
        <f t="shared" si="264"/>
        <v/>
      </c>
      <c r="X303" s="1" t="str">
        <f t="shared" si="250"/>
        <v/>
      </c>
      <c r="Y303" s="1" t="str">
        <f>IF($B303="","",MAX(_xlfn.MAXIFS($J$2:J303,$I$2:I303,$I303),_xlfn.MAXIFS($K$2:K303,$I$2:I303,$I303)))</f>
        <v/>
      </c>
      <c r="Z303" s="1" t="str">
        <f t="shared" si="265"/>
        <v/>
      </c>
      <c r="AA303" s="1" t="str">
        <f t="shared" si="266"/>
        <v/>
      </c>
      <c r="AB303" s="1" t="str">
        <f t="shared" si="267"/>
        <v/>
      </c>
      <c r="AC303" s="1" t="str">
        <f t="shared" si="268"/>
        <v/>
      </c>
      <c r="AD303" s="1" t="str">
        <f>IF($B303="","",MIN(_xlfn.MINIFS($J$2:J303,$I$2:I303,$I303),_xlfn.MINIFS($K$2:K303,$I$2:I303,$I303)))</f>
        <v/>
      </c>
      <c r="AE303" s="1" t="str">
        <f t="shared" si="269"/>
        <v/>
      </c>
      <c r="AF303" s="1" t="str">
        <f t="shared" si="270"/>
        <v/>
      </c>
      <c r="AG303" s="1" t="str">
        <f t="shared" si="271"/>
        <v/>
      </c>
      <c r="AH303" s="1" t="str">
        <f t="shared" si="272"/>
        <v/>
      </c>
      <c r="AI303" s="1" t="str">
        <f ca="1">IF($B303="","",IF($K303="",0,OFFSET($CO$17,R303,W303)))</f>
        <v/>
      </c>
      <c r="AJ303" s="1" t="str">
        <f t="shared" ca="1" si="273"/>
        <v/>
      </c>
      <c r="AK303" s="1" t="str">
        <f ca="1">IF(AJ303="","",IF(AJ303=0,0,IF(W303=1,0,SUM(OFFSET($CO$17,N303,1):OFFSET($CO$17,N303+W303-2,1))/W303)))</f>
        <v/>
      </c>
      <c r="AL303" s="1" t="str">
        <f t="shared" si="274"/>
        <v/>
      </c>
      <c r="AM303" s="1" t="str">
        <f>IF($B303="","",SUMIFS($AL$2:AL303,$I$2:I303,$I303))</f>
        <v/>
      </c>
      <c r="AN303" s="1" t="str">
        <f t="shared" si="275"/>
        <v/>
      </c>
      <c r="AO303" s="1" t="str">
        <f>IFERROR(IF($B303="","",AVERAGEIFS($L$2:L303,$I$2:I303,I303,$L$2:L303,"&lt;&gt;0")),0)</f>
        <v/>
      </c>
      <c r="AP303" s="1" t="str">
        <f t="shared" si="276"/>
        <v/>
      </c>
      <c r="AQ303" s="1" t="str">
        <f>IF($B303="","",COUNTIFS($R$2:R303,1,$I$2:I303,$I303))</f>
        <v/>
      </c>
      <c r="AR303" s="1" t="str">
        <f t="array" ref="AR303">IF($B303="","",SUMPRODUCT(--($B$2:$B$313=B303),--(AM303&lt;$AM$2:$AM$313))+1)</f>
        <v/>
      </c>
      <c r="AS303" s="1" t="str">
        <f t="array" ref="AS303">IF($B303="","",SUMPRODUCT(--($B$2:$B$313=B303),--(AP303&lt;$AP$2:$AP$313))+1)</f>
        <v/>
      </c>
      <c r="AT303" s="1" t="str">
        <f t="array" ref="AT303">IF($B303="","",SUMPRODUCT(--($B$2:$B$313=B303),--(AQ303&lt;$AQ$2:$AQ$313))+1)</f>
        <v/>
      </c>
      <c r="AU303" s="1" t="str">
        <f t="shared" si="277"/>
        <v/>
      </c>
      <c r="AV303" s="1" t="str">
        <f t="shared" si="278"/>
        <v/>
      </c>
      <c r="AW303" s="1" t="str">
        <f t="shared" si="251"/>
        <v/>
      </c>
      <c r="AX303" s="1" t="str">
        <f t="shared" si="279"/>
        <v/>
      </c>
      <c r="AY303" s="8" t="str">
        <f t="shared" si="280"/>
        <v/>
      </c>
      <c r="AZ303" s="1" t="str" cm="1">
        <f t="array" ref="AZ303">IF($B303="","",SUMPRODUCT(--($B$2:$B$313=B303),--(AY303&gt;$AY$2:$AY$313))+1)</f>
        <v/>
      </c>
      <c r="BA303" s="1" t="str">
        <f t="shared" si="281"/>
        <v/>
      </c>
      <c r="BB303" s="1" t="str">
        <f t="shared" si="282"/>
        <v/>
      </c>
      <c r="BC303" s="1" t="str">
        <f t="shared" si="283"/>
        <v/>
      </c>
      <c r="BD303" s="1" t="str">
        <f t="shared" si="284"/>
        <v/>
      </c>
      <c r="BE303" s="1" t="str">
        <f t="shared" si="285"/>
        <v/>
      </c>
      <c r="BF303" s="1" t="str">
        <f t="shared" si="286"/>
        <v/>
      </c>
      <c r="BG303" s="1" t="str">
        <f t="shared" si="287"/>
        <v/>
      </c>
      <c r="BH303" s="1" t="str">
        <f t="shared" si="288"/>
        <v/>
      </c>
      <c r="BI303" s="1" t="str">
        <f t="shared" si="289"/>
        <v/>
      </c>
      <c r="BJ303" s="1" t="str">
        <f t="shared" si="290"/>
        <v/>
      </c>
      <c r="BK303" s="1" t="str">
        <f t="shared" si="291"/>
        <v/>
      </c>
      <c r="BL303" s="1" t="str">
        <f t="shared" si="292"/>
        <v/>
      </c>
      <c r="BM303" s="1" t="str">
        <f t="shared" si="293"/>
        <v/>
      </c>
      <c r="BN303" s="1" t="str">
        <f t="shared" si="294"/>
        <v/>
      </c>
      <c r="BO303" s="1" t="str">
        <f t="shared" si="252"/>
        <v/>
      </c>
      <c r="BP303" s="1" t="str">
        <f t="shared" si="295"/>
        <v/>
      </c>
      <c r="BQ303" s="1" t="str" cm="1">
        <f t="array" ref="BQ303">IF(I303="","",IF(BP303=1,"",IF(L303=0,"",IF(B303=1,"",_xlfn.XLOOKUP(1,($I$2:$I$313=$I303)*($B$2:$B$313=($B303-1)),$BO$2:$BO$313)))))</f>
        <v/>
      </c>
      <c r="BR303" s="1" t="str">
        <f>IF(I303="","",IF($B303=1,_xlfn.MINIFS($BO$2:$BO$313,$B$2:$B$313,$B303),_xlfn.MINIFS(BQ$2:$BQ$313,$B$2:$B$313,$B303)))</f>
        <v/>
      </c>
      <c r="BS303" s="1" t="str">
        <f t="shared" si="296"/>
        <v/>
      </c>
      <c r="BT303" s="1" t="str" cm="1">
        <f t="array" ref="BT303">IF($I303="","",IF($B303=1,_xlfn.XLOOKUP(1,($B$2:$B$313=$B303)*($BO$2:$BO$313=BR303),Data!$I$2:$I$313,,0),_xlfn.XLOOKUP(1,($B$2:$B$313=$B303)*($BQ$2:$BQ$313=$BR303),$I$2:$I$313,,0)))</f>
        <v/>
      </c>
      <c r="BU303" s="1" t="str" cm="1">
        <f t="array" ref="BU303">IF(I303="","",IF($B303=1,_xlfn.XLOOKUP(1,($B$2:$B$313=$B303)*($BO$2:$BO$313=$BS303),$I$2:$I$313,,0),_xlfn.XLOOKUP(1,($B$2:$B$313=$B303)*($BQ$2:$BQ$313=$BS303),$I$2:$I$313,,0)))</f>
        <v/>
      </c>
      <c r="BV303" s="1" t="str" cm="1">
        <f t="array" ref="BV303">IF($I303="","",IF($B303=1,"",IF($B303=2,_xlfn.XLOOKUP(1,($B$2:$B$313=1)*($BO$2:$BO$313=1),$I$2:$I$313,,0),_xlfn.XLOOKUP($B303-1,$B$2:$B$313,$CH$2:$CH$313,,0))))</f>
        <v/>
      </c>
      <c r="BW303" s="1" t="str" cm="1">
        <f t="array" ref="BW303">IF($I303="","",IF($B303=1,"",IF(_xlfn.XLOOKUP(1,($B$2:$B$313=$B303)*($I$2:$I$313=$BV303),$BQ$2:$BQ$313,,0)="","NOK","OK")))</f>
        <v/>
      </c>
      <c r="BX303" s="1" t="str">
        <f t="shared" si="297"/>
        <v/>
      </c>
      <c r="BY303" s="1" t="str">
        <f t="shared" si="298"/>
        <v/>
      </c>
      <c r="BZ303" s="1" t="str">
        <f t="shared" si="299"/>
        <v/>
      </c>
      <c r="CA303" s="1" t="str">
        <f t="shared" si="300"/>
        <v/>
      </c>
      <c r="CB303" s="1" t="str">
        <f t="shared" si="301"/>
        <v/>
      </c>
      <c r="CC303" s="1" t="str">
        <f t="shared" si="302"/>
        <v/>
      </c>
      <c r="CD303" s="1" t="str">
        <f t="shared" si="303"/>
        <v/>
      </c>
      <c r="CE303" s="1" t="str">
        <f t="shared" si="304"/>
        <v/>
      </c>
      <c r="CF303" s="1" t="str">
        <f t="shared" si="305"/>
        <v/>
      </c>
      <c r="CG303" s="1" t="str">
        <f t="shared" si="306"/>
        <v/>
      </c>
      <c r="CH303" s="1" t="str">
        <f t="shared" si="307"/>
        <v/>
      </c>
      <c r="CI303" s="1" t="str">
        <f t="shared" si="308"/>
        <v/>
      </c>
      <c r="CJ303" s="1" t="str">
        <f>IF(B303="","",IF(SUM(AI303:AK303)&gt;0,"+SP","")&amp;IF(CI303&gt;0,"+KK","")&amp;IF(AB303&gt;0,"+KGP1","")&amp;IF(AC303&gt;0,"+KGP2","")&amp;IF(AG303&lt;0,"-KGP1","")&amp;IF(AH303&lt;0,"-KGP2",""))</f>
        <v/>
      </c>
    </row>
    <row r="304" spans="1:88" x14ac:dyDescent="0.25">
      <c r="A304" s="1" t="str">
        <f>IFERROR(IF(ROW(A303)=1,1,IF(1+A303&lt;=$CP$1*$CP$2,1+A303,"")),"")</f>
        <v/>
      </c>
      <c r="B304" s="1" t="str">
        <f>IF($I304="","",IF(ROW(B303)=1,1,ROUNDUP(A304/$CP$2,0)))</f>
        <v/>
      </c>
      <c r="C304" s="4" t="str">
        <f t="shared" si="253"/>
        <v/>
      </c>
      <c r="D304" s="4" t="str">
        <f t="shared" si="248"/>
        <v/>
      </c>
      <c r="E304" s="1" t="str">
        <f>IF($B304="","",COUNTIF($B$2:B304,B304))</f>
        <v/>
      </c>
      <c r="F304" s="1" t="str">
        <f t="shared" si="249"/>
        <v/>
      </c>
      <c r="G304" s="1" t="str">
        <f t="shared" si="254"/>
        <v/>
      </c>
      <c r="H304" s="1">
        <f t="shared" si="255"/>
        <v>0</v>
      </c>
      <c r="I304" s="3"/>
      <c r="J304" s="3"/>
      <c r="K304" s="3"/>
      <c r="L304" s="1" t="str">
        <f t="shared" si="256"/>
        <v/>
      </c>
      <c r="M304" s="1" t="str">
        <f t="shared" si="257"/>
        <v/>
      </c>
      <c r="N304" s="1" t="str">
        <f t="shared" si="258"/>
        <v/>
      </c>
      <c r="O304" s="1" t="str">
        <f t="shared" si="259"/>
        <v/>
      </c>
      <c r="P304" s="1" t="str">
        <f t="shared" si="260"/>
        <v/>
      </c>
      <c r="Q304" s="1" t="str">
        <f t="array" ref="Q304">IF($B304="","",IF(MAX(IF(B304=$B$2:$B$313,$L$2:$L$313))-L304=0,"",MAX(IF(B304=$B$2:$B$313,$L$2:$L$313))-L304))</f>
        <v/>
      </c>
      <c r="R304" s="1" t="str">
        <f t="array" ref="R304">IF($B304="","",SUMPRODUCT(--($B$2:$B$313=B304),--(L304&lt;$L$2:$L$313))+1)</f>
        <v/>
      </c>
      <c r="S304" s="1" t="str">
        <f t="shared" si="261"/>
        <v/>
      </c>
      <c r="T304" s="1" t="str" cm="1">
        <f t="array" ref="T304">IF($B304="","",IF(M304=0,"",SUMPRODUCT(--($B$2:$B$313=B304),--(J304&lt;$J$2:$J$313))+1))</f>
        <v/>
      </c>
      <c r="U304" s="1" t="str">
        <f t="shared" si="262"/>
        <v/>
      </c>
      <c r="V304" s="1" t="str">
        <f t="shared" si="263"/>
        <v/>
      </c>
      <c r="W304" s="1" t="str">
        <f t="shared" si="264"/>
        <v/>
      </c>
      <c r="X304" s="1" t="str">
        <f t="shared" si="250"/>
        <v/>
      </c>
      <c r="Y304" s="1" t="str">
        <f>IF($B304="","",MAX(_xlfn.MAXIFS($J$2:J304,$I$2:I304,$I304),_xlfn.MAXIFS($K$2:K304,$I$2:I304,$I304)))</f>
        <v/>
      </c>
      <c r="Z304" s="1" t="str">
        <f t="shared" si="265"/>
        <v/>
      </c>
      <c r="AA304" s="1" t="str">
        <f t="shared" si="266"/>
        <v/>
      </c>
      <c r="AB304" s="1" t="str">
        <f t="shared" si="267"/>
        <v/>
      </c>
      <c r="AC304" s="1" t="str">
        <f t="shared" si="268"/>
        <v/>
      </c>
      <c r="AD304" s="1" t="str">
        <f>IF($B304="","",MIN(_xlfn.MINIFS($J$2:J304,$I$2:I304,$I304),_xlfn.MINIFS($K$2:K304,$I$2:I304,$I304)))</f>
        <v/>
      </c>
      <c r="AE304" s="1" t="str">
        <f t="shared" si="269"/>
        <v/>
      </c>
      <c r="AF304" s="1" t="str">
        <f t="shared" si="270"/>
        <v/>
      </c>
      <c r="AG304" s="1" t="str">
        <f t="shared" si="271"/>
        <v/>
      </c>
      <c r="AH304" s="1" t="str">
        <f t="shared" si="272"/>
        <v/>
      </c>
      <c r="AI304" s="1" t="str">
        <f ca="1">IF($B304="","",IF($K304="",0,OFFSET($CO$17,R304,W304)))</f>
        <v/>
      </c>
      <c r="AJ304" s="1" t="str">
        <f t="shared" ca="1" si="273"/>
        <v/>
      </c>
      <c r="AK304" s="1" t="str">
        <f ca="1">IF(AJ304="","",IF(AJ304=0,0,IF(W304=1,0,SUM(OFFSET($CO$17,N304,1):OFFSET($CO$17,N304+W304-2,1))/W304)))</f>
        <v/>
      </c>
      <c r="AL304" s="1" t="str">
        <f t="shared" si="274"/>
        <v/>
      </c>
      <c r="AM304" s="1" t="str">
        <f>IF($B304="","",SUMIFS($AL$2:AL304,$I$2:I304,$I304))</f>
        <v/>
      </c>
      <c r="AN304" s="1" t="str">
        <f t="shared" si="275"/>
        <v/>
      </c>
      <c r="AO304" s="1" t="str">
        <f>IFERROR(IF($B304="","",AVERAGEIFS($L$2:L304,$I$2:I304,I304,$L$2:L304,"&lt;&gt;0")),0)</f>
        <v/>
      </c>
      <c r="AP304" s="1" t="str">
        <f t="shared" si="276"/>
        <v/>
      </c>
      <c r="AQ304" s="1" t="str">
        <f>IF($B304="","",COUNTIFS($R$2:R304,1,$I$2:I304,$I304))</f>
        <v/>
      </c>
      <c r="AR304" s="1" t="str">
        <f t="array" ref="AR304">IF($B304="","",SUMPRODUCT(--($B$2:$B$313=B304),--(AM304&lt;$AM$2:$AM$313))+1)</f>
        <v/>
      </c>
      <c r="AS304" s="1" t="str">
        <f t="array" ref="AS304">IF($B304="","",SUMPRODUCT(--($B$2:$B$313=B304),--(AP304&lt;$AP$2:$AP$313))+1)</f>
        <v/>
      </c>
      <c r="AT304" s="1" t="str">
        <f t="array" ref="AT304">IF($B304="","",SUMPRODUCT(--($B$2:$B$313=B304),--(AQ304&lt;$AQ$2:$AQ$313))+1)</f>
        <v/>
      </c>
      <c r="AU304" s="1" t="str">
        <f t="shared" si="277"/>
        <v/>
      </c>
      <c r="AV304" s="1" t="str">
        <f t="shared" si="278"/>
        <v/>
      </c>
      <c r="AW304" s="1" t="str">
        <f t="shared" si="251"/>
        <v/>
      </c>
      <c r="AX304" s="1" t="str">
        <f t="shared" si="279"/>
        <v/>
      </c>
      <c r="AY304" s="8" t="str">
        <f t="shared" si="280"/>
        <v/>
      </c>
      <c r="AZ304" s="1" t="str" cm="1">
        <f t="array" ref="AZ304">IF($B304="","",SUMPRODUCT(--($B$2:$B$313=B304),--(AY304&gt;$AY$2:$AY$313))+1)</f>
        <v/>
      </c>
      <c r="BA304" s="1" t="str">
        <f t="shared" si="281"/>
        <v/>
      </c>
      <c r="BB304" s="1" t="str">
        <f t="shared" si="282"/>
        <v/>
      </c>
      <c r="BC304" s="1" t="str">
        <f t="shared" si="283"/>
        <v/>
      </c>
      <c r="BD304" s="1" t="str">
        <f t="shared" si="284"/>
        <v/>
      </c>
      <c r="BE304" s="1" t="str">
        <f t="shared" si="285"/>
        <v/>
      </c>
      <c r="BF304" s="1" t="str">
        <f t="shared" si="286"/>
        <v/>
      </c>
      <c r="BG304" s="1" t="str">
        <f t="shared" si="287"/>
        <v/>
      </c>
      <c r="BH304" s="1" t="str">
        <f t="shared" si="288"/>
        <v/>
      </c>
      <c r="BI304" s="1" t="str">
        <f t="shared" si="289"/>
        <v/>
      </c>
      <c r="BJ304" s="1" t="str">
        <f t="shared" si="290"/>
        <v/>
      </c>
      <c r="BK304" s="1" t="str">
        <f t="shared" si="291"/>
        <v/>
      </c>
      <c r="BL304" s="1" t="str">
        <f t="shared" si="292"/>
        <v/>
      </c>
      <c r="BM304" s="1" t="str">
        <f t="shared" si="293"/>
        <v/>
      </c>
      <c r="BN304" s="1" t="str">
        <f t="shared" si="294"/>
        <v/>
      </c>
      <c r="BO304" s="1" t="str">
        <f t="shared" si="252"/>
        <v/>
      </c>
      <c r="BP304" s="1" t="str">
        <f t="shared" si="295"/>
        <v/>
      </c>
      <c r="BQ304" s="1" t="str" cm="1">
        <f t="array" ref="BQ304">IF(I304="","",IF(BP304=1,"",IF(L304=0,"",IF(B304=1,"",_xlfn.XLOOKUP(1,($I$2:$I$313=$I304)*($B$2:$B$313=($B304-1)),$BO$2:$BO$313)))))</f>
        <v/>
      </c>
      <c r="BR304" s="1" t="str">
        <f>IF(I304="","",IF($B304=1,_xlfn.MINIFS($BO$2:$BO$313,$B$2:$B$313,$B304),_xlfn.MINIFS(BQ$2:$BQ$313,$B$2:$B$313,$B304)))</f>
        <v/>
      </c>
      <c r="BS304" s="1" t="str">
        <f t="shared" si="296"/>
        <v/>
      </c>
      <c r="BT304" s="1" t="str" cm="1">
        <f t="array" ref="BT304">IF($I304="","",IF($B304=1,_xlfn.XLOOKUP(1,($B$2:$B$313=$B304)*($BO$2:$BO$313=BR304),Data!$I$2:$I$313,,0),_xlfn.XLOOKUP(1,($B$2:$B$313=$B304)*($BQ$2:$BQ$313=$BR304),$I$2:$I$313,,0)))</f>
        <v/>
      </c>
      <c r="BU304" s="1" t="str" cm="1">
        <f t="array" ref="BU304">IF(I304="","",IF($B304=1,_xlfn.XLOOKUP(1,($B$2:$B$313=$B304)*($BO$2:$BO$313=$BS304),$I$2:$I$313,,0),_xlfn.XLOOKUP(1,($B$2:$B$313=$B304)*($BQ$2:$BQ$313=$BS304),$I$2:$I$313,,0)))</f>
        <v/>
      </c>
      <c r="BV304" s="1" t="str" cm="1">
        <f t="array" ref="BV304">IF($I304="","",IF($B304=1,"",IF($B304=2,_xlfn.XLOOKUP(1,($B$2:$B$313=1)*($BO$2:$BO$313=1),$I$2:$I$313,,0),_xlfn.XLOOKUP($B304-1,$B$2:$B$313,$CH$2:$CH$313,,0))))</f>
        <v/>
      </c>
      <c r="BW304" s="1" t="str" cm="1">
        <f t="array" ref="BW304">IF($I304="","",IF($B304=1,"",IF(_xlfn.XLOOKUP(1,($B$2:$B$313=$B304)*($I$2:$I$313=$BV304),$BQ$2:$BQ$313,,0)="","NOK","OK")))</f>
        <v/>
      </c>
      <c r="BX304" s="1" t="str">
        <f t="shared" si="297"/>
        <v/>
      </c>
      <c r="BY304" s="1" t="str">
        <f t="shared" si="298"/>
        <v/>
      </c>
      <c r="BZ304" s="1" t="str">
        <f t="shared" si="299"/>
        <v/>
      </c>
      <c r="CA304" s="1" t="str">
        <f t="shared" si="300"/>
        <v/>
      </c>
      <c r="CB304" s="1" t="str">
        <f t="shared" si="301"/>
        <v/>
      </c>
      <c r="CC304" s="1" t="str">
        <f t="shared" si="302"/>
        <v/>
      </c>
      <c r="CD304" s="1" t="str">
        <f t="shared" si="303"/>
        <v/>
      </c>
      <c r="CE304" s="1" t="str">
        <f t="shared" si="304"/>
        <v/>
      </c>
      <c r="CF304" s="1" t="str">
        <f t="shared" si="305"/>
        <v/>
      </c>
      <c r="CG304" s="1" t="str">
        <f t="shared" si="306"/>
        <v/>
      </c>
      <c r="CH304" s="1" t="str">
        <f t="shared" si="307"/>
        <v/>
      </c>
      <c r="CI304" s="1" t="str">
        <f t="shared" si="308"/>
        <v/>
      </c>
      <c r="CJ304" s="1" t="str">
        <f>IF(B304="","",IF(SUM(AI304:AK304)&gt;0,"+SP","")&amp;IF(CI304&gt;0,"+KK","")&amp;IF(AB304&gt;0,"+KGP1","")&amp;IF(AC304&gt;0,"+KGP2","")&amp;IF(AG304&lt;0,"-KGP1","")&amp;IF(AH304&lt;0,"-KGP2",""))</f>
        <v/>
      </c>
    </row>
    <row r="305" spans="1:88" x14ac:dyDescent="0.25">
      <c r="A305" s="1" t="str">
        <f>IFERROR(IF(ROW(A304)=1,1,IF(1+A304&lt;=$CP$1*$CP$2,1+A304,"")),"")</f>
        <v/>
      </c>
      <c r="B305" s="1" t="str">
        <f>IF($I305="","",IF(ROW(B304)=1,1,ROUNDUP(A305/$CP$2,0)))</f>
        <v/>
      </c>
      <c r="C305" s="4" t="str">
        <f t="shared" si="253"/>
        <v/>
      </c>
      <c r="D305" s="4" t="str">
        <f t="shared" si="248"/>
        <v/>
      </c>
      <c r="E305" s="1" t="str">
        <f>IF($B305="","",COUNTIF($B$2:B305,B305))</f>
        <v/>
      </c>
      <c r="F305" s="1" t="str">
        <f t="shared" si="249"/>
        <v/>
      </c>
      <c r="G305" s="1" t="str">
        <f t="shared" si="254"/>
        <v/>
      </c>
      <c r="H305" s="1">
        <f t="shared" si="255"/>
        <v>0</v>
      </c>
      <c r="I305" s="3"/>
      <c r="J305" s="3"/>
      <c r="K305" s="3"/>
      <c r="L305" s="1" t="str">
        <f t="shared" si="256"/>
        <v/>
      </c>
      <c r="M305" s="1" t="str">
        <f t="shared" si="257"/>
        <v/>
      </c>
      <c r="N305" s="1" t="str">
        <f t="shared" si="258"/>
        <v/>
      </c>
      <c r="O305" s="1" t="str">
        <f t="shared" si="259"/>
        <v/>
      </c>
      <c r="P305" s="1" t="str">
        <f t="shared" si="260"/>
        <v/>
      </c>
      <c r="Q305" s="1" t="str">
        <f t="array" ref="Q305">IF($B305="","",IF(MAX(IF(B305=$B$2:$B$313,$L$2:$L$313))-L305=0,"",MAX(IF(B305=$B$2:$B$313,$L$2:$L$313))-L305))</f>
        <v/>
      </c>
      <c r="R305" s="1" t="str">
        <f t="array" ref="R305">IF($B305="","",SUMPRODUCT(--($B$2:$B$313=B305),--(L305&lt;$L$2:$L$313))+1)</f>
        <v/>
      </c>
      <c r="S305" s="1" t="str">
        <f t="shared" si="261"/>
        <v/>
      </c>
      <c r="T305" s="1" t="str" cm="1">
        <f t="array" ref="T305">IF($B305="","",IF(M305=0,"",SUMPRODUCT(--($B$2:$B$313=B305),--(J305&lt;$J$2:$J$313))+1))</f>
        <v/>
      </c>
      <c r="U305" s="1" t="str">
        <f t="shared" si="262"/>
        <v/>
      </c>
      <c r="V305" s="1" t="str">
        <f t="shared" si="263"/>
        <v/>
      </c>
      <c r="W305" s="1" t="str">
        <f t="shared" si="264"/>
        <v/>
      </c>
      <c r="X305" s="1" t="str">
        <f t="shared" si="250"/>
        <v/>
      </c>
      <c r="Y305" s="1" t="str">
        <f>IF($B305="","",MAX(_xlfn.MAXIFS($J$2:J305,$I$2:I305,$I305),_xlfn.MAXIFS($K$2:K305,$I$2:I305,$I305)))</f>
        <v/>
      </c>
      <c r="Z305" s="1" t="str">
        <f t="shared" si="265"/>
        <v/>
      </c>
      <c r="AA305" s="1" t="str">
        <f t="shared" si="266"/>
        <v/>
      </c>
      <c r="AB305" s="1" t="str">
        <f t="shared" si="267"/>
        <v/>
      </c>
      <c r="AC305" s="1" t="str">
        <f t="shared" si="268"/>
        <v/>
      </c>
      <c r="AD305" s="1" t="str">
        <f>IF($B305="","",MIN(_xlfn.MINIFS($J$2:J305,$I$2:I305,$I305),_xlfn.MINIFS($K$2:K305,$I$2:I305,$I305)))</f>
        <v/>
      </c>
      <c r="AE305" s="1" t="str">
        <f t="shared" si="269"/>
        <v/>
      </c>
      <c r="AF305" s="1" t="str">
        <f t="shared" si="270"/>
        <v/>
      </c>
      <c r="AG305" s="1" t="str">
        <f t="shared" si="271"/>
        <v/>
      </c>
      <c r="AH305" s="1" t="str">
        <f t="shared" si="272"/>
        <v/>
      </c>
      <c r="AI305" s="1" t="str">
        <f ca="1">IF($B305="","",IF($K305="",0,OFFSET($CO$17,R305,W305)))</f>
        <v/>
      </c>
      <c r="AJ305" s="1" t="str">
        <f t="shared" ca="1" si="273"/>
        <v/>
      </c>
      <c r="AK305" s="1" t="str">
        <f ca="1">IF(AJ305="","",IF(AJ305=0,0,IF(W305=1,0,SUM(OFFSET($CO$17,N305,1):OFFSET($CO$17,N305+W305-2,1))/W305)))</f>
        <v/>
      </c>
      <c r="AL305" s="1" t="str">
        <f t="shared" si="274"/>
        <v/>
      </c>
      <c r="AM305" s="1" t="str">
        <f>IF($B305="","",SUMIFS($AL$2:AL305,$I$2:I305,$I305))</f>
        <v/>
      </c>
      <c r="AN305" s="1" t="str">
        <f t="shared" si="275"/>
        <v/>
      </c>
      <c r="AO305" s="1" t="str">
        <f>IFERROR(IF($B305="","",AVERAGEIFS($L$2:L305,$I$2:I305,I305,$L$2:L305,"&lt;&gt;0")),0)</f>
        <v/>
      </c>
      <c r="AP305" s="1" t="str">
        <f t="shared" si="276"/>
        <v/>
      </c>
      <c r="AQ305" s="1" t="str">
        <f>IF($B305="","",COUNTIFS($R$2:R305,1,$I$2:I305,$I305))</f>
        <v/>
      </c>
      <c r="AR305" s="1" t="str">
        <f t="array" ref="AR305">IF($B305="","",SUMPRODUCT(--($B$2:$B$313=B305),--(AM305&lt;$AM$2:$AM$313))+1)</f>
        <v/>
      </c>
      <c r="AS305" s="1" t="str">
        <f t="array" ref="AS305">IF($B305="","",SUMPRODUCT(--($B$2:$B$313=B305),--(AP305&lt;$AP$2:$AP$313))+1)</f>
        <v/>
      </c>
      <c r="AT305" s="1" t="str">
        <f t="array" ref="AT305">IF($B305="","",SUMPRODUCT(--($B$2:$B$313=B305),--(AQ305&lt;$AQ$2:$AQ$313))+1)</f>
        <v/>
      </c>
      <c r="AU305" s="1" t="str">
        <f t="shared" si="277"/>
        <v/>
      </c>
      <c r="AV305" s="1" t="str">
        <f t="shared" si="278"/>
        <v/>
      </c>
      <c r="AW305" s="1" t="str">
        <f t="shared" si="251"/>
        <v/>
      </c>
      <c r="AX305" s="1" t="str">
        <f t="shared" si="279"/>
        <v/>
      </c>
      <c r="AY305" s="8" t="str">
        <f t="shared" si="280"/>
        <v/>
      </c>
      <c r="AZ305" s="1" t="str" cm="1">
        <f t="array" ref="AZ305">IF($B305="","",SUMPRODUCT(--($B$2:$B$313=B305),--(AY305&gt;$AY$2:$AY$313))+1)</f>
        <v/>
      </c>
      <c r="BA305" s="1" t="str">
        <f t="shared" si="281"/>
        <v/>
      </c>
      <c r="BB305" s="1" t="str">
        <f t="shared" si="282"/>
        <v/>
      </c>
      <c r="BC305" s="1" t="str">
        <f t="shared" si="283"/>
        <v/>
      </c>
      <c r="BD305" s="1" t="str">
        <f t="shared" si="284"/>
        <v/>
      </c>
      <c r="BE305" s="1" t="str">
        <f t="shared" si="285"/>
        <v/>
      </c>
      <c r="BF305" s="1" t="str">
        <f t="shared" si="286"/>
        <v/>
      </c>
      <c r="BG305" s="1" t="str">
        <f t="shared" si="287"/>
        <v/>
      </c>
      <c r="BH305" s="1" t="str">
        <f t="shared" si="288"/>
        <v/>
      </c>
      <c r="BI305" s="1" t="str">
        <f t="shared" si="289"/>
        <v/>
      </c>
      <c r="BJ305" s="1" t="str">
        <f t="shared" si="290"/>
        <v/>
      </c>
      <c r="BK305" s="1" t="str">
        <f t="shared" si="291"/>
        <v/>
      </c>
      <c r="BL305" s="1" t="str">
        <f t="shared" si="292"/>
        <v/>
      </c>
      <c r="BM305" s="1" t="str">
        <f t="shared" si="293"/>
        <v/>
      </c>
      <c r="BN305" s="1" t="str">
        <f t="shared" si="294"/>
        <v/>
      </c>
      <c r="BO305" s="1" t="str">
        <f t="shared" si="252"/>
        <v/>
      </c>
      <c r="BP305" s="1" t="str">
        <f t="shared" si="295"/>
        <v/>
      </c>
      <c r="BQ305" s="1" t="str" cm="1">
        <f t="array" ref="BQ305">IF(I305="","",IF(BP305=1,"",IF(L305=0,"",IF(B305=1,"",_xlfn.XLOOKUP(1,($I$2:$I$313=$I305)*($B$2:$B$313=($B305-1)),$BO$2:$BO$313)))))</f>
        <v/>
      </c>
      <c r="BR305" s="1" t="str">
        <f>IF(I305="","",IF($B305=1,_xlfn.MINIFS($BO$2:$BO$313,$B$2:$B$313,$B305),_xlfn.MINIFS(BQ$2:$BQ$313,$B$2:$B$313,$B305)))</f>
        <v/>
      </c>
      <c r="BS305" s="1" t="str">
        <f t="shared" si="296"/>
        <v/>
      </c>
      <c r="BT305" s="1" t="str" cm="1">
        <f t="array" ref="BT305">IF($I305="","",IF($B305=1,_xlfn.XLOOKUP(1,($B$2:$B$313=$B305)*($BO$2:$BO$313=BR305),Data!$I$2:$I$313,,0),_xlfn.XLOOKUP(1,($B$2:$B$313=$B305)*($BQ$2:$BQ$313=$BR305),$I$2:$I$313,,0)))</f>
        <v/>
      </c>
      <c r="BU305" s="1" t="str" cm="1">
        <f t="array" ref="BU305">IF(I305="","",IF($B305=1,_xlfn.XLOOKUP(1,($B$2:$B$313=$B305)*($BO$2:$BO$313=$BS305),$I$2:$I$313,,0),_xlfn.XLOOKUP(1,($B$2:$B$313=$B305)*($BQ$2:$BQ$313=$BS305),$I$2:$I$313,,0)))</f>
        <v/>
      </c>
      <c r="BV305" s="1" t="str" cm="1">
        <f t="array" ref="BV305">IF($I305="","",IF($B305=1,"",IF($B305=2,_xlfn.XLOOKUP(1,($B$2:$B$313=1)*($BO$2:$BO$313=1),$I$2:$I$313,,0),_xlfn.XLOOKUP($B305-1,$B$2:$B$313,$CH$2:$CH$313,,0))))</f>
        <v/>
      </c>
      <c r="BW305" s="1" t="str" cm="1">
        <f t="array" ref="BW305">IF($I305="","",IF($B305=1,"",IF(_xlfn.XLOOKUP(1,($B$2:$B$313=$B305)*($I$2:$I$313=$BV305),$BQ$2:$BQ$313,,0)="","NOK","OK")))</f>
        <v/>
      </c>
      <c r="BX305" s="1" t="str">
        <f t="shared" si="297"/>
        <v/>
      </c>
      <c r="BY305" s="1" t="str">
        <f t="shared" si="298"/>
        <v/>
      </c>
      <c r="BZ305" s="1" t="str">
        <f t="shared" si="299"/>
        <v/>
      </c>
      <c r="CA305" s="1" t="str">
        <f t="shared" si="300"/>
        <v/>
      </c>
      <c r="CB305" s="1" t="str">
        <f t="shared" si="301"/>
        <v/>
      </c>
      <c r="CC305" s="1" t="str">
        <f t="shared" si="302"/>
        <v/>
      </c>
      <c r="CD305" s="1" t="str">
        <f t="shared" si="303"/>
        <v/>
      </c>
      <c r="CE305" s="1" t="str">
        <f t="shared" si="304"/>
        <v/>
      </c>
      <c r="CF305" s="1" t="str">
        <f t="shared" si="305"/>
        <v/>
      </c>
      <c r="CG305" s="1" t="str">
        <f t="shared" si="306"/>
        <v/>
      </c>
      <c r="CH305" s="1" t="str">
        <f t="shared" si="307"/>
        <v/>
      </c>
      <c r="CI305" s="1" t="str">
        <f t="shared" si="308"/>
        <v/>
      </c>
      <c r="CJ305" s="1" t="str">
        <f>IF(B305="","",IF(SUM(AI305:AK305)&gt;0,"+SP","")&amp;IF(CI305&gt;0,"+KK","")&amp;IF(AB305&gt;0,"+KGP1","")&amp;IF(AC305&gt;0,"+KGP2","")&amp;IF(AG305&lt;0,"-KGP1","")&amp;IF(AH305&lt;0,"-KGP2",""))</f>
        <v/>
      </c>
    </row>
    <row r="306" spans="1:88" x14ac:dyDescent="0.25">
      <c r="A306" s="1" t="str">
        <f>IFERROR(IF(ROW(A305)=1,1,IF(1+A305&lt;=$CP$1*$CP$2,1+A305,"")),"")</f>
        <v/>
      </c>
      <c r="B306" s="1" t="str">
        <f>IF($I306="","",IF(ROW(B305)=1,1,ROUNDUP(A306/$CP$2,0)))</f>
        <v/>
      </c>
      <c r="C306" s="4" t="str">
        <f t="shared" si="253"/>
        <v/>
      </c>
      <c r="D306" s="4" t="str">
        <f t="shared" si="248"/>
        <v/>
      </c>
      <c r="E306" s="1" t="str">
        <f>IF($B306="","",COUNTIF($B$2:B306,B306))</f>
        <v/>
      </c>
      <c r="F306" s="1" t="str">
        <f t="shared" si="249"/>
        <v/>
      </c>
      <c r="G306" s="1" t="str">
        <f t="shared" si="254"/>
        <v/>
      </c>
      <c r="H306" s="1">
        <f t="shared" si="255"/>
        <v>0</v>
      </c>
      <c r="I306" s="3"/>
      <c r="J306" s="3"/>
      <c r="K306" s="3"/>
      <c r="L306" s="1" t="str">
        <f t="shared" si="256"/>
        <v/>
      </c>
      <c r="M306" s="1" t="str">
        <f t="shared" si="257"/>
        <v/>
      </c>
      <c r="N306" s="1" t="str">
        <f t="shared" si="258"/>
        <v/>
      </c>
      <c r="O306" s="1" t="str">
        <f t="shared" si="259"/>
        <v/>
      </c>
      <c r="P306" s="1" t="str">
        <f t="shared" si="260"/>
        <v/>
      </c>
      <c r="Q306" s="1" t="str">
        <f t="array" ref="Q306">IF($B306="","",IF(MAX(IF(B306=$B$2:$B$313,$L$2:$L$313))-L306=0,"",MAX(IF(B306=$B$2:$B$313,$L$2:$L$313))-L306))</f>
        <v/>
      </c>
      <c r="R306" s="1" t="str">
        <f t="array" ref="R306">IF($B306="","",SUMPRODUCT(--($B$2:$B$313=B306),--(L306&lt;$L$2:$L$313))+1)</f>
        <v/>
      </c>
      <c r="S306" s="1" t="str">
        <f t="shared" si="261"/>
        <v/>
      </c>
      <c r="T306" s="1" t="str" cm="1">
        <f t="array" ref="T306">IF($B306="","",IF(M306=0,"",SUMPRODUCT(--($B$2:$B$313=B306),--(J306&lt;$J$2:$J$313))+1))</f>
        <v/>
      </c>
      <c r="U306" s="1" t="str">
        <f t="shared" si="262"/>
        <v/>
      </c>
      <c r="V306" s="1" t="str">
        <f t="shared" si="263"/>
        <v/>
      </c>
      <c r="W306" s="1" t="str">
        <f t="shared" si="264"/>
        <v/>
      </c>
      <c r="X306" s="1" t="str">
        <f t="shared" si="250"/>
        <v/>
      </c>
      <c r="Y306" s="1" t="str">
        <f>IF($B306="","",MAX(_xlfn.MAXIFS($J$2:J306,$I$2:I306,$I306),_xlfn.MAXIFS($K$2:K306,$I$2:I306,$I306)))</f>
        <v/>
      </c>
      <c r="Z306" s="1" t="str">
        <f t="shared" si="265"/>
        <v/>
      </c>
      <c r="AA306" s="1" t="str">
        <f t="shared" si="266"/>
        <v/>
      </c>
      <c r="AB306" s="1" t="str">
        <f t="shared" si="267"/>
        <v/>
      </c>
      <c r="AC306" s="1" t="str">
        <f t="shared" si="268"/>
        <v/>
      </c>
      <c r="AD306" s="1" t="str">
        <f>IF($B306="","",MIN(_xlfn.MINIFS($J$2:J306,$I$2:I306,$I306),_xlfn.MINIFS($K$2:K306,$I$2:I306,$I306)))</f>
        <v/>
      </c>
      <c r="AE306" s="1" t="str">
        <f t="shared" si="269"/>
        <v/>
      </c>
      <c r="AF306" s="1" t="str">
        <f t="shared" si="270"/>
        <v/>
      </c>
      <c r="AG306" s="1" t="str">
        <f t="shared" si="271"/>
        <v/>
      </c>
      <c r="AH306" s="1" t="str">
        <f t="shared" si="272"/>
        <v/>
      </c>
      <c r="AI306" s="1" t="str">
        <f ca="1">IF($B306="","",IF($K306="",0,OFFSET($CO$17,R306,W306)))</f>
        <v/>
      </c>
      <c r="AJ306" s="1" t="str">
        <f t="shared" ca="1" si="273"/>
        <v/>
      </c>
      <c r="AK306" s="1" t="str">
        <f ca="1">IF(AJ306="","",IF(AJ306=0,0,IF(W306=1,0,SUM(OFFSET($CO$17,N306,1):OFFSET($CO$17,N306+W306-2,1))/W306)))</f>
        <v/>
      </c>
      <c r="AL306" s="1" t="str">
        <f t="shared" si="274"/>
        <v/>
      </c>
      <c r="AM306" s="1" t="str">
        <f>IF($B306="","",SUMIFS($AL$2:AL306,$I$2:I306,$I306))</f>
        <v/>
      </c>
      <c r="AN306" s="1" t="str">
        <f t="shared" si="275"/>
        <v/>
      </c>
      <c r="AO306" s="1" t="str">
        <f>IFERROR(IF($B306="","",AVERAGEIFS($L$2:L306,$I$2:I306,I306,$L$2:L306,"&lt;&gt;0")),0)</f>
        <v/>
      </c>
      <c r="AP306" s="1" t="str">
        <f t="shared" si="276"/>
        <v/>
      </c>
      <c r="AQ306" s="1" t="str">
        <f>IF($B306="","",COUNTIFS($R$2:R306,1,$I$2:I306,$I306))</f>
        <v/>
      </c>
      <c r="AR306" s="1" t="str">
        <f t="array" ref="AR306">IF($B306="","",SUMPRODUCT(--($B$2:$B$313=B306),--(AM306&lt;$AM$2:$AM$313))+1)</f>
        <v/>
      </c>
      <c r="AS306" s="1" t="str">
        <f t="array" ref="AS306">IF($B306="","",SUMPRODUCT(--($B$2:$B$313=B306),--(AP306&lt;$AP$2:$AP$313))+1)</f>
        <v/>
      </c>
      <c r="AT306" s="1" t="str">
        <f t="array" ref="AT306">IF($B306="","",SUMPRODUCT(--($B$2:$B$313=B306),--(AQ306&lt;$AQ$2:$AQ$313))+1)</f>
        <v/>
      </c>
      <c r="AU306" s="1" t="str">
        <f t="shared" si="277"/>
        <v/>
      </c>
      <c r="AV306" s="1" t="str">
        <f t="shared" si="278"/>
        <v/>
      </c>
      <c r="AW306" s="1" t="str">
        <f t="shared" si="251"/>
        <v/>
      </c>
      <c r="AX306" s="1" t="str">
        <f t="shared" si="279"/>
        <v/>
      </c>
      <c r="AY306" s="8" t="str">
        <f t="shared" si="280"/>
        <v/>
      </c>
      <c r="AZ306" s="1" t="str" cm="1">
        <f t="array" ref="AZ306">IF($B306="","",SUMPRODUCT(--($B$2:$B$313=B306),--(AY306&gt;$AY$2:$AY$313))+1)</f>
        <v/>
      </c>
      <c r="BA306" s="1" t="str">
        <f t="shared" si="281"/>
        <v/>
      </c>
      <c r="BB306" s="1" t="str">
        <f t="shared" si="282"/>
        <v/>
      </c>
      <c r="BC306" s="1" t="str">
        <f t="shared" si="283"/>
        <v/>
      </c>
      <c r="BD306" s="1" t="str">
        <f t="shared" si="284"/>
        <v/>
      </c>
      <c r="BE306" s="1" t="str">
        <f t="shared" si="285"/>
        <v/>
      </c>
      <c r="BF306" s="1" t="str">
        <f t="shared" si="286"/>
        <v/>
      </c>
      <c r="BG306" s="1" t="str">
        <f t="shared" si="287"/>
        <v/>
      </c>
      <c r="BH306" s="1" t="str">
        <f t="shared" si="288"/>
        <v/>
      </c>
      <c r="BI306" s="1" t="str">
        <f t="shared" si="289"/>
        <v/>
      </c>
      <c r="BJ306" s="1" t="str">
        <f t="shared" si="290"/>
        <v/>
      </c>
      <c r="BK306" s="1" t="str">
        <f t="shared" si="291"/>
        <v/>
      </c>
      <c r="BL306" s="1" t="str">
        <f t="shared" si="292"/>
        <v/>
      </c>
      <c r="BM306" s="1" t="str">
        <f t="shared" si="293"/>
        <v/>
      </c>
      <c r="BN306" s="1" t="str">
        <f t="shared" si="294"/>
        <v/>
      </c>
      <c r="BO306" s="1" t="str">
        <f t="shared" si="252"/>
        <v/>
      </c>
      <c r="BP306" s="1" t="str">
        <f t="shared" si="295"/>
        <v/>
      </c>
      <c r="BQ306" s="1" t="str" cm="1">
        <f t="array" ref="BQ306">IF(I306="","",IF(BP306=1,"",IF(L306=0,"",IF(B306=1,"",_xlfn.XLOOKUP(1,($I$2:$I$313=$I306)*($B$2:$B$313=($B306-1)),$BO$2:$BO$313)))))</f>
        <v/>
      </c>
      <c r="BR306" s="1" t="str">
        <f>IF(I306="","",IF($B306=1,_xlfn.MINIFS($BO$2:$BO$313,$B$2:$B$313,$B306),_xlfn.MINIFS(BQ$2:$BQ$313,$B$2:$B$313,$B306)))</f>
        <v/>
      </c>
      <c r="BS306" s="1" t="str">
        <f t="shared" si="296"/>
        <v/>
      </c>
      <c r="BT306" s="1" t="str" cm="1">
        <f t="array" ref="BT306">IF($I306="","",IF($B306=1,_xlfn.XLOOKUP(1,($B$2:$B$313=$B306)*($BO$2:$BO$313=BR306),Data!$I$2:$I$313,,0),_xlfn.XLOOKUP(1,($B$2:$B$313=$B306)*($BQ$2:$BQ$313=$BR306),$I$2:$I$313,,0)))</f>
        <v/>
      </c>
      <c r="BU306" s="1" t="str" cm="1">
        <f t="array" ref="BU306">IF(I306="","",IF($B306=1,_xlfn.XLOOKUP(1,($B$2:$B$313=$B306)*($BO$2:$BO$313=$BS306),$I$2:$I$313,,0),_xlfn.XLOOKUP(1,($B$2:$B$313=$B306)*($BQ$2:$BQ$313=$BS306),$I$2:$I$313,,0)))</f>
        <v/>
      </c>
      <c r="BV306" s="1" t="str" cm="1">
        <f t="array" ref="BV306">IF($I306="","",IF($B306=1,"",IF($B306=2,_xlfn.XLOOKUP(1,($B$2:$B$313=1)*($BO$2:$BO$313=1),$I$2:$I$313,,0),_xlfn.XLOOKUP($B306-1,$B$2:$B$313,$CH$2:$CH$313,,0))))</f>
        <v/>
      </c>
      <c r="BW306" s="1" t="str" cm="1">
        <f t="array" ref="BW306">IF($I306="","",IF($B306=1,"",IF(_xlfn.XLOOKUP(1,($B$2:$B$313=$B306)*($I$2:$I$313=$BV306),$BQ$2:$BQ$313,,0)="","NOK","OK")))</f>
        <v/>
      </c>
      <c r="BX306" s="1" t="str">
        <f t="shared" si="297"/>
        <v/>
      </c>
      <c r="BY306" s="1" t="str">
        <f t="shared" si="298"/>
        <v/>
      </c>
      <c r="BZ306" s="1" t="str">
        <f t="shared" si="299"/>
        <v/>
      </c>
      <c r="CA306" s="1" t="str">
        <f t="shared" si="300"/>
        <v/>
      </c>
      <c r="CB306" s="1" t="str">
        <f t="shared" si="301"/>
        <v/>
      </c>
      <c r="CC306" s="1" t="str">
        <f t="shared" si="302"/>
        <v/>
      </c>
      <c r="CD306" s="1" t="str">
        <f t="shared" si="303"/>
        <v/>
      </c>
      <c r="CE306" s="1" t="str">
        <f t="shared" si="304"/>
        <v/>
      </c>
      <c r="CF306" s="1" t="str">
        <f t="shared" si="305"/>
        <v/>
      </c>
      <c r="CG306" s="1" t="str">
        <f t="shared" si="306"/>
        <v/>
      </c>
      <c r="CH306" s="1" t="str">
        <f t="shared" si="307"/>
        <v/>
      </c>
      <c r="CI306" s="1" t="str">
        <f t="shared" si="308"/>
        <v/>
      </c>
      <c r="CJ306" s="1" t="str">
        <f>IF(B306="","",IF(SUM(AI306:AK306)&gt;0,"+SP","")&amp;IF(CI306&gt;0,"+KK","")&amp;IF(AB306&gt;0,"+KGP1","")&amp;IF(AC306&gt;0,"+KGP2","")&amp;IF(AG306&lt;0,"-KGP1","")&amp;IF(AH306&lt;0,"-KGP2",""))</f>
        <v/>
      </c>
    </row>
    <row r="307" spans="1:88" x14ac:dyDescent="0.25">
      <c r="A307" s="1" t="str">
        <f>IFERROR(IF(ROW(A306)=1,1,IF(1+A306&lt;=$CP$1*$CP$2,1+A306,"")),"")</f>
        <v/>
      </c>
      <c r="B307" s="1" t="str">
        <f>IF($I307="","",IF(ROW(B306)=1,1,ROUNDUP(A307/$CP$2,0)))</f>
        <v/>
      </c>
      <c r="C307" s="4" t="str">
        <f t="shared" si="253"/>
        <v/>
      </c>
      <c r="D307" s="4" t="str">
        <f t="shared" si="248"/>
        <v/>
      </c>
      <c r="E307" s="1" t="str">
        <f>IF($B307="","",COUNTIF($B$2:B307,B307))</f>
        <v/>
      </c>
      <c r="F307" s="1" t="str">
        <f t="shared" si="249"/>
        <v/>
      </c>
      <c r="G307" s="1" t="str">
        <f t="shared" si="254"/>
        <v/>
      </c>
      <c r="H307" s="1">
        <f t="shared" si="255"/>
        <v>0</v>
      </c>
      <c r="I307" s="3"/>
      <c r="J307" s="3"/>
      <c r="K307" s="3"/>
      <c r="L307" s="1" t="str">
        <f t="shared" si="256"/>
        <v/>
      </c>
      <c r="M307" s="1" t="str">
        <f t="shared" si="257"/>
        <v/>
      </c>
      <c r="N307" s="1" t="str">
        <f t="shared" si="258"/>
        <v/>
      </c>
      <c r="O307" s="1" t="str">
        <f t="shared" si="259"/>
        <v/>
      </c>
      <c r="P307" s="1" t="str">
        <f t="shared" si="260"/>
        <v/>
      </c>
      <c r="Q307" s="1" t="str">
        <f t="array" ref="Q307">IF($B307="","",IF(MAX(IF(B307=$B$2:$B$313,$L$2:$L$313))-L307=0,"",MAX(IF(B307=$B$2:$B$313,$L$2:$L$313))-L307))</f>
        <v/>
      </c>
      <c r="R307" s="1" t="str">
        <f t="array" ref="R307">IF($B307="","",SUMPRODUCT(--($B$2:$B$313=B307),--(L307&lt;$L$2:$L$313))+1)</f>
        <v/>
      </c>
      <c r="S307" s="1" t="str">
        <f t="shared" si="261"/>
        <v/>
      </c>
      <c r="T307" s="1" t="str" cm="1">
        <f t="array" ref="T307">IF($B307="","",IF(M307=0,"",SUMPRODUCT(--($B$2:$B$313=B307),--(J307&lt;$J$2:$J$313))+1))</f>
        <v/>
      </c>
      <c r="U307" s="1" t="str">
        <f t="shared" si="262"/>
        <v/>
      </c>
      <c r="V307" s="1" t="str">
        <f t="shared" si="263"/>
        <v/>
      </c>
      <c r="W307" s="1" t="str">
        <f t="shared" si="264"/>
        <v/>
      </c>
      <c r="X307" s="1" t="str">
        <f t="shared" si="250"/>
        <v/>
      </c>
      <c r="Y307" s="1" t="str">
        <f>IF($B307="","",MAX(_xlfn.MAXIFS($J$2:J307,$I$2:I307,$I307),_xlfn.MAXIFS($K$2:K307,$I$2:I307,$I307)))</f>
        <v/>
      </c>
      <c r="Z307" s="1" t="str">
        <f t="shared" si="265"/>
        <v/>
      </c>
      <c r="AA307" s="1" t="str">
        <f t="shared" si="266"/>
        <v/>
      </c>
      <c r="AB307" s="1" t="str">
        <f t="shared" si="267"/>
        <v/>
      </c>
      <c r="AC307" s="1" t="str">
        <f t="shared" si="268"/>
        <v/>
      </c>
      <c r="AD307" s="1" t="str">
        <f>IF($B307="","",MIN(_xlfn.MINIFS($J$2:J307,$I$2:I307,$I307),_xlfn.MINIFS($K$2:K307,$I$2:I307,$I307)))</f>
        <v/>
      </c>
      <c r="AE307" s="1" t="str">
        <f t="shared" si="269"/>
        <v/>
      </c>
      <c r="AF307" s="1" t="str">
        <f t="shared" si="270"/>
        <v/>
      </c>
      <c r="AG307" s="1" t="str">
        <f t="shared" si="271"/>
        <v/>
      </c>
      <c r="AH307" s="1" t="str">
        <f t="shared" si="272"/>
        <v/>
      </c>
      <c r="AI307" s="1" t="str">
        <f ca="1">IF($B307="","",IF($K307="",0,OFFSET($CO$17,R307,W307)))</f>
        <v/>
      </c>
      <c r="AJ307" s="1" t="str">
        <f t="shared" ca="1" si="273"/>
        <v/>
      </c>
      <c r="AK307" s="1" t="str">
        <f ca="1">IF(AJ307="","",IF(AJ307=0,0,IF(W307=1,0,SUM(OFFSET($CO$17,N307,1):OFFSET($CO$17,N307+W307-2,1))/W307)))</f>
        <v/>
      </c>
      <c r="AL307" s="1" t="str">
        <f t="shared" si="274"/>
        <v/>
      </c>
      <c r="AM307" s="1" t="str">
        <f>IF($B307="","",SUMIFS($AL$2:AL307,$I$2:I307,$I307))</f>
        <v/>
      </c>
      <c r="AN307" s="1" t="str">
        <f t="shared" si="275"/>
        <v/>
      </c>
      <c r="AO307" s="1" t="str">
        <f>IFERROR(IF($B307="","",AVERAGEIFS($L$2:L307,$I$2:I307,I307,$L$2:L307,"&lt;&gt;0")),0)</f>
        <v/>
      </c>
      <c r="AP307" s="1" t="str">
        <f t="shared" si="276"/>
        <v/>
      </c>
      <c r="AQ307" s="1" t="str">
        <f>IF($B307="","",COUNTIFS($R$2:R307,1,$I$2:I307,$I307))</f>
        <v/>
      </c>
      <c r="AR307" s="1" t="str">
        <f t="array" ref="AR307">IF($B307="","",SUMPRODUCT(--($B$2:$B$313=B307),--(AM307&lt;$AM$2:$AM$313))+1)</f>
        <v/>
      </c>
      <c r="AS307" s="1" t="str">
        <f t="array" ref="AS307">IF($B307="","",SUMPRODUCT(--($B$2:$B$313=B307),--(AP307&lt;$AP$2:$AP$313))+1)</f>
        <v/>
      </c>
      <c r="AT307" s="1" t="str">
        <f t="array" ref="AT307">IF($B307="","",SUMPRODUCT(--($B$2:$B$313=B307),--(AQ307&lt;$AQ$2:$AQ$313))+1)</f>
        <v/>
      </c>
      <c r="AU307" s="1" t="str">
        <f t="shared" si="277"/>
        <v/>
      </c>
      <c r="AV307" s="1" t="str">
        <f t="shared" si="278"/>
        <v/>
      </c>
      <c r="AW307" s="1" t="str">
        <f t="shared" si="251"/>
        <v/>
      </c>
      <c r="AX307" s="1" t="str">
        <f t="shared" si="279"/>
        <v/>
      </c>
      <c r="AY307" s="8" t="str">
        <f t="shared" si="280"/>
        <v/>
      </c>
      <c r="AZ307" s="1" t="str" cm="1">
        <f t="array" ref="AZ307">IF($B307="","",SUMPRODUCT(--($B$2:$B$313=B307),--(AY307&gt;$AY$2:$AY$313))+1)</f>
        <v/>
      </c>
      <c r="BA307" s="1" t="str">
        <f t="shared" si="281"/>
        <v/>
      </c>
      <c r="BB307" s="1" t="str">
        <f t="shared" si="282"/>
        <v/>
      </c>
      <c r="BC307" s="1" t="str">
        <f t="shared" si="283"/>
        <v/>
      </c>
      <c r="BD307" s="1" t="str">
        <f t="shared" si="284"/>
        <v/>
      </c>
      <c r="BE307" s="1" t="str">
        <f t="shared" si="285"/>
        <v/>
      </c>
      <c r="BF307" s="1" t="str">
        <f t="shared" si="286"/>
        <v/>
      </c>
      <c r="BG307" s="1" t="str">
        <f t="shared" si="287"/>
        <v/>
      </c>
      <c r="BH307" s="1" t="str">
        <f t="shared" si="288"/>
        <v/>
      </c>
      <c r="BI307" s="1" t="str">
        <f t="shared" si="289"/>
        <v/>
      </c>
      <c r="BJ307" s="1" t="str">
        <f t="shared" si="290"/>
        <v/>
      </c>
      <c r="BK307" s="1" t="str">
        <f t="shared" si="291"/>
        <v/>
      </c>
      <c r="BL307" s="1" t="str">
        <f t="shared" si="292"/>
        <v/>
      </c>
      <c r="BM307" s="1" t="str">
        <f t="shared" si="293"/>
        <v/>
      </c>
      <c r="BN307" s="1" t="str">
        <f t="shared" si="294"/>
        <v/>
      </c>
      <c r="BO307" s="1" t="str">
        <f t="shared" si="252"/>
        <v/>
      </c>
      <c r="BP307" s="1" t="str">
        <f t="shared" si="295"/>
        <v/>
      </c>
      <c r="BQ307" s="1" t="str" cm="1">
        <f t="array" ref="BQ307">IF(I307="","",IF(BP307=1,"",IF(L307=0,"",IF(B307=1,"",_xlfn.XLOOKUP(1,($I$2:$I$313=$I307)*($B$2:$B$313=($B307-1)),$BO$2:$BO$313)))))</f>
        <v/>
      </c>
      <c r="BR307" s="1" t="str">
        <f>IF(I307="","",IF($B307=1,_xlfn.MINIFS($BO$2:$BO$313,$B$2:$B$313,$B307),_xlfn.MINIFS(BQ$2:$BQ$313,$B$2:$B$313,$B307)))</f>
        <v/>
      </c>
      <c r="BS307" s="1" t="str">
        <f t="shared" si="296"/>
        <v/>
      </c>
      <c r="BT307" s="1" t="str" cm="1">
        <f t="array" ref="BT307">IF($I307="","",IF($B307=1,_xlfn.XLOOKUP(1,($B$2:$B$313=$B307)*($BO$2:$BO$313=BR307),Data!$I$2:$I$313,,0),_xlfn.XLOOKUP(1,($B$2:$B$313=$B307)*($BQ$2:$BQ$313=$BR307),$I$2:$I$313,,0)))</f>
        <v/>
      </c>
      <c r="BU307" s="1" t="str" cm="1">
        <f t="array" ref="BU307">IF(I307="","",IF($B307=1,_xlfn.XLOOKUP(1,($B$2:$B$313=$B307)*($BO$2:$BO$313=$BS307),$I$2:$I$313,,0),_xlfn.XLOOKUP(1,($B$2:$B$313=$B307)*($BQ$2:$BQ$313=$BS307),$I$2:$I$313,,0)))</f>
        <v/>
      </c>
      <c r="BV307" s="1" t="str" cm="1">
        <f t="array" ref="BV307">IF($I307="","",IF($B307=1,"",IF($B307=2,_xlfn.XLOOKUP(1,($B$2:$B$313=1)*($BO$2:$BO$313=1),$I$2:$I$313,,0),_xlfn.XLOOKUP($B307-1,$B$2:$B$313,$CH$2:$CH$313,,0))))</f>
        <v/>
      </c>
      <c r="BW307" s="1" t="str" cm="1">
        <f t="array" ref="BW307">IF($I307="","",IF($B307=1,"",IF(_xlfn.XLOOKUP(1,($B$2:$B$313=$B307)*($I$2:$I$313=$BV307),$BQ$2:$BQ$313,,0)="","NOK","OK")))</f>
        <v/>
      </c>
      <c r="BX307" s="1" t="str">
        <f t="shared" si="297"/>
        <v/>
      </c>
      <c r="BY307" s="1" t="str">
        <f t="shared" si="298"/>
        <v/>
      </c>
      <c r="BZ307" s="1" t="str">
        <f t="shared" si="299"/>
        <v/>
      </c>
      <c r="CA307" s="1" t="str">
        <f t="shared" si="300"/>
        <v/>
      </c>
      <c r="CB307" s="1" t="str">
        <f t="shared" si="301"/>
        <v/>
      </c>
      <c r="CC307" s="1" t="str">
        <f t="shared" si="302"/>
        <v/>
      </c>
      <c r="CD307" s="1" t="str">
        <f t="shared" si="303"/>
        <v/>
      </c>
      <c r="CE307" s="1" t="str">
        <f t="shared" si="304"/>
        <v/>
      </c>
      <c r="CF307" s="1" t="str">
        <f t="shared" si="305"/>
        <v/>
      </c>
      <c r="CG307" s="1" t="str">
        <f t="shared" si="306"/>
        <v/>
      </c>
      <c r="CH307" s="1" t="str">
        <f t="shared" si="307"/>
        <v/>
      </c>
      <c r="CI307" s="1" t="str">
        <f t="shared" si="308"/>
        <v/>
      </c>
      <c r="CJ307" s="1" t="str">
        <f>IF(B307="","",IF(SUM(AI307:AK307)&gt;0,"+SP","")&amp;IF(CI307&gt;0,"+KK","")&amp;IF(AB307&gt;0,"+KGP1","")&amp;IF(AC307&gt;0,"+KGP2","")&amp;IF(AG307&lt;0,"-KGP1","")&amp;IF(AH307&lt;0,"-KGP2",""))</f>
        <v/>
      </c>
    </row>
    <row r="308" spans="1:88" x14ac:dyDescent="0.25">
      <c r="A308" s="1" t="str">
        <f>IFERROR(IF(ROW(A307)=1,1,IF(1+A307&lt;=$CP$1*$CP$2,1+A307,"")),"")</f>
        <v/>
      </c>
      <c r="B308" s="1" t="str">
        <f>IF($I308="","",IF(ROW(B307)=1,1,ROUNDUP(A308/$CP$2,0)))</f>
        <v/>
      </c>
      <c r="C308" s="4" t="str">
        <f t="shared" si="253"/>
        <v/>
      </c>
      <c r="D308" s="4" t="str">
        <f t="shared" si="248"/>
        <v/>
      </c>
      <c r="E308" s="1" t="str">
        <f>IF($B308="","",COUNTIF($B$2:B308,B308))</f>
        <v/>
      </c>
      <c r="F308" s="1" t="str">
        <f t="shared" si="249"/>
        <v/>
      </c>
      <c r="G308" s="1" t="str">
        <f t="shared" si="254"/>
        <v/>
      </c>
      <c r="H308" s="1">
        <f t="shared" si="255"/>
        <v>0</v>
      </c>
      <c r="I308" s="3"/>
      <c r="J308" s="3"/>
      <c r="K308" s="3"/>
      <c r="L308" s="1" t="str">
        <f t="shared" si="256"/>
        <v/>
      </c>
      <c r="M308" s="1" t="str">
        <f t="shared" si="257"/>
        <v/>
      </c>
      <c r="N308" s="1" t="str">
        <f t="shared" si="258"/>
        <v/>
      </c>
      <c r="O308" s="1" t="str">
        <f t="shared" si="259"/>
        <v/>
      </c>
      <c r="P308" s="1" t="str">
        <f t="shared" si="260"/>
        <v/>
      </c>
      <c r="Q308" s="1" t="str">
        <f t="array" ref="Q308">IF($B308="","",IF(MAX(IF(B308=$B$2:$B$313,$L$2:$L$313))-L308=0,"",MAX(IF(B308=$B$2:$B$313,$L$2:$L$313))-L308))</f>
        <v/>
      </c>
      <c r="R308" s="1" t="str">
        <f t="array" ref="R308">IF($B308="","",SUMPRODUCT(--($B$2:$B$313=B308),--(L308&lt;$L$2:$L$313))+1)</f>
        <v/>
      </c>
      <c r="S308" s="1" t="str">
        <f t="shared" si="261"/>
        <v/>
      </c>
      <c r="T308" s="1" t="str" cm="1">
        <f t="array" ref="T308">IF($B308="","",IF(M308=0,"",SUMPRODUCT(--($B$2:$B$313=B308),--(J308&lt;$J$2:$J$313))+1))</f>
        <v/>
      </c>
      <c r="U308" s="1" t="str">
        <f t="shared" si="262"/>
        <v/>
      </c>
      <c r="V308" s="1" t="str">
        <f t="shared" si="263"/>
        <v/>
      </c>
      <c r="W308" s="1" t="str">
        <f t="shared" si="264"/>
        <v/>
      </c>
      <c r="X308" s="1" t="str">
        <f t="shared" si="250"/>
        <v/>
      </c>
      <c r="Y308" s="1" t="str">
        <f>IF($B308="","",MAX(_xlfn.MAXIFS($J$2:J308,$I$2:I308,$I308),_xlfn.MAXIFS($K$2:K308,$I$2:I308,$I308)))</f>
        <v/>
      </c>
      <c r="Z308" s="1" t="str">
        <f t="shared" si="265"/>
        <v/>
      </c>
      <c r="AA308" s="1" t="str">
        <f t="shared" si="266"/>
        <v/>
      </c>
      <c r="AB308" s="1" t="str">
        <f t="shared" si="267"/>
        <v/>
      </c>
      <c r="AC308" s="1" t="str">
        <f t="shared" si="268"/>
        <v/>
      </c>
      <c r="AD308" s="1" t="str">
        <f>IF($B308="","",MIN(_xlfn.MINIFS($J$2:J308,$I$2:I308,$I308),_xlfn.MINIFS($K$2:K308,$I$2:I308,$I308)))</f>
        <v/>
      </c>
      <c r="AE308" s="1" t="str">
        <f t="shared" si="269"/>
        <v/>
      </c>
      <c r="AF308" s="1" t="str">
        <f t="shared" si="270"/>
        <v/>
      </c>
      <c r="AG308" s="1" t="str">
        <f t="shared" si="271"/>
        <v/>
      </c>
      <c r="AH308" s="1" t="str">
        <f t="shared" si="272"/>
        <v/>
      </c>
      <c r="AI308" s="1" t="str">
        <f ca="1">IF($B308="","",IF($K308="",0,OFFSET($CO$17,R308,W308)))</f>
        <v/>
      </c>
      <c r="AJ308" s="1" t="str">
        <f t="shared" ca="1" si="273"/>
        <v/>
      </c>
      <c r="AK308" s="1" t="str">
        <f ca="1">IF(AJ308="","",IF(AJ308=0,0,IF(W308=1,0,SUM(OFFSET($CO$17,N308,1):OFFSET($CO$17,N308+W308-2,1))/W308)))</f>
        <v/>
      </c>
      <c r="AL308" s="1" t="str">
        <f t="shared" si="274"/>
        <v/>
      </c>
      <c r="AM308" s="1" t="str">
        <f>IF($B308="","",SUMIFS($AL$2:AL308,$I$2:I308,$I308))</f>
        <v/>
      </c>
      <c r="AN308" s="1" t="str">
        <f t="shared" si="275"/>
        <v/>
      </c>
      <c r="AO308" s="1" t="str">
        <f>IFERROR(IF($B308="","",AVERAGEIFS($L$2:L308,$I$2:I308,I308,$L$2:L308,"&lt;&gt;0")),0)</f>
        <v/>
      </c>
      <c r="AP308" s="1" t="str">
        <f t="shared" si="276"/>
        <v/>
      </c>
      <c r="AQ308" s="1" t="str">
        <f>IF($B308="","",COUNTIFS($R$2:R308,1,$I$2:I308,$I308))</f>
        <v/>
      </c>
      <c r="AR308" s="1" t="str">
        <f t="array" ref="AR308">IF($B308="","",SUMPRODUCT(--($B$2:$B$313=B308),--(AM308&lt;$AM$2:$AM$313))+1)</f>
        <v/>
      </c>
      <c r="AS308" s="1" t="str">
        <f t="array" ref="AS308">IF($B308="","",SUMPRODUCT(--($B$2:$B$313=B308),--(AP308&lt;$AP$2:$AP$313))+1)</f>
        <v/>
      </c>
      <c r="AT308" s="1" t="str">
        <f t="array" ref="AT308">IF($B308="","",SUMPRODUCT(--($B$2:$B$313=B308),--(AQ308&lt;$AQ$2:$AQ$313))+1)</f>
        <v/>
      </c>
      <c r="AU308" s="1" t="str">
        <f t="shared" si="277"/>
        <v/>
      </c>
      <c r="AV308" s="1" t="str">
        <f t="shared" si="278"/>
        <v/>
      </c>
      <c r="AW308" s="1" t="str">
        <f t="shared" si="251"/>
        <v/>
      </c>
      <c r="AX308" s="1" t="str">
        <f t="shared" si="279"/>
        <v/>
      </c>
      <c r="AY308" s="8" t="str">
        <f t="shared" si="280"/>
        <v/>
      </c>
      <c r="AZ308" s="1" t="str" cm="1">
        <f t="array" ref="AZ308">IF($B308="","",SUMPRODUCT(--($B$2:$B$313=B308),--(AY308&gt;$AY$2:$AY$313))+1)</f>
        <v/>
      </c>
      <c r="BA308" s="1" t="str">
        <f t="shared" si="281"/>
        <v/>
      </c>
      <c r="BB308" s="1" t="str">
        <f t="shared" si="282"/>
        <v/>
      </c>
      <c r="BC308" s="1" t="str">
        <f t="shared" si="283"/>
        <v/>
      </c>
      <c r="BD308" s="1" t="str">
        <f t="shared" si="284"/>
        <v/>
      </c>
      <c r="BE308" s="1" t="str">
        <f t="shared" si="285"/>
        <v/>
      </c>
      <c r="BF308" s="1" t="str">
        <f t="shared" si="286"/>
        <v/>
      </c>
      <c r="BG308" s="1" t="str">
        <f t="shared" si="287"/>
        <v/>
      </c>
      <c r="BH308" s="1" t="str">
        <f t="shared" si="288"/>
        <v/>
      </c>
      <c r="BI308" s="1" t="str">
        <f t="shared" si="289"/>
        <v/>
      </c>
      <c r="BJ308" s="1" t="str">
        <f t="shared" si="290"/>
        <v/>
      </c>
      <c r="BK308" s="1" t="str">
        <f t="shared" si="291"/>
        <v/>
      </c>
      <c r="BL308" s="1" t="str">
        <f t="shared" si="292"/>
        <v/>
      </c>
      <c r="BM308" s="1" t="str">
        <f t="shared" si="293"/>
        <v/>
      </c>
      <c r="BN308" s="1" t="str">
        <f t="shared" si="294"/>
        <v/>
      </c>
      <c r="BO308" s="1" t="str">
        <f t="shared" si="252"/>
        <v/>
      </c>
      <c r="BP308" s="1" t="str">
        <f t="shared" si="295"/>
        <v/>
      </c>
      <c r="BQ308" s="1" t="str" cm="1">
        <f t="array" ref="BQ308">IF(I308="","",IF(BP308=1,"",IF(L308=0,"",IF(B308=1,"",_xlfn.XLOOKUP(1,($I$2:$I$313=$I308)*($B$2:$B$313=($B308-1)),$BO$2:$BO$313)))))</f>
        <v/>
      </c>
      <c r="BR308" s="1" t="str">
        <f>IF(I308="","",IF($B308=1,_xlfn.MINIFS($BO$2:$BO$313,$B$2:$B$313,$B308),_xlfn.MINIFS(BQ$2:$BQ$313,$B$2:$B$313,$B308)))</f>
        <v/>
      </c>
      <c r="BS308" s="1" t="str">
        <f t="shared" si="296"/>
        <v/>
      </c>
      <c r="BT308" s="1" t="str" cm="1">
        <f t="array" ref="BT308">IF($I308="","",IF($B308=1,_xlfn.XLOOKUP(1,($B$2:$B$313=$B308)*($BO$2:$BO$313=BR308),Data!$I$2:$I$313,,0),_xlfn.XLOOKUP(1,($B$2:$B$313=$B308)*($BQ$2:$BQ$313=$BR308),$I$2:$I$313,,0)))</f>
        <v/>
      </c>
      <c r="BU308" s="1" t="str" cm="1">
        <f t="array" ref="BU308">IF(I308="","",IF($B308=1,_xlfn.XLOOKUP(1,($B$2:$B$313=$B308)*($BO$2:$BO$313=$BS308),$I$2:$I$313,,0),_xlfn.XLOOKUP(1,($B$2:$B$313=$B308)*($BQ$2:$BQ$313=$BS308),$I$2:$I$313,,0)))</f>
        <v/>
      </c>
      <c r="BV308" s="1" t="str" cm="1">
        <f t="array" ref="BV308">IF($I308="","",IF($B308=1,"",IF($B308=2,_xlfn.XLOOKUP(1,($B$2:$B$313=1)*($BO$2:$BO$313=1),$I$2:$I$313,,0),_xlfn.XLOOKUP($B308-1,$B$2:$B$313,$CH$2:$CH$313,,0))))</f>
        <v/>
      </c>
      <c r="BW308" s="1" t="str" cm="1">
        <f t="array" ref="BW308">IF($I308="","",IF($B308=1,"",IF(_xlfn.XLOOKUP(1,($B$2:$B$313=$B308)*($I$2:$I$313=$BV308),$BQ$2:$BQ$313,,0)="","NOK","OK")))</f>
        <v/>
      </c>
      <c r="BX308" s="1" t="str">
        <f t="shared" si="297"/>
        <v/>
      </c>
      <c r="BY308" s="1" t="str">
        <f t="shared" si="298"/>
        <v/>
      </c>
      <c r="BZ308" s="1" t="str">
        <f t="shared" si="299"/>
        <v/>
      </c>
      <c r="CA308" s="1" t="str">
        <f t="shared" si="300"/>
        <v/>
      </c>
      <c r="CB308" s="1" t="str">
        <f t="shared" si="301"/>
        <v/>
      </c>
      <c r="CC308" s="1" t="str">
        <f t="shared" si="302"/>
        <v/>
      </c>
      <c r="CD308" s="1" t="str">
        <f t="shared" si="303"/>
        <v/>
      </c>
      <c r="CE308" s="1" t="str">
        <f t="shared" si="304"/>
        <v/>
      </c>
      <c r="CF308" s="1" t="str">
        <f t="shared" si="305"/>
        <v/>
      </c>
      <c r="CG308" s="1" t="str">
        <f t="shared" si="306"/>
        <v/>
      </c>
      <c r="CH308" s="1" t="str">
        <f t="shared" si="307"/>
        <v/>
      </c>
      <c r="CI308" s="1" t="str">
        <f t="shared" si="308"/>
        <v/>
      </c>
      <c r="CJ308" s="1" t="str">
        <f>IF(B308="","",IF(SUM(AI308:AK308)&gt;0,"+SP","")&amp;IF(CI308&gt;0,"+KK","")&amp;IF(AB308&gt;0,"+KGP1","")&amp;IF(AC308&gt;0,"+KGP2","")&amp;IF(AG308&lt;0,"-KGP1","")&amp;IF(AH308&lt;0,"-KGP2",""))</f>
        <v/>
      </c>
    </row>
    <row r="309" spans="1:88" x14ac:dyDescent="0.25">
      <c r="A309" s="1" t="str">
        <f>IFERROR(IF(ROW(A308)=1,1,IF(1+A308&lt;=$CP$1*$CP$2,1+A308,"")),"")</f>
        <v/>
      </c>
      <c r="B309" s="1" t="str">
        <f>IF($I309="","",IF(ROW(B308)=1,1,ROUNDUP(A309/$CP$2,0)))</f>
        <v/>
      </c>
      <c r="C309" s="4" t="str">
        <f t="shared" si="253"/>
        <v/>
      </c>
      <c r="D309" s="4" t="str">
        <f t="shared" si="248"/>
        <v/>
      </c>
      <c r="E309" s="1" t="str">
        <f>IF($B309="","",COUNTIF($B$2:B309,B309))</f>
        <v/>
      </c>
      <c r="F309" s="1" t="str">
        <f t="shared" si="249"/>
        <v/>
      </c>
      <c r="G309" s="1" t="str">
        <f t="shared" si="254"/>
        <v/>
      </c>
      <c r="H309" s="1">
        <f t="shared" si="255"/>
        <v>0</v>
      </c>
      <c r="I309" s="3"/>
      <c r="J309" s="3"/>
      <c r="K309" s="3"/>
      <c r="L309" s="1" t="str">
        <f t="shared" si="256"/>
        <v/>
      </c>
      <c r="M309" s="1" t="str">
        <f t="shared" si="257"/>
        <v/>
      </c>
      <c r="N309" s="1" t="str">
        <f t="shared" si="258"/>
        <v/>
      </c>
      <c r="O309" s="1" t="str">
        <f t="shared" si="259"/>
        <v/>
      </c>
      <c r="P309" s="1" t="str">
        <f t="shared" si="260"/>
        <v/>
      </c>
      <c r="Q309" s="1" t="str">
        <f t="array" ref="Q309">IF($B309="","",IF(MAX(IF(B309=$B$2:$B$313,$L$2:$L$313))-L309=0,"",MAX(IF(B309=$B$2:$B$313,$L$2:$L$313))-L309))</f>
        <v/>
      </c>
      <c r="R309" s="1" t="str">
        <f t="array" ref="R309">IF($B309="","",SUMPRODUCT(--($B$2:$B$313=B309),--(L309&lt;$L$2:$L$313))+1)</f>
        <v/>
      </c>
      <c r="S309" s="1" t="str">
        <f t="shared" si="261"/>
        <v/>
      </c>
      <c r="T309" s="1" t="str" cm="1">
        <f t="array" ref="T309">IF($B309="","",IF(M309=0,"",SUMPRODUCT(--($B$2:$B$313=B309),--(J309&lt;$J$2:$J$313))+1))</f>
        <v/>
      </c>
      <c r="U309" s="1" t="str">
        <f t="shared" si="262"/>
        <v/>
      </c>
      <c r="V309" s="1" t="str">
        <f t="shared" si="263"/>
        <v/>
      </c>
      <c r="W309" s="1" t="str">
        <f t="shared" si="264"/>
        <v/>
      </c>
      <c r="X309" s="1" t="str">
        <f t="shared" si="250"/>
        <v/>
      </c>
      <c r="Y309" s="1" t="str">
        <f>IF($B309="","",MAX(_xlfn.MAXIFS($J$2:J309,$I$2:I309,$I309),_xlfn.MAXIFS($K$2:K309,$I$2:I309,$I309)))</f>
        <v/>
      </c>
      <c r="Z309" s="1" t="str">
        <f t="shared" si="265"/>
        <v/>
      </c>
      <c r="AA309" s="1" t="str">
        <f t="shared" si="266"/>
        <v/>
      </c>
      <c r="AB309" s="1" t="str">
        <f t="shared" si="267"/>
        <v/>
      </c>
      <c r="AC309" s="1" t="str">
        <f t="shared" si="268"/>
        <v/>
      </c>
      <c r="AD309" s="1" t="str">
        <f>IF($B309="","",MIN(_xlfn.MINIFS($J$2:J309,$I$2:I309,$I309),_xlfn.MINIFS($K$2:K309,$I$2:I309,$I309)))</f>
        <v/>
      </c>
      <c r="AE309" s="1" t="str">
        <f t="shared" si="269"/>
        <v/>
      </c>
      <c r="AF309" s="1" t="str">
        <f t="shared" si="270"/>
        <v/>
      </c>
      <c r="AG309" s="1" t="str">
        <f t="shared" si="271"/>
        <v/>
      </c>
      <c r="AH309" s="1" t="str">
        <f t="shared" si="272"/>
        <v/>
      </c>
      <c r="AI309" s="1" t="str">
        <f ca="1">IF($B309="","",IF($K309="",0,OFFSET($CO$17,R309,W309)))</f>
        <v/>
      </c>
      <c r="AJ309" s="1" t="str">
        <f t="shared" ca="1" si="273"/>
        <v/>
      </c>
      <c r="AK309" s="1" t="str">
        <f ca="1">IF(AJ309="","",IF(AJ309=0,0,IF(W309=1,0,SUM(OFFSET($CO$17,N309,1):OFFSET($CO$17,N309+W309-2,1))/W309)))</f>
        <v/>
      </c>
      <c r="AL309" s="1" t="str">
        <f t="shared" si="274"/>
        <v/>
      </c>
      <c r="AM309" s="1" t="str">
        <f>IF($B309="","",SUMIFS($AL$2:AL309,$I$2:I309,$I309))</f>
        <v/>
      </c>
      <c r="AN309" s="1" t="str">
        <f t="shared" si="275"/>
        <v/>
      </c>
      <c r="AO309" s="1" t="str">
        <f>IFERROR(IF($B309="","",AVERAGEIFS($L$2:L309,$I$2:I309,I309,$L$2:L309,"&lt;&gt;0")),0)</f>
        <v/>
      </c>
      <c r="AP309" s="1" t="str">
        <f t="shared" si="276"/>
        <v/>
      </c>
      <c r="AQ309" s="1" t="str">
        <f>IF($B309="","",COUNTIFS($R$2:R309,1,$I$2:I309,$I309))</f>
        <v/>
      </c>
      <c r="AR309" s="1" t="str">
        <f t="array" ref="AR309">IF($B309="","",SUMPRODUCT(--($B$2:$B$313=B309),--(AM309&lt;$AM$2:$AM$313))+1)</f>
        <v/>
      </c>
      <c r="AS309" s="1" t="str">
        <f t="array" ref="AS309">IF($B309="","",SUMPRODUCT(--($B$2:$B$313=B309),--(AP309&lt;$AP$2:$AP$313))+1)</f>
        <v/>
      </c>
      <c r="AT309" s="1" t="str">
        <f t="array" ref="AT309">IF($B309="","",SUMPRODUCT(--($B$2:$B$313=B309),--(AQ309&lt;$AQ$2:$AQ$313))+1)</f>
        <v/>
      </c>
      <c r="AU309" s="1" t="str">
        <f t="shared" si="277"/>
        <v/>
      </c>
      <c r="AV309" s="1" t="str">
        <f t="shared" si="278"/>
        <v/>
      </c>
      <c r="AW309" s="1" t="str">
        <f t="shared" si="251"/>
        <v/>
      </c>
      <c r="AX309" s="1" t="str">
        <f t="shared" si="279"/>
        <v/>
      </c>
      <c r="AY309" s="8" t="str">
        <f t="shared" si="280"/>
        <v/>
      </c>
      <c r="AZ309" s="1" t="str" cm="1">
        <f t="array" ref="AZ309">IF($B309="","",SUMPRODUCT(--($B$2:$B$313=B309),--(AY309&gt;$AY$2:$AY$313))+1)</f>
        <v/>
      </c>
      <c r="BA309" s="1" t="str">
        <f t="shared" si="281"/>
        <v/>
      </c>
      <c r="BB309" s="1" t="str">
        <f t="shared" si="282"/>
        <v/>
      </c>
      <c r="BC309" s="1" t="str">
        <f t="shared" si="283"/>
        <v/>
      </c>
      <c r="BD309" s="1" t="str">
        <f t="shared" si="284"/>
        <v/>
      </c>
      <c r="BE309" s="1" t="str">
        <f t="shared" si="285"/>
        <v/>
      </c>
      <c r="BF309" s="1" t="str">
        <f t="shared" si="286"/>
        <v/>
      </c>
      <c r="BG309" s="1" t="str">
        <f t="shared" si="287"/>
        <v/>
      </c>
      <c r="BH309" s="1" t="str">
        <f t="shared" si="288"/>
        <v/>
      </c>
      <c r="BI309" s="1" t="str">
        <f t="shared" si="289"/>
        <v/>
      </c>
      <c r="BJ309" s="1" t="str">
        <f t="shared" si="290"/>
        <v/>
      </c>
      <c r="BK309" s="1" t="str">
        <f t="shared" si="291"/>
        <v/>
      </c>
      <c r="BL309" s="1" t="str">
        <f t="shared" si="292"/>
        <v/>
      </c>
      <c r="BM309" s="1" t="str">
        <f t="shared" si="293"/>
        <v/>
      </c>
      <c r="BN309" s="1" t="str">
        <f t="shared" si="294"/>
        <v/>
      </c>
      <c r="BO309" s="1" t="str">
        <f t="shared" si="252"/>
        <v/>
      </c>
      <c r="BP309" s="1" t="str">
        <f t="shared" si="295"/>
        <v/>
      </c>
      <c r="BQ309" s="1" t="str" cm="1">
        <f t="array" ref="BQ309">IF(I309="","",IF(BP309=1,"",IF(L309=0,"",IF(B309=1,"",_xlfn.XLOOKUP(1,($I$2:$I$313=$I309)*($B$2:$B$313=($B309-1)),$BO$2:$BO$313)))))</f>
        <v/>
      </c>
      <c r="BR309" s="1" t="str">
        <f>IF(I309="","",IF($B309=1,_xlfn.MINIFS($BO$2:$BO$313,$B$2:$B$313,$B309),_xlfn.MINIFS(BQ$2:$BQ$313,$B$2:$B$313,$B309)))</f>
        <v/>
      </c>
      <c r="BS309" s="1" t="str">
        <f t="shared" si="296"/>
        <v/>
      </c>
      <c r="BT309" s="1" t="str" cm="1">
        <f t="array" ref="BT309">IF($I309="","",IF($B309=1,_xlfn.XLOOKUP(1,($B$2:$B$313=$B309)*($BO$2:$BO$313=BR309),Data!$I$2:$I$313,,0),_xlfn.XLOOKUP(1,($B$2:$B$313=$B309)*($BQ$2:$BQ$313=$BR309),$I$2:$I$313,,0)))</f>
        <v/>
      </c>
      <c r="BU309" s="1" t="str" cm="1">
        <f t="array" ref="BU309">IF(I309="","",IF($B309=1,_xlfn.XLOOKUP(1,($B$2:$B$313=$B309)*($BO$2:$BO$313=$BS309),$I$2:$I$313,,0),_xlfn.XLOOKUP(1,($B$2:$B$313=$B309)*($BQ$2:$BQ$313=$BS309),$I$2:$I$313,,0)))</f>
        <v/>
      </c>
      <c r="BV309" s="1" t="str" cm="1">
        <f t="array" ref="BV309">IF($I309="","",IF($B309=1,"",IF($B309=2,_xlfn.XLOOKUP(1,($B$2:$B$313=1)*($BO$2:$BO$313=1),$I$2:$I$313,,0),_xlfn.XLOOKUP($B309-1,$B$2:$B$313,$CH$2:$CH$313,,0))))</f>
        <v/>
      </c>
      <c r="BW309" s="1" t="str" cm="1">
        <f t="array" ref="BW309">IF($I309="","",IF($B309=1,"",IF(_xlfn.XLOOKUP(1,($B$2:$B$313=$B309)*($I$2:$I$313=$BV309),$BQ$2:$BQ$313,,0)="","NOK","OK")))</f>
        <v/>
      </c>
      <c r="BX309" s="1" t="str">
        <f t="shared" si="297"/>
        <v/>
      </c>
      <c r="BY309" s="1" t="str">
        <f t="shared" si="298"/>
        <v/>
      </c>
      <c r="BZ309" s="1" t="str">
        <f t="shared" si="299"/>
        <v/>
      </c>
      <c r="CA309" s="1" t="str">
        <f t="shared" si="300"/>
        <v/>
      </c>
      <c r="CB309" s="1" t="str">
        <f t="shared" si="301"/>
        <v/>
      </c>
      <c r="CC309" s="1" t="str">
        <f t="shared" si="302"/>
        <v/>
      </c>
      <c r="CD309" s="1" t="str">
        <f t="shared" si="303"/>
        <v/>
      </c>
      <c r="CE309" s="1" t="str">
        <f t="shared" si="304"/>
        <v/>
      </c>
      <c r="CF309" s="1" t="str">
        <f t="shared" si="305"/>
        <v/>
      </c>
      <c r="CG309" s="1" t="str">
        <f t="shared" si="306"/>
        <v/>
      </c>
      <c r="CH309" s="1" t="str">
        <f t="shared" si="307"/>
        <v/>
      </c>
      <c r="CI309" s="1" t="str">
        <f t="shared" si="308"/>
        <v/>
      </c>
      <c r="CJ309" s="1" t="str">
        <f>IF(B309="","",IF(SUM(AI309:AK309)&gt;0,"+SP","")&amp;IF(CI309&gt;0,"+KK","")&amp;IF(AB309&gt;0,"+KGP1","")&amp;IF(AC309&gt;0,"+KGP2","")&amp;IF(AG309&lt;0,"-KGP1","")&amp;IF(AH309&lt;0,"-KGP2",""))</f>
        <v/>
      </c>
    </row>
    <row r="310" spans="1:88" x14ac:dyDescent="0.25">
      <c r="A310" s="1" t="str">
        <f>IFERROR(IF(ROW(A309)=1,1,IF(1+A309&lt;=$CP$1*$CP$2,1+A309,"")),"")</f>
        <v/>
      </c>
      <c r="B310" s="1" t="str">
        <f>IF($I310="","",IF(ROW(B309)=1,1,ROUNDUP(A310/$CP$2,0)))</f>
        <v/>
      </c>
      <c r="C310" s="4" t="str">
        <f t="shared" si="253"/>
        <v/>
      </c>
      <c r="D310" s="4" t="str">
        <f t="shared" si="248"/>
        <v/>
      </c>
      <c r="E310" s="1" t="str">
        <f>IF($B310="","",COUNTIF($B$2:B310,B310))</f>
        <v/>
      </c>
      <c r="F310" s="1" t="str">
        <f t="shared" si="249"/>
        <v/>
      </c>
      <c r="G310" s="1" t="str">
        <f t="shared" si="254"/>
        <v/>
      </c>
      <c r="H310" s="1">
        <f t="shared" si="255"/>
        <v>0</v>
      </c>
      <c r="I310" s="3"/>
      <c r="J310" s="3"/>
      <c r="K310" s="3"/>
      <c r="L310" s="1" t="str">
        <f t="shared" si="256"/>
        <v/>
      </c>
      <c r="M310" s="1" t="str">
        <f t="shared" si="257"/>
        <v/>
      </c>
      <c r="N310" s="1" t="str">
        <f t="shared" si="258"/>
        <v/>
      </c>
      <c r="O310" s="1" t="str">
        <f t="shared" si="259"/>
        <v/>
      </c>
      <c r="P310" s="1" t="str">
        <f t="shared" si="260"/>
        <v/>
      </c>
      <c r="Q310" s="1" t="str">
        <f t="array" ref="Q310">IF($B310="","",IF(MAX(IF(B310=$B$2:$B$313,$L$2:$L$313))-L310=0,"",MAX(IF(B310=$B$2:$B$313,$L$2:$L$313))-L310))</f>
        <v/>
      </c>
      <c r="R310" s="1" t="str">
        <f t="array" ref="R310">IF($B310="","",SUMPRODUCT(--($B$2:$B$313=B310),--(L310&lt;$L$2:$L$313))+1)</f>
        <v/>
      </c>
      <c r="S310" s="1" t="str">
        <f t="shared" si="261"/>
        <v/>
      </c>
      <c r="T310" s="1" t="str" cm="1">
        <f t="array" ref="T310">IF($B310="","",IF(M310=0,"",SUMPRODUCT(--($B$2:$B$313=B310),--(J310&lt;$J$2:$J$313))+1))</f>
        <v/>
      </c>
      <c r="U310" s="1" t="str">
        <f t="shared" si="262"/>
        <v/>
      </c>
      <c r="V310" s="1" t="str">
        <f t="shared" si="263"/>
        <v/>
      </c>
      <c r="W310" s="1" t="str">
        <f t="shared" si="264"/>
        <v/>
      </c>
      <c r="X310" s="1" t="str">
        <f t="shared" si="250"/>
        <v/>
      </c>
      <c r="Y310" s="1" t="str">
        <f>IF($B310="","",MAX(_xlfn.MAXIFS($J$2:J310,$I$2:I310,$I310),_xlfn.MAXIFS($K$2:K310,$I$2:I310,$I310)))</f>
        <v/>
      </c>
      <c r="Z310" s="1" t="str">
        <f t="shared" si="265"/>
        <v/>
      </c>
      <c r="AA310" s="1" t="str">
        <f t="shared" si="266"/>
        <v/>
      </c>
      <c r="AB310" s="1" t="str">
        <f t="shared" si="267"/>
        <v/>
      </c>
      <c r="AC310" s="1" t="str">
        <f t="shared" si="268"/>
        <v/>
      </c>
      <c r="AD310" s="1" t="str">
        <f>IF($B310="","",MIN(_xlfn.MINIFS($J$2:J310,$I$2:I310,$I310),_xlfn.MINIFS($K$2:K310,$I$2:I310,$I310)))</f>
        <v/>
      </c>
      <c r="AE310" s="1" t="str">
        <f t="shared" si="269"/>
        <v/>
      </c>
      <c r="AF310" s="1" t="str">
        <f t="shared" si="270"/>
        <v/>
      </c>
      <c r="AG310" s="1" t="str">
        <f t="shared" si="271"/>
        <v/>
      </c>
      <c r="AH310" s="1" t="str">
        <f t="shared" si="272"/>
        <v/>
      </c>
      <c r="AI310" s="1" t="str">
        <f ca="1">IF($B310="","",IF($K310="",0,OFFSET($CO$17,R310,W310)))</f>
        <v/>
      </c>
      <c r="AJ310" s="1" t="str">
        <f t="shared" ca="1" si="273"/>
        <v/>
      </c>
      <c r="AK310" s="1" t="str">
        <f ca="1">IF(AJ310="","",IF(AJ310=0,0,IF(W310=1,0,SUM(OFFSET($CO$17,N310,1):OFFSET($CO$17,N310+W310-2,1))/W310)))</f>
        <v/>
      </c>
      <c r="AL310" s="1" t="str">
        <f t="shared" si="274"/>
        <v/>
      </c>
      <c r="AM310" s="1" t="str">
        <f>IF($B310="","",SUMIFS($AL$2:AL310,$I$2:I310,$I310))</f>
        <v/>
      </c>
      <c r="AN310" s="1" t="str">
        <f t="shared" si="275"/>
        <v/>
      </c>
      <c r="AO310" s="1" t="str">
        <f>IFERROR(IF($B310="","",AVERAGEIFS($L$2:L310,$I$2:I310,I310,$L$2:L310,"&lt;&gt;0")),0)</f>
        <v/>
      </c>
      <c r="AP310" s="1" t="str">
        <f t="shared" si="276"/>
        <v/>
      </c>
      <c r="AQ310" s="1" t="str">
        <f>IF($B310="","",COUNTIFS($R$2:R310,1,$I$2:I310,$I310))</f>
        <v/>
      </c>
      <c r="AR310" s="1" t="str">
        <f t="array" ref="AR310">IF($B310="","",SUMPRODUCT(--($B$2:$B$313=B310),--(AM310&lt;$AM$2:$AM$313))+1)</f>
        <v/>
      </c>
      <c r="AS310" s="1" t="str">
        <f t="array" ref="AS310">IF($B310="","",SUMPRODUCT(--($B$2:$B$313=B310),--(AP310&lt;$AP$2:$AP$313))+1)</f>
        <v/>
      </c>
      <c r="AT310" s="1" t="str">
        <f t="array" ref="AT310">IF($B310="","",SUMPRODUCT(--($B$2:$B$313=B310),--(AQ310&lt;$AQ$2:$AQ$313))+1)</f>
        <v/>
      </c>
      <c r="AU310" s="1" t="str">
        <f t="shared" si="277"/>
        <v/>
      </c>
      <c r="AV310" s="1" t="str">
        <f t="shared" si="278"/>
        <v/>
      </c>
      <c r="AW310" s="1" t="str">
        <f t="shared" si="251"/>
        <v/>
      </c>
      <c r="AX310" s="1" t="str">
        <f t="shared" si="279"/>
        <v/>
      </c>
      <c r="AY310" s="8" t="str">
        <f t="shared" si="280"/>
        <v/>
      </c>
      <c r="AZ310" s="1" t="str" cm="1">
        <f t="array" ref="AZ310">IF($B310="","",SUMPRODUCT(--($B$2:$B$313=B310),--(AY310&gt;$AY$2:$AY$313))+1)</f>
        <v/>
      </c>
      <c r="BA310" s="1" t="str">
        <f t="shared" si="281"/>
        <v/>
      </c>
      <c r="BB310" s="1" t="str">
        <f t="shared" si="282"/>
        <v/>
      </c>
      <c r="BC310" s="1" t="str">
        <f t="shared" si="283"/>
        <v/>
      </c>
      <c r="BD310" s="1" t="str">
        <f t="shared" si="284"/>
        <v/>
      </c>
      <c r="BE310" s="1" t="str">
        <f t="shared" si="285"/>
        <v/>
      </c>
      <c r="BF310" s="1" t="str">
        <f t="shared" si="286"/>
        <v/>
      </c>
      <c r="BG310" s="1" t="str">
        <f t="shared" si="287"/>
        <v/>
      </c>
      <c r="BH310" s="1" t="str">
        <f t="shared" si="288"/>
        <v/>
      </c>
      <c r="BI310" s="1" t="str">
        <f t="shared" si="289"/>
        <v/>
      </c>
      <c r="BJ310" s="1" t="str">
        <f t="shared" si="290"/>
        <v/>
      </c>
      <c r="BK310" s="1" t="str">
        <f t="shared" si="291"/>
        <v/>
      </c>
      <c r="BL310" s="1" t="str">
        <f t="shared" si="292"/>
        <v/>
      </c>
      <c r="BM310" s="1" t="str">
        <f t="shared" si="293"/>
        <v/>
      </c>
      <c r="BN310" s="1" t="str">
        <f t="shared" si="294"/>
        <v/>
      </c>
      <c r="BO310" s="1" t="str">
        <f t="shared" si="252"/>
        <v/>
      </c>
      <c r="BP310" s="1" t="str">
        <f t="shared" si="295"/>
        <v/>
      </c>
      <c r="BQ310" s="1" t="str" cm="1">
        <f t="array" ref="BQ310">IF(I310="","",IF(BP310=1,"",IF(L310=0,"",IF(B310=1,"",_xlfn.XLOOKUP(1,($I$2:$I$313=$I310)*($B$2:$B$313=($B310-1)),$BO$2:$BO$313)))))</f>
        <v/>
      </c>
      <c r="BR310" s="1" t="str">
        <f>IF(I310="","",IF($B310=1,_xlfn.MINIFS($BO$2:$BO$313,$B$2:$B$313,$B310),_xlfn.MINIFS(BQ$2:$BQ$313,$B$2:$B$313,$B310)))</f>
        <v/>
      </c>
      <c r="BS310" s="1" t="str">
        <f t="shared" si="296"/>
        <v/>
      </c>
      <c r="BT310" s="1" t="str" cm="1">
        <f t="array" ref="BT310">IF($I310="","",IF($B310=1,_xlfn.XLOOKUP(1,($B$2:$B$313=$B310)*($BO$2:$BO$313=BR310),Data!$I$2:$I$313,,0),_xlfn.XLOOKUP(1,($B$2:$B$313=$B310)*($BQ$2:$BQ$313=$BR310),$I$2:$I$313,,0)))</f>
        <v/>
      </c>
      <c r="BU310" s="1" t="str" cm="1">
        <f t="array" ref="BU310">IF(I310="","",IF($B310=1,_xlfn.XLOOKUP(1,($B$2:$B$313=$B310)*($BO$2:$BO$313=$BS310),$I$2:$I$313,,0),_xlfn.XLOOKUP(1,($B$2:$B$313=$B310)*($BQ$2:$BQ$313=$BS310),$I$2:$I$313,,0)))</f>
        <v/>
      </c>
      <c r="BV310" s="1" t="str" cm="1">
        <f t="array" ref="BV310">IF($I310="","",IF($B310=1,"",IF($B310=2,_xlfn.XLOOKUP(1,($B$2:$B$313=1)*($BO$2:$BO$313=1),$I$2:$I$313,,0),_xlfn.XLOOKUP($B310-1,$B$2:$B$313,$CH$2:$CH$313,,0))))</f>
        <v/>
      </c>
      <c r="BW310" s="1" t="str" cm="1">
        <f t="array" ref="BW310">IF($I310="","",IF($B310=1,"",IF(_xlfn.XLOOKUP(1,($B$2:$B$313=$B310)*($I$2:$I$313=$BV310),$BQ$2:$BQ$313,,0)="","NOK","OK")))</f>
        <v/>
      </c>
      <c r="BX310" s="1" t="str">
        <f t="shared" si="297"/>
        <v/>
      </c>
      <c r="BY310" s="1" t="str">
        <f t="shared" si="298"/>
        <v/>
      </c>
      <c r="BZ310" s="1" t="str">
        <f t="shared" si="299"/>
        <v/>
      </c>
      <c r="CA310" s="1" t="str">
        <f t="shared" si="300"/>
        <v/>
      </c>
      <c r="CB310" s="1" t="str">
        <f t="shared" si="301"/>
        <v/>
      </c>
      <c r="CC310" s="1" t="str">
        <f t="shared" si="302"/>
        <v/>
      </c>
      <c r="CD310" s="1" t="str">
        <f t="shared" si="303"/>
        <v/>
      </c>
      <c r="CE310" s="1" t="str">
        <f t="shared" si="304"/>
        <v/>
      </c>
      <c r="CF310" s="1" t="str">
        <f t="shared" si="305"/>
        <v/>
      </c>
      <c r="CG310" s="1" t="str">
        <f t="shared" si="306"/>
        <v/>
      </c>
      <c r="CH310" s="1" t="str">
        <f t="shared" si="307"/>
        <v/>
      </c>
      <c r="CI310" s="1" t="str">
        <f t="shared" si="308"/>
        <v/>
      </c>
      <c r="CJ310" s="1" t="str">
        <f>IF(B310="","",IF(SUM(AI310:AK310)&gt;0,"+SP","")&amp;IF(CI310&gt;0,"+KK","")&amp;IF(AB310&gt;0,"+KGP1","")&amp;IF(AC310&gt;0,"+KGP2","")&amp;IF(AG310&lt;0,"-KGP1","")&amp;IF(AH310&lt;0,"-KGP2",""))</f>
        <v/>
      </c>
    </row>
    <row r="311" spans="1:88" x14ac:dyDescent="0.25">
      <c r="A311" s="1" t="str">
        <f>IFERROR(IF(ROW(A310)=1,1,IF(1+A310&lt;=$CP$1*$CP$2,1+A310,"")),"")</f>
        <v/>
      </c>
      <c r="B311" s="1" t="str">
        <f>IF($I311="","",IF(ROW(B310)=1,1,ROUNDUP(A311/$CP$2,0)))</f>
        <v/>
      </c>
      <c r="C311" s="4" t="str">
        <f t="shared" si="253"/>
        <v/>
      </c>
      <c r="D311" s="4" t="str">
        <f t="shared" si="248"/>
        <v/>
      </c>
      <c r="E311" s="1" t="str">
        <f>IF($B311="","",COUNTIF($B$2:B311,B311))</f>
        <v/>
      </c>
      <c r="F311" s="1" t="str">
        <f t="shared" si="249"/>
        <v/>
      </c>
      <c r="G311" s="1" t="str">
        <f t="shared" si="254"/>
        <v/>
      </c>
      <c r="H311" s="1">
        <f t="shared" si="255"/>
        <v>0</v>
      </c>
      <c r="I311" s="3"/>
      <c r="J311" s="3"/>
      <c r="K311" s="3"/>
      <c r="L311" s="1" t="str">
        <f t="shared" si="256"/>
        <v/>
      </c>
      <c r="M311" s="1" t="str">
        <f t="shared" si="257"/>
        <v/>
      </c>
      <c r="N311" s="1" t="str">
        <f t="shared" si="258"/>
        <v/>
      </c>
      <c r="O311" s="1" t="str">
        <f t="shared" si="259"/>
        <v/>
      </c>
      <c r="P311" s="1" t="str">
        <f t="shared" si="260"/>
        <v/>
      </c>
      <c r="Q311" s="1" t="str">
        <f t="array" ref="Q311">IF($B311="","",IF(MAX(IF(B311=$B$2:$B$313,$L$2:$L$313))-L311=0,"",MAX(IF(B311=$B$2:$B$313,$L$2:$L$313))-L311))</f>
        <v/>
      </c>
      <c r="R311" s="1" t="str">
        <f t="array" ref="R311">IF($B311="","",SUMPRODUCT(--($B$2:$B$313=B311),--(L311&lt;$L$2:$L$313))+1)</f>
        <v/>
      </c>
      <c r="S311" s="1" t="str">
        <f t="shared" si="261"/>
        <v/>
      </c>
      <c r="T311" s="1" t="str" cm="1">
        <f t="array" ref="T311">IF($B311="","",IF(M311=0,"",SUMPRODUCT(--($B$2:$B$313=B311),--(J311&lt;$J$2:$J$313))+1))</f>
        <v/>
      </c>
      <c r="U311" s="1" t="str">
        <f t="shared" si="262"/>
        <v/>
      </c>
      <c r="V311" s="1" t="str">
        <f t="shared" si="263"/>
        <v/>
      </c>
      <c r="W311" s="1" t="str">
        <f t="shared" si="264"/>
        <v/>
      </c>
      <c r="X311" s="1" t="str">
        <f t="shared" si="250"/>
        <v/>
      </c>
      <c r="Y311" s="1" t="str">
        <f>IF($B311="","",MAX(_xlfn.MAXIFS($J$2:J311,$I$2:I311,$I311),_xlfn.MAXIFS($K$2:K311,$I$2:I311,$I311)))</f>
        <v/>
      </c>
      <c r="Z311" s="1" t="str">
        <f t="shared" si="265"/>
        <v/>
      </c>
      <c r="AA311" s="1" t="str">
        <f t="shared" si="266"/>
        <v/>
      </c>
      <c r="AB311" s="1" t="str">
        <f t="shared" si="267"/>
        <v/>
      </c>
      <c r="AC311" s="1" t="str">
        <f t="shared" si="268"/>
        <v/>
      </c>
      <c r="AD311" s="1" t="str">
        <f>IF($B311="","",MIN(_xlfn.MINIFS($J$2:J311,$I$2:I311,$I311),_xlfn.MINIFS($K$2:K311,$I$2:I311,$I311)))</f>
        <v/>
      </c>
      <c r="AE311" s="1" t="str">
        <f t="shared" si="269"/>
        <v/>
      </c>
      <c r="AF311" s="1" t="str">
        <f t="shared" si="270"/>
        <v/>
      </c>
      <c r="AG311" s="1" t="str">
        <f t="shared" si="271"/>
        <v/>
      </c>
      <c r="AH311" s="1" t="str">
        <f t="shared" si="272"/>
        <v/>
      </c>
      <c r="AI311" s="1" t="str">
        <f ca="1">IF($B311="","",IF($K311="",0,OFFSET($CO$17,R311,W311)))</f>
        <v/>
      </c>
      <c r="AJ311" s="1" t="str">
        <f t="shared" ca="1" si="273"/>
        <v/>
      </c>
      <c r="AK311" s="1" t="str">
        <f ca="1">IF(AJ311="","",IF(AJ311=0,0,IF(W311=1,0,SUM(OFFSET($CO$17,N311,1):OFFSET($CO$17,N311+W311-2,1))/W311)))</f>
        <v/>
      </c>
      <c r="AL311" s="1" t="str">
        <f t="shared" si="274"/>
        <v/>
      </c>
      <c r="AM311" s="1" t="str">
        <f>IF($B311="","",SUMIFS($AL$2:AL311,$I$2:I311,$I311))</f>
        <v/>
      </c>
      <c r="AN311" s="1" t="str">
        <f t="shared" si="275"/>
        <v/>
      </c>
      <c r="AO311" s="1" t="str">
        <f>IFERROR(IF($B311="","",AVERAGEIFS($L$2:L311,$I$2:I311,I311,$L$2:L311,"&lt;&gt;0")),0)</f>
        <v/>
      </c>
      <c r="AP311" s="1" t="str">
        <f t="shared" si="276"/>
        <v/>
      </c>
      <c r="AQ311" s="1" t="str">
        <f>IF($B311="","",COUNTIFS($R$2:R311,1,$I$2:I311,$I311))</f>
        <v/>
      </c>
      <c r="AR311" s="1" t="str">
        <f t="array" ref="AR311">IF($B311="","",SUMPRODUCT(--($B$2:$B$313=B311),--(AM311&lt;$AM$2:$AM$313))+1)</f>
        <v/>
      </c>
      <c r="AS311" s="1" t="str">
        <f t="array" ref="AS311">IF($B311="","",SUMPRODUCT(--($B$2:$B$313=B311),--(AP311&lt;$AP$2:$AP$313))+1)</f>
        <v/>
      </c>
      <c r="AT311" s="1" t="str">
        <f t="array" ref="AT311">IF($B311="","",SUMPRODUCT(--($B$2:$B$313=B311),--(AQ311&lt;$AQ$2:$AQ$313))+1)</f>
        <v/>
      </c>
      <c r="AU311" s="1" t="str">
        <f t="shared" si="277"/>
        <v/>
      </c>
      <c r="AV311" s="1" t="str">
        <f t="shared" si="278"/>
        <v/>
      </c>
      <c r="AW311" s="1" t="str">
        <f t="shared" si="251"/>
        <v/>
      </c>
      <c r="AX311" s="1" t="str">
        <f t="shared" si="279"/>
        <v/>
      </c>
      <c r="AY311" s="8" t="str">
        <f t="shared" si="280"/>
        <v/>
      </c>
      <c r="AZ311" s="1" t="str" cm="1">
        <f t="array" ref="AZ311">IF($B311="","",SUMPRODUCT(--($B$2:$B$313=B311),--(AY311&gt;$AY$2:$AY$313))+1)</f>
        <v/>
      </c>
      <c r="BA311" s="1" t="str">
        <f t="shared" si="281"/>
        <v/>
      </c>
      <c r="BB311" s="1" t="str">
        <f t="shared" si="282"/>
        <v/>
      </c>
      <c r="BC311" s="1" t="str">
        <f t="shared" si="283"/>
        <v/>
      </c>
      <c r="BD311" s="1" t="str">
        <f t="shared" si="284"/>
        <v/>
      </c>
      <c r="BE311" s="1" t="str">
        <f t="shared" si="285"/>
        <v/>
      </c>
      <c r="BF311" s="1" t="str">
        <f t="shared" si="286"/>
        <v/>
      </c>
      <c r="BG311" s="1" t="str">
        <f t="shared" si="287"/>
        <v/>
      </c>
      <c r="BH311" s="1" t="str">
        <f t="shared" si="288"/>
        <v/>
      </c>
      <c r="BI311" s="1" t="str">
        <f t="shared" si="289"/>
        <v/>
      </c>
      <c r="BJ311" s="1" t="str">
        <f t="shared" si="290"/>
        <v/>
      </c>
      <c r="BK311" s="1" t="str">
        <f t="shared" si="291"/>
        <v/>
      </c>
      <c r="BL311" s="1" t="str">
        <f t="shared" si="292"/>
        <v/>
      </c>
      <c r="BM311" s="1" t="str">
        <f t="shared" si="293"/>
        <v/>
      </c>
      <c r="BN311" s="1" t="str">
        <f t="shared" si="294"/>
        <v/>
      </c>
      <c r="BO311" s="1" t="str">
        <f t="shared" si="252"/>
        <v/>
      </c>
      <c r="BP311" s="1" t="str">
        <f t="shared" si="295"/>
        <v/>
      </c>
      <c r="BQ311" s="1" t="str" cm="1">
        <f t="array" ref="BQ311">IF(I311="","",IF(BP311=1,"",IF(L311=0,"",IF(B311=1,"",_xlfn.XLOOKUP(1,($I$2:$I$313=$I311)*($B$2:$B$313=($B311-1)),$BO$2:$BO$313)))))</f>
        <v/>
      </c>
      <c r="BR311" s="1" t="str">
        <f>IF(I311="","",IF($B311=1,_xlfn.MINIFS($BO$2:$BO$313,$B$2:$B$313,$B311),_xlfn.MINIFS(BQ$2:$BQ$313,$B$2:$B$313,$B311)))</f>
        <v/>
      </c>
      <c r="BS311" s="1" t="str">
        <f t="shared" si="296"/>
        <v/>
      </c>
      <c r="BT311" s="1" t="str" cm="1">
        <f t="array" ref="BT311">IF($I311="","",IF($B311=1,_xlfn.XLOOKUP(1,($B$2:$B$313=$B311)*($BO$2:$BO$313=BR311),Data!$I$2:$I$313,,0),_xlfn.XLOOKUP(1,($B$2:$B$313=$B311)*($BQ$2:$BQ$313=$BR311),$I$2:$I$313,,0)))</f>
        <v/>
      </c>
      <c r="BU311" s="1" t="str" cm="1">
        <f t="array" ref="BU311">IF(I311="","",IF($B311=1,_xlfn.XLOOKUP(1,($B$2:$B$313=$B311)*($BO$2:$BO$313=$BS311),$I$2:$I$313,,0),_xlfn.XLOOKUP(1,($B$2:$B$313=$B311)*($BQ$2:$BQ$313=$BS311),$I$2:$I$313,,0)))</f>
        <v/>
      </c>
      <c r="BV311" s="1" t="str" cm="1">
        <f t="array" ref="BV311">IF($I311="","",IF($B311=1,"",IF($B311=2,_xlfn.XLOOKUP(1,($B$2:$B$313=1)*($BO$2:$BO$313=1),$I$2:$I$313,,0),_xlfn.XLOOKUP($B311-1,$B$2:$B$313,$CH$2:$CH$313,,0))))</f>
        <v/>
      </c>
      <c r="BW311" s="1" t="str" cm="1">
        <f t="array" ref="BW311">IF($I311="","",IF($B311=1,"",IF(_xlfn.XLOOKUP(1,($B$2:$B$313=$B311)*($I$2:$I$313=$BV311),$BQ$2:$BQ$313,,0)="","NOK","OK")))</f>
        <v/>
      </c>
      <c r="BX311" s="1" t="str">
        <f t="shared" si="297"/>
        <v/>
      </c>
      <c r="BY311" s="1" t="str">
        <f t="shared" si="298"/>
        <v/>
      </c>
      <c r="BZ311" s="1" t="str">
        <f t="shared" si="299"/>
        <v/>
      </c>
      <c r="CA311" s="1" t="str">
        <f t="shared" si="300"/>
        <v/>
      </c>
      <c r="CB311" s="1" t="str">
        <f t="shared" si="301"/>
        <v/>
      </c>
      <c r="CC311" s="1" t="str">
        <f t="shared" si="302"/>
        <v/>
      </c>
      <c r="CD311" s="1" t="str">
        <f t="shared" si="303"/>
        <v/>
      </c>
      <c r="CE311" s="1" t="str">
        <f t="shared" si="304"/>
        <v/>
      </c>
      <c r="CF311" s="1" t="str">
        <f t="shared" si="305"/>
        <v/>
      </c>
      <c r="CG311" s="1" t="str">
        <f t="shared" si="306"/>
        <v/>
      </c>
      <c r="CH311" s="1" t="str">
        <f t="shared" si="307"/>
        <v/>
      </c>
      <c r="CI311" s="1" t="str">
        <f t="shared" si="308"/>
        <v/>
      </c>
      <c r="CJ311" s="1" t="str">
        <f>IF(B311="","",IF(SUM(AI311:AK311)&gt;0,"+SP","")&amp;IF(CI311&gt;0,"+KK","")&amp;IF(AB311&gt;0,"+KGP1","")&amp;IF(AC311&gt;0,"+KGP2","")&amp;IF(AG311&lt;0,"-KGP1","")&amp;IF(AH311&lt;0,"-KGP2",""))</f>
        <v/>
      </c>
    </row>
    <row r="312" spans="1:88" x14ac:dyDescent="0.25">
      <c r="A312" s="1" t="str">
        <f>IFERROR(IF(ROW(A311)=1,1,IF(1+A311&lt;=$CP$1*$CP$2,1+A311,"")),"")</f>
        <v/>
      </c>
      <c r="B312" s="1" t="str">
        <f>IF($I312="","",IF(ROW(B311)=1,1,ROUNDUP(A312/$CP$2,0)))</f>
        <v/>
      </c>
      <c r="C312" s="4" t="str">
        <f t="shared" si="253"/>
        <v/>
      </c>
      <c r="D312" s="4" t="str">
        <f t="shared" si="248"/>
        <v/>
      </c>
      <c r="E312" s="1" t="str">
        <f>IF($B312="","",COUNTIF($B$2:B312,B312))</f>
        <v/>
      </c>
      <c r="F312" s="1" t="str">
        <f t="shared" si="249"/>
        <v/>
      </c>
      <c r="G312" s="1" t="str">
        <f t="shared" si="254"/>
        <v/>
      </c>
      <c r="H312" s="1">
        <f t="shared" si="255"/>
        <v>0</v>
      </c>
      <c r="I312" s="3"/>
      <c r="J312" s="3"/>
      <c r="K312" s="3"/>
      <c r="L312" s="1" t="str">
        <f t="shared" si="256"/>
        <v/>
      </c>
      <c r="M312" s="1" t="str">
        <f t="shared" si="257"/>
        <v/>
      </c>
      <c r="N312" s="1" t="str">
        <f t="shared" si="258"/>
        <v/>
      </c>
      <c r="O312" s="1" t="str">
        <f t="shared" si="259"/>
        <v/>
      </c>
      <c r="P312" s="1" t="str">
        <f t="shared" si="260"/>
        <v/>
      </c>
      <c r="Q312" s="1" t="str">
        <f t="array" ref="Q312">IF($B312="","",IF(MAX(IF(B312=$B$2:$B$313,$L$2:$L$313))-L312=0,"",MAX(IF(B312=$B$2:$B$313,$L$2:$L$313))-L312))</f>
        <v/>
      </c>
      <c r="R312" s="1" t="str">
        <f t="array" ref="R312">IF($B312="","",SUMPRODUCT(--($B$2:$B$313=B312),--(L312&lt;$L$2:$L$313))+1)</f>
        <v/>
      </c>
      <c r="S312" s="1" t="str">
        <f t="shared" si="261"/>
        <v/>
      </c>
      <c r="T312" s="1" t="str" cm="1">
        <f t="array" ref="T312">IF($B312="","",IF(M312=0,"",SUMPRODUCT(--($B$2:$B$313=B312),--(J312&lt;$J$2:$J$313))+1))</f>
        <v/>
      </c>
      <c r="U312" s="1" t="str">
        <f t="shared" si="262"/>
        <v/>
      </c>
      <c r="V312" s="1" t="str">
        <f t="shared" si="263"/>
        <v/>
      </c>
      <c r="W312" s="1" t="str">
        <f t="shared" si="264"/>
        <v/>
      </c>
      <c r="X312" s="1" t="str">
        <f t="shared" si="250"/>
        <v/>
      </c>
      <c r="Y312" s="1" t="str">
        <f>IF($B312="","",MAX(_xlfn.MAXIFS($J$2:J312,$I$2:I312,$I312),_xlfn.MAXIFS($K$2:K312,$I$2:I312,$I312)))</f>
        <v/>
      </c>
      <c r="Z312" s="1" t="str">
        <f t="shared" si="265"/>
        <v/>
      </c>
      <c r="AA312" s="1" t="str">
        <f t="shared" si="266"/>
        <v/>
      </c>
      <c r="AB312" s="1" t="str">
        <f t="shared" si="267"/>
        <v/>
      </c>
      <c r="AC312" s="1" t="str">
        <f t="shared" si="268"/>
        <v/>
      </c>
      <c r="AD312" s="1" t="str">
        <f>IF($B312="","",MIN(_xlfn.MINIFS($J$2:J312,$I$2:I312,$I312),_xlfn.MINIFS($K$2:K312,$I$2:I312,$I312)))</f>
        <v/>
      </c>
      <c r="AE312" s="1" t="str">
        <f t="shared" si="269"/>
        <v/>
      </c>
      <c r="AF312" s="1" t="str">
        <f t="shared" si="270"/>
        <v/>
      </c>
      <c r="AG312" s="1" t="str">
        <f t="shared" si="271"/>
        <v/>
      </c>
      <c r="AH312" s="1" t="str">
        <f t="shared" si="272"/>
        <v/>
      </c>
      <c r="AI312" s="1" t="str">
        <f ca="1">IF($B312="","",IF($K312="",0,OFFSET($CO$17,R312,W312)))</f>
        <v/>
      </c>
      <c r="AJ312" s="1" t="str">
        <f t="shared" ca="1" si="273"/>
        <v/>
      </c>
      <c r="AK312" s="1" t="str">
        <f ca="1">IF(AJ312="","",IF(AJ312=0,0,IF(W312=1,0,SUM(OFFSET($CO$17,N312,1):OFFSET($CO$17,N312+W312-2,1))/W312)))</f>
        <v/>
      </c>
      <c r="AL312" s="1" t="str">
        <f t="shared" si="274"/>
        <v/>
      </c>
      <c r="AM312" s="1" t="str">
        <f>IF($B312="","",SUMIFS($AL$2:AL312,$I$2:I312,$I312))</f>
        <v/>
      </c>
      <c r="AN312" s="1" t="str">
        <f t="shared" si="275"/>
        <v/>
      </c>
      <c r="AO312" s="1" t="str">
        <f>IFERROR(IF($B312="","",AVERAGEIFS($L$2:L312,$I$2:I312,I312,$L$2:L312,"&lt;&gt;0")),0)</f>
        <v/>
      </c>
      <c r="AP312" s="1" t="str">
        <f t="shared" si="276"/>
        <v/>
      </c>
      <c r="AQ312" s="1" t="str">
        <f>IF($B312="","",COUNTIFS($R$2:R312,1,$I$2:I312,$I312))</f>
        <v/>
      </c>
      <c r="AR312" s="1" t="str">
        <f t="array" ref="AR312">IF($B312="","",SUMPRODUCT(--($B$2:$B$313=B312),--(AM312&lt;$AM$2:$AM$313))+1)</f>
        <v/>
      </c>
      <c r="AS312" s="1" t="str">
        <f t="array" ref="AS312">IF($B312="","",SUMPRODUCT(--($B$2:$B$313=B312),--(AP312&lt;$AP$2:$AP$313))+1)</f>
        <v/>
      </c>
      <c r="AT312" s="1" t="str">
        <f t="array" ref="AT312">IF($B312="","",SUMPRODUCT(--($B$2:$B$313=B312),--(AQ312&lt;$AQ$2:$AQ$313))+1)</f>
        <v/>
      </c>
      <c r="AU312" s="1" t="str">
        <f t="shared" si="277"/>
        <v/>
      </c>
      <c r="AV312" s="1" t="str">
        <f t="shared" si="278"/>
        <v/>
      </c>
      <c r="AW312" s="1" t="str">
        <f t="shared" si="251"/>
        <v/>
      </c>
      <c r="AX312" s="1" t="str">
        <f t="shared" si="279"/>
        <v/>
      </c>
      <c r="AY312" s="8" t="str">
        <f t="shared" si="280"/>
        <v/>
      </c>
      <c r="AZ312" s="1" t="str" cm="1">
        <f t="array" ref="AZ312">IF($B312="","",SUMPRODUCT(--($B$2:$B$313=B312),--(AY312&gt;$AY$2:$AY$313))+1)</f>
        <v/>
      </c>
      <c r="BA312" s="1" t="str">
        <f t="shared" si="281"/>
        <v/>
      </c>
      <c r="BB312" s="1" t="str">
        <f t="shared" si="282"/>
        <v/>
      </c>
      <c r="BC312" s="1" t="str">
        <f t="shared" si="283"/>
        <v/>
      </c>
      <c r="BD312" s="1" t="str">
        <f t="shared" si="284"/>
        <v/>
      </c>
      <c r="BE312" s="1" t="str">
        <f t="shared" si="285"/>
        <v/>
      </c>
      <c r="BF312" s="1" t="str">
        <f t="shared" si="286"/>
        <v/>
      </c>
      <c r="BG312" s="1" t="str">
        <f t="shared" si="287"/>
        <v/>
      </c>
      <c r="BH312" s="1" t="str">
        <f t="shared" si="288"/>
        <v/>
      </c>
      <c r="BI312" s="1" t="str">
        <f t="shared" si="289"/>
        <v/>
      </c>
      <c r="BJ312" s="1" t="str">
        <f t="shared" si="290"/>
        <v/>
      </c>
      <c r="BK312" s="1" t="str">
        <f t="shared" si="291"/>
        <v/>
      </c>
      <c r="BL312" s="1" t="str">
        <f t="shared" si="292"/>
        <v/>
      </c>
      <c r="BM312" s="1" t="str">
        <f t="shared" si="293"/>
        <v/>
      </c>
      <c r="BN312" s="1" t="str">
        <f t="shared" si="294"/>
        <v/>
      </c>
      <c r="BO312" s="1" t="str">
        <f t="shared" si="252"/>
        <v/>
      </c>
      <c r="BP312" s="1" t="str">
        <f t="shared" si="295"/>
        <v/>
      </c>
      <c r="BQ312" s="1" t="str" cm="1">
        <f t="array" ref="BQ312">IF(I312="","",IF(BP312=1,"",IF(L312=0,"",IF(B312=1,"",_xlfn.XLOOKUP(1,($I$2:$I$313=$I312)*($B$2:$B$313=($B312-1)),$BO$2:$BO$313)))))</f>
        <v/>
      </c>
      <c r="BR312" s="1" t="str">
        <f>IF(I312="","",IF($B312=1,_xlfn.MINIFS($BO$2:$BO$313,$B$2:$B$313,$B312),_xlfn.MINIFS(BQ$2:$BQ$313,$B$2:$B$313,$B312)))</f>
        <v/>
      </c>
      <c r="BS312" s="1" t="str">
        <f t="shared" si="296"/>
        <v/>
      </c>
      <c r="BT312" s="1" t="str" cm="1">
        <f t="array" ref="BT312">IF($I312="","",IF($B312=1,_xlfn.XLOOKUP(1,($B$2:$B$313=$B312)*($BO$2:$BO$313=BR312),Data!$I$2:$I$313,,0),_xlfn.XLOOKUP(1,($B$2:$B$313=$B312)*($BQ$2:$BQ$313=$BR312),$I$2:$I$313,,0)))</f>
        <v/>
      </c>
      <c r="BU312" s="1" t="str" cm="1">
        <f t="array" ref="BU312">IF(I312="","",IF($B312=1,_xlfn.XLOOKUP(1,($B$2:$B$313=$B312)*($BO$2:$BO$313=$BS312),$I$2:$I$313,,0),_xlfn.XLOOKUP(1,($B$2:$B$313=$B312)*($BQ$2:$BQ$313=$BS312),$I$2:$I$313,,0)))</f>
        <v/>
      </c>
      <c r="BV312" s="1" t="str" cm="1">
        <f t="array" ref="BV312">IF($I312="","",IF($B312=1,"",IF($B312=2,_xlfn.XLOOKUP(1,($B$2:$B$313=1)*($BO$2:$BO$313=1),$I$2:$I$313,,0),_xlfn.XLOOKUP($B312-1,$B$2:$B$313,$CH$2:$CH$313,,0))))</f>
        <v/>
      </c>
      <c r="BW312" s="1" t="str" cm="1">
        <f t="array" ref="BW312">IF($I312="","",IF($B312=1,"",IF(_xlfn.XLOOKUP(1,($B$2:$B$313=$B312)*($I$2:$I$313=$BV312),$BQ$2:$BQ$313,,0)="","NOK","OK")))</f>
        <v/>
      </c>
      <c r="BX312" s="1" t="str">
        <f t="shared" si="297"/>
        <v/>
      </c>
      <c r="BY312" s="1" t="str">
        <f t="shared" si="298"/>
        <v/>
      </c>
      <c r="BZ312" s="1" t="str">
        <f t="shared" si="299"/>
        <v/>
      </c>
      <c r="CA312" s="1" t="str">
        <f t="shared" si="300"/>
        <v/>
      </c>
      <c r="CB312" s="1" t="str">
        <f t="shared" si="301"/>
        <v/>
      </c>
      <c r="CC312" s="1" t="str">
        <f t="shared" si="302"/>
        <v/>
      </c>
      <c r="CD312" s="1" t="str">
        <f t="shared" si="303"/>
        <v/>
      </c>
      <c r="CE312" s="1" t="str">
        <f t="shared" si="304"/>
        <v/>
      </c>
      <c r="CF312" s="1" t="str">
        <f t="shared" si="305"/>
        <v/>
      </c>
      <c r="CG312" s="1" t="str">
        <f t="shared" si="306"/>
        <v/>
      </c>
      <c r="CH312" s="1" t="str">
        <f t="shared" si="307"/>
        <v/>
      </c>
      <c r="CI312" s="1" t="str">
        <f t="shared" si="308"/>
        <v/>
      </c>
      <c r="CJ312" s="1" t="str">
        <f>IF(B312="","",IF(SUM(AI312:AK312)&gt;0,"+SP","")&amp;IF(CI312&gt;0,"+KK","")&amp;IF(AB312&gt;0,"+KGP1","")&amp;IF(AC312&gt;0,"+KGP2","")&amp;IF(AG312&lt;0,"-KGP1","")&amp;IF(AH312&lt;0,"-KGP2",""))</f>
        <v/>
      </c>
    </row>
    <row r="313" spans="1:88" x14ac:dyDescent="0.25">
      <c r="A313" s="1" t="str">
        <f>IFERROR(IF(ROW(A312)=1,1,IF(1+A312&lt;=$CP$1*$CP$2,1+A312,"")),"")</f>
        <v/>
      </c>
      <c r="B313" s="1" t="str">
        <f>IF($I313="","",IF(ROW(B312)=1,1,ROUNDUP(A313/$CP$2,0)))</f>
        <v/>
      </c>
      <c r="C313" s="4" t="str">
        <f t="shared" si="253"/>
        <v/>
      </c>
      <c r="D313" s="4" t="str">
        <f t="shared" si="248"/>
        <v/>
      </c>
      <c r="E313" s="1" t="str">
        <f>IF($B313="","",COUNTIF($B$2:B313,B313))</f>
        <v/>
      </c>
      <c r="F313" s="1" t="str">
        <f t="shared" si="249"/>
        <v/>
      </c>
      <c r="G313" s="1" t="str">
        <f t="shared" si="254"/>
        <v/>
      </c>
      <c r="H313" s="1">
        <f t="shared" si="255"/>
        <v>0</v>
      </c>
      <c r="I313" s="3"/>
      <c r="J313" s="3"/>
      <c r="K313" s="3"/>
      <c r="L313" s="1" t="str">
        <f t="shared" si="256"/>
        <v/>
      </c>
      <c r="M313" s="1" t="str">
        <f t="shared" si="257"/>
        <v/>
      </c>
      <c r="N313" s="1" t="str">
        <f t="shared" si="258"/>
        <v/>
      </c>
      <c r="O313" s="1" t="str">
        <f t="shared" si="259"/>
        <v/>
      </c>
      <c r="P313" s="1" t="str">
        <f t="shared" si="260"/>
        <v/>
      </c>
      <c r="Q313" s="1" t="str">
        <f t="array" ref="Q313">IF($B313="","",IF(MAX(IF(B313=$B$2:$B$313,$L$2:$L$313))-L313=0,"",MAX(IF(B313=$B$2:$B$313,$L$2:$L$313))-L313))</f>
        <v/>
      </c>
      <c r="R313" s="1" t="str">
        <f t="array" ref="R313">IF($B313="","",SUMPRODUCT(--($B$2:$B$313=B313),--(L313&lt;$L$2:$L$313))+1)</f>
        <v/>
      </c>
      <c r="S313" s="1" t="str">
        <f t="shared" si="261"/>
        <v/>
      </c>
      <c r="T313" s="1" t="str" cm="1">
        <f t="array" ref="T313">IF($B313="","",IF(M313=0,"",SUMPRODUCT(--($B$2:$B$313=B313),--(J313&lt;$J$2:$J$313))+1))</f>
        <v/>
      </c>
      <c r="U313" s="1" t="str">
        <f t="shared" si="262"/>
        <v/>
      </c>
      <c r="V313" s="1" t="str">
        <f t="shared" si="263"/>
        <v/>
      </c>
      <c r="W313" s="1" t="str">
        <f t="shared" si="264"/>
        <v/>
      </c>
      <c r="X313" s="1" t="str">
        <f t="shared" si="250"/>
        <v/>
      </c>
      <c r="Y313" s="1" t="str">
        <f>IF($B313="","",MAX(_xlfn.MAXIFS($J$2:J313,$I$2:I313,$I313),_xlfn.MAXIFS($K$2:K313,$I$2:I313,$I313)))</f>
        <v/>
      </c>
      <c r="Z313" s="1" t="str">
        <f t="shared" si="265"/>
        <v/>
      </c>
      <c r="AA313" s="1" t="str">
        <f t="shared" si="266"/>
        <v/>
      </c>
      <c r="AB313" s="1" t="str">
        <f t="shared" si="267"/>
        <v/>
      </c>
      <c r="AC313" s="1" t="str">
        <f t="shared" si="268"/>
        <v/>
      </c>
      <c r="AD313" s="1" t="str">
        <f>IF($B313="","",MIN(_xlfn.MINIFS($J$2:J313,$I$2:I313,$I313),_xlfn.MINIFS($K$2:K313,$I$2:I313,$I313)))</f>
        <v/>
      </c>
      <c r="AE313" s="1" t="str">
        <f t="shared" si="269"/>
        <v/>
      </c>
      <c r="AF313" s="1" t="str">
        <f t="shared" si="270"/>
        <v/>
      </c>
      <c r="AG313" s="1" t="str">
        <f t="shared" si="271"/>
        <v/>
      </c>
      <c r="AH313" s="1" t="str">
        <f t="shared" si="272"/>
        <v/>
      </c>
      <c r="AI313" s="1" t="str">
        <f ca="1">IF($B313="","",IF($K313="",0,OFFSET($CO$17,R313,W313)))</f>
        <v/>
      </c>
      <c r="AJ313" s="1" t="str">
        <f t="shared" ca="1" si="273"/>
        <v/>
      </c>
      <c r="AK313" s="1" t="str">
        <f ca="1">IF(AJ313="","",IF(AJ313=0,0,IF(W313=1,0,SUM(OFFSET($CO$17,N313,1):OFFSET($CO$17,N313+W313-2,1))/W313)))</f>
        <v/>
      </c>
      <c r="AL313" s="1" t="str">
        <f t="shared" si="274"/>
        <v/>
      </c>
      <c r="AM313" s="1" t="str">
        <f>IF($B313="","",SUMIFS($AL$2:AL313,$I$2:I313,$I313))</f>
        <v/>
      </c>
      <c r="AN313" s="1" t="str">
        <f t="shared" si="275"/>
        <v/>
      </c>
      <c r="AO313" s="1" t="str">
        <f>IFERROR(IF($B313="","",AVERAGEIFS($L$2:L313,$I$2:I313,I313,$L$2:L313,"&lt;&gt;0")),0)</f>
        <v/>
      </c>
      <c r="AP313" s="1" t="str">
        <f t="shared" si="276"/>
        <v/>
      </c>
      <c r="AQ313" s="1" t="str">
        <f>IF($B313="","",COUNTIFS($R$2:R313,1,$I$2:I313,$I313))</f>
        <v/>
      </c>
      <c r="AR313" s="1" t="str">
        <f t="array" ref="AR313">IF($B313="","",SUMPRODUCT(--($B$2:$B$313=B313),--(AM313&lt;$AM$2:$AM$313))+1)</f>
        <v/>
      </c>
      <c r="AS313" s="1" t="str">
        <f t="array" ref="AS313">IF($B313="","",SUMPRODUCT(--($B$2:$B$313=B313),--(AP313&lt;$AP$2:$AP$313))+1)</f>
        <v/>
      </c>
      <c r="AT313" s="1" t="str">
        <f t="array" ref="AT313">IF($B313="","",SUMPRODUCT(--($B$2:$B$313=B313),--(AQ313&lt;$AQ$2:$AQ$313))+1)</f>
        <v/>
      </c>
      <c r="AU313" s="1" t="str">
        <f t="shared" si="277"/>
        <v/>
      </c>
      <c r="AV313" s="1" t="str">
        <f t="shared" si="278"/>
        <v/>
      </c>
      <c r="AW313" s="1" t="str">
        <f t="shared" si="251"/>
        <v/>
      </c>
      <c r="AX313" s="1" t="str">
        <f t="shared" si="279"/>
        <v/>
      </c>
      <c r="AY313" s="8" t="str">
        <f t="shared" si="280"/>
        <v/>
      </c>
      <c r="AZ313" s="1" t="str" cm="1">
        <f t="array" ref="AZ313">IF($B313="","",SUMPRODUCT(--($B$2:$B$313=B313),--(AY313&gt;$AY$2:$AY$313))+1)</f>
        <v/>
      </c>
      <c r="BA313" s="1" t="str">
        <f t="shared" si="281"/>
        <v/>
      </c>
      <c r="BB313" s="1" t="str">
        <f t="shared" si="282"/>
        <v/>
      </c>
      <c r="BC313" s="1" t="str">
        <f t="shared" si="283"/>
        <v/>
      </c>
      <c r="BD313" s="1" t="str">
        <f t="shared" si="284"/>
        <v/>
      </c>
      <c r="BE313" s="1" t="str">
        <f t="shared" si="285"/>
        <v/>
      </c>
      <c r="BF313" s="1" t="str">
        <f t="shared" si="286"/>
        <v/>
      </c>
      <c r="BG313" s="1" t="str">
        <f t="shared" si="287"/>
        <v/>
      </c>
      <c r="BH313" s="1" t="str">
        <f t="shared" si="288"/>
        <v/>
      </c>
      <c r="BI313" s="1" t="str">
        <f t="shared" si="289"/>
        <v/>
      </c>
      <c r="BJ313" s="1" t="str">
        <f t="shared" si="290"/>
        <v/>
      </c>
      <c r="BK313" s="1" t="str">
        <f t="shared" si="291"/>
        <v/>
      </c>
      <c r="BL313" s="1" t="str">
        <f t="shared" si="292"/>
        <v/>
      </c>
      <c r="BM313" s="1" t="str">
        <f t="shared" si="293"/>
        <v/>
      </c>
      <c r="BN313" s="1" t="str">
        <f t="shared" si="294"/>
        <v/>
      </c>
      <c r="BO313" s="1" t="str">
        <f t="shared" si="252"/>
        <v/>
      </c>
      <c r="BP313" s="1" t="str">
        <f t="shared" si="295"/>
        <v/>
      </c>
      <c r="BQ313" s="1" t="str" cm="1">
        <f t="array" ref="BQ313">IF(I313="","",IF(BP313=1,"",IF(L313=0,"",IF(B313=1,"",_xlfn.XLOOKUP(1,($I$2:$I$313=$I313)*($B$2:$B$313=($B313-1)),$BO$2:$BO$313)))))</f>
        <v/>
      </c>
      <c r="BR313" s="1" t="str">
        <f>IF(I313="","",IF($B313=1,_xlfn.MINIFS($BO$2:$BO$313,$B$2:$B$313,$B313),_xlfn.MINIFS(BQ$2:$BQ$313,$B$2:$B$313,$B313)))</f>
        <v/>
      </c>
      <c r="BS313" s="1" t="str">
        <f t="shared" si="296"/>
        <v/>
      </c>
      <c r="BT313" s="1" t="str" cm="1">
        <f t="array" ref="BT313">IF($I313="","",IF($B313=1,_xlfn.XLOOKUP(1,($B$2:$B$313=$B313)*($BO$2:$BO$313=BR313),Data!$I$2:$I$313,,0),_xlfn.XLOOKUP(1,($B$2:$B$313=$B313)*($BQ$2:$BQ$313=$BR313),$I$2:$I$313,,0)))</f>
        <v/>
      </c>
      <c r="BU313" s="1" t="str" cm="1">
        <f t="array" ref="BU313">IF(I313="","",IF($B313=1,_xlfn.XLOOKUP(1,($B$2:$B$313=$B313)*($BO$2:$BO$313=$BS313),$I$2:$I$313,,0),_xlfn.XLOOKUP(1,($B$2:$B$313=$B313)*($BQ$2:$BQ$313=$BS313),$I$2:$I$313,,0)))</f>
        <v/>
      </c>
      <c r="BV313" s="1" t="str" cm="1">
        <f t="array" ref="BV313">IF($I313="","",IF($B313=1,"",IF($B313=2,_xlfn.XLOOKUP(1,($B$2:$B$313=1)*($BO$2:$BO$313=1),$I$2:$I$313,,0),_xlfn.XLOOKUP($B313-1,$B$2:$B$313,$CH$2:$CH$313,,0))))</f>
        <v/>
      </c>
      <c r="BW313" s="1" t="str" cm="1">
        <f t="array" ref="BW313">IF($I313="","",IF($B313=1,"",IF(_xlfn.XLOOKUP(1,($B$2:$B$313=$B313)*($I$2:$I$313=$BV313),$BQ$2:$BQ$313,,0)="","NOK","OK")))</f>
        <v/>
      </c>
      <c r="BX313" s="1" t="str">
        <f t="shared" si="297"/>
        <v/>
      </c>
      <c r="BY313" s="1" t="str">
        <f t="shared" si="298"/>
        <v/>
      </c>
      <c r="BZ313" s="1" t="str">
        <f t="shared" si="299"/>
        <v/>
      </c>
      <c r="CA313" s="1" t="str">
        <f t="shared" si="300"/>
        <v/>
      </c>
      <c r="CB313" s="1" t="str">
        <f t="shared" si="301"/>
        <v/>
      </c>
      <c r="CC313" s="1" t="str">
        <f t="shared" si="302"/>
        <v/>
      </c>
      <c r="CD313" s="1" t="str">
        <f t="shared" si="303"/>
        <v/>
      </c>
      <c r="CE313" s="1" t="str">
        <f t="shared" si="304"/>
        <v/>
      </c>
      <c r="CF313" s="1" t="str">
        <f t="shared" si="305"/>
        <v/>
      </c>
      <c r="CG313" s="1" t="str">
        <f t="shared" si="306"/>
        <v/>
      </c>
      <c r="CH313" s="1" t="str">
        <f t="shared" si="307"/>
        <v/>
      </c>
      <c r="CI313" s="1" t="str">
        <f t="shared" si="308"/>
        <v/>
      </c>
      <c r="CJ313" s="1" t="str">
        <f>IF(B313="","",IF(SUM(AI313:AK313)&gt;0,"+SP","")&amp;IF(CI313&gt;0,"+KK","")&amp;IF(AB313&gt;0,"+KGP1","")&amp;IF(AC313&gt;0,"+KGP2","")&amp;IF(AG313&lt;0,"-KGP1","")&amp;IF(AH313&lt;0,"-KGP2",""))</f>
        <v/>
      </c>
    </row>
    <row r="314" spans="1:88" x14ac:dyDescent="0.25">
      <c r="A314" s="1" t="s">
        <v>48</v>
      </c>
      <c r="B314" s="1" t="s">
        <v>48</v>
      </c>
      <c r="C314" s="1" t="s">
        <v>48</v>
      </c>
      <c r="D314" s="1" t="s">
        <v>48</v>
      </c>
      <c r="E314" s="1" t="s">
        <v>48</v>
      </c>
      <c r="F314" s="1" t="s">
        <v>48</v>
      </c>
      <c r="G314" s="1" t="s">
        <v>48</v>
      </c>
      <c r="H314" s="1" t="s">
        <v>48</v>
      </c>
      <c r="I314" s="1" t="s">
        <v>48</v>
      </c>
      <c r="J314" s="1" t="s">
        <v>48</v>
      </c>
      <c r="K314" s="1" t="s">
        <v>48</v>
      </c>
      <c r="L314" s="1" t="s">
        <v>48</v>
      </c>
      <c r="M314" s="1" t="s">
        <v>48</v>
      </c>
      <c r="N314" s="1" t="s">
        <v>48</v>
      </c>
      <c r="O314" s="1" t="s">
        <v>48</v>
      </c>
      <c r="P314" s="1" t="s">
        <v>48</v>
      </c>
      <c r="Q314" s="1" t="s">
        <v>48</v>
      </c>
      <c r="R314" s="1" t="s">
        <v>48</v>
      </c>
      <c r="S314" s="1" t="s">
        <v>48</v>
      </c>
      <c r="T314" s="1" t="s">
        <v>48</v>
      </c>
      <c r="U314" s="1" t="s">
        <v>48</v>
      </c>
      <c r="V314" s="1" t="s">
        <v>48</v>
      </c>
      <c r="W314" s="1" t="s">
        <v>48</v>
      </c>
      <c r="X314" s="1" t="s">
        <v>48</v>
      </c>
      <c r="Y314" s="1" t="s">
        <v>48</v>
      </c>
      <c r="Z314" s="1" t="s">
        <v>48</v>
      </c>
      <c r="AA314" s="1" t="s">
        <v>48</v>
      </c>
      <c r="AB314" s="1" t="s">
        <v>48</v>
      </c>
      <c r="AC314" s="1" t="s">
        <v>48</v>
      </c>
      <c r="AD314" s="1" t="s">
        <v>48</v>
      </c>
      <c r="AE314" s="1" t="s">
        <v>48</v>
      </c>
      <c r="AF314" s="1" t="s">
        <v>48</v>
      </c>
      <c r="AG314" s="1" t="s">
        <v>48</v>
      </c>
      <c r="AH314" s="1" t="s">
        <v>48</v>
      </c>
      <c r="AI314" s="1" t="s">
        <v>48</v>
      </c>
      <c r="AJ314" s="1" t="s">
        <v>48</v>
      </c>
      <c r="AK314" s="1" t="s">
        <v>48</v>
      </c>
      <c r="AL314" s="1" t="s">
        <v>48</v>
      </c>
      <c r="AM314" s="1" t="s">
        <v>48</v>
      </c>
      <c r="AN314" s="1" t="s">
        <v>48</v>
      </c>
      <c r="AO314" s="1" t="s">
        <v>48</v>
      </c>
      <c r="AP314" s="1" t="s">
        <v>48</v>
      </c>
      <c r="AQ314" s="1" t="s">
        <v>48</v>
      </c>
      <c r="AR314" s="1" t="s">
        <v>48</v>
      </c>
      <c r="AS314" s="1" t="s">
        <v>48</v>
      </c>
      <c r="AT314" s="1" t="s">
        <v>48</v>
      </c>
      <c r="AU314" s="1" t="s">
        <v>48</v>
      </c>
      <c r="AV314" s="1" t="s">
        <v>48</v>
      </c>
      <c r="AW314" s="1" t="s">
        <v>48</v>
      </c>
      <c r="AX314" s="1" t="s">
        <v>48</v>
      </c>
      <c r="AY314" s="8" t="s">
        <v>48</v>
      </c>
      <c r="AZ314" s="1" t="s">
        <v>48</v>
      </c>
      <c r="BA314" s="1" t="s">
        <v>48</v>
      </c>
      <c r="BB314" s="1" t="s">
        <v>48</v>
      </c>
      <c r="BC314" s="1" t="s">
        <v>48</v>
      </c>
      <c r="BD314" s="1" t="s">
        <v>48</v>
      </c>
      <c r="BE314" s="1" t="s">
        <v>48</v>
      </c>
      <c r="BF314" s="1" t="s">
        <v>48</v>
      </c>
      <c r="BG314" s="1" t="s">
        <v>48</v>
      </c>
      <c r="BH314" s="1" t="s">
        <v>48</v>
      </c>
      <c r="BI314" s="1" t="s">
        <v>48</v>
      </c>
      <c r="BJ314" s="1" t="s">
        <v>48</v>
      </c>
      <c r="BK314" s="1" t="s">
        <v>48</v>
      </c>
      <c r="BL314" s="1" t="s">
        <v>48</v>
      </c>
      <c r="BM314" s="1" t="s">
        <v>48</v>
      </c>
      <c r="BN314" s="1" t="s">
        <v>48</v>
      </c>
      <c r="BO314" s="1" t="s">
        <v>48</v>
      </c>
      <c r="BP314" s="1" t="s">
        <v>48</v>
      </c>
      <c r="BQ314" s="1" t="s">
        <v>48</v>
      </c>
      <c r="BR314" s="1" t="s">
        <v>48</v>
      </c>
      <c r="BS314" s="1" t="s">
        <v>48</v>
      </c>
      <c r="BT314" s="1" t="s">
        <v>48</v>
      </c>
      <c r="BU314" s="1" t="s">
        <v>48</v>
      </c>
      <c r="BV314" s="1" t="s">
        <v>48</v>
      </c>
      <c r="BW314" s="1" t="s">
        <v>48</v>
      </c>
      <c r="BX314" s="1" t="s">
        <v>48</v>
      </c>
      <c r="BY314" s="1" t="s">
        <v>48</v>
      </c>
      <c r="BZ314" s="1" t="s">
        <v>48</v>
      </c>
      <c r="CA314" s="1" t="s">
        <v>48</v>
      </c>
      <c r="CB314" s="1" t="s">
        <v>48</v>
      </c>
      <c r="CC314" s="1" t="s">
        <v>48</v>
      </c>
      <c r="CD314" s="1" t="s">
        <v>48</v>
      </c>
      <c r="CE314" s="1" t="s">
        <v>48</v>
      </c>
      <c r="CF314" s="1" t="s">
        <v>48</v>
      </c>
      <c r="CG314" s="1" t="s">
        <v>48</v>
      </c>
      <c r="CH314" s="1" t="s">
        <v>48</v>
      </c>
      <c r="CI314" s="1" t="s">
        <v>48</v>
      </c>
      <c r="CJ314" s="1" t="s">
        <v>48</v>
      </c>
    </row>
  </sheetData>
  <autoFilter ref="A1:CI314" xr:uid="{1A9B1F49-8B60-495B-B525-16A6C64782A8}"/>
  <mergeCells count="3">
    <mergeCell ref="CR1:CU1"/>
    <mergeCell ref="CP73:DE74"/>
    <mergeCell ref="CP75:DE75"/>
  </mergeCells>
  <phoneticPr fontId="18" type="noConversion"/>
  <conditionalFormatting sqref="H2:H313">
    <cfRule type="cellIs" dxfId="226" priority="6" operator="greaterThan">
      <formula>1</formula>
    </cfRule>
  </conditionalFormatting>
  <conditionalFormatting sqref="I2:I313">
    <cfRule type="expression" dxfId="225" priority="1">
      <formula>AND($BK2&gt;0,$BK2&lt;&gt;"")</formula>
    </cfRule>
  </conditionalFormatting>
  <pageMargins left="0.7" right="0.7" top="0.75" bottom="0.75" header="0.3" footer="0.3"/>
  <pageSetup paperSize="9" scale="58" orientation="landscape" r:id="rId1"/>
  <colBreaks count="1" manualBreakCount="1">
    <brk id="93" min="43" max="74" man="1"/>
  </colBreak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23B8A-0128-487E-A044-EF93CC28B7D5}">
  <dimension ref="A1:AF145"/>
  <sheetViews>
    <sheetView workbookViewId="0"/>
  </sheetViews>
  <sheetFormatPr defaultColWidth="0" defaultRowHeight="15" x14ac:dyDescent="0.25"/>
  <cols>
    <col min="1" max="1" width="25.7109375" style="179" customWidth="1"/>
    <col min="2" max="3" width="9.140625" style="179" customWidth="1"/>
    <col min="4" max="4" width="15.85546875" style="181" bestFit="1" customWidth="1"/>
    <col min="5" max="26" width="3.7109375" style="179" customWidth="1"/>
    <col min="27" max="32" width="0" style="179" hidden="1" customWidth="1"/>
    <col min="33" max="16384" width="9.140625" style="179" hidden="1"/>
  </cols>
  <sheetData>
    <row r="1" spans="1:26" x14ac:dyDescent="0.25">
      <c r="A1" s="180" t="s">
        <v>129</v>
      </c>
      <c r="Q1" s="225" t="s">
        <v>145</v>
      </c>
      <c r="R1" s="225"/>
      <c r="S1" s="225"/>
      <c r="T1" s="225"/>
      <c r="U1" s="225"/>
      <c r="V1" s="225"/>
      <c r="W1" s="225"/>
      <c r="X1" s="225"/>
      <c r="Y1" s="225"/>
      <c r="Z1" s="225"/>
    </row>
    <row r="2" spans="1:26" ht="26.25" x14ac:dyDescent="0.4">
      <c r="A2" s="182" t="s">
        <v>194</v>
      </c>
      <c r="Q2" s="225"/>
      <c r="R2" s="225"/>
      <c r="S2" s="225"/>
      <c r="T2" s="225"/>
      <c r="U2" s="225"/>
      <c r="V2" s="225"/>
      <c r="W2" s="225"/>
      <c r="X2" s="225"/>
      <c r="Y2" s="225"/>
      <c r="Z2" s="225"/>
    </row>
    <row r="3" spans="1:26" x14ac:dyDescent="0.25">
      <c r="A3" s="183"/>
    </row>
    <row r="4" spans="1:26" x14ac:dyDescent="0.25">
      <c r="A4" s="180" t="s">
        <v>228</v>
      </c>
    </row>
    <row r="5" spans="1:26" x14ac:dyDescent="0.25">
      <c r="A5" s="180" t="s">
        <v>263</v>
      </c>
    </row>
    <row r="6" spans="1:26" x14ac:dyDescent="0.25">
      <c r="A6" s="183"/>
    </row>
    <row r="7" spans="1:26" ht="15.75" x14ac:dyDescent="0.25">
      <c r="A7" s="223" t="s">
        <v>195</v>
      </c>
      <c r="B7" s="223"/>
      <c r="C7" s="223"/>
      <c r="D7" s="223"/>
      <c r="E7" s="223"/>
      <c r="F7" s="223"/>
      <c r="G7" s="223"/>
      <c r="H7" s="223"/>
      <c r="I7" s="223"/>
      <c r="J7" s="223"/>
      <c r="K7" s="223"/>
      <c r="L7" s="223"/>
      <c r="M7" s="223"/>
      <c r="N7" s="223"/>
      <c r="O7" s="223"/>
      <c r="P7" s="223"/>
      <c r="Q7" s="223"/>
      <c r="R7" s="223"/>
      <c r="S7" s="223"/>
      <c r="T7" s="223"/>
      <c r="U7" s="223"/>
      <c r="V7" s="223"/>
      <c r="W7" s="223"/>
      <c r="X7" s="223"/>
      <c r="Y7" s="223"/>
    </row>
    <row r="8" spans="1:26" x14ac:dyDescent="0.25">
      <c r="A8" s="224"/>
      <c r="B8" s="224"/>
      <c r="C8" s="224"/>
      <c r="D8" s="224"/>
      <c r="E8" s="224"/>
      <c r="F8" s="224"/>
      <c r="G8" s="224"/>
      <c r="H8" s="224"/>
      <c r="I8" s="224"/>
      <c r="J8" s="224"/>
      <c r="K8" s="224"/>
      <c r="L8" s="224"/>
      <c r="M8" s="224"/>
      <c r="N8" s="222" t="s">
        <v>238</v>
      </c>
      <c r="O8" s="222"/>
      <c r="P8" s="222"/>
      <c r="Q8" s="222"/>
      <c r="R8" s="222"/>
      <c r="S8" s="222"/>
      <c r="T8" s="222"/>
      <c r="U8" s="222"/>
      <c r="V8" s="222"/>
      <c r="W8" s="222"/>
      <c r="X8" s="222"/>
      <c r="Y8" s="222"/>
    </row>
    <row r="9" spans="1:26" x14ac:dyDescent="0.25">
      <c r="A9" s="224"/>
      <c r="B9" s="224"/>
      <c r="C9" s="224"/>
      <c r="D9" s="224"/>
      <c r="E9" s="224"/>
      <c r="F9" s="224"/>
      <c r="G9" s="224"/>
      <c r="H9" s="224"/>
      <c r="I9" s="224"/>
      <c r="J9" s="224"/>
      <c r="K9" s="224"/>
      <c r="L9" s="224"/>
      <c r="M9" s="224"/>
      <c r="N9" s="222"/>
      <c r="O9" s="222"/>
      <c r="P9" s="222"/>
      <c r="Q9" s="222"/>
      <c r="R9" s="222"/>
      <c r="S9" s="222"/>
      <c r="T9" s="222"/>
      <c r="U9" s="222"/>
      <c r="V9" s="222"/>
      <c r="W9" s="222"/>
      <c r="X9" s="222"/>
      <c r="Y9" s="222"/>
    </row>
    <row r="10" spans="1:26" x14ac:dyDescent="0.25">
      <c r="A10" s="224"/>
      <c r="B10" s="224"/>
      <c r="C10" s="224"/>
      <c r="D10" s="224"/>
      <c r="E10" s="224"/>
      <c r="F10" s="224"/>
      <c r="G10" s="224"/>
      <c r="H10" s="224"/>
      <c r="I10" s="224"/>
      <c r="J10" s="224"/>
      <c r="K10" s="224"/>
      <c r="L10" s="224"/>
      <c r="M10" s="224"/>
      <c r="N10" s="222"/>
      <c r="O10" s="222"/>
      <c r="P10" s="222"/>
      <c r="Q10" s="222"/>
      <c r="R10" s="222"/>
      <c r="S10" s="222"/>
      <c r="T10" s="222"/>
      <c r="U10" s="222"/>
      <c r="V10" s="222"/>
      <c r="W10" s="222"/>
      <c r="X10" s="222"/>
      <c r="Y10" s="222"/>
    </row>
    <row r="11" spans="1:26" x14ac:dyDescent="0.25">
      <c r="A11" s="224"/>
      <c r="B11" s="224"/>
      <c r="C11" s="224"/>
      <c r="D11" s="224"/>
      <c r="E11" s="224"/>
      <c r="F11" s="224"/>
      <c r="G11" s="224"/>
      <c r="H11" s="224"/>
      <c r="I11" s="224"/>
      <c r="J11" s="224"/>
      <c r="K11" s="224"/>
      <c r="L11" s="224"/>
      <c r="M11" s="224"/>
      <c r="N11" s="222"/>
      <c r="O11" s="222"/>
      <c r="P11" s="222"/>
      <c r="Q11" s="222"/>
      <c r="R11" s="222"/>
      <c r="S11" s="222"/>
      <c r="T11" s="222"/>
      <c r="U11" s="222"/>
      <c r="V11" s="222"/>
      <c r="W11" s="222"/>
      <c r="X11" s="222"/>
      <c r="Y11" s="222"/>
    </row>
    <row r="12" spans="1:26" x14ac:dyDescent="0.25">
      <c r="A12" s="224"/>
      <c r="B12" s="224"/>
      <c r="C12" s="224"/>
      <c r="D12" s="224"/>
      <c r="E12" s="224"/>
      <c r="F12" s="224"/>
      <c r="G12" s="224"/>
      <c r="H12" s="224"/>
      <c r="I12" s="224"/>
      <c r="J12" s="224"/>
      <c r="K12" s="224"/>
      <c r="L12" s="224"/>
      <c r="M12" s="224"/>
      <c r="N12" s="222"/>
      <c r="O12" s="222"/>
      <c r="P12" s="222"/>
      <c r="Q12" s="222"/>
      <c r="R12" s="222"/>
      <c r="S12" s="222"/>
      <c r="T12" s="222"/>
      <c r="U12" s="222"/>
      <c r="V12" s="222"/>
      <c r="W12" s="222"/>
      <c r="X12" s="222"/>
      <c r="Y12" s="222"/>
    </row>
    <row r="13" spans="1:26" x14ac:dyDescent="0.25">
      <c r="A13" s="224"/>
      <c r="B13" s="224"/>
      <c r="C13" s="224"/>
      <c r="D13" s="224"/>
      <c r="E13" s="224"/>
      <c r="F13" s="224"/>
      <c r="G13" s="224"/>
      <c r="H13" s="224"/>
      <c r="I13" s="224"/>
      <c r="J13" s="224"/>
      <c r="K13" s="224"/>
      <c r="L13" s="224"/>
      <c r="M13" s="224"/>
      <c r="N13" s="222"/>
      <c r="O13" s="222"/>
      <c r="P13" s="222"/>
      <c r="Q13" s="222"/>
      <c r="R13" s="222"/>
      <c r="S13" s="222"/>
      <c r="T13" s="222"/>
      <c r="U13" s="222"/>
      <c r="V13" s="222"/>
      <c r="W13" s="222"/>
      <c r="X13" s="222"/>
      <c r="Y13" s="222"/>
    </row>
    <row r="14" spans="1:26" x14ac:dyDescent="0.25">
      <c r="A14" s="224"/>
      <c r="B14" s="224"/>
      <c r="C14" s="224"/>
      <c r="D14" s="224"/>
      <c r="E14" s="224"/>
      <c r="F14" s="224"/>
      <c r="G14" s="224"/>
      <c r="H14" s="224"/>
      <c r="I14" s="224"/>
      <c r="J14" s="224"/>
      <c r="K14" s="224"/>
      <c r="L14" s="224"/>
      <c r="M14" s="224"/>
      <c r="N14" s="222"/>
      <c r="O14" s="222"/>
      <c r="P14" s="222"/>
      <c r="Q14" s="222"/>
      <c r="R14" s="222"/>
      <c r="S14" s="222"/>
      <c r="T14" s="222"/>
      <c r="U14" s="222"/>
      <c r="V14" s="222"/>
      <c r="W14" s="222"/>
      <c r="X14" s="222"/>
      <c r="Y14" s="222"/>
    </row>
    <row r="15" spans="1:26" x14ac:dyDescent="0.25">
      <c r="A15" s="224"/>
      <c r="B15" s="224"/>
      <c r="C15" s="224"/>
      <c r="D15" s="224"/>
      <c r="E15" s="224"/>
      <c r="F15" s="224"/>
      <c r="G15" s="224"/>
      <c r="H15" s="224"/>
      <c r="I15" s="224"/>
      <c r="J15" s="224"/>
      <c r="K15" s="224"/>
      <c r="L15" s="224"/>
      <c r="M15" s="224"/>
      <c r="N15" s="222"/>
      <c r="O15" s="222"/>
      <c r="P15" s="222"/>
      <c r="Q15" s="222"/>
      <c r="R15" s="222"/>
      <c r="S15" s="222"/>
      <c r="T15" s="222"/>
      <c r="U15" s="222"/>
      <c r="V15" s="222"/>
      <c r="W15" s="222"/>
      <c r="X15" s="222"/>
      <c r="Y15" s="222"/>
    </row>
    <row r="16" spans="1:26" x14ac:dyDescent="0.25">
      <c r="A16" s="224"/>
      <c r="B16" s="224"/>
      <c r="C16" s="224"/>
      <c r="D16" s="224"/>
      <c r="E16" s="224"/>
      <c r="F16" s="224"/>
      <c r="G16" s="224"/>
      <c r="H16" s="224"/>
      <c r="I16" s="224"/>
      <c r="J16" s="224"/>
      <c r="K16" s="224"/>
      <c r="L16" s="224"/>
      <c r="M16" s="224"/>
      <c r="N16" s="222"/>
      <c r="O16" s="222"/>
      <c r="P16" s="222"/>
      <c r="Q16" s="222"/>
      <c r="R16" s="222"/>
      <c r="S16" s="222"/>
      <c r="T16" s="222"/>
      <c r="U16" s="222"/>
      <c r="V16" s="222"/>
      <c r="W16" s="222"/>
      <c r="X16" s="222"/>
      <c r="Y16" s="222"/>
    </row>
    <row r="17" spans="1:25" x14ac:dyDescent="0.25">
      <c r="A17" s="224"/>
      <c r="B17" s="224"/>
      <c r="C17" s="224"/>
      <c r="D17" s="224"/>
      <c r="E17" s="224"/>
      <c r="F17" s="224"/>
      <c r="G17" s="224"/>
      <c r="H17" s="224"/>
      <c r="I17" s="224"/>
      <c r="J17" s="224"/>
      <c r="K17" s="224"/>
      <c r="L17" s="224"/>
      <c r="M17" s="224"/>
      <c r="N17" s="222"/>
      <c r="O17" s="222"/>
      <c r="P17" s="222"/>
      <c r="Q17" s="222"/>
      <c r="R17" s="222"/>
      <c r="S17" s="222"/>
      <c r="T17" s="222"/>
      <c r="U17" s="222"/>
      <c r="V17" s="222"/>
      <c r="W17" s="222"/>
      <c r="X17" s="222"/>
      <c r="Y17" s="222"/>
    </row>
    <row r="18" spans="1:25" x14ac:dyDescent="0.25">
      <c r="A18" s="224"/>
      <c r="B18" s="224"/>
      <c r="C18" s="224"/>
      <c r="D18" s="224"/>
      <c r="E18" s="224"/>
      <c r="F18" s="224"/>
      <c r="G18" s="224"/>
      <c r="H18" s="224"/>
      <c r="I18" s="224"/>
      <c r="J18" s="224"/>
      <c r="K18" s="224"/>
      <c r="L18" s="224"/>
      <c r="M18" s="224"/>
      <c r="N18" s="222"/>
      <c r="O18" s="222"/>
      <c r="P18" s="222"/>
      <c r="Q18" s="222"/>
      <c r="R18" s="222"/>
      <c r="S18" s="222"/>
      <c r="T18" s="222"/>
      <c r="U18" s="222"/>
      <c r="V18" s="222"/>
      <c r="W18" s="222"/>
      <c r="X18" s="222"/>
      <c r="Y18" s="222"/>
    </row>
    <row r="19" spans="1:25" x14ac:dyDescent="0.25">
      <c r="A19" s="224"/>
      <c r="B19" s="224"/>
      <c r="C19" s="224"/>
      <c r="D19" s="224"/>
      <c r="E19" s="224"/>
      <c r="F19" s="224"/>
      <c r="G19" s="224"/>
      <c r="H19" s="224"/>
      <c r="I19" s="224"/>
      <c r="J19" s="224"/>
      <c r="K19" s="224"/>
      <c r="L19" s="224"/>
      <c r="M19" s="224"/>
      <c r="N19" s="222"/>
      <c r="O19" s="222"/>
      <c r="P19" s="222"/>
      <c r="Q19" s="222"/>
      <c r="R19" s="222"/>
      <c r="S19" s="222"/>
      <c r="T19" s="222"/>
      <c r="U19" s="222"/>
      <c r="V19" s="222"/>
      <c r="W19" s="222"/>
      <c r="X19" s="222"/>
      <c r="Y19" s="222"/>
    </row>
    <row r="20" spans="1:25" x14ac:dyDescent="0.25">
      <c r="A20" s="224"/>
      <c r="B20" s="224"/>
      <c r="C20" s="224"/>
      <c r="D20" s="224"/>
      <c r="E20" s="224"/>
      <c r="F20" s="224"/>
      <c r="G20" s="224"/>
      <c r="H20" s="224"/>
      <c r="I20" s="224"/>
      <c r="J20" s="224"/>
      <c r="K20" s="224"/>
      <c r="L20" s="224"/>
      <c r="M20" s="224"/>
      <c r="N20" s="222"/>
      <c r="O20" s="222"/>
      <c r="P20" s="222"/>
      <c r="Q20" s="222"/>
      <c r="R20" s="222"/>
      <c r="S20" s="222"/>
      <c r="T20" s="222"/>
      <c r="U20" s="222"/>
      <c r="V20" s="222"/>
      <c r="W20" s="222"/>
      <c r="X20" s="222"/>
      <c r="Y20" s="222"/>
    </row>
    <row r="21" spans="1:25" x14ac:dyDescent="0.25">
      <c r="A21" s="224"/>
      <c r="B21" s="224"/>
      <c r="C21" s="224"/>
      <c r="D21" s="224"/>
      <c r="E21" s="224"/>
      <c r="F21" s="224"/>
      <c r="G21" s="224"/>
      <c r="H21" s="224"/>
      <c r="I21" s="224"/>
      <c r="J21" s="224"/>
      <c r="K21" s="224"/>
      <c r="L21" s="224"/>
      <c r="M21" s="224"/>
      <c r="N21" s="222"/>
      <c r="O21" s="222"/>
      <c r="P21" s="222"/>
      <c r="Q21" s="222"/>
      <c r="R21" s="222"/>
      <c r="S21" s="222"/>
      <c r="T21" s="222"/>
      <c r="U21" s="222"/>
      <c r="V21" s="222"/>
      <c r="W21" s="222"/>
      <c r="X21" s="222"/>
      <c r="Y21" s="222"/>
    </row>
    <row r="22" spans="1:25" x14ac:dyDescent="0.25">
      <c r="A22" s="224"/>
      <c r="B22" s="224"/>
      <c r="C22" s="224"/>
      <c r="D22" s="224"/>
      <c r="E22" s="224"/>
      <c r="F22" s="224"/>
      <c r="G22" s="224"/>
      <c r="H22" s="224"/>
      <c r="I22" s="224"/>
      <c r="J22" s="224"/>
      <c r="K22" s="224"/>
      <c r="L22" s="224"/>
      <c r="M22" s="224"/>
      <c r="N22" s="222"/>
      <c r="O22" s="222"/>
      <c r="P22" s="222"/>
      <c r="Q22" s="222"/>
      <c r="R22" s="222"/>
      <c r="S22" s="222"/>
      <c r="T22" s="222"/>
      <c r="U22" s="222"/>
      <c r="V22" s="222"/>
      <c r="W22" s="222"/>
      <c r="X22" s="222"/>
      <c r="Y22" s="222"/>
    </row>
    <row r="23" spans="1:25" x14ac:dyDescent="0.25">
      <c r="A23" s="224"/>
      <c r="B23" s="224"/>
      <c r="C23" s="224"/>
      <c r="D23" s="224"/>
      <c r="E23" s="224"/>
      <c r="F23" s="224"/>
      <c r="G23" s="224"/>
      <c r="H23" s="224"/>
      <c r="I23" s="224"/>
      <c r="J23" s="224"/>
      <c r="K23" s="224"/>
      <c r="L23" s="224"/>
      <c r="M23" s="224"/>
      <c r="N23" s="222"/>
      <c r="O23" s="222"/>
      <c r="P23" s="222"/>
      <c r="Q23" s="222"/>
      <c r="R23" s="222"/>
      <c r="S23" s="222"/>
      <c r="T23" s="222"/>
      <c r="U23" s="222"/>
      <c r="V23" s="222"/>
      <c r="W23" s="222"/>
      <c r="X23" s="222"/>
      <c r="Y23" s="222"/>
    </row>
    <row r="24" spans="1:25" x14ac:dyDescent="0.25">
      <c r="A24" s="222" t="s">
        <v>264</v>
      </c>
      <c r="B24" s="222"/>
      <c r="C24" s="222"/>
      <c r="D24" s="222"/>
      <c r="E24" s="222"/>
      <c r="F24" s="222"/>
      <c r="G24" s="222"/>
      <c r="H24" s="222"/>
      <c r="I24" s="222"/>
      <c r="J24" s="222"/>
      <c r="K24" s="222"/>
      <c r="L24" s="222"/>
      <c r="M24" s="222"/>
      <c r="N24" s="222"/>
      <c r="O24" s="222"/>
      <c r="P24" s="222"/>
      <c r="Q24" s="222"/>
      <c r="R24" s="222"/>
      <c r="S24" s="222"/>
      <c r="T24" s="222"/>
      <c r="U24" s="222"/>
      <c r="V24" s="222"/>
      <c r="W24" s="222"/>
      <c r="X24" s="222"/>
      <c r="Y24" s="222"/>
    </row>
    <row r="25" spans="1:25" x14ac:dyDescent="0.25">
      <c r="A25" s="222"/>
      <c r="B25" s="222"/>
      <c r="C25" s="222"/>
      <c r="D25" s="222"/>
      <c r="E25" s="222"/>
      <c r="F25" s="222"/>
      <c r="G25" s="222"/>
      <c r="H25" s="222"/>
      <c r="I25" s="222"/>
      <c r="J25" s="222"/>
      <c r="K25" s="222"/>
      <c r="L25" s="222"/>
      <c r="M25" s="222"/>
      <c r="N25" s="222"/>
      <c r="O25" s="222"/>
      <c r="P25" s="222"/>
      <c r="Q25" s="222"/>
      <c r="R25" s="222"/>
      <c r="S25" s="222"/>
      <c r="T25" s="222"/>
      <c r="U25" s="222"/>
      <c r="V25" s="222"/>
      <c r="W25" s="222"/>
      <c r="X25" s="222"/>
      <c r="Y25" s="222"/>
    </row>
    <row r="26" spans="1:25" x14ac:dyDescent="0.25">
      <c r="A26" s="222"/>
      <c r="B26" s="222"/>
      <c r="C26" s="222"/>
      <c r="D26" s="222"/>
      <c r="E26" s="222"/>
      <c r="F26" s="222"/>
      <c r="G26" s="222"/>
      <c r="H26" s="222"/>
      <c r="I26" s="222"/>
      <c r="J26" s="222"/>
      <c r="K26" s="222"/>
      <c r="L26" s="222"/>
      <c r="M26" s="222"/>
      <c r="N26" s="222"/>
      <c r="O26" s="222"/>
      <c r="P26" s="222"/>
      <c r="Q26" s="222"/>
      <c r="R26" s="222"/>
      <c r="S26" s="222"/>
      <c r="T26" s="222"/>
      <c r="U26" s="222"/>
      <c r="V26" s="222"/>
      <c r="W26" s="222"/>
      <c r="X26" s="222"/>
      <c r="Y26" s="222"/>
    </row>
    <row r="27" spans="1:25" x14ac:dyDescent="0.25">
      <c r="A27" s="222"/>
      <c r="B27" s="222"/>
      <c r="C27" s="222"/>
      <c r="D27" s="222"/>
      <c r="E27" s="222"/>
      <c r="F27" s="222"/>
      <c r="G27" s="222"/>
      <c r="H27" s="222"/>
      <c r="I27" s="222"/>
      <c r="J27" s="222"/>
      <c r="K27" s="222"/>
      <c r="L27" s="222"/>
      <c r="M27" s="222"/>
      <c r="N27" s="222"/>
      <c r="O27" s="222"/>
      <c r="P27" s="222"/>
      <c r="Q27" s="222"/>
      <c r="R27" s="222"/>
      <c r="S27" s="222"/>
      <c r="T27" s="222"/>
      <c r="U27" s="222"/>
      <c r="V27" s="222"/>
      <c r="W27" s="222"/>
      <c r="X27" s="222"/>
      <c r="Y27" s="222"/>
    </row>
    <row r="28" spans="1:25" x14ac:dyDescent="0.25">
      <c r="A28" s="222"/>
      <c r="B28" s="222"/>
      <c r="C28" s="222"/>
      <c r="D28" s="222"/>
      <c r="E28" s="222"/>
      <c r="F28" s="222"/>
      <c r="G28" s="222"/>
      <c r="H28" s="222"/>
      <c r="I28" s="222"/>
      <c r="J28" s="222"/>
      <c r="K28" s="222"/>
      <c r="L28" s="222"/>
      <c r="M28" s="222"/>
      <c r="N28" s="222"/>
      <c r="O28" s="222"/>
      <c r="P28" s="222"/>
      <c r="Q28" s="222"/>
      <c r="R28" s="222"/>
      <c r="S28" s="222"/>
      <c r="T28" s="222"/>
      <c r="U28" s="222"/>
      <c r="V28" s="222"/>
      <c r="W28" s="222"/>
      <c r="X28" s="222"/>
      <c r="Y28" s="222"/>
    </row>
    <row r="29" spans="1:25" x14ac:dyDescent="0.25">
      <c r="A29" s="222"/>
      <c r="B29" s="222"/>
      <c r="C29" s="222"/>
      <c r="D29" s="222"/>
      <c r="E29" s="222"/>
      <c r="F29" s="222"/>
      <c r="G29" s="222"/>
      <c r="H29" s="222"/>
      <c r="I29" s="222"/>
      <c r="J29" s="222"/>
      <c r="K29" s="222"/>
      <c r="L29" s="222"/>
      <c r="M29" s="222"/>
      <c r="N29" s="222"/>
      <c r="O29" s="222"/>
      <c r="P29" s="222"/>
      <c r="Q29" s="222"/>
      <c r="R29" s="222"/>
      <c r="S29" s="222"/>
      <c r="T29" s="222"/>
      <c r="U29" s="222"/>
      <c r="V29" s="222"/>
      <c r="W29" s="222"/>
      <c r="X29" s="222"/>
      <c r="Y29" s="222"/>
    </row>
    <row r="30" spans="1:25" x14ac:dyDescent="0.25">
      <c r="A30" s="222"/>
      <c r="B30" s="222"/>
      <c r="C30" s="222"/>
      <c r="D30" s="222"/>
      <c r="E30" s="222"/>
      <c r="F30" s="222"/>
      <c r="G30" s="222"/>
      <c r="H30" s="222"/>
      <c r="I30" s="222"/>
      <c r="J30" s="222"/>
      <c r="K30" s="222"/>
      <c r="L30" s="222"/>
      <c r="M30" s="222"/>
      <c r="N30" s="222"/>
      <c r="O30" s="222"/>
      <c r="P30" s="222"/>
      <c r="Q30" s="222"/>
      <c r="R30" s="222"/>
      <c r="S30" s="222"/>
      <c r="T30" s="222"/>
      <c r="U30" s="222"/>
      <c r="V30" s="222"/>
      <c r="W30" s="222"/>
      <c r="X30" s="222"/>
      <c r="Y30" s="222"/>
    </row>
    <row r="31" spans="1:25" x14ac:dyDescent="0.25">
      <c r="A31" s="222"/>
      <c r="B31" s="222"/>
      <c r="C31" s="222"/>
      <c r="D31" s="222"/>
      <c r="E31" s="222"/>
      <c r="F31" s="222"/>
      <c r="G31" s="222"/>
      <c r="H31" s="222"/>
      <c r="I31" s="222"/>
      <c r="J31" s="222"/>
      <c r="K31" s="222"/>
      <c r="L31" s="222"/>
      <c r="M31" s="222"/>
      <c r="N31" s="222"/>
      <c r="O31" s="222"/>
      <c r="P31" s="222"/>
      <c r="Q31" s="222"/>
      <c r="R31" s="222"/>
      <c r="S31" s="222"/>
      <c r="T31" s="222"/>
      <c r="U31" s="222"/>
      <c r="V31" s="222"/>
      <c r="W31" s="222"/>
      <c r="X31" s="222"/>
      <c r="Y31" s="222"/>
    </row>
    <row r="32" spans="1:25" x14ac:dyDescent="0.25">
      <c r="A32" s="222"/>
      <c r="B32" s="222"/>
      <c r="C32" s="222"/>
      <c r="D32" s="222"/>
      <c r="E32" s="222"/>
      <c r="F32" s="222"/>
      <c r="G32" s="222"/>
      <c r="H32" s="222"/>
      <c r="I32" s="222"/>
      <c r="J32" s="222"/>
      <c r="K32" s="222"/>
      <c r="L32" s="222"/>
      <c r="M32" s="222"/>
      <c r="N32" s="222"/>
      <c r="O32" s="222"/>
      <c r="P32" s="222"/>
      <c r="Q32" s="222"/>
      <c r="R32" s="222"/>
      <c r="S32" s="222"/>
      <c r="T32" s="222"/>
      <c r="U32" s="222"/>
      <c r="V32" s="222"/>
      <c r="W32" s="222"/>
      <c r="X32" s="222"/>
      <c r="Y32" s="222"/>
    </row>
    <row r="33" spans="1:25" x14ac:dyDescent="0.25">
      <c r="A33" s="222"/>
      <c r="B33" s="222"/>
      <c r="C33" s="222"/>
      <c r="D33" s="222"/>
      <c r="E33" s="222"/>
      <c r="F33" s="222"/>
      <c r="G33" s="222"/>
      <c r="H33" s="222"/>
      <c r="I33" s="222"/>
      <c r="J33" s="222"/>
      <c r="K33" s="222"/>
      <c r="L33" s="222"/>
      <c r="M33" s="222"/>
      <c r="N33" s="222"/>
      <c r="O33" s="222"/>
      <c r="P33" s="222"/>
      <c r="Q33" s="222"/>
      <c r="R33" s="222"/>
      <c r="S33" s="222"/>
      <c r="T33" s="222"/>
      <c r="U33" s="222"/>
      <c r="V33" s="222"/>
      <c r="W33" s="222"/>
      <c r="X33" s="222"/>
      <c r="Y33" s="222"/>
    </row>
    <row r="34" spans="1:25" x14ac:dyDescent="0.25">
      <c r="A34" s="222"/>
      <c r="B34" s="222"/>
      <c r="C34" s="222"/>
      <c r="D34" s="222"/>
      <c r="E34" s="222"/>
      <c r="F34" s="222"/>
      <c r="G34" s="222"/>
      <c r="H34" s="222"/>
      <c r="I34" s="222"/>
      <c r="J34" s="222"/>
      <c r="K34" s="222"/>
      <c r="L34" s="222"/>
      <c r="M34" s="222"/>
      <c r="N34" s="222"/>
      <c r="O34" s="222"/>
      <c r="P34" s="222"/>
      <c r="Q34" s="222"/>
      <c r="R34" s="222"/>
      <c r="S34" s="222"/>
      <c r="T34" s="222"/>
      <c r="U34" s="222"/>
      <c r="V34" s="222"/>
      <c r="W34" s="222"/>
      <c r="X34" s="222"/>
      <c r="Y34" s="222"/>
    </row>
    <row r="35" spans="1:25" x14ac:dyDescent="0.25">
      <c r="A35" s="222"/>
      <c r="B35" s="222"/>
      <c r="C35" s="222"/>
      <c r="D35" s="222"/>
      <c r="E35" s="222"/>
      <c r="F35" s="222"/>
      <c r="G35" s="222"/>
      <c r="H35" s="222"/>
      <c r="I35" s="222"/>
      <c r="J35" s="222"/>
      <c r="K35" s="222"/>
      <c r="L35" s="222"/>
      <c r="M35" s="222"/>
      <c r="N35" s="222"/>
      <c r="O35" s="222"/>
      <c r="P35" s="222"/>
      <c r="Q35" s="222"/>
      <c r="R35" s="222"/>
      <c r="S35" s="222"/>
      <c r="T35" s="222"/>
      <c r="U35" s="222"/>
      <c r="V35" s="222"/>
      <c r="W35" s="222"/>
      <c r="X35" s="222"/>
      <c r="Y35" s="222"/>
    </row>
    <row r="36" spans="1:25" x14ac:dyDescent="0.25">
      <c r="A36" s="222"/>
      <c r="B36" s="222"/>
      <c r="C36" s="222"/>
      <c r="D36" s="222"/>
      <c r="E36" s="222"/>
      <c r="F36" s="222"/>
      <c r="G36" s="222"/>
      <c r="H36" s="222"/>
      <c r="I36" s="222"/>
      <c r="J36" s="222"/>
      <c r="K36" s="222"/>
      <c r="L36" s="222"/>
      <c r="M36" s="222"/>
      <c r="N36" s="222"/>
      <c r="O36" s="222"/>
      <c r="P36" s="222"/>
      <c r="Q36" s="222"/>
      <c r="R36" s="222"/>
      <c r="S36" s="222"/>
      <c r="T36" s="222"/>
      <c r="U36" s="222"/>
      <c r="V36" s="222"/>
      <c r="W36" s="222"/>
      <c r="X36" s="222"/>
      <c r="Y36" s="222"/>
    </row>
    <row r="37" spans="1:25" x14ac:dyDescent="0.25">
      <c r="A37" s="222"/>
      <c r="B37" s="222"/>
      <c r="C37" s="222"/>
      <c r="D37" s="222"/>
      <c r="E37" s="222"/>
      <c r="F37" s="222"/>
      <c r="G37" s="222"/>
      <c r="H37" s="222"/>
      <c r="I37" s="222"/>
      <c r="J37" s="222"/>
      <c r="K37" s="222"/>
      <c r="L37" s="222"/>
      <c r="M37" s="222"/>
      <c r="N37" s="222"/>
      <c r="O37" s="222"/>
      <c r="P37" s="222"/>
      <c r="Q37" s="222"/>
      <c r="R37" s="222"/>
      <c r="S37" s="222"/>
      <c r="T37" s="222"/>
      <c r="U37" s="222"/>
      <c r="V37" s="222"/>
      <c r="W37" s="222"/>
      <c r="X37" s="222"/>
      <c r="Y37" s="222"/>
    </row>
    <row r="38" spans="1:25" x14ac:dyDescent="0.25">
      <c r="A38" s="222"/>
      <c r="B38" s="222"/>
      <c r="C38" s="222"/>
      <c r="D38" s="222"/>
      <c r="E38" s="222"/>
      <c r="F38" s="222"/>
      <c r="G38" s="222"/>
      <c r="H38" s="222"/>
      <c r="I38" s="222"/>
      <c r="J38" s="222"/>
      <c r="K38" s="222"/>
      <c r="L38" s="222"/>
      <c r="M38" s="222"/>
      <c r="N38" s="222"/>
      <c r="O38" s="222"/>
      <c r="P38" s="222"/>
      <c r="Q38" s="222"/>
      <c r="R38" s="222"/>
      <c r="S38" s="222"/>
      <c r="T38" s="222"/>
      <c r="U38" s="222"/>
      <c r="V38" s="222"/>
      <c r="W38" s="222"/>
      <c r="X38" s="222"/>
      <c r="Y38" s="222"/>
    </row>
    <row r="39" spans="1:25" x14ac:dyDescent="0.25">
      <c r="A39" s="222"/>
      <c r="B39" s="222"/>
      <c r="C39" s="222"/>
      <c r="D39" s="222"/>
      <c r="E39" s="222"/>
      <c r="F39" s="222"/>
      <c r="G39" s="222"/>
      <c r="H39" s="222"/>
      <c r="I39" s="222"/>
      <c r="J39" s="222"/>
      <c r="K39" s="222"/>
      <c r="L39" s="222"/>
      <c r="M39" s="222"/>
      <c r="N39" s="222"/>
      <c r="O39" s="222"/>
      <c r="P39" s="222"/>
      <c r="Q39" s="222"/>
      <c r="R39" s="222"/>
      <c r="S39" s="222"/>
      <c r="T39" s="222"/>
      <c r="U39" s="222"/>
      <c r="V39" s="222"/>
      <c r="W39" s="222"/>
      <c r="X39" s="222"/>
      <c r="Y39" s="222"/>
    </row>
    <row r="40" spans="1:25" x14ac:dyDescent="0.25">
      <c r="A40" s="222"/>
      <c r="B40" s="222"/>
      <c r="C40" s="222"/>
      <c r="D40" s="222"/>
      <c r="E40" s="222"/>
      <c r="F40" s="222"/>
      <c r="G40" s="222"/>
      <c r="H40" s="222"/>
      <c r="I40" s="222"/>
      <c r="J40" s="222"/>
      <c r="K40" s="222"/>
      <c r="L40" s="222"/>
      <c r="M40" s="222"/>
      <c r="N40" s="222"/>
      <c r="O40" s="222"/>
      <c r="P40" s="222"/>
      <c r="Q40" s="222"/>
      <c r="R40" s="222"/>
      <c r="S40" s="222"/>
      <c r="T40" s="222"/>
      <c r="U40" s="222"/>
      <c r="V40" s="222"/>
      <c r="W40" s="222"/>
      <c r="X40" s="222"/>
      <c r="Y40" s="222"/>
    </row>
    <row r="41" spans="1:25" x14ac:dyDescent="0.25">
      <c r="A41" s="222"/>
      <c r="B41" s="222"/>
      <c r="C41" s="222"/>
      <c r="D41" s="222"/>
      <c r="E41" s="222"/>
      <c r="F41" s="222"/>
      <c r="G41" s="222"/>
      <c r="H41" s="222"/>
      <c r="I41" s="222"/>
      <c r="J41" s="222"/>
      <c r="K41" s="222"/>
      <c r="L41" s="222"/>
      <c r="M41" s="222"/>
      <c r="N41" s="222"/>
      <c r="O41" s="222"/>
      <c r="P41" s="222"/>
      <c r="Q41" s="222"/>
      <c r="R41" s="222"/>
      <c r="S41" s="222"/>
      <c r="T41" s="222"/>
      <c r="U41" s="222"/>
      <c r="V41" s="222"/>
      <c r="W41" s="222"/>
      <c r="X41" s="222"/>
      <c r="Y41" s="222"/>
    </row>
    <row r="42" spans="1:25" x14ac:dyDescent="0.25">
      <c r="A42" s="222"/>
      <c r="B42" s="222"/>
      <c r="C42" s="222"/>
      <c r="D42" s="222"/>
      <c r="E42" s="222"/>
      <c r="F42" s="222"/>
      <c r="G42" s="222"/>
      <c r="H42" s="222"/>
      <c r="I42" s="222"/>
      <c r="J42" s="222"/>
      <c r="K42" s="222"/>
      <c r="L42" s="222"/>
      <c r="M42" s="222"/>
      <c r="N42" s="222"/>
      <c r="O42" s="222"/>
      <c r="P42" s="222"/>
      <c r="Q42" s="222"/>
      <c r="R42" s="222"/>
      <c r="S42" s="222"/>
      <c r="T42" s="222"/>
      <c r="U42" s="222"/>
      <c r="V42" s="222"/>
      <c r="W42" s="222"/>
      <c r="X42" s="222"/>
      <c r="Y42" s="222"/>
    </row>
    <row r="43" spans="1:25" x14ac:dyDescent="0.25">
      <c r="A43" s="222"/>
      <c r="B43" s="222"/>
      <c r="C43" s="222"/>
      <c r="D43" s="222"/>
      <c r="E43" s="222"/>
      <c r="F43" s="222"/>
      <c r="G43" s="222"/>
      <c r="H43" s="222"/>
      <c r="I43" s="222"/>
      <c r="J43" s="222"/>
      <c r="K43" s="222"/>
      <c r="L43" s="222"/>
      <c r="M43" s="222"/>
      <c r="N43" s="222"/>
      <c r="O43" s="222"/>
      <c r="P43" s="222"/>
      <c r="Q43" s="222"/>
      <c r="R43" s="222"/>
      <c r="S43" s="222"/>
      <c r="T43" s="222"/>
      <c r="U43" s="222"/>
      <c r="V43" s="222"/>
      <c r="W43" s="222"/>
      <c r="X43" s="222"/>
      <c r="Y43" s="222"/>
    </row>
    <row r="44" spans="1:25" x14ac:dyDescent="0.25">
      <c r="A44" s="183"/>
    </row>
    <row r="45" spans="1:25" ht="15.75" x14ac:dyDescent="0.25">
      <c r="A45" s="184" t="s">
        <v>239</v>
      </c>
      <c r="B45" s="184"/>
      <c r="C45" s="184"/>
      <c r="D45" s="184"/>
      <c r="E45" s="184"/>
      <c r="F45" s="184"/>
      <c r="G45" s="184"/>
      <c r="H45" s="184"/>
      <c r="I45" s="184"/>
      <c r="J45" s="184"/>
      <c r="K45" s="184"/>
      <c r="L45" s="184"/>
      <c r="M45" s="184"/>
      <c r="N45" s="184"/>
      <c r="O45" s="184"/>
      <c r="P45" s="184"/>
      <c r="Q45" s="184"/>
      <c r="R45" s="184"/>
      <c r="S45" s="184"/>
      <c r="T45" s="184"/>
      <c r="U45" s="184"/>
      <c r="V45" s="184"/>
      <c r="W45" s="184"/>
      <c r="X45" s="184"/>
      <c r="Y45" s="184"/>
    </row>
    <row r="46" spans="1:25" x14ac:dyDescent="0.25">
      <c r="A46" s="183"/>
    </row>
    <row r="47" spans="1:25" x14ac:dyDescent="0.25">
      <c r="A47" s="145" t="s">
        <v>196</v>
      </c>
      <c r="B47" s="147"/>
      <c r="D47" s="170" t="s">
        <v>231</v>
      </c>
      <c r="E47" s="221" t="s">
        <v>198</v>
      </c>
      <c r="F47" s="221"/>
      <c r="G47" s="220" t="s">
        <v>199</v>
      </c>
      <c r="H47" s="220"/>
      <c r="I47" s="221" t="s">
        <v>200</v>
      </c>
      <c r="J47" s="221"/>
      <c r="K47" s="220" t="s">
        <v>201</v>
      </c>
      <c r="L47" s="220"/>
      <c r="M47" s="221" t="s">
        <v>202</v>
      </c>
      <c r="N47" s="221"/>
      <c r="O47" s="220" t="s">
        <v>203</v>
      </c>
      <c r="P47" s="220"/>
      <c r="Q47" s="221" t="s">
        <v>204</v>
      </c>
      <c r="R47" s="221"/>
      <c r="S47" s="220" t="s">
        <v>205</v>
      </c>
      <c r="T47" s="220"/>
      <c r="U47" s="221" t="s">
        <v>206</v>
      </c>
      <c r="V47" s="221"/>
      <c r="W47" s="220" t="s">
        <v>207</v>
      </c>
      <c r="X47" s="220"/>
      <c r="Y47" s="220"/>
    </row>
    <row r="48" spans="1:25" x14ac:dyDescent="0.25">
      <c r="A48" s="146" t="s">
        <v>130</v>
      </c>
      <c r="B48" s="148"/>
      <c r="D48" s="178" t="s">
        <v>208</v>
      </c>
      <c r="E48" s="176">
        <v>7</v>
      </c>
      <c r="F48" s="176">
        <v>0</v>
      </c>
      <c r="G48" s="177">
        <v>9</v>
      </c>
      <c r="H48" s="177">
        <v>0</v>
      </c>
      <c r="I48" s="176">
        <v>7</v>
      </c>
      <c r="J48" s="176">
        <v>3</v>
      </c>
      <c r="K48" s="177">
        <v>7</v>
      </c>
      <c r="L48" s="177">
        <v>1</v>
      </c>
      <c r="M48" s="176">
        <v>7</v>
      </c>
      <c r="N48" s="176">
        <v>0</v>
      </c>
      <c r="O48" s="177">
        <v>7</v>
      </c>
      <c r="P48" s="177">
        <v>2</v>
      </c>
      <c r="Q48" s="176">
        <v>10</v>
      </c>
      <c r="R48" s="176">
        <v>0</v>
      </c>
      <c r="S48" s="177">
        <v>9</v>
      </c>
      <c r="T48" s="177">
        <v>0</v>
      </c>
      <c r="U48" s="176">
        <v>10</v>
      </c>
      <c r="V48" s="176">
        <v>0</v>
      </c>
      <c r="W48" s="177"/>
      <c r="X48" s="177"/>
      <c r="Y48" s="177"/>
    </row>
    <row r="49" spans="1:25" x14ac:dyDescent="0.25">
      <c r="A49" s="146" t="s">
        <v>244</v>
      </c>
      <c r="B49" s="148"/>
      <c r="D49" s="175" t="s">
        <v>209</v>
      </c>
      <c r="E49" s="219">
        <f>IF(E48=10,IF(G48=10,20+I48,10+G48+H48),IF(SUM(E48:F48)=10,10+G48,SUM(E48:F48)))</f>
        <v>7</v>
      </c>
      <c r="F49" s="219"/>
      <c r="G49" s="218">
        <f t="shared" ref="G49" si="0">IF(G48=10,IF(I48=10,20+K48,10+I48+J48),IF(SUM(G48:H48)=10,10+I48,SUM(G48:H48)))</f>
        <v>9</v>
      </c>
      <c r="H49" s="218"/>
      <c r="I49" s="219">
        <f t="shared" ref="I49" si="1">IF(I48=10,IF(K48=10,20+M48,10+K48+L48),IF(SUM(I48:J48)=10,10+K48,SUM(I48:J48)))</f>
        <v>17</v>
      </c>
      <c r="J49" s="219"/>
      <c r="K49" s="218">
        <f t="shared" ref="K49" si="2">IF(K48=10,IF(M48=10,20+O48,10+M48+N48),IF(SUM(K48:L48)=10,10+M48,SUM(K48:L48)))</f>
        <v>8</v>
      </c>
      <c r="L49" s="218"/>
      <c r="M49" s="219">
        <f t="shared" ref="M49" si="3">IF(M48=10,IF(O48=10,20+Q48,10+O48+P48),IF(SUM(M48:N48)=10,10+O48,SUM(M48:N48)))</f>
        <v>7</v>
      </c>
      <c r="N49" s="219"/>
      <c r="O49" s="218">
        <f t="shared" ref="O49" si="4">IF(O48=10,IF(Q48=10,20+S48,10+Q48+R48),IF(SUM(O48:P48)=10,10+Q48,SUM(O48:P48)))</f>
        <v>9</v>
      </c>
      <c r="P49" s="218"/>
      <c r="Q49" s="219">
        <f t="shared" ref="Q49" si="5">IF(Q48=10,IF(S48=10,20+U48,10+S48+T48),IF(SUM(Q48:R48)=10,10+S48,SUM(Q48:R48)))</f>
        <v>19</v>
      </c>
      <c r="R49" s="219"/>
      <c r="S49" s="218">
        <f t="shared" ref="S49" si="6">IF(S48=10,IF(U48=10,20+W48,10+U48+V48),IF(SUM(S48:T48)=10,10+U48,SUM(S48:T48)))</f>
        <v>9</v>
      </c>
      <c r="T49" s="218"/>
      <c r="U49" s="219">
        <f>IF(U48=10,IF(W48=10,20+X48,10+W48+X48),IF(SUM(U48:V48)=10,10+W48,SUM(U48:V48)))</f>
        <v>10</v>
      </c>
      <c r="V49" s="219"/>
      <c r="W49" s="218">
        <f>SUM(W48:Y48)</f>
        <v>0</v>
      </c>
      <c r="X49" s="218"/>
      <c r="Y49" s="218"/>
    </row>
    <row r="50" spans="1:25" x14ac:dyDescent="0.25">
      <c r="A50" s="146" t="s">
        <v>197</v>
      </c>
      <c r="B50" s="148"/>
      <c r="D50" s="175" t="s">
        <v>97</v>
      </c>
      <c r="E50" s="219">
        <f ca="1">IF(D50="Pistekertymä",E49,E49+OFFSET(E50,0,-2))</f>
        <v>7</v>
      </c>
      <c r="F50" s="219"/>
      <c r="G50" s="218">
        <f t="shared" ref="G50" ca="1" si="7">IF(F50="Pistekertymä",G49,G49+OFFSET(G50,0,-2))</f>
        <v>16</v>
      </c>
      <c r="H50" s="218"/>
      <c r="I50" s="219">
        <f t="shared" ref="I50" ca="1" si="8">IF(H50="Pistekertymä",I49,I49+OFFSET(I50,0,-2))</f>
        <v>33</v>
      </c>
      <c r="J50" s="219"/>
      <c r="K50" s="218">
        <f t="shared" ref="K50" ca="1" si="9">IF(J50="Pistekertymä",K49,K49+OFFSET(K50,0,-2))</f>
        <v>41</v>
      </c>
      <c r="L50" s="218"/>
      <c r="M50" s="219">
        <f t="shared" ref="M50" ca="1" si="10">IF(L50="Pistekertymä",M49,M49+OFFSET(M50,0,-2))</f>
        <v>48</v>
      </c>
      <c r="N50" s="219"/>
      <c r="O50" s="218">
        <f t="shared" ref="O50" ca="1" si="11">IF(N50="Pistekertymä",O49,O49+OFFSET(O50,0,-2))</f>
        <v>57</v>
      </c>
      <c r="P50" s="218"/>
      <c r="Q50" s="219">
        <f t="shared" ref="Q50" ca="1" si="12">IF(P50="Pistekertymä",Q49,Q49+OFFSET(Q50,0,-2))</f>
        <v>76</v>
      </c>
      <c r="R50" s="219"/>
      <c r="S50" s="218">
        <f t="shared" ref="S50" ca="1" si="13">IF(R50="Pistekertymä",S49,S49+OFFSET(S50,0,-2))</f>
        <v>85</v>
      </c>
      <c r="T50" s="218"/>
      <c r="U50" s="219">
        <f t="shared" ref="U50" ca="1" si="14">IF(T50="Pistekertymä",U49,U49+OFFSET(U50,0,-2))</f>
        <v>95</v>
      </c>
      <c r="V50" s="219"/>
      <c r="W50" s="218">
        <f t="shared" ref="W50" ca="1" si="15">IF(V50="Pistekertymä",W49,W49+OFFSET(W50,0,-2))</f>
        <v>95</v>
      </c>
      <c r="X50" s="218"/>
      <c r="Y50" s="218"/>
    </row>
    <row r="51" spans="1:25" x14ac:dyDescent="0.25">
      <c r="A51" s="161" t="s">
        <v>213</v>
      </c>
      <c r="B51" s="154">
        <f ca="1">MIN(ROUNDDOWN(B54,0),9)</f>
        <v>8</v>
      </c>
      <c r="D51" s="165" t="s">
        <v>210</v>
      </c>
      <c r="E51" s="217" t="str">
        <f>IF(SUM(E48:F48)&lt;=10,"OK","Virhe!")</f>
        <v>OK</v>
      </c>
      <c r="F51" s="217"/>
      <c r="G51" s="212" t="str">
        <f t="shared" ref="G51" si="16">IF(SUM(G48:H48)&lt;=10,"OK","Virhe!")</f>
        <v>OK</v>
      </c>
      <c r="H51" s="212"/>
      <c r="I51" s="217" t="str">
        <f t="shared" ref="I51" si="17">IF(SUM(I48:J48)&lt;=10,"OK","Virhe!")</f>
        <v>OK</v>
      </c>
      <c r="J51" s="217"/>
      <c r="K51" s="212" t="str">
        <f t="shared" ref="K51" si="18">IF(SUM(K48:L48)&lt;=10,"OK","Virhe!")</f>
        <v>OK</v>
      </c>
      <c r="L51" s="212"/>
      <c r="M51" s="217" t="str">
        <f t="shared" ref="M51" si="19">IF(SUM(M48:N48)&lt;=10,"OK","Virhe!")</f>
        <v>OK</v>
      </c>
      <c r="N51" s="217"/>
      <c r="O51" s="212" t="str">
        <f t="shared" ref="O51" si="20">IF(SUM(O48:P48)&lt;=10,"OK","Virhe!")</f>
        <v>OK</v>
      </c>
      <c r="P51" s="212"/>
      <c r="Q51" s="217" t="str">
        <f t="shared" ref="Q51" si="21">IF(SUM(Q48:R48)&lt;=10,"OK","Virhe!")</f>
        <v>OK</v>
      </c>
      <c r="R51" s="217"/>
      <c r="S51" s="212" t="str">
        <f t="shared" ref="S51" si="22">IF(SUM(S48:T48)&lt;=10,"OK","Virhe!")</f>
        <v>OK</v>
      </c>
      <c r="T51" s="212"/>
      <c r="U51" s="217" t="str">
        <f t="shared" ref="U51" si="23">IF(SUM(U48:V48)&lt;=10,"OK","Virhe!")</f>
        <v>OK</v>
      </c>
      <c r="V51" s="217"/>
      <c r="W51" s="212" t="str">
        <f>IF(SUM(W48:X48)&lt;=30,"OK","Virhe!")</f>
        <v>OK</v>
      </c>
      <c r="X51" s="212"/>
      <c r="Y51" s="212"/>
    </row>
    <row r="52" spans="1:25" x14ac:dyDescent="0.25">
      <c r="A52" s="157" t="s">
        <v>214</v>
      </c>
      <c r="B52" s="149">
        <f ca="1">SUMPRODUCT(OFFSET(B52,-4,3):OFFSET(B52,-4,23),OFFSET(B52,1,3):OFFSET(B52,1,23),OFFSET(B52,2,3):OFFSET(B52,2,23))</f>
        <v>73</v>
      </c>
      <c r="D52" s="165" t="s">
        <v>211</v>
      </c>
      <c r="E52" s="163" t="str">
        <f>IF(E48="","AI","R")</f>
        <v>R</v>
      </c>
      <c r="F52" s="163" t="str">
        <f t="shared" ref="F52:Y52" si="24">IF(F48="","AI","R")</f>
        <v>R</v>
      </c>
      <c r="G52" s="164" t="str">
        <f t="shared" si="24"/>
        <v>R</v>
      </c>
      <c r="H52" s="164" t="str">
        <f t="shared" si="24"/>
        <v>R</v>
      </c>
      <c r="I52" s="163" t="str">
        <f t="shared" si="24"/>
        <v>R</v>
      </c>
      <c r="J52" s="163" t="str">
        <f t="shared" si="24"/>
        <v>R</v>
      </c>
      <c r="K52" s="164" t="str">
        <f t="shared" si="24"/>
        <v>R</v>
      </c>
      <c r="L52" s="164" t="str">
        <f t="shared" si="24"/>
        <v>R</v>
      </c>
      <c r="M52" s="163" t="str">
        <f t="shared" si="24"/>
        <v>R</v>
      </c>
      <c r="N52" s="163" t="str">
        <f t="shared" si="24"/>
        <v>R</v>
      </c>
      <c r="O52" s="164" t="str">
        <f t="shared" si="24"/>
        <v>R</v>
      </c>
      <c r="P52" s="164" t="str">
        <f t="shared" si="24"/>
        <v>R</v>
      </c>
      <c r="Q52" s="163" t="str">
        <f t="shared" si="24"/>
        <v>R</v>
      </c>
      <c r="R52" s="163" t="str">
        <f t="shared" si="24"/>
        <v>R</v>
      </c>
      <c r="S52" s="164" t="str">
        <f t="shared" si="24"/>
        <v>R</v>
      </c>
      <c r="T52" s="164" t="str">
        <f t="shared" si="24"/>
        <v>R</v>
      </c>
      <c r="U52" s="163" t="str">
        <f t="shared" si="24"/>
        <v>R</v>
      </c>
      <c r="V52" s="163" t="str">
        <f t="shared" si="24"/>
        <v>R</v>
      </c>
      <c r="W52" s="164" t="str">
        <f t="shared" si="24"/>
        <v>AI</v>
      </c>
      <c r="X52" s="164" t="str">
        <f t="shared" si="24"/>
        <v>AI</v>
      </c>
      <c r="Y52" s="164" t="str">
        <f t="shared" si="24"/>
        <v>AI</v>
      </c>
    </row>
    <row r="53" spans="1:25" x14ac:dyDescent="0.25">
      <c r="A53" s="157" t="s">
        <v>215</v>
      </c>
      <c r="B53" s="149">
        <f ca="1">SUMPRODUCT(OFFSET(B52,1,3):OFFSET(B52,1,23),OFFSET(B52,2,3):OFFSET(B52,2,23))</f>
        <v>9</v>
      </c>
      <c r="D53" s="165" t="s">
        <v>212</v>
      </c>
      <c r="E53" s="163">
        <f>IF(E52="R",1,0)</f>
        <v>1</v>
      </c>
      <c r="F53" s="163">
        <f t="shared" ref="F53:Y53" si="25">IF(F52="R",1,0)</f>
        <v>1</v>
      </c>
      <c r="G53" s="164">
        <f t="shared" si="25"/>
        <v>1</v>
      </c>
      <c r="H53" s="164">
        <f t="shared" si="25"/>
        <v>1</v>
      </c>
      <c r="I53" s="163">
        <f t="shared" si="25"/>
        <v>1</v>
      </c>
      <c r="J53" s="163">
        <f t="shared" si="25"/>
        <v>1</v>
      </c>
      <c r="K53" s="164">
        <f t="shared" si="25"/>
        <v>1</v>
      </c>
      <c r="L53" s="164">
        <f t="shared" si="25"/>
        <v>1</v>
      </c>
      <c r="M53" s="163">
        <f t="shared" si="25"/>
        <v>1</v>
      </c>
      <c r="N53" s="163">
        <f t="shared" si="25"/>
        <v>1</v>
      </c>
      <c r="O53" s="164">
        <f t="shared" si="25"/>
        <v>1</v>
      </c>
      <c r="P53" s="164">
        <f t="shared" si="25"/>
        <v>1</v>
      </c>
      <c r="Q53" s="163">
        <f t="shared" si="25"/>
        <v>1</v>
      </c>
      <c r="R53" s="163">
        <f t="shared" si="25"/>
        <v>1</v>
      </c>
      <c r="S53" s="164">
        <f t="shared" si="25"/>
        <v>1</v>
      </c>
      <c r="T53" s="164">
        <f t="shared" si="25"/>
        <v>1</v>
      </c>
      <c r="U53" s="163">
        <f t="shared" si="25"/>
        <v>1</v>
      </c>
      <c r="V53" s="163">
        <f t="shared" si="25"/>
        <v>1</v>
      </c>
      <c r="W53" s="164">
        <f t="shared" si="25"/>
        <v>0</v>
      </c>
      <c r="X53" s="164">
        <f t="shared" si="25"/>
        <v>0</v>
      </c>
      <c r="Y53" s="164">
        <f t="shared" si="25"/>
        <v>0</v>
      </c>
    </row>
    <row r="54" spans="1:25" x14ac:dyDescent="0.25">
      <c r="A54" s="157" t="s">
        <v>216</v>
      </c>
      <c r="B54" s="151">
        <f ca="1">B52/B53</f>
        <v>8.1111111111111107</v>
      </c>
      <c r="D54" s="165" t="s">
        <v>213</v>
      </c>
      <c r="E54" s="163">
        <f>IF(LEFT(E47,1)="R",1,IF(OR(D47="R10",C47="R10"),IF(D48=10,1,0),0))</f>
        <v>1</v>
      </c>
      <c r="F54" s="163">
        <f t="shared" ref="F54:Y54" si="26">IF(LEFT(F47,1)="R",1,IF(OR(E47="R10",D47="R10"),IF(E48=10,1,0),0))</f>
        <v>0</v>
      </c>
      <c r="G54" s="164">
        <f t="shared" si="26"/>
        <v>1</v>
      </c>
      <c r="H54" s="164">
        <f t="shared" si="26"/>
        <v>0</v>
      </c>
      <c r="I54" s="163">
        <f t="shared" si="26"/>
        <v>1</v>
      </c>
      <c r="J54" s="163">
        <f t="shared" si="26"/>
        <v>0</v>
      </c>
      <c r="K54" s="164">
        <f t="shared" si="26"/>
        <v>1</v>
      </c>
      <c r="L54" s="164">
        <f t="shared" si="26"/>
        <v>0</v>
      </c>
      <c r="M54" s="163">
        <f t="shared" si="26"/>
        <v>1</v>
      </c>
      <c r="N54" s="163">
        <f t="shared" si="26"/>
        <v>0</v>
      </c>
      <c r="O54" s="164">
        <f t="shared" si="26"/>
        <v>1</v>
      </c>
      <c r="P54" s="164">
        <f t="shared" si="26"/>
        <v>0</v>
      </c>
      <c r="Q54" s="163">
        <f t="shared" si="26"/>
        <v>1</v>
      </c>
      <c r="R54" s="163">
        <f t="shared" si="26"/>
        <v>0</v>
      </c>
      <c r="S54" s="164">
        <f t="shared" si="26"/>
        <v>1</v>
      </c>
      <c r="T54" s="164">
        <f t="shared" si="26"/>
        <v>0</v>
      </c>
      <c r="U54" s="163">
        <f t="shared" si="26"/>
        <v>1</v>
      </c>
      <c r="V54" s="163">
        <f t="shared" si="26"/>
        <v>0</v>
      </c>
      <c r="W54" s="164">
        <f t="shared" si="26"/>
        <v>1</v>
      </c>
      <c r="X54" s="164">
        <f t="shared" si="26"/>
        <v>0</v>
      </c>
      <c r="Y54" s="164">
        <f t="shared" si="26"/>
        <v>0</v>
      </c>
    </row>
    <row r="55" spans="1:25" x14ac:dyDescent="0.25">
      <c r="A55" s="158" t="s">
        <v>218</v>
      </c>
      <c r="B55" s="153">
        <f ca="1">IF(B58&gt;=0.85,1,0)</f>
        <v>0</v>
      </c>
      <c r="D55" s="165" t="s">
        <v>217</v>
      </c>
      <c r="E55" s="163">
        <f ca="1">IFERROR(IF(OFFSET(E55,-8,-2)="R10",3,IF(E54=1,1,2)),1)</f>
        <v>1</v>
      </c>
      <c r="F55" s="163">
        <f t="shared" ref="F55:Y55" ca="1" si="27">IFERROR(IF(OFFSET(F55,-8,-2)="R10",3,IF(F54=1,1,2)),1)</f>
        <v>2</v>
      </c>
      <c r="G55" s="164">
        <f t="shared" ca="1" si="27"/>
        <v>1</v>
      </c>
      <c r="H55" s="164">
        <f t="shared" ca="1" si="27"/>
        <v>2</v>
      </c>
      <c r="I55" s="163">
        <f t="shared" ca="1" si="27"/>
        <v>1</v>
      </c>
      <c r="J55" s="163">
        <f t="shared" ca="1" si="27"/>
        <v>2</v>
      </c>
      <c r="K55" s="164">
        <f t="shared" ca="1" si="27"/>
        <v>1</v>
      </c>
      <c r="L55" s="164">
        <f t="shared" ca="1" si="27"/>
        <v>2</v>
      </c>
      <c r="M55" s="163">
        <f t="shared" ca="1" si="27"/>
        <v>1</v>
      </c>
      <c r="N55" s="163">
        <f t="shared" ca="1" si="27"/>
        <v>2</v>
      </c>
      <c r="O55" s="164">
        <f t="shared" ca="1" si="27"/>
        <v>1</v>
      </c>
      <c r="P55" s="164">
        <f t="shared" ca="1" si="27"/>
        <v>2</v>
      </c>
      <c r="Q55" s="163">
        <f t="shared" ca="1" si="27"/>
        <v>1</v>
      </c>
      <c r="R55" s="163">
        <f t="shared" ca="1" si="27"/>
        <v>2</v>
      </c>
      <c r="S55" s="164">
        <f t="shared" ca="1" si="27"/>
        <v>1</v>
      </c>
      <c r="T55" s="164">
        <f t="shared" ca="1" si="27"/>
        <v>2</v>
      </c>
      <c r="U55" s="163">
        <f t="shared" ca="1" si="27"/>
        <v>1</v>
      </c>
      <c r="V55" s="163">
        <f t="shared" ca="1" si="27"/>
        <v>2</v>
      </c>
      <c r="W55" s="164">
        <f t="shared" ca="1" si="27"/>
        <v>1</v>
      </c>
      <c r="X55" s="164">
        <f t="shared" ca="1" si="27"/>
        <v>2</v>
      </c>
      <c r="Y55" s="164">
        <f t="shared" ca="1" si="27"/>
        <v>3</v>
      </c>
    </row>
    <row r="56" spans="1:25" x14ac:dyDescent="0.25">
      <c r="A56" s="159" t="s">
        <v>220</v>
      </c>
      <c r="B56" s="150">
        <f ca="1">COUNTIFS(OFFSET(B56,1,3):OFFSET(B56,1,23),10,OFFSET(B56,-2,3):OFFSET(B56,-2,23),1,OFFSET(B56,2,3):OFFSET(B56,2,23),1)</f>
        <v>3</v>
      </c>
      <c r="D56" s="165" t="s">
        <v>125</v>
      </c>
      <c r="E56" s="163">
        <f>IF(D56="Ruutu",1,IF(E55=3,10,IF(D55=1,D56,1+D56)))</f>
        <v>1</v>
      </c>
      <c r="F56" s="163">
        <f t="shared" ref="F56:Y56" ca="1" si="28">IF(E56="Ruutu",1,IF(F55=3,10,IF(E55=1,E56,1+E56)))</f>
        <v>1</v>
      </c>
      <c r="G56" s="164">
        <f t="shared" ca="1" si="28"/>
        <v>2</v>
      </c>
      <c r="H56" s="164">
        <f t="shared" ca="1" si="28"/>
        <v>2</v>
      </c>
      <c r="I56" s="163">
        <f t="shared" ca="1" si="28"/>
        <v>3</v>
      </c>
      <c r="J56" s="163">
        <f t="shared" ca="1" si="28"/>
        <v>3</v>
      </c>
      <c r="K56" s="164">
        <f t="shared" ca="1" si="28"/>
        <v>4</v>
      </c>
      <c r="L56" s="164">
        <f t="shared" ca="1" si="28"/>
        <v>4</v>
      </c>
      <c r="M56" s="163">
        <f t="shared" ca="1" si="28"/>
        <v>5</v>
      </c>
      <c r="N56" s="163">
        <f t="shared" ca="1" si="28"/>
        <v>5</v>
      </c>
      <c r="O56" s="164">
        <f t="shared" ca="1" si="28"/>
        <v>6</v>
      </c>
      <c r="P56" s="164">
        <f t="shared" ca="1" si="28"/>
        <v>6</v>
      </c>
      <c r="Q56" s="163">
        <f t="shared" ca="1" si="28"/>
        <v>7</v>
      </c>
      <c r="R56" s="163">
        <f t="shared" ca="1" si="28"/>
        <v>7</v>
      </c>
      <c r="S56" s="164">
        <f t="shared" ca="1" si="28"/>
        <v>8</v>
      </c>
      <c r="T56" s="164">
        <f t="shared" ca="1" si="28"/>
        <v>8</v>
      </c>
      <c r="U56" s="163">
        <f t="shared" ca="1" si="28"/>
        <v>9</v>
      </c>
      <c r="V56" s="163">
        <f t="shared" ca="1" si="28"/>
        <v>9</v>
      </c>
      <c r="W56" s="164">
        <f t="shared" ca="1" si="28"/>
        <v>10</v>
      </c>
      <c r="X56" s="164">
        <f t="shared" ca="1" si="28"/>
        <v>10</v>
      </c>
      <c r="Y56" s="164">
        <f t="shared" ca="1" si="28"/>
        <v>10</v>
      </c>
    </row>
    <row r="57" spans="1:25" x14ac:dyDescent="0.25">
      <c r="A57" s="159" t="s">
        <v>222</v>
      </c>
      <c r="B57" s="150">
        <f ca="1">COUNTIFS(OFFSET(B56,-2,3):OFFSET(B56,-2,23),1,OFFSET(B56,2,3):OFFSET(B56,2,23),1)</f>
        <v>9</v>
      </c>
      <c r="D57" s="165" t="s">
        <v>219</v>
      </c>
      <c r="E57" s="163">
        <f t="shared" ref="E57:Y57" ca="1" si="29">SUMIFS($E48:$Y48,$E56:$Y56,E56)</f>
        <v>7</v>
      </c>
      <c r="F57" s="163">
        <f t="shared" ca="1" si="29"/>
        <v>7</v>
      </c>
      <c r="G57" s="164">
        <f t="shared" ca="1" si="29"/>
        <v>9</v>
      </c>
      <c r="H57" s="164">
        <f t="shared" ca="1" si="29"/>
        <v>9</v>
      </c>
      <c r="I57" s="163">
        <f t="shared" ca="1" si="29"/>
        <v>10</v>
      </c>
      <c r="J57" s="163">
        <f t="shared" ca="1" si="29"/>
        <v>10</v>
      </c>
      <c r="K57" s="164">
        <f t="shared" ca="1" si="29"/>
        <v>8</v>
      </c>
      <c r="L57" s="164">
        <f t="shared" ca="1" si="29"/>
        <v>8</v>
      </c>
      <c r="M57" s="163">
        <f t="shared" ca="1" si="29"/>
        <v>7</v>
      </c>
      <c r="N57" s="163">
        <f t="shared" ca="1" si="29"/>
        <v>7</v>
      </c>
      <c r="O57" s="164">
        <f t="shared" ca="1" si="29"/>
        <v>9</v>
      </c>
      <c r="P57" s="164">
        <f t="shared" ca="1" si="29"/>
        <v>9</v>
      </c>
      <c r="Q57" s="163">
        <f t="shared" ca="1" si="29"/>
        <v>10</v>
      </c>
      <c r="R57" s="163">
        <f t="shared" ca="1" si="29"/>
        <v>10</v>
      </c>
      <c r="S57" s="164">
        <f t="shared" ca="1" si="29"/>
        <v>9</v>
      </c>
      <c r="T57" s="164">
        <f t="shared" ca="1" si="29"/>
        <v>9</v>
      </c>
      <c r="U57" s="163">
        <f t="shared" ca="1" si="29"/>
        <v>10</v>
      </c>
      <c r="V57" s="163">
        <f t="shared" ca="1" si="29"/>
        <v>10</v>
      </c>
      <c r="W57" s="164">
        <f t="shared" ca="1" si="29"/>
        <v>0</v>
      </c>
      <c r="X57" s="164">
        <f t="shared" ca="1" si="29"/>
        <v>0</v>
      </c>
      <c r="Y57" s="164">
        <f t="shared" ca="1" si="29"/>
        <v>0</v>
      </c>
    </row>
    <row r="58" spans="1:25" x14ac:dyDescent="0.25">
      <c r="A58" s="159" t="s">
        <v>223</v>
      </c>
      <c r="B58" s="152">
        <f ca="1">B56/B57</f>
        <v>0.33333333333333331</v>
      </c>
      <c r="D58" s="165" t="s">
        <v>221</v>
      </c>
      <c r="E58" s="163">
        <f t="shared" ref="E58:Y58" ca="1" si="30">(SUMIFS($E53:$Y53,$E56:$Y56,E56)&gt;=2)*1</f>
        <v>1</v>
      </c>
      <c r="F58" s="163">
        <f t="shared" ca="1" si="30"/>
        <v>1</v>
      </c>
      <c r="G58" s="164">
        <f t="shared" ca="1" si="30"/>
        <v>1</v>
      </c>
      <c r="H58" s="164">
        <f t="shared" ca="1" si="30"/>
        <v>1</v>
      </c>
      <c r="I58" s="163">
        <f t="shared" ca="1" si="30"/>
        <v>1</v>
      </c>
      <c r="J58" s="163">
        <f t="shared" ca="1" si="30"/>
        <v>1</v>
      </c>
      <c r="K58" s="164">
        <f t="shared" ca="1" si="30"/>
        <v>1</v>
      </c>
      <c r="L58" s="164">
        <f t="shared" ca="1" si="30"/>
        <v>1</v>
      </c>
      <c r="M58" s="163">
        <f t="shared" ca="1" si="30"/>
        <v>1</v>
      </c>
      <c r="N58" s="163">
        <f t="shared" ca="1" si="30"/>
        <v>1</v>
      </c>
      <c r="O58" s="164">
        <f t="shared" ca="1" si="30"/>
        <v>1</v>
      </c>
      <c r="P58" s="164">
        <f t="shared" ca="1" si="30"/>
        <v>1</v>
      </c>
      <c r="Q58" s="163">
        <f t="shared" ca="1" si="30"/>
        <v>1</v>
      </c>
      <c r="R58" s="163">
        <f t="shared" ca="1" si="30"/>
        <v>1</v>
      </c>
      <c r="S58" s="164">
        <f t="shared" ca="1" si="30"/>
        <v>1</v>
      </c>
      <c r="T58" s="164">
        <f t="shared" ca="1" si="30"/>
        <v>1</v>
      </c>
      <c r="U58" s="163">
        <f t="shared" ca="1" si="30"/>
        <v>1</v>
      </c>
      <c r="V58" s="163">
        <f t="shared" ca="1" si="30"/>
        <v>1</v>
      </c>
      <c r="W58" s="164">
        <f t="shared" ca="1" si="30"/>
        <v>0</v>
      </c>
      <c r="X58" s="164">
        <f t="shared" ca="1" si="30"/>
        <v>0</v>
      </c>
      <c r="Y58" s="164">
        <f t="shared" ca="1" si="30"/>
        <v>0</v>
      </c>
    </row>
    <row r="59" spans="1:25" x14ac:dyDescent="0.25">
      <c r="A59" s="162" t="s">
        <v>224</v>
      </c>
      <c r="B59" s="155">
        <f ca="1">B60/B61*10</f>
        <v>8.7777777777777786</v>
      </c>
      <c r="D59" s="165" t="s">
        <v>226</v>
      </c>
      <c r="E59" s="163">
        <f>COLUMN()-2</f>
        <v>3</v>
      </c>
      <c r="F59" s="163">
        <f t="shared" ref="F59:Y59" si="31">COLUMN()-2</f>
        <v>4</v>
      </c>
      <c r="G59" s="164">
        <f t="shared" si="31"/>
        <v>5</v>
      </c>
      <c r="H59" s="164">
        <f t="shared" si="31"/>
        <v>6</v>
      </c>
      <c r="I59" s="163">
        <f t="shared" si="31"/>
        <v>7</v>
      </c>
      <c r="J59" s="163">
        <f t="shared" si="31"/>
        <v>8</v>
      </c>
      <c r="K59" s="164">
        <f t="shared" si="31"/>
        <v>9</v>
      </c>
      <c r="L59" s="164">
        <f t="shared" si="31"/>
        <v>10</v>
      </c>
      <c r="M59" s="163">
        <f t="shared" si="31"/>
        <v>11</v>
      </c>
      <c r="N59" s="163">
        <f t="shared" si="31"/>
        <v>12</v>
      </c>
      <c r="O59" s="164">
        <f t="shared" si="31"/>
        <v>13</v>
      </c>
      <c r="P59" s="164">
        <f t="shared" si="31"/>
        <v>14</v>
      </c>
      <c r="Q59" s="163">
        <f t="shared" si="31"/>
        <v>15</v>
      </c>
      <c r="R59" s="163">
        <f t="shared" si="31"/>
        <v>16</v>
      </c>
      <c r="S59" s="164">
        <f t="shared" si="31"/>
        <v>17</v>
      </c>
      <c r="T59" s="164">
        <f t="shared" si="31"/>
        <v>18</v>
      </c>
      <c r="U59" s="163">
        <f t="shared" si="31"/>
        <v>19</v>
      </c>
      <c r="V59" s="163">
        <f t="shared" si="31"/>
        <v>20</v>
      </c>
      <c r="W59" s="164">
        <f t="shared" si="31"/>
        <v>21</v>
      </c>
      <c r="X59" s="164">
        <f t="shared" si="31"/>
        <v>22</v>
      </c>
      <c r="Y59" s="164">
        <f t="shared" si="31"/>
        <v>23</v>
      </c>
    </row>
    <row r="60" spans="1:25" x14ac:dyDescent="0.25">
      <c r="A60" s="160" t="s">
        <v>214</v>
      </c>
      <c r="B60" s="156">
        <f ca="1">SUM(OFFSET(B60,-12,3):OFFSET(B60,-12,23))</f>
        <v>79</v>
      </c>
      <c r="D60" s="165" t="s">
        <v>227</v>
      </c>
      <c r="E60" s="163">
        <v>0</v>
      </c>
      <c r="F60" s="163">
        <v>0</v>
      </c>
      <c r="G60" s="164">
        <v>0</v>
      </c>
      <c r="H60" s="164">
        <v>0</v>
      </c>
      <c r="I60" s="163">
        <v>0</v>
      </c>
      <c r="J60" s="163">
        <v>0</v>
      </c>
      <c r="K60" s="164">
        <v>0</v>
      </c>
      <c r="L60" s="164">
        <v>0</v>
      </c>
      <c r="M60" s="163">
        <v>0</v>
      </c>
      <c r="N60" s="163">
        <v>0</v>
      </c>
      <c r="O60" s="164">
        <v>0</v>
      </c>
      <c r="P60" s="164">
        <v>0</v>
      </c>
      <c r="Q60" s="163">
        <v>0</v>
      </c>
      <c r="R60" s="163">
        <v>0</v>
      </c>
      <c r="S60" s="164">
        <v>0</v>
      </c>
      <c r="T60" s="164">
        <v>0</v>
      </c>
      <c r="U60" s="163">
        <v>0</v>
      </c>
      <c r="V60" s="163">
        <v>0</v>
      </c>
      <c r="W60" s="164">
        <v>0</v>
      </c>
      <c r="X60" s="164">
        <v>0</v>
      </c>
      <c r="Y60" s="164">
        <v>1</v>
      </c>
    </row>
    <row r="61" spans="1:25" x14ac:dyDescent="0.25">
      <c r="A61" s="160" t="s">
        <v>225</v>
      </c>
      <c r="B61" s="156">
        <f ca="1">10*SUMPRODUCT(OFFSET(B61,-7,3):OFFSET(B61,-7,23),OFFSET(B61,-8,3):OFFSET(B61,-8,23))</f>
        <v>90</v>
      </c>
      <c r="D61" s="165" t="s">
        <v>213</v>
      </c>
      <c r="E61" s="163" t="str">
        <f ca="1">IF(E52="AI",IF(OR(E54=1,AND(E60=1,OFFSET(E61,-6,-E59)=1)),OFFSET(E61,-10,-E59),""),"")</f>
        <v/>
      </c>
      <c r="F61" s="163" t="str">
        <f t="shared" ref="F61:Y61" ca="1" si="32">IF(F52="AI",IF(OR(F54=1,AND(F60=1,OFFSET(F61,-6,-F59)=1)),OFFSET(F61,-10,-F59),""),"")</f>
        <v/>
      </c>
      <c r="G61" s="164" t="str">
        <f t="shared" ca="1" si="32"/>
        <v/>
      </c>
      <c r="H61" s="164" t="str">
        <f t="shared" ca="1" si="32"/>
        <v/>
      </c>
      <c r="I61" s="163" t="str">
        <f t="shared" ca="1" si="32"/>
        <v/>
      </c>
      <c r="J61" s="163" t="str">
        <f t="shared" ca="1" si="32"/>
        <v/>
      </c>
      <c r="K61" s="164" t="str">
        <f t="shared" ca="1" si="32"/>
        <v/>
      </c>
      <c r="L61" s="164" t="str">
        <f t="shared" ca="1" si="32"/>
        <v/>
      </c>
      <c r="M61" s="163" t="str">
        <f t="shared" ca="1" si="32"/>
        <v/>
      </c>
      <c r="N61" s="163" t="str">
        <f t="shared" ca="1" si="32"/>
        <v/>
      </c>
      <c r="O61" s="164" t="str">
        <f t="shared" ca="1" si="32"/>
        <v/>
      </c>
      <c r="P61" s="164" t="str">
        <f t="shared" ca="1" si="32"/>
        <v/>
      </c>
      <c r="Q61" s="163" t="str">
        <f t="shared" ca="1" si="32"/>
        <v/>
      </c>
      <c r="R61" s="163" t="str">
        <f t="shared" ca="1" si="32"/>
        <v/>
      </c>
      <c r="S61" s="164" t="str">
        <f t="shared" ca="1" si="32"/>
        <v/>
      </c>
      <c r="T61" s="164" t="str">
        <f t="shared" ca="1" si="32"/>
        <v/>
      </c>
      <c r="U61" s="163" t="str">
        <f t="shared" ca="1" si="32"/>
        <v/>
      </c>
      <c r="V61" s="163" t="str">
        <f t="shared" ca="1" si="32"/>
        <v/>
      </c>
      <c r="W61" s="164">
        <f t="shared" ca="1" si="32"/>
        <v>8</v>
      </c>
      <c r="X61" s="164" t="str">
        <f t="shared" ca="1" si="32"/>
        <v/>
      </c>
      <c r="Y61" s="164" t="str">
        <f t="shared" ca="1" si="32"/>
        <v/>
      </c>
    </row>
    <row r="62" spans="1:25" x14ac:dyDescent="0.25">
      <c r="A62" s="213" t="s">
        <v>235</v>
      </c>
      <c r="B62" s="214">
        <f ca="1">W69</f>
        <v>111</v>
      </c>
      <c r="D62" s="165" t="s">
        <v>229</v>
      </c>
      <c r="E62" s="163" t="str">
        <f ca="1">IF(E52="AI",IF(E55=2,IF(OFFSET(E62,-7,-E59)=1,10-SUMIFS($E61:$X61,$E56:$X56,E56),""),""),"")</f>
        <v/>
      </c>
      <c r="F62" s="163" t="str">
        <f t="shared" ref="F62:Y62" ca="1" si="33">IF(F52="AI",IF(F55=2,IF(OFFSET(F62,-7,-F59)=1,10-SUMIFS($E61:$X61,$E56:$X56,F56),""),""),"")</f>
        <v/>
      </c>
      <c r="G62" s="164" t="str">
        <f t="shared" ca="1" si="33"/>
        <v/>
      </c>
      <c r="H62" s="164" t="str">
        <f t="shared" ca="1" si="33"/>
        <v/>
      </c>
      <c r="I62" s="163" t="str">
        <f t="shared" ca="1" si="33"/>
        <v/>
      </c>
      <c r="J62" s="163" t="str">
        <f t="shared" ca="1" si="33"/>
        <v/>
      </c>
      <c r="K62" s="164" t="str">
        <f t="shared" ca="1" si="33"/>
        <v/>
      </c>
      <c r="L62" s="164" t="str">
        <f t="shared" ca="1" si="33"/>
        <v/>
      </c>
      <c r="M62" s="163" t="str">
        <f t="shared" ca="1" si="33"/>
        <v/>
      </c>
      <c r="N62" s="163" t="str">
        <f t="shared" ca="1" si="33"/>
        <v/>
      </c>
      <c r="O62" s="164" t="str">
        <f t="shared" ca="1" si="33"/>
        <v/>
      </c>
      <c r="P62" s="164" t="str">
        <f t="shared" ca="1" si="33"/>
        <v/>
      </c>
      <c r="Q62" s="163" t="str">
        <f t="shared" ca="1" si="33"/>
        <v/>
      </c>
      <c r="R62" s="163" t="str">
        <f t="shared" ca="1" si="33"/>
        <v/>
      </c>
      <c r="S62" s="164" t="str">
        <f t="shared" ca="1" si="33"/>
        <v/>
      </c>
      <c r="T62" s="164" t="str">
        <f t="shared" ca="1" si="33"/>
        <v/>
      </c>
      <c r="U62" s="163" t="str">
        <f t="shared" ca="1" si="33"/>
        <v/>
      </c>
      <c r="V62" s="163" t="str">
        <f t="shared" ca="1" si="33"/>
        <v/>
      </c>
      <c r="W62" s="164" t="str">
        <f t="shared" ca="1" si="33"/>
        <v/>
      </c>
      <c r="X62" s="164" t="str">
        <f t="shared" ca="1" si="33"/>
        <v/>
      </c>
      <c r="Y62" s="164" t="str">
        <f t="shared" ca="1" si="33"/>
        <v/>
      </c>
    </row>
    <row r="63" spans="1:25" x14ac:dyDescent="0.25">
      <c r="A63" s="213"/>
      <c r="B63" s="214"/>
      <c r="D63" s="165" t="s">
        <v>232</v>
      </c>
      <c r="E63" s="163">
        <f>IF(E56=10,2,IF(E56&gt;7,1,0))</f>
        <v>0</v>
      </c>
      <c r="F63" s="163">
        <f t="shared" ref="F63:Y63" ca="1" si="34">IF(F56=10,2,IF(F56&gt;7,1,0))</f>
        <v>0</v>
      </c>
      <c r="G63" s="164">
        <f t="shared" ca="1" si="34"/>
        <v>0</v>
      </c>
      <c r="H63" s="164">
        <f t="shared" ca="1" si="34"/>
        <v>0</v>
      </c>
      <c r="I63" s="163">
        <f t="shared" ca="1" si="34"/>
        <v>0</v>
      </c>
      <c r="J63" s="163">
        <f t="shared" ca="1" si="34"/>
        <v>0</v>
      </c>
      <c r="K63" s="164">
        <f t="shared" ca="1" si="34"/>
        <v>0</v>
      </c>
      <c r="L63" s="164">
        <f t="shared" ca="1" si="34"/>
        <v>0</v>
      </c>
      <c r="M63" s="163">
        <f t="shared" ca="1" si="34"/>
        <v>0</v>
      </c>
      <c r="N63" s="163">
        <f t="shared" ca="1" si="34"/>
        <v>0</v>
      </c>
      <c r="O63" s="164">
        <f t="shared" ca="1" si="34"/>
        <v>0</v>
      </c>
      <c r="P63" s="164">
        <f t="shared" ca="1" si="34"/>
        <v>0</v>
      </c>
      <c r="Q63" s="163">
        <f t="shared" ca="1" si="34"/>
        <v>0</v>
      </c>
      <c r="R63" s="163">
        <f t="shared" ca="1" si="34"/>
        <v>0</v>
      </c>
      <c r="S63" s="164">
        <f t="shared" ca="1" si="34"/>
        <v>1</v>
      </c>
      <c r="T63" s="164">
        <f t="shared" ca="1" si="34"/>
        <v>1</v>
      </c>
      <c r="U63" s="163">
        <f t="shared" ca="1" si="34"/>
        <v>1</v>
      </c>
      <c r="V63" s="163">
        <f t="shared" ca="1" si="34"/>
        <v>1</v>
      </c>
      <c r="W63" s="164">
        <f t="shared" ca="1" si="34"/>
        <v>2</v>
      </c>
      <c r="X63" s="164">
        <f t="shared" ca="1" si="34"/>
        <v>2</v>
      </c>
      <c r="Y63" s="164">
        <f t="shared" ca="1" si="34"/>
        <v>2</v>
      </c>
    </row>
    <row r="64" spans="1:25" x14ac:dyDescent="0.25">
      <c r="D64" s="165" t="s">
        <v>230</v>
      </c>
      <c r="E64" s="163" t="str">
        <f ca="1">IF(E52="AI",IF(E55=2,IF(OFFSET(E64,-9,-E59)=0,MAX(ROUND(OFFSET(E64,-5,-E59)-(SUMIFS($E48:$Y48,$E54:$Y54,1,$E56:$Y56,E56)+SUMIFS($E61:$Y61,$E54:$Y54,1,$E56:$Y56,E56)+E63),0),0),""),""),"")</f>
        <v/>
      </c>
      <c r="F64" s="163" t="str">
        <f t="shared" ref="F64:Y64" ca="1" si="35">IF(F52="AI",IF(F55=2,IF(OFFSET(F64,-9,-F59)=0,MAX(ROUND(OFFSET(F64,-5,-F59)-(SUMIFS($E48:$Y48,$E54:$Y54,1,$E56:$Y56,F56)+SUMIFS($E61:$Y61,$E54:$Y54,1,$E56:$Y56,F56)+F63),0),0),""),""),"")</f>
        <v/>
      </c>
      <c r="G64" s="164" t="str">
        <f t="shared" ca="1" si="35"/>
        <v/>
      </c>
      <c r="H64" s="164" t="str">
        <f t="shared" ca="1" si="35"/>
        <v/>
      </c>
      <c r="I64" s="163" t="str">
        <f t="shared" ca="1" si="35"/>
        <v/>
      </c>
      <c r="J64" s="163" t="str">
        <f t="shared" ca="1" si="35"/>
        <v/>
      </c>
      <c r="K64" s="164" t="str">
        <f t="shared" ca="1" si="35"/>
        <v/>
      </c>
      <c r="L64" s="164" t="str">
        <f t="shared" ca="1" si="35"/>
        <v/>
      </c>
      <c r="M64" s="163" t="str">
        <f t="shared" ca="1" si="35"/>
        <v/>
      </c>
      <c r="N64" s="163" t="str">
        <f t="shared" ca="1" si="35"/>
        <v/>
      </c>
      <c r="O64" s="164" t="str">
        <f t="shared" ca="1" si="35"/>
        <v/>
      </c>
      <c r="P64" s="164" t="str">
        <f t="shared" ca="1" si="35"/>
        <v/>
      </c>
      <c r="Q64" s="163" t="str">
        <f t="shared" ca="1" si="35"/>
        <v/>
      </c>
      <c r="R64" s="163" t="str">
        <f t="shared" ca="1" si="35"/>
        <v/>
      </c>
      <c r="S64" s="164" t="str">
        <f t="shared" ca="1" si="35"/>
        <v/>
      </c>
      <c r="T64" s="164" t="str">
        <f t="shared" ca="1" si="35"/>
        <v/>
      </c>
      <c r="U64" s="163" t="str">
        <f t="shared" ca="1" si="35"/>
        <v/>
      </c>
      <c r="V64" s="163" t="str">
        <f t="shared" ca="1" si="35"/>
        <v/>
      </c>
      <c r="W64" s="164" t="str">
        <f t="shared" ca="1" si="35"/>
        <v/>
      </c>
      <c r="X64" s="164">
        <f t="shared" ca="1" si="35"/>
        <v>0</v>
      </c>
      <c r="Y64" s="164" t="str">
        <f t="shared" ca="1" si="35"/>
        <v/>
      </c>
    </row>
    <row r="65" spans="1:25" x14ac:dyDescent="0.25">
      <c r="D65" s="165" t="s">
        <v>234</v>
      </c>
      <c r="E65" s="163" t="str">
        <f>IF(E52="R","",IF(E64="",IF(E62="",E61,E62),E64))</f>
        <v/>
      </c>
      <c r="F65" s="163" t="str">
        <f t="shared" ref="F65:Y65" si="36">IF(F52="R","",IF(F64="",IF(F62="",F61,F62),F64))</f>
        <v/>
      </c>
      <c r="G65" s="164" t="str">
        <f t="shared" si="36"/>
        <v/>
      </c>
      <c r="H65" s="164" t="str">
        <f t="shared" si="36"/>
        <v/>
      </c>
      <c r="I65" s="163" t="str">
        <f t="shared" si="36"/>
        <v/>
      </c>
      <c r="J65" s="163" t="str">
        <f t="shared" si="36"/>
        <v/>
      </c>
      <c r="K65" s="164" t="str">
        <f t="shared" si="36"/>
        <v/>
      </c>
      <c r="L65" s="164" t="str">
        <f t="shared" si="36"/>
        <v/>
      </c>
      <c r="M65" s="163" t="str">
        <f t="shared" si="36"/>
        <v/>
      </c>
      <c r="N65" s="163" t="str">
        <f t="shared" si="36"/>
        <v/>
      </c>
      <c r="O65" s="164" t="str">
        <f t="shared" si="36"/>
        <v/>
      </c>
      <c r="P65" s="164" t="str">
        <f t="shared" si="36"/>
        <v/>
      </c>
      <c r="Q65" s="163" t="str">
        <f t="shared" si="36"/>
        <v/>
      </c>
      <c r="R65" s="163" t="str">
        <f t="shared" si="36"/>
        <v/>
      </c>
      <c r="S65" s="164" t="str">
        <f t="shared" si="36"/>
        <v/>
      </c>
      <c r="T65" s="164" t="str">
        <f t="shared" si="36"/>
        <v/>
      </c>
      <c r="U65" s="163" t="str">
        <f t="shared" si="36"/>
        <v/>
      </c>
      <c r="V65" s="163" t="str">
        <f t="shared" si="36"/>
        <v/>
      </c>
      <c r="W65" s="164">
        <f t="shared" ca="1" si="36"/>
        <v>8</v>
      </c>
      <c r="X65" s="164">
        <f t="shared" ca="1" si="36"/>
        <v>0</v>
      </c>
      <c r="Y65" s="164" t="str">
        <f t="shared" ca="1" si="36"/>
        <v/>
      </c>
    </row>
    <row r="66" spans="1:25" x14ac:dyDescent="0.25">
      <c r="D66" s="169" t="s">
        <v>233</v>
      </c>
      <c r="E66" s="215" t="s">
        <v>198</v>
      </c>
      <c r="F66" s="215"/>
      <c r="G66" s="216" t="s">
        <v>199</v>
      </c>
      <c r="H66" s="216"/>
      <c r="I66" s="215" t="s">
        <v>200</v>
      </c>
      <c r="J66" s="215"/>
      <c r="K66" s="216" t="s">
        <v>201</v>
      </c>
      <c r="L66" s="216"/>
      <c r="M66" s="215" t="s">
        <v>202</v>
      </c>
      <c r="N66" s="215"/>
      <c r="O66" s="216" t="s">
        <v>203</v>
      </c>
      <c r="P66" s="216"/>
      <c r="Q66" s="215" t="s">
        <v>204</v>
      </c>
      <c r="R66" s="215"/>
      <c r="S66" s="216" t="s">
        <v>205</v>
      </c>
      <c r="T66" s="216"/>
      <c r="U66" s="215" t="s">
        <v>206</v>
      </c>
      <c r="V66" s="215"/>
      <c r="W66" s="216" t="s">
        <v>207</v>
      </c>
      <c r="X66" s="216"/>
      <c r="Y66" s="216"/>
    </row>
    <row r="67" spans="1:25" x14ac:dyDescent="0.25">
      <c r="D67" s="166" t="s">
        <v>215</v>
      </c>
      <c r="E67" s="167">
        <f>IF(E52="R",E48,E65)</f>
        <v>7</v>
      </c>
      <c r="F67" s="167">
        <f t="shared" ref="F67:Y67" si="37">IF(F52="R",F48,F65)</f>
        <v>0</v>
      </c>
      <c r="G67" s="168">
        <f t="shared" si="37"/>
        <v>9</v>
      </c>
      <c r="H67" s="168">
        <f t="shared" si="37"/>
        <v>0</v>
      </c>
      <c r="I67" s="167">
        <f t="shared" si="37"/>
        <v>7</v>
      </c>
      <c r="J67" s="167">
        <f t="shared" si="37"/>
        <v>3</v>
      </c>
      <c r="K67" s="168">
        <f t="shared" si="37"/>
        <v>7</v>
      </c>
      <c r="L67" s="168">
        <f t="shared" si="37"/>
        <v>1</v>
      </c>
      <c r="M67" s="167">
        <f t="shared" si="37"/>
        <v>7</v>
      </c>
      <c r="N67" s="167">
        <f t="shared" si="37"/>
        <v>0</v>
      </c>
      <c r="O67" s="168">
        <f t="shared" si="37"/>
        <v>7</v>
      </c>
      <c r="P67" s="168">
        <f t="shared" si="37"/>
        <v>2</v>
      </c>
      <c r="Q67" s="167">
        <f t="shared" si="37"/>
        <v>10</v>
      </c>
      <c r="R67" s="167">
        <f t="shared" si="37"/>
        <v>0</v>
      </c>
      <c r="S67" s="168">
        <f t="shared" si="37"/>
        <v>9</v>
      </c>
      <c r="T67" s="168">
        <f t="shared" si="37"/>
        <v>0</v>
      </c>
      <c r="U67" s="167">
        <f t="shared" si="37"/>
        <v>10</v>
      </c>
      <c r="V67" s="167">
        <f t="shared" si="37"/>
        <v>0</v>
      </c>
      <c r="W67" s="168">
        <f t="shared" ca="1" si="37"/>
        <v>8</v>
      </c>
      <c r="X67" s="168">
        <f t="shared" ca="1" si="37"/>
        <v>0</v>
      </c>
      <c r="Y67" s="168" t="str">
        <f t="shared" ca="1" si="37"/>
        <v/>
      </c>
    </row>
    <row r="68" spans="1:25" x14ac:dyDescent="0.25">
      <c r="D68" s="166" t="s">
        <v>209</v>
      </c>
      <c r="E68" s="211">
        <f>IF(E67=10,IF(G67=10,20+I67,10+G67+H67),IF(SUM(E67:F67)=10,10+G67,SUM(E67:F67)))</f>
        <v>7</v>
      </c>
      <c r="F68" s="211"/>
      <c r="G68" s="210">
        <f t="shared" ref="G68" si="38">IF(G67=10,IF(I67=10,20+K67,10+I67+J67),IF(SUM(G67:H67)=10,10+I67,SUM(G67:H67)))</f>
        <v>9</v>
      </c>
      <c r="H68" s="210"/>
      <c r="I68" s="211">
        <f t="shared" ref="I68" si="39">IF(I67=10,IF(K67=10,20+M67,10+K67+L67),IF(SUM(I67:J67)=10,10+K67,SUM(I67:J67)))</f>
        <v>17</v>
      </c>
      <c r="J68" s="211"/>
      <c r="K68" s="210">
        <f t="shared" ref="K68" si="40">IF(K67=10,IF(M67=10,20+O67,10+M67+N67),IF(SUM(K67:L67)=10,10+M67,SUM(K67:L67)))</f>
        <v>8</v>
      </c>
      <c r="L68" s="210"/>
      <c r="M68" s="211">
        <f t="shared" ref="M68" si="41">IF(M67=10,IF(O67=10,20+Q67,10+O67+P67),IF(SUM(M67:N67)=10,10+O67,SUM(M67:N67)))</f>
        <v>7</v>
      </c>
      <c r="N68" s="211"/>
      <c r="O68" s="210">
        <f t="shared" ref="O68" si="42">IF(O67=10,IF(Q67=10,20+S67,10+Q67+R67),IF(SUM(O67:P67)=10,10+Q67,SUM(O67:P67)))</f>
        <v>9</v>
      </c>
      <c r="P68" s="210"/>
      <c r="Q68" s="211">
        <f t="shared" ref="Q68" si="43">IF(Q67=10,IF(S67=10,20+U67,10+S67+T67),IF(SUM(Q67:R67)=10,10+S67,SUM(Q67:R67)))</f>
        <v>19</v>
      </c>
      <c r="R68" s="211"/>
      <c r="S68" s="210">
        <f t="shared" ref="S68" si="44">IF(S67=10,IF(U67=10,20+W67,10+U67+V67),IF(SUM(S67:T67)=10,10+U67,SUM(S67:T67)))</f>
        <v>9</v>
      </c>
      <c r="T68" s="210"/>
      <c r="U68" s="211">
        <f ca="1">IF(U67=10,IF(W67=10,20+X67,10+W67+X67),IF(SUM(U67:V67)=10,10+W67,SUM(U67:V67)))</f>
        <v>18</v>
      </c>
      <c r="V68" s="211"/>
      <c r="W68" s="210">
        <f ca="1">SUM(W67:Y67)</f>
        <v>8</v>
      </c>
      <c r="X68" s="210"/>
      <c r="Y68" s="210"/>
    </row>
    <row r="69" spans="1:25" x14ac:dyDescent="0.25">
      <c r="D69" s="166" t="s">
        <v>97</v>
      </c>
      <c r="E69" s="211">
        <f ca="1">IF(D69="Pistekertymä",E68,E68+OFFSET(E69,0,-2))</f>
        <v>7</v>
      </c>
      <c r="F69" s="211"/>
      <c r="G69" s="210">
        <f t="shared" ref="G69" ca="1" si="45">IF(F69="Pistekertymä",G68,G68+OFFSET(G69,0,-2))</f>
        <v>16</v>
      </c>
      <c r="H69" s="210"/>
      <c r="I69" s="211">
        <f t="shared" ref="I69" ca="1" si="46">IF(H69="Pistekertymä",I68,I68+OFFSET(I69,0,-2))</f>
        <v>33</v>
      </c>
      <c r="J69" s="211"/>
      <c r="K69" s="210">
        <f t="shared" ref="K69" ca="1" si="47">IF(J69="Pistekertymä",K68,K68+OFFSET(K69,0,-2))</f>
        <v>41</v>
      </c>
      <c r="L69" s="210"/>
      <c r="M69" s="211">
        <f t="shared" ref="M69" ca="1" si="48">IF(L69="Pistekertymä",M68,M68+OFFSET(M69,0,-2))</f>
        <v>48</v>
      </c>
      <c r="N69" s="211"/>
      <c r="O69" s="210">
        <f t="shared" ref="O69" ca="1" si="49">IF(N69="Pistekertymä",O68,O68+OFFSET(O69,0,-2))</f>
        <v>57</v>
      </c>
      <c r="P69" s="210"/>
      <c r="Q69" s="211">
        <f t="shared" ref="Q69" ca="1" si="50">IF(P69="Pistekertymä",Q68,Q68+OFFSET(Q69,0,-2))</f>
        <v>76</v>
      </c>
      <c r="R69" s="211"/>
      <c r="S69" s="210">
        <f t="shared" ref="S69" ca="1" si="51">IF(R69="Pistekertymä",S68,S68+OFFSET(S69,0,-2))</f>
        <v>85</v>
      </c>
      <c r="T69" s="210"/>
      <c r="U69" s="211">
        <f t="shared" ref="U69" ca="1" si="52">IF(T69="Pistekertymä",U68,U68+OFFSET(U69,0,-2))</f>
        <v>103</v>
      </c>
      <c r="V69" s="211"/>
      <c r="W69" s="210">
        <f t="shared" ref="W69" ca="1" si="53">IF(V69="Pistekertymä",W68,W68+OFFSET(W69,0,-2))</f>
        <v>111</v>
      </c>
      <c r="X69" s="210"/>
      <c r="Y69" s="210"/>
    </row>
    <row r="70" spans="1:25" x14ac:dyDescent="0.25">
      <c r="D70" s="166" t="s">
        <v>210</v>
      </c>
      <c r="E70" s="211" t="str">
        <f>IF(SUM(E67:F67)&lt;=10,"OK","Virhe!")</f>
        <v>OK</v>
      </c>
      <c r="F70" s="211"/>
      <c r="G70" s="210" t="str">
        <f t="shared" ref="G70" si="54">IF(SUM(G67:H67)&lt;=10,"OK","Virhe!")</f>
        <v>OK</v>
      </c>
      <c r="H70" s="210"/>
      <c r="I70" s="211" t="str">
        <f t="shared" ref="I70" si="55">IF(SUM(I67:J67)&lt;=10,"OK","Virhe!")</f>
        <v>OK</v>
      </c>
      <c r="J70" s="211"/>
      <c r="K70" s="210" t="str">
        <f t="shared" ref="K70" si="56">IF(SUM(K67:L67)&lt;=10,"OK","Virhe!")</f>
        <v>OK</v>
      </c>
      <c r="L70" s="210"/>
      <c r="M70" s="211" t="str">
        <f t="shared" ref="M70" si="57">IF(SUM(M67:N67)&lt;=10,"OK","Virhe!")</f>
        <v>OK</v>
      </c>
      <c r="N70" s="211"/>
      <c r="O70" s="210" t="str">
        <f t="shared" ref="O70" si="58">IF(SUM(O67:P67)&lt;=10,"OK","Virhe!")</f>
        <v>OK</v>
      </c>
      <c r="P70" s="210"/>
      <c r="Q70" s="211" t="str">
        <f t="shared" ref="Q70" si="59">IF(SUM(Q67:R67)&lt;=10,"OK","Virhe!")</f>
        <v>OK</v>
      </c>
      <c r="R70" s="211"/>
      <c r="S70" s="210" t="str">
        <f t="shared" ref="S70" si="60">IF(SUM(S67:T67)&lt;=10,"OK","Virhe!")</f>
        <v>OK</v>
      </c>
      <c r="T70" s="210"/>
      <c r="U70" s="211" t="str">
        <f t="shared" ref="U70" si="61">IF(SUM(U67:V67)&lt;=10,"OK","Virhe!")</f>
        <v>OK</v>
      </c>
      <c r="V70" s="211"/>
      <c r="W70" s="210" t="str">
        <f ca="1">IF(SUM(W67:X67)&lt;=30,"OK","Virhe!")</f>
        <v>OK</v>
      </c>
      <c r="X70" s="210"/>
      <c r="Y70" s="210"/>
    </row>
    <row r="72" spans="1:25" x14ac:dyDescent="0.25">
      <c r="A72" s="145" t="s">
        <v>196</v>
      </c>
      <c r="B72" s="147"/>
      <c r="D72" s="170" t="s">
        <v>231</v>
      </c>
      <c r="E72" s="221" t="s">
        <v>198</v>
      </c>
      <c r="F72" s="221"/>
      <c r="G72" s="220" t="s">
        <v>199</v>
      </c>
      <c r="H72" s="220"/>
      <c r="I72" s="221" t="s">
        <v>200</v>
      </c>
      <c r="J72" s="221"/>
      <c r="K72" s="220" t="s">
        <v>201</v>
      </c>
      <c r="L72" s="220"/>
      <c r="M72" s="221" t="s">
        <v>202</v>
      </c>
      <c r="N72" s="221"/>
      <c r="O72" s="220" t="s">
        <v>203</v>
      </c>
      <c r="P72" s="220"/>
      <c r="Q72" s="221" t="s">
        <v>204</v>
      </c>
      <c r="R72" s="221"/>
      <c r="S72" s="220" t="s">
        <v>205</v>
      </c>
      <c r="T72" s="220"/>
      <c r="U72" s="221" t="s">
        <v>206</v>
      </c>
      <c r="V72" s="221"/>
      <c r="W72" s="220" t="s">
        <v>207</v>
      </c>
      <c r="X72" s="220"/>
      <c r="Y72" s="220"/>
    </row>
    <row r="73" spans="1:25" x14ac:dyDescent="0.25">
      <c r="A73" s="146" t="s">
        <v>134</v>
      </c>
      <c r="B73" s="148"/>
      <c r="D73" s="172" t="s">
        <v>208</v>
      </c>
      <c r="E73" s="173">
        <v>8</v>
      </c>
      <c r="F73" s="173">
        <v>1</v>
      </c>
      <c r="G73" s="174">
        <v>4</v>
      </c>
      <c r="H73" s="174">
        <v>3</v>
      </c>
      <c r="I73" s="173">
        <v>9</v>
      </c>
      <c r="J73" s="173">
        <v>1</v>
      </c>
      <c r="K73" s="174">
        <v>8</v>
      </c>
      <c r="L73" s="174">
        <v>0</v>
      </c>
      <c r="M73" s="173">
        <v>8</v>
      </c>
      <c r="N73" s="173">
        <v>2</v>
      </c>
      <c r="O73" s="174">
        <v>9</v>
      </c>
      <c r="P73" s="174">
        <v>0</v>
      </c>
      <c r="Q73" s="173">
        <v>6</v>
      </c>
      <c r="R73" s="173">
        <v>0</v>
      </c>
      <c r="S73" s="174">
        <v>6</v>
      </c>
      <c r="T73" s="174">
        <v>0</v>
      </c>
      <c r="U73" s="173">
        <v>8</v>
      </c>
      <c r="V73" s="173">
        <v>0</v>
      </c>
      <c r="W73" s="174"/>
      <c r="X73" s="174"/>
      <c r="Y73" s="174"/>
    </row>
    <row r="74" spans="1:25" x14ac:dyDescent="0.25">
      <c r="A74" s="146" t="s">
        <v>244</v>
      </c>
      <c r="B74" s="148"/>
      <c r="D74" s="175" t="s">
        <v>209</v>
      </c>
      <c r="E74" s="219">
        <f>IF(E73=10,IF(G73=10,20+I73,10+G73+H73),IF(SUM(E73:F73)=10,10+G73,SUM(E73:F73)))</f>
        <v>9</v>
      </c>
      <c r="F74" s="219"/>
      <c r="G74" s="218">
        <f t="shared" ref="G74" si="62">IF(G73=10,IF(I73=10,20+K73,10+I73+J73),IF(SUM(G73:H73)=10,10+I73,SUM(G73:H73)))</f>
        <v>7</v>
      </c>
      <c r="H74" s="218"/>
      <c r="I74" s="219">
        <f t="shared" ref="I74" si="63">IF(I73=10,IF(K73=10,20+M73,10+K73+L73),IF(SUM(I73:J73)=10,10+K73,SUM(I73:J73)))</f>
        <v>18</v>
      </c>
      <c r="J74" s="219"/>
      <c r="K74" s="218">
        <f t="shared" ref="K74" si="64">IF(K73=10,IF(M73=10,20+O73,10+M73+N73),IF(SUM(K73:L73)=10,10+M73,SUM(K73:L73)))</f>
        <v>8</v>
      </c>
      <c r="L74" s="218"/>
      <c r="M74" s="219">
        <f t="shared" ref="M74" si="65">IF(M73=10,IF(O73=10,20+Q73,10+O73+P73),IF(SUM(M73:N73)=10,10+O73,SUM(M73:N73)))</f>
        <v>19</v>
      </c>
      <c r="N74" s="219"/>
      <c r="O74" s="218">
        <f t="shared" ref="O74" si="66">IF(O73=10,IF(Q73=10,20+S73,10+Q73+R73),IF(SUM(O73:P73)=10,10+Q73,SUM(O73:P73)))</f>
        <v>9</v>
      </c>
      <c r="P74" s="218"/>
      <c r="Q74" s="219">
        <f t="shared" ref="Q74" si="67">IF(Q73=10,IF(S73=10,20+U73,10+S73+T73),IF(SUM(Q73:R73)=10,10+S73,SUM(Q73:R73)))</f>
        <v>6</v>
      </c>
      <c r="R74" s="219"/>
      <c r="S74" s="218">
        <f t="shared" ref="S74" si="68">IF(S73=10,IF(U73=10,20+W73,10+U73+V73),IF(SUM(S73:T73)=10,10+U73,SUM(S73:T73)))</f>
        <v>6</v>
      </c>
      <c r="T74" s="218"/>
      <c r="U74" s="219">
        <f>IF(U73=10,IF(W73=10,20+X73,10+W73+X73),IF(SUM(U73:V73)=10,10+W73,SUM(U73:V73)))</f>
        <v>8</v>
      </c>
      <c r="V74" s="219"/>
      <c r="W74" s="218">
        <f>SUM(W73:Y73)</f>
        <v>0</v>
      </c>
      <c r="X74" s="218"/>
      <c r="Y74" s="218"/>
    </row>
    <row r="75" spans="1:25" x14ac:dyDescent="0.25">
      <c r="A75" s="146" t="s">
        <v>197</v>
      </c>
      <c r="B75" s="148"/>
      <c r="D75" s="175" t="s">
        <v>97</v>
      </c>
      <c r="E75" s="219">
        <f ca="1">IF(D75="Pistekertymä",E74,E74+OFFSET(E75,0,-2))</f>
        <v>9</v>
      </c>
      <c r="F75" s="219"/>
      <c r="G75" s="218">
        <f t="shared" ref="G75" ca="1" si="69">IF(F75="Pistekertymä",G74,G74+OFFSET(G75,0,-2))</f>
        <v>16</v>
      </c>
      <c r="H75" s="218"/>
      <c r="I75" s="219">
        <f t="shared" ref="I75" ca="1" si="70">IF(H75="Pistekertymä",I74,I74+OFFSET(I75,0,-2))</f>
        <v>34</v>
      </c>
      <c r="J75" s="219"/>
      <c r="K75" s="218">
        <f t="shared" ref="K75" ca="1" si="71">IF(J75="Pistekertymä",K74,K74+OFFSET(K75,0,-2))</f>
        <v>42</v>
      </c>
      <c r="L75" s="218"/>
      <c r="M75" s="219">
        <f t="shared" ref="M75" ca="1" si="72">IF(L75="Pistekertymä",M74,M74+OFFSET(M75,0,-2))</f>
        <v>61</v>
      </c>
      <c r="N75" s="219"/>
      <c r="O75" s="218">
        <f t="shared" ref="O75" ca="1" si="73">IF(N75="Pistekertymä",O74,O74+OFFSET(O75,0,-2))</f>
        <v>70</v>
      </c>
      <c r="P75" s="218"/>
      <c r="Q75" s="219">
        <f t="shared" ref="Q75" ca="1" si="74">IF(P75="Pistekertymä",Q74,Q74+OFFSET(Q75,0,-2))</f>
        <v>76</v>
      </c>
      <c r="R75" s="219"/>
      <c r="S75" s="218">
        <f t="shared" ref="S75" ca="1" si="75">IF(R75="Pistekertymä",S74,S74+OFFSET(S75,0,-2))</f>
        <v>82</v>
      </c>
      <c r="T75" s="218"/>
      <c r="U75" s="219">
        <f t="shared" ref="U75" ca="1" si="76">IF(T75="Pistekertymä",U74,U74+OFFSET(U75,0,-2))</f>
        <v>90</v>
      </c>
      <c r="V75" s="219"/>
      <c r="W75" s="218">
        <f t="shared" ref="W75" ca="1" si="77">IF(V75="Pistekertymä",W74,W74+OFFSET(W75,0,-2))</f>
        <v>90</v>
      </c>
      <c r="X75" s="218"/>
      <c r="Y75" s="218"/>
    </row>
    <row r="76" spans="1:25" x14ac:dyDescent="0.25">
      <c r="A76" s="161" t="s">
        <v>213</v>
      </c>
      <c r="B76" s="154">
        <f ca="1">MIN(ROUNDDOWN(B79,0),9)</f>
        <v>7</v>
      </c>
      <c r="D76" s="165" t="s">
        <v>210</v>
      </c>
      <c r="E76" s="217" t="str">
        <f>IF(SUM(E73:F73)&lt;=10,"OK","Virhe!")</f>
        <v>OK</v>
      </c>
      <c r="F76" s="217"/>
      <c r="G76" s="212" t="str">
        <f t="shared" ref="G76" si="78">IF(SUM(G73:H73)&lt;=10,"OK","Virhe!")</f>
        <v>OK</v>
      </c>
      <c r="H76" s="212"/>
      <c r="I76" s="217" t="str">
        <f t="shared" ref="I76" si="79">IF(SUM(I73:J73)&lt;=10,"OK","Virhe!")</f>
        <v>OK</v>
      </c>
      <c r="J76" s="217"/>
      <c r="K76" s="212" t="str">
        <f t="shared" ref="K76" si="80">IF(SUM(K73:L73)&lt;=10,"OK","Virhe!")</f>
        <v>OK</v>
      </c>
      <c r="L76" s="212"/>
      <c r="M76" s="217" t="str">
        <f t="shared" ref="M76" si="81">IF(SUM(M73:N73)&lt;=10,"OK","Virhe!")</f>
        <v>OK</v>
      </c>
      <c r="N76" s="217"/>
      <c r="O76" s="212" t="str">
        <f t="shared" ref="O76" si="82">IF(SUM(O73:P73)&lt;=10,"OK","Virhe!")</f>
        <v>OK</v>
      </c>
      <c r="P76" s="212"/>
      <c r="Q76" s="217" t="str">
        <f t="shared" ref="Q76" si="83">IF(SUM(Q73:R73)&lt;=10,"OK","Virhe!")</f>
        <v>OK</v>
      </c>
      <c r="R76" s="217"/>
      <c r="S76" s="212" t="str">
        <f t="shared" ref="S76" si="84">IF(SUM(S73:T73)&lt;=10,"OK","Virhe!")</f>
        <v>OK</v>
      </c>
      <c r="T76" s="212"/>
      <c r="U76" s="217" t="str">
        <f t="shared" ref="U76" si="85">IF(SUM(U73:V73)&lt;=10,"OK","Virhe!")</f>
        <v>OK</v>
      </c>
      <c r="V76" s="217"/>
      <c r="W76" s="212" t="str">
        <f>IF(SUM(W73:X73)&lt;=30,"OK","Virhe!")</f>
        <v>OK</v>
      </c>
      <c r="X76" s="212"/>
      <c r="Y76" s="212"/>
    </row>
    <row r="77" spans="1:25" x14ac:dyDescent="0.25">
      <c r="A77" s="157" t="s">
        <v>214</v>
      </c>
      <c r="B77" s="149">
        <f ca="1">SUMPRODUCT(OFFSET(B77,-4,3):OFFSET(B77,-4,23),OFFSET(B77,1,3):OFFSET(B77,1,23),OFFSET(B77,2,3):OFFSET(B77,2,23))</f>
        <v>66</v>
      </c>
      <c r="D77" s="165" t="s">
        <v>211</v>
      </c>
      <c r="E77" s="163" t="str">
        <f>IF(E73="","AI","R")</f>
        <v>R</v>
      </c>
      <c r="F77" s="163" t="str">
        <f t="shared" ref="F77:Y77" si="86">IF(F73="","AI","R")</f>
        <v>R</v>
      </c>
      <c r="G77" s="164" t="str">
        <f t="shared" si="86"/>
        <v>R</v>
      </c>
      <c r="H77" s="164" t="str">
        <f t="shared" si="86"/>
        <v>R</v>
      </c>
      <c r="I77" s="163" t="str">
        <f t="shared" si="86"/>
        <v>R</v>
      </c>
      <c r="J77" s="163" t="str">
        <f t="shared" si="86"/>
        <v>R</v>
      </c>
      <c r="K77" s="164" t="str">
        <f t="shared" si="86"/>
        <v>R</v>
      </c>
      <c r="L77" s="164" t="str">
        <f t="shared" si="86"/>
        <v>R</v>
      </c>
      <c r="M77" s="163" t="str">
        <f t="shared" si="86"/>
        <v>R</v>
      </c>
      <c r="N77" s="163" t="str">
        <f t="shared" si="86"/>
        <v>R</v>
      </c>
      <c r="O77" s="164" t="str">
        <f t="shared" si="86"/>
        <v>R</v>
      </c>
      <c r="P77" s="164" t="str">
        <f t="shared" si="86"/>
        <v>R</v>
      </c>
      <c r="Q77" s="163" t="str">
        <f t="shared" si="86"/>
        <v>R</v>
      </c>
      <c r="R77" s="163" t="str">
        <f t="shared" si="86"/>
        <v>R</v>
      </c>
      <c r="S77" s="164" t="str">
        <f t="shared" si="86"/>
        <v>R</v>
      </c>
      <c r="T77" s="164" t="str">
        <f t="shared" si="86"/>
        <v>R</v>
      </c>
      <c r="U77" s="163" t="str">
        <f t="shared" si="86"/>
        <v>R</v>
      </c>
      <c r="V77" s="163" t="str">
        <f t="shared" si="86"/>
        <v>R</v>
      </c>
      <c r="W77" s="164" t="str">
        <f t="shared" si="86"/>
        <v>AI</v>
      </c>
      <c r="X77" s="164" t="str">
        <f t="shared" si="86"/>
        <v>AI</v>
      </c>
      <c r="Y77" s="164" t="str">
        <f t="shared" si="86"/>
        <v>AI</v>
      </c>
    </row>
    <row r="78" spans="1:25" x14ac:dyDescent="0.25">
      <c r="A78" s="157" t="s">
        <v>215</v>
      </c>
      <c r="B78" s="149">
        <f ca="1">SUMPRODUCT(OFFSET(B77,1,3):OFFSET(B77,1,23),OFFSET(B77,2,3):OFFSET(B77,2,23))</f>
        <v>9</v>
      </c>
      <c r="D78" s="165" t="s">
        <v>212</v>
      </c>
      <c r="E78" s="163">
        <f>IF(E77="R",1,0)</f>
        <v>1</v>
      </c>
      <c r="F78" s="163">
        <f t="shared" ref="F78" si="87">IF(F77="R",1,0)</f>
        <v>1</v>
      </c>
      <c r="G78" s="164">
        <f t="shared" ref="G78" si="88">IF(G77="R",1,0)</f>
        <v>1</v>
      </c>
      <c r="H78" s="164">
        <f t="shared" ref="H78" si="89">IF(H77="R",1,0)</f>
        <v>1</v>
      </c>
      <c r="I78" s="163">
        <f t="shared" ref="I78" si="90">IF(I77="R",1,0)</f>
        <v>1</v>
      </c>
      <c r="J78" s="163">
        <f t="shared" ref="J78" si="91">IF(J77="R",1,0)</f>
        <v>1</v>
      </c>
      <c r="K78" s="164">
        <f t="shared" ref="K78" si="92">IF(K77="R",1,0)</f>
        <v>1</v>
      </c>
      <c r="L78" s="164">
        <f t="shared" ref="L78" si="93">IF(L77="R",1,0)</f>
        <v>1</v>
      </c>
      <c r="M78" s="163">
        <f t="shared" ref="M78" si="94">IF(M77="R",1,0)</f>
        <v>1</v>
      </c>
      <c r="N78" s="163">
        <f t="shared" ref="N78" si="95">IF(N77="R",1,0)</f>
        <v>1</v>
      </c>
      <c r="O78" s="164">
        <f t="shared" ref="O78" si="96">IF(O77="R",1,0)</f>
        <v>1</v>
      </c>
      <c r="P78" s="164">
        <f t="shared" ref="P78" si="97">IF(P77="R",1,0)</f>
        <v>1</v>
      </c>
      <c r="Q78" s="163">
        <f t="shared" ref="Q78" si="98">IF(Q77="R",1,0)</f>
        <v>1</v>
      </c>
      <c r="R78" s="163">
        <f t="shared" ref="R78" si="99">IF(R77="R",1,0)</f>
        <v>1</v>
      </c>
      <c r="S78" s="164">
        <f t="shared" ref="S78" si="100">IF(S77="R",1,0)</f>
        <v>1</v>
      </c>
      <c r="T78" s="164">
        <f t="shared" ref="T78" si="101">IF(T77="R",1,0)</f>
        <v>1</v>
      </c>
      <c r="U78" s="163">
        <f t="shared" ref="U78" si="102">IF(U77="R",1,0)</f>
        <v>1</v>
      </c>
      <c r="V78" s="163">
        <f t="shared" ref="V78" si="103">IF(V77="R",1,0)</f>
        <v>1</v>
      </c>
      <c r="W78" s="164">
        <f t="shared" ref="W78" si="104">IF(W77="R",1,0)</f>
        <v>0</v>
      </c>
      <c r="X78" s="164">
        <f t="shared" ref="X78" si="105">IF(X77="R",1,0)</f>
        <v>0</v>
      </c>
      <c r="Y78" s="164">
        <f t="shared" ref="Y78" si="106">IF(Y77="R",1,0)</f>
        <v>0</v>
      </c>
    </row>
    <row r="79" spans="1:25" x14ac:dyDescent="0.25">
      <c r="A79" s="157" t="s">
        <v>216</v>
      </c>
      <c r="B79" s="151">
        <f ca="1">B77/B78</f>
        <v>7.333333333333333</v>
      </c>
      <c r="D79" s="165" t="s">
        <v>213</v>
      </c>
      <c r="E79" s="163">
        <f>IF(LEFT(E72,1)="R",1,IF(OR(D72="R10",C72="R10"),IF(D73=10,1,0),0))</f>
        <v>1</v>
      </c>
      <c r="F79" s="163">
        <f t="shared" ref="F79" si="107">IF(LEFT(F72,1)="R",1,IF(OR(E72="R10",D72="R10"),IF(E73=10,1,0),0))</f>
        <v>0</v>
      </c>
      <c r="G79" s="164">
        <f t="shared" ref="G79" si="108">IF(LEFT(G72,1)="R",1,IF(OR(F72="R10",E72="R10"),IF(F73=10,1,0),0))</f>
        <v>1</v>
      </c>
      <c r="H79" s="164">
        <f t="shared" ref="H79" si="109">IF(LEFT(H72,1)="R",1,IF(OR(G72="R10",F72="R10"),IF(G73=10,1,0),0))</f>
        <v>0</v>
      </c>
      <c r="I79" s="163">
        <f t="shared" ref="I79" si="110">IF(LEFT(I72,1)="R",1,IF(OR(H72="R10",G72="R10"),IF(H73=10,1,0),0))</f>
        <v>1</v>
      </c>
      <c r="J79" s="163">
        <f t="shared" ref="J79" si="111">IF(LEFT(J72,1)="R",1,IF(OR(I72="R10",H72="R10"),IF(I73=10,1,0),0))</f>
        <v>0</v>
      </c>
      <c r="K79" s="164">
        <f t="shared" ref="K79" si="112">IF(LEFT(K72,1)="R",1,IF(OR(J72="R10",I72="R10"),IF(J73=10,1,0),0))</f>
        <v>1</v>
      </c>
      <c r="L79" s="164">
        <f t="shared" ref="L79" si="113">IF(LEFT(L72,1)="R",1,IF(OR(K72="R10",J72="R10"),IF(K73=10,1,0),0))</f>
        <v>0</v>
      </c>
      <c r="M79" s="163">
        <f t="shared" ref="M79" si="114">IF(LEFT(M72,1)="R",1,IF(OR(L72="R10",K72="R10"),IF(L73=10,1,0),0))</f>
        <v>1</v>
      </c>
      <c r="N79" s="163">
        <f t="shared" ref="N79" si="115">IF(LEFT(N72,1)="R",1,IF(OR(M72="R10",L72="R10"),IF(M73=10,1,0),0))</f>
        <v>0</v>
      </c>
      <c r="O79" s="164">
        <f t="shared" ref="O79" si="116">IF(LEFT(O72,1)="R",1,IF(OR(N72="R10",M72="R10"),IF(N73=10,1,0),0))</f>
        <v>1</v>
      </c>
      <c r="P79" s="164">
        <f t="shared" ref="P79" si="117">IF(LEFT(P72,1)="R",1,IF(OR(O72="R10",N72="R10"),IF(O73=10,1,0),0))</f>
        <v>0</v>
      </c>
      <c r="Q79" s="163">
        <f t="shared" ref="Q79" si="118">IF(LEFT(Q72,1)="R",1,IF(OR(P72="R10",O72="R10"),IF(P73=10,1,0),0))</f>
        <v>1</v>
      </c>
      <c r="R79" s="163">
        <f t="shared" ref="R79" si="119">IF(LEFT(R72,1)="R",1,IF(OR(Q72="R10",P72="R10"),IF(Q73=10,1,0),0))</f>
        <v>0</v>
      </c>
      <c r="S79" s="164">
        <f t="shared" ref="S79" si="120">IF(LEFT(S72,1)="R",1,IF(OR(R72="R10",Q72="R10"),IF(R73=10,1,0),0))</f>
        <v>1</v>
      </c>
      <c r="T79" s="164">
        <f t="shared" ref="T79" si="121">IF(LEFT(T72,1)="R",1,IF(OR(S72="R10",R72="R10"),IF(S73=10,1,0),0))</f>
        <v>0</v>
      </c>
      <c r="U79" s="163">
        <f t="shared" ref="U79" si="122">IF(LEFT(U72,1)="R",1,IF(OR(T72="R10",S72="R10"),IF(T73=10,1,0),0))</f>
        <v>1</v>
      </c>
      <c r="V79" s="163">
        <f t="shared" ref="V79" si="123">IF(LEFT(V72,1)="R",1,IF(OR(U72="R10",T72="R10"),IF(U73=10,1,0),0))</f>
        <v>0</v>
      </c>
      <c r="W79" s="164">
        <f t="shared" ref="W79" si="124">IF(LEFT(W72,1)="R",1,IF(OR(V72="R10",U72="R10"),IF(V73=10,1,0),0))</f>
        <v>1</v>
      </c>
      <c r="X79" s="164">
        <f t="shared" ref="X79" si="125">IF(LEFT(X72,1)="R",1,IF(OR(W72="R10",V72="R10"),IF(W73=10,1,0),0))</f>
        <v>0</v>
      </c>
      <c r="Y79" s="164">
        <f t="shared" ref="Y79" si="126">IF(LEFT(Y72,1)="R",1,IF(OR(X72="R10",W72="R10"),IF(X73=10,1,0),0))</f>
        <v>0</v>
      </c>
    </row>
    <row r="80" spans="1:25" x14ac:dyDescent="0.25">
      <c r="A80" s="158" t="s">
        <v>218</v>
      </c>
      <c r="B80" s="153">
        <f ca="1">IF(B83&gt;=0.85,1,0)</f>
        <v>0</v>
      </c>
      <c r="D80" s="165" t="s">
        <v>217</v>
      </c>
      <c r="E80" s="163">
        <f ca="1">IFERROR(IF(OFFSET(E80,-8,-2)="R10",3,IF(E79=1,1,2)),1)</f>
        <v>1</v>
      </c>
      <c r="F80" s="163">
        <f t="shared" ref="F80" ca="1" si="127">IFERROR(IF(OFFSET(F80,-8,-2)="R10",3,IF(F79=1,1,2)),1)</f>
        <v>2</v>
      </c>
      <c r="G80" s="164">
        <f t="shared" ref="G80" ca="1" si="128">IFERROR(IF(OFFSET(G80,-8,-2)="R10",3,IF(G79=1,1,2)),1)</f>
        <v>1</v>
      </c>
      <c r="H80" s="164">
        <f t="shared" ref="H80" ca="1" si="129">IFERROR(IF(OFFSET(H80,-8,-2)="R10",3,IF(H79=1,1,2)),1)</f>
        <v>2</v>
      </c>
      <c r="I80" s="163">
        <f t="shared" ref="I80" ca="1" si="130">IFERROR(IF(OFFSET(I80,-8,-2)="R10",3,IF(I79=1,1,2)),1)</f>
        <v>1</v>
      </c>
      <c r="J80" s="163">
        <f t="shared" ref="J80" ca="1" si="131">IFERROR(IF(OFFSET(J80,-8,-2)="R10",3,IF(J79=1,1,2)),1)</f>
        <v>2</v>
      </c>
      <c r="K80" s="164">
        <f t="shared" ref="K80" ca="1" si="132">IFERROR(IF(OFFSET(K80,-8,-2)="R10",3,IF(K79=1,1,2)),1)</f>
        <v>1</v>
      </c>
      <c r="L80" s="164">
        <f t="shared" ref="L80" ca="1" si="133">IFERROR(IF(OFFSET(L80,-8,-2)="R10",3,IF(L79=1,1,2)),1)</f>
        <v>2</v>
      </c>
      <c r="M80" s="163">
        <f t="shared" ref="M80" ca="1" si="134">IFERROR(IF(OFFSET(M80,-8,-2)="R10",3,IF(M79=1,1,2)),1)</f>
        <v>1</v>
      </c>
      <c r="N80" s="163">
        <f t="shared" ref="N80" ca="1" si="135">IFERROR(IF(OFFSET(N80,-8,-2)="R10",3,IF(N79=1,1,2)),1)</f>
        <v>2</v>
      </c>
      <c r="O80" s="164">
        <f t="shared" ref="O80" ca="1" si="136">IFERROR(IF(OFFSET(O80,-8,-2)="R10",3,IF(O79=1,1,2)),1)</f>
        <v>1</v>
      </c>
      <c r="P80" s="164">
        <f t="shared" ref="P80" ca="1" si="137">IFERROR(IF(OFFSET(P80,-8,-2)="R10",3,IF(P79=1,1,2)),1)</f>
        <v>2</v>
      </c>
      <c r="Q80" s="163">
        <f t="shared" ref="Q80" ca="1" si="138">IFERROR(IF(OFFSET(Q80,-8,-2)="R10",3,IF(Q79=1,1,2)),1)</f>
        <v>1</v>
      </c>
      <c r="R80" s="163">
        <f t="shared" ref="R80" ca="1" si="139">IFERROR(IF(OFFSET(R80,-8,-2)="R10",3,IF(R79=1,1,2)),1)</f>
        <v>2</v>
      </c>
      <c r="S80" s="164">
        <f t="shared" ref="S80" ca="1" si="140">IFERROR(IF(OFFSET(S80,-8,-2)="R10",3,IF(S79=1,1,2)),1)</f>
        <v>1</v>
      </c>
      <c r="T80" s="164">
        <f t="shared" ref="T80" ca="1" si="141">IFERROR(IF(OFFSET(T80,-8,-2)="R10",3,IF(T79=1,1,2)),1)</f>
        <v>2</v>
      </c>
      <c r="U80" s="163">
        <f t="shared" ref="U80" ca="1" si="142">IFERROR(IF(OFFSET(U80,-8,-2)="R10",3,IF(U79=1,1,2)),1)</f>
        <v>1</v>
      </c>
      <c r="V80" s="163">
        <f t="shared" ref="V80" ca="1" si="143">IFERROR(IF(OFFSET(V80,-8,-2)="R10",3,IF(V79=1,1,2)),1)</f>
        <v>2</v>
      </c>
      <c r="W80" s="164">
        <f t="shared" ref="W80" ca="1" si="144">IFERROR(IF(OFFSET(W80,-8,-2)="R10",3,IF(W79=1,1,2)),1)</f>
        <v>1</v>
      </c>
      <c r="X80" s="164">
        <f t="shared" ref="X80" ca="1" si="145">IFERROR(IF(OFFSET(X80,-8,-2)="R10",3,IF(X79=1,1,2)),1)</f>
        <v>2</v>
      </c>
      <c r="Y80" s="164">
        <f t="shared" ref="Y80" ca="1" si="146">IFERROR(IF(OFFSET(Y80,-8,-2)="R10",3,IF(Y79=1,1,2)),1)</f>
        <v>3</v>
      </c>
    </row>
    <row r="81" spans="1:25" x14ac:dyDescent="0.25">
      <c r="A81" s="159" t="s">
        <v>220</v>
      </c>
      <c r="B81" s="150">
        <f ca="1">COUNTIFS(OFFSET(B81,1,3):OFFSET(B81,1,23),10,OFFSET(B81,-2,3):OFFSET(B81,-2,23),1,OFFSET(B81,2,3):OFFSET(B81,2,23),1)</f>
        <v>2</v>
      </c>
      <c r="D81" s="165" t="s">
        <v>125</v>
      </c>
      <c r="E81" s="163">
        <f>IF(D81="Ruutu",1,IF(E80=3,10,IF(D80=1,D81,1+D81)))</f>
        <v>1</v>
      </c>
      <c r="F81" s="163">
        <f t="shared" ref="F81" ca="1" si="147">IF(E81="Ruutu",1,IF(F80=3,10,IF(E80=1,E81,1+E81)))</f>
        <v>1</v>
      </c>
      <c r="G81" s="164">
        <f t="shared" ref="G81" ca="1" si="148">IF(F81="Ruutu",1,IF(G80=3,10,IF(F80=1,F81,1+F81)))</f>
        <v>2</v>
      </c>
      <c r="H81" s="164">
        <f t="shared" ref="H81" ca="1" si="149">IF(G81="Ruutu",1,IF(H80=3,10,IF(G80=1,G81,1+G81)))</f>
        <v>2</v>
      </c>
      <c r="I81" s="163">
        <f t="shared" ref="I81" ca="1" si="150">IF(H81="Ruutu",1,IF(I80=3,10,IF(H80=1,H81,1+H81)))</f>
        <v>3</v>
      </c>
      <c r="J81" s="163">
        <f t="shared" ref="J81" ca="1" si="151">IF(I81="Ruutu",1,IF(J80=3,10,IF(I80=1,I81,1+I81)))</f>
        <v>3</v>
      </c>
      <c r="K81" s="164">
        <f t="shared" ref="K81" ca="1" si="152">IF(J81="Ruutu",1,IF(K80=3,10,IF(J80=1,J81,1+J81)))</f>
        <v>4</v>
      </c>
      <c r="L81" s="164">
        <f t="shared" ref="L81" ca="1" si="153">IF(K81="Ruutu",1,IF(L80=3,10,IF(K80=1,K81,1+K81)))</f>
        <v>4</v>
      </c>
      <c r="M81" s="163">
        <f t="shared" ref="M81" ca="1" si="154">IF(L81="Ruutu",1,IF(M80=3,10,IF(L80=1,L81,1+L81)))</f>
        <v>5</v>
      </c>
      <c r="N81" s="163">
        <f t="shared" ref="N81" ca="1" si="155">IF(M81="Ruutu",1,IF(N80=3,10,IF(M80=1,M81,1+M81)))</f>
        <v>5</v>
      </c>
      <c r="O81" s="164">
        <f t="shared" ref="O81" ca="1" si="156">IF(N81="Ruutu",1,IF(O80=3,10,IF(N80=1,N81,1+N81)))</f>
        <v>6</v>
      </c>
      <c r="P81" s="164">
        <f t="shared" ref="P81" ca="1" si="157">IF(O81="Ruutu",1,IF(P80=3,10,IF(O80=1,O81,1+O81)))</f>
        <v>6</v>
      </c>
      <c r="Q81" s="163">
        <f t="shared" ref="Q81" ca="1" si="158">IF(P81="Ruutu",1,IF(Q80=3,10,IF(P80=1,P81,1+P81)))</f>
        <v>7</v>
      </c>
      <c r="R81" s="163">
        <f t="shared" ref="R81" ca="1" si="159">IF(Q81="Ruutu",1,IF(R80=3,10,IF(Q80=1,Q81,1+Q81)))</f>
        <v>7</v>
      </c>
      <c r="S81" s="164">
        <f t="shared" ref="S81" ca="1" si="160">IF(R81="Ruutu",1,IF(S80=3,10,IF(R80=1,R81,1+R81)))</f>
        <v>8</v>
      </c>
      <c r="T81" s="164">
        <f t="shared" ref="T81" ca="1" si="161">IF(S81="Ruutu",1,IF(T80=3,10,IF(S80=1,S81,1+S81)))</f>
        <v>8</v>
      </c>
      <c r="U81" s="163">
        <f t="shared" ref="U81" ca="1" si="162">IF(T81="Ruutu",1,IF(U80=3,10,IF(T80=1,T81,1+T81)))</f>
        <v>9</v>
      </c>
      <c r="V81" s="163">
        <f t="shared" ref="V81" ca="1" si="163">IF(U81="Ruutu",1,IF(V80=3,10,IF(U80=1,U81,1+U81)))</f>
        <v>9</v>
      </c>
      <c r="W81" s="164">
        <f t="shared" ref="W81" ca="1" si="164">IF(V81="Ruutu",1,IF(W80=3,10,IF(V80=1,V81,1+V81)))</f>
        <v>10</v>
      </c>
      <c r="X81" s="164">
        <f t="shared" ref="X81" ca="1" si="165">IF(W81="Ruutu",1,IF(X80=3,10,IF(W80=1,W81,1+W81)))</f>
        <v>10</v>
      </c>
      <c r="Y81" s="164">
        <f t="shared" ref="Y81" ca="1" si="166">IF(X81="Ruutu",1,IF(Y80=3,10,IF(X80=1,X81,1+X81)))</f>
        <v>10</v>
      </c>
    </row>
    <row r="82" spans="1:25" x14ac:dyDescent="0.25">
      <c r="A82" s="159" t="s">
        <v>222</v>
      </c>
      <c r="B82" s="150">
        <f ca="1">COUNTIFS(OFFSET(B81,-2,3):OFFSET(B81,-2,23),1,OFFSET(B81,2,3):OFFSET(B81,2,23),1)</f>
        <v>9</v>
      </c>
      <c r="D82" s="165" t="s">
        <v>219</v>
      </c>
      <c r="E82" s="163">
        <f t="shared" ref="E82:Y82" ca="1" si="167">SUMIFS($E73:$Y73,$E81:$Y81,E81)</f>
        <v>9</v>
      </c>
      <c r="F82" s="163">
        <f t="shared" ca="1" si="167"/>
        <v>9</v>
      </c>
      <c r="G82" s="164">
        <f t="shared" ca="1" si="167"/>
        <v>7</v>
      </c>
      <c r="H82" s="164">
        <f t="shared" ca="1" si="167"/>
        <v>7</v>
      </c>
      <c r="I82" s="163">
        <f t="shared" ca="1" si="167"/>
        <v>10</v>
      </c>
      <c r="J82" s="163">
        <f t="shared" ca="1" si="167"/>
        <v>10</v>
      </c>
      <c r="K82" s="164">
        <f t="shared" ca="1" si="167"/>
        <v>8</v>
      </c>
      <c r="L82" s="164">
        <f t="shared" ca="1" si="167"/>
        <v>8</v>
      </c>
      <c r="M82" s="163">
        <f t="shared" ca="1" si="167"/>
        <v>10</v>
      </c>
      <c r="N82" s="163">
        <f t="shared" ca="1" si="167"/>
        <v>10</v>
      </c>
      <c r="O82" s="164">
        <f t="shared" ca="1" si="167"/>
        <v>9</v>
      </c>
      <c r="P82" s="164">
        <f t="shared" ca="1" si="167"/>
        <v>9</v>
      </c>
      <c r="Q82" s="163">
        <f t="shared" ca="1" si="167"/>
        <v>6</v>
      </c>
      <c r="R82" s="163">
        <f t="shared" ca="1" si="167"/>
        <v>6</v>
      </c>
      <c r="S82" s="164">
        <f t="shared" ca="1" si="167"/>
        <v>6</v>
      </c>
      <c r="T82" s="164">
        <f t="shared" ca="1" si="167"/>
        <v>6</v>
      </c>
      <c r="U82" s="163">
        <f t="shared" ca="1" si="167"/>
        <v>8</v>
      </c>
      <c r="V82" s="163">
        <f t="shared" ca="1" si="167"/>
        <v>8</v>
      </c>
      <c r="W82" s="164">
        <f t="shared" ca="1" si="167"/>
        <v>0</v>
      </c>
      <c r="X82" s="164">
        <f t="shared" ca="1" si="167"/>
        <v>0</v>
      </c>
      <c r="Y82" s="164">
        <f t="shared" ca="1" si="167"/>
        <v>0</v>
      </c>
    </row>
    <row r="83" spans="1:25" x14ac:dyDescent="0.25">
      <c r="A83" s="159" t="s">
        <v>223</v>
      </c>
      <c r="B83" s="152">
        <f ca="1">B81/B82</f>
        <v>0.22222222222222221</v>
      </c>
      <c r="D83" s="165" t="s">
        <v>221</v>
      </c>
      <c r="E83" s="163">
        <f t="shared" ref="E83:Y83" ca="1" si="168">(SUMIFS($E78:$Y78,$E81:$Y81,E81)&gt;=2)*1</f>
        <v>1</v>
      </c>
      <c r="F83" s="163">
        <f t="shared" ca="1" si="168"/>
        <v>1</v>
      </c>
      <c r="G83" s="164">
        <f t="shared" ca="1" si="168"/>
        <v>1</v>
      </c>
      <c r="H83" s="164">
        <f t="shared" ca="1" si="168"/>
        <v>1</v>
      </c>
      <c r="I83" s="163">
        <f t="shared" ca="1" si="168"/>
        <v>1</v>
      </c>
      <c r="J83" s="163">
        <f t="shared" ca="1" si="168"/>
        <v>1</v>
      </c>
      <c r="K83" s="164">
        <f t="shared" ca="1" si="168"/>
        <v>1</v>
      </c>
      <c r="L83" s="164">
        <f t="shared" ca="1" si="168"/>
        <v>1</v>
      </c>
      <c r="M83" s="163">
        <f t="shared" ca="1" si="168"/>
        <v>1</v>
      </c>
      <c r="N83" s="163">
        <f t="shared" ca="1" si="168"/>
        <v>1</v>
      </c>
      <c r="O83" s="164">
        <f t="shared" ca="1" si="168"/>
        <v>1</v>
      </c>
      <c r="P83" s="164">
        <f t="shared" ca="1" si="168"/>
        <v>1</v>
      </c>
      <c r="Q83" s="163">
        <f t="shared" ca="1" si="168"/>
        <v>1</v>
      </c>
      <c r="R83" s="163">
        <f t="shared" ca="1" si="168"/>
        <v>1</v>
      </c>
      <c r="S83" s="164">
        <f t="shared" ca="1" si="168"/>
        <v>1</v>
      </c>
      <c r="T83" s="164">
        <f t="shared" ca="1" si="168"/>
        <v>1</v>
      </c>
      <c r="U83" s="163">
        <f t="shared" ca="1" si="168"/>
        <v>1</v>
      </c>
      <c r="V83" s="163">
        <f t="shared" ca="1" si="168"/>
        <v>1</v>
      </c>
      <c r="W83" s="164">
        <f t="shared" ca="1" si="168"/>
        <v>0</v>
      </c>
      <c r="X83" s="164">
        <f t="shared" ca="1" si="168"/>
        <v>0</v>
      </c>
      <c r="Y83" s="164">
        <f t="shared" ca="1" si="168"/>
        <v>0</v>
      </c>
    </row>
    <row r="84" spans="1:25" x14ac:dyDescent="0.25">
      <c r="A84" s="162" t="s">
        <v>224</v>
      </c>
      <c r="B84" s="155">
        <f ca="1">B85/B86*10</f>
        <v>8.1111111111111107</v>
      </c>
      <c r="D84" s="165" t="s">
        <v>226</v>
      </c>
      <c r="E84" s="163">
        <f>COLUMN()-2</f>
        <v>3</v>
      </c>
      <c r="F84" s="163">
        <f t="shared" ref="F84:Y84" si="169">COLUMN()-2</f>
        <v>4</v>
      </c>
      <c r="G84" s="164">
        <f t="shared" si="169"/>
        <v>5</v>
      </c>
      <c r="H84" s="164">
        <f t="shared" si="169"/>
        <v>6</v>
      </c>
      <c r="I84" s="163">
        <f t="shared" si="169"/>
        <v>7</v>
      </c>
      <c r="J84" s="163">
        <f t="shared" si="169"/>
        <v>8</v>
      </c>
      <c r="K84" s="164">
        <f t="shared" si="169"/>
        <v>9</v>
      </c>
      <c r="L84" s="164">
        <f t="shared" si="169"/>
        <v>10</v>
      </c>
      <c r="M84" s="163">
        <f t="shared" si="169"/>
        <v>11</v>
      </c>
      <c r="N84" s="163">
        <f t="shared" si="169"/>
        <v>12</v>
      </c>
      <c r="O84" s="164">
        <f t="shared" si="169"/>
        <v>13</v>
      </c>
      <c r="P84" s="164">
        <f t="shared" si="169"/>
        <v>14</v>
      </c>
      <c r="Q84" s="163">
        <f t="shared" si="169"/>
        <v>15</v>
      </c>
      <c r="R84" s="163">
        <f t="shared" si="169"/>
        <v>16</v>
      </c>
      <c r="S84" s="164">
        <f t="shared" si="169"/>
        <v>17</v>
      </c>
      <c r="T84" s="164">
        <f t="shared" si="169"/>
        <v>18</v>
      </c>
      <c r="U84" s="163">
        <f t="shared" si="169"/>
        <v>19</v>
      </c>
      <c r="V84" s="163">
        <f t="shared" si="169"/>
        <v>20</v>
      </c>
      <c r="W84" s="164">
        <f t="shared" si="169"/>
        <v>21</v>
      </c>
      <c r="X84" s="164">
        <f t="shared" si="169"/>
        <v>22</v>
      </c>
      <c r="Y84" s="164">
        <f t="shared" si="169"/>
        <v>23</v>
      </c>
    </row>
    <row r="85" spans="1:25" x14ac:dyDescent="0.25">
      <c r="A85" s="160" t="s">
        <v>214</v>
      </c>
      <c r="B85" s="156">
        <f ca="1">SUM(OFFSET(B85,-12,3):OFFSET(B85,-12,23))</f>
        <v>73</v>
      </c>
      <c r="D85" s="165" t="s">
        <v>227</v>
      </c>
      <c r="E85" s="163">
        <v>0</v>
      </c>
      <c r="F85" s="163">
        <v>0</v>
      </c>
      <c r="G85" s="164">
        <v>0</v>
      </c>
      <c r="H85" s="164">
        <v>0</v>
      </c>
      <c r="I85" s="163">
        <v>0</v>
      </c>
      <c r="J85" s="163">
        <v>0</v>
      </c>
      <c r="K85" s="164">
        <v>0</v>
      </c>
      <c r="L85" s="164">
        <v>0</v>
      </c>
      <c r="M85" s="163">
        <v>0</v>
      </c>
      <c r="N85" s="163">
        <v>0</v>
      </c>
      <c r="O85" s="164">
        <v>0</v>
      </c>
      <c r="P85" s="164">
        <v>0</v>
      </c>
      <c r="Q85" s="163">
        <v>0</v>
      </c>
      <c r="R85" s="163">
        <v>0</v>
      </c>
      <c r="S85" s="164">
        <v>0</v>
      </c>
      <c r="T85" s="164">
        <v>0</v>
      </c>
      <c r="U85" s="163">
        <v>0</v>
      </c>
      <c r="V85" s="163">
        <v>0</v>
      </c>
      <c r="W85" s="164">
        <v>0</v>
      </c>
      <c r="X85" s="164">
        <v>0</v>
      </c>
      <c r="Y85" s="164">
        <v>1</v>
      </c>
    </row>
    <row r="86" spans="1:25" x14ac:dyDescent="0.25">
      <c r="A86" s="160" t="s">
        <v>225</v>
      </c>
      <c r="B86" s="156">
        <f ca="1">10*SUMPRODUCT(OFFSET(B86,-7,3):OFFSET(B86,-7,23),OFFSET(B86,-8,3):OFFSET(B86,-8,23))</f>
        <v>90</v>
      </c>
      <c r="D86" s="165" t="s">
        <v>213</v>
      </c>
      <c r="E86" s="163" t="str">
        <f ca="1">IF(E77="AI",IF(OR(E79=1,AND(E85=1,OFFSET(E86,-6,-E84)=1)),OFFSET(E86,-10,-E84),""),"")</f>
        <v/>
      </c>
      <c r="F86" s="163" t="str">
        <f t="shared" ref="F86" ca="1" si="170">IF(F77="AI",IF(OR(F79=1,AND(F85=1,OFFSET(F86,-6,-F84)=1)),OFFSET(F86,-10,-F84),""),"")</f>
        <v/>
      </c>
      <c r="G86" s="164" t="str">
        <f t="shared" ref="G86" ca="1" si="171">IF(G77="AI",IF(OR(G79=1,AND(G85=1,OFFSET(G86,-6,-G84)=1)),OFFSET(G86,-10,-G84),""),"")</f>
        <v/>
      </c>
      <c r="H86" s="164" t="str">
        <f t="shared" ref="H86" ca="1" si="172">IF(H77="AI",IF(OR(H79=1,AND(H85=1,OFFSET(H86,-6,-H84)=1)),OFFSET(H86,-10,-H84),""),"")</f>
        <v/>
      </c>
      <c r="I86" s="163" t="str">
        <f t="shared" ref="I86" ca="1" si="173">IF(I77="AI",IF(OR(I79=1,AND(I85=1,OFFSET(I86,-6,-I84)=1)),OFFSET(I86,-10,-I84),""),"")</f>
        <v/>
      </c>
      <c r="J86" s="163" t="str">
        <f t="shared" ref="J86" ca="1" si="174">IF(J77="AI",IF(OR(J79=1,AND(J85=1,OFFSET(J86,-6,-J84)=1)),OFFSET(J86,-10,-J84),""),"")</f>
        <v/>
      </c>
      <c r="K86" s="164" t="str">
        <f t="shared" ref="K86" ca="1" si="175">IF(K77="AI",IF(OR(K79=1,AND(K85=1,OFFSET(K86,-6,-K84)=1)),OFFSET(K86,-10,-K84),""),"")</f>
        <v/>
      </c>
      <c r="L86" s="164" t="str">
        <f t="shared" ref="L86" ca="1" si="176">IF(L77="AI",IF(OR(L79=1,AND(L85=1,OFFSET(L86,-6,-L84)=1)),OFFSET(L86,-10,-L84),""),"")</f>
        <v/>
      </c>
      <c r="M86" s="163" t="str">
        <f t="shared" ref="M86" ca="1" si="177">IF(M77="AI",IF(OR(M79=1,AND(M85=1,OFFSET(M86,-6,-M84)=1)),OFFSET(M86,-10,-M84),""),"")</f>
        <v/>
      </c>
      <c r="N86" s="163" t="str">
        <f t="shared" ref="N86" ca="1" si="178">IF(N77="AI",IF(OR(N79=1,AND(N85=1,OFFSET(N86,-6,-N84)=1)),OFFSET(N86,-10,-N84),""),"")</f>
        <v/>
      </c>
      <c r="O86" s="164" t="str">
        <f t="shared" ref="O86" ca="1" si="179">IF(O77="AI",IF(OR(O79=1,AND(O85=1,OFFSET(O86,-6,-O84)=1)),OFFSET(O86,-10,-O84),""),"")</f>
        <v/>
      </c>
      <c r="P86" s="164" t="str">
        <f t="shared" ref="P86" ca="1" si="180">IF(P77="AI",IF(OR(P79=1,AND(P85=1,OFFSET(P86,-6,-P84)=1)),OFFSET(P86,-10,-P84),""),"")</f>
        <v/>
      </c>
      <c r="Q86" s="163" t="str">
        <f t="shared" ref="Q86" ca="1" si="181">IF(Q77="AI",IF(OR(Q79=1,AND(Q85=1,OFFSET(Q86,-6,-Q84)=1)),OFFSET(Q86,-10,-Q84),""),"")</f>
        <v/>
      </c>
      <c r="R86" s="163" t="str">
        <f t="shared" ref="R86" ca="1" si="182">IF(R77="AI",IF(OR(R79=1,AND(R85=1,OFFSET(R86,-6,-R84)=1)),OFFSET(R86,-10,-R84),""),"")</f>
        <v/>
      </c>
      <c r="S86" s="164" t="str">
        <f t="shared" ref="S86" ca="1" si="183">IF(S77="AI",IF(OR(S79=1,AND(S85=1,OFFSET(S86,-6,-S84)=1)),OFFSET(S86,-10,-S84),""),"")</f>
        <v/>
      </c>
      <c r="T86" s="164" t="str">
        <f t="shared" ref="T86" ca="1" si="184">IF(T77="AI",IF(OR(T79=1,AND(T85=1,OFFSET(T86,-6,-T84)=1)),OFFSET(T86,-10,-T84),""),"")</f>
        <v/>
      </c>
      <c r="U86" s="163" t="str">
        <f t="shared" ref="U86" ca="1" si="185">IF(U77="AI",IF(OR(U79=1,AND(U85=1,OFFSET(U86,-6,-U84)=1)),OFFSET(U86,-10,-U84),""),"")</f>
        <v/>
      </c>
      <c r="V86" s="163" t="str">
        <f t="shared" ref="V86" ca="1" si="186">IF(V77="AI",IF(OR(V79=1,AND(V85=1,OFFSET(V86,-6,-V84)=1)),OFFSET(V86,-10,-V84),""),"")</f>
        <v/>
      </c>
      <c r="W86" s="164">
        <f t="shared" ref="W86" ca="1" si="187">IF(W77="AI",IF(OR(W79=1,AND(W85=1,OFFSET(W86,-6,-W84)=1)),OFFSET(W86,-10,-W84),""),"")</f>
        <v>7</v>
      </c>
      <c r="X86" s="164" t="str">
        <f t="shared" ref="X86" ca="1" si="188">IF(X77="AI",IF(OR(X79=1,AND(X85=1,OFFSET(X86,-6,-X84)=1)),OFFSET(X86,-10,-X84),""),"")</f>
        <v/>
      </c>
      <c r="Y86" s="164" t="str">
        <f t="shared" ref="Y86" ca="1" si="189">IF(Y77="AI",IF(OR(Y79=1,AND(Y85=1,OFFSET(Y86,-6,-Y84)=1)),OFFSET(Y86,-10,-Y84),""),"")</f>
        <v/>
      </c>
    </row>
    <row r="87" spans="1:25" x14ac:dyDescent="0.25">
      <c r="A87" s="213" t="s">
        <v>235</v>
      </c>
      <c r="B87" s="214">
        <f ca="1">W94</f>
        <v>97</v>
      </c>
      <c r="D87" s="165" t="s">
        <v>229</v>
      </c>
      <c r="E87" s="163" t="str">
        <f ca="1">IF(E77="AI",IF(E80=2,IF(OFFSET(E87,-7,-E84)=1,10-SUMIFS($E86:$X86,$E81:$X81,E81),""),""),"")</f>
        <v/>
      </c>
      <c r="F87" s="163" t="str">
        <f t="shared" ref="F87" ca="1" si="190">IF(F77="AI",IF(F80=2,IF(OFFSET(F87,-7,-F84)=1,10-SUMIFS($E86:$X86,$E81:$X81,F81),""),""),"")</f>
        <v/>
      </c>
      <c r="G87" s="164" t="str">
        <f t="shared" ref="G87" ca="1" si="191">IF(G77="AI",IF(G80=2,IF(OFFSET(G87,-7,-G84)=1,10-SUMIFS($E86:$X86,$E81:$X81,G81),""),""),"")</f>
        <v/>
      </c>
      <c r="H87" s="164" t="str">
        <f t="shared" ref="H87" ca="1" si="192">IF(H77="AI",IF(H80=2,IF(OFFSET(H87,-7,-H84)=1,10-SUMIFS($E86:$X86,$E81:$X81,H81),""),""),"")</f>
        <v/>
      </c>
      <c r="I87" s="163" t="str">
        <f t="shared" ref="I87" ca="1" si="193">IF(I77="AI",IF(I80=2,IF(OFFSET(I87,-7,-I84)=1,10-SUMIFS($E86:$X86,$E81:$X81,I81),""),""),"")</f>
        <v/>
      </c>
      <c r="J87" s="163" t="str">
        <f t="shared" ref="J87" ca="1" si="194">IF(J77="AI",IF(J80=2,IF(OFFSET(J87,-7,-J84)=1,10-SUMIFS($E86:$X86,$E81:$X81,J81),""),""),"")</f>
        <v/>
      </c>
      <c r="K87" s="164" t="str">
        <f t="shared" ref="K87" ca="1" si="195">IF(K77="AI",IF(K80=2,IF(OFFSET(K87,-7,-K84)=1,10-SUMIFS($E86:$X86,$E81:$X81,K81),""),""),"")</f>
        <v/>
      </c>
      <c r="L87" s="164" t="str">
        <f t="shared" ref="L87" ca="1" si="196">IF(L77="AI",IF(L80=2,IF(OFFSET(L87,-7,-L84)=1,10-SUMIFS($E86:$X86,$E81:$X81,L81),""),""),"")</f>
        <v/>
      </c>
      <c r="M87" s="163" t="str">
        <f t="shared" ref="M87" ca="1" si="197">IF(M77="AI",IF(M80=2,IF(OFFSET(M87,-7,-M84)=1,10-SUMIFS($E86:$X86,$E81:$X81,M81),""),""),"")</f>
        <v/>
      </c>
      <c r="N87" s="163" t="str">
        <f t="shared" ref="N87" ca="1" si="198">IF(N77="AI",IF(N80=2,IF(OFFSET(N87,-7,-N84)=1,10-SUMIFS($E86:$X86,$E81:$X81,N81),""),""),"")</f>
        <v/>
      </c>
      <c r="O87" s="164" t="str">
        <f t="shared" ref="O87" ca="1" si="199">IF(O77="AI",IF(O80=2,IF(OFFSET(O87,-7,-O84)=1,10-SUMIFS($E86:$X86,$E81:$X81,O81),""),""),"")</f>
        <v/>
      </c>
      <c r="P87" s="164" t="str">
        <f t="shared" ref="P87" ca="1" si="200">IF(P77="AI",IF(P80=2,IF(OFFSET(P87,-7,-P84)=1,10-SUMIFS($E86:$X86,$E81:$X81,P81),""),""),"")</f>
        <v/>
      </c>
      <c r="Q87" s="163" t="str">
        <f t="shared" ref="Q87" ca="1" si="201">IF(Q77="AI",IF(Q80=2,IF(OFFSET(Q87,-7,-Q84)=1,10-SUMIFS($E86:$X86,$E81:$X81,Q81),""),""),"")</f>
        <v/>
      </c>
      <c r="R87" s="163" t="str">
        <f t="shared" ref="R87" ca="1" si="202">IF(R77="AI",IF(R80=2,IF(OFFSET(R87,-7,-R84)=1,10-SUMIFS($E86:$X86,$E81:$X81,R81),""),""),"")</f>
        <v/>
      </c>
      <c r="S87" s="164" t="str">
        <f t="shared" ref="S87" ca="1" si="203">IF(S77="AI",IF(S80=2,IF(OFFSET(S87,-7,-S84)=1,10-SUMIFS($E86:$X86,$E81:$X81,S81),""),""),"")</f>
        <v/>
      </c>
      <c r="T87" s="164" t="str">
        <f t="shared" ref="T87" ca="1" si="204">IF(T77="AI",IF(T80=2,IF(OFFSET(T87,-7,-T84)=1,10-SUMIFS($E86:$X86,$E81:$X81,T81),""),""),"")</f>
        <v/>
      </c>
      <c r="U87" s="163" t="str">
        <f t="shared" ref="U87" ca="1" si="205">IF(U77="AI",IF(U80=2,IF(OFFSET(U87,-7,-U84)=1,10-SUMIFS($E86:$X86,$E81:$X81,U81),""),""),"")</f>
        <v/>
      </c>
      <c r="V87" s="163" t="str">
        <f t="shared" ref="V87" ca="1" si="206">IF(V77="AI",IF(V80=2,IF(OFFSET(V87,-7,-V84)=1,10-SUMIFS($E86:$X86,$E81:$X81,V81),""),""),"")</f>
        <v/>
      </c>
      <c r="W87" s="164" t="str">
        <f t="shared" ref="W87" ca="1" si="207">IF(W77="AI",IF(W80=2,IF(OFFSET(W87,-7,-W84)=1,10-SUMIFS($E86:$X86,$E81:$X81,W81),""),""),"")</f>
        <v/>
      </c>
      <c r="X87" s="164" t="str">
        <f t="shared" ref="X87" ca="1" si="208">IF(X77="AI",IF(X80=2,IF(OFFSET(X87,-7,-X84)=1,10-SUMIFS($E86:$X86,$E81:$X81,X81),""),""),"")</f>
        <v/>
      </c>
      <c r="Y87" s="164" t="str">
        <f t="shared" ref="Y87" ca="1" si="209">IF(Y77="AI",IF(Y80=2,IF(OFFSET(Y87,-7,-Y84)=1,10-SUMIFS($E86:$X86,$E81:$X81,Y81),""),""),"")</f>
        <v/>
      </c>
    </row>
    <row r="88" spans="1:25" x14ac:dyDescent="0.25">
      <c r="A88" s="213"/>
      <c r="B88" s="214"/>
      <c r="D88" s="165" t="s">
        <v>232</v>
      </c>
      <c r="E88" s="163">
        <f>IF(E81=10,2,IF(E81&gt;7,1,0))</f>
        <v>0</v>
      </c>
      <c r="F88" s="163">
        <f t="shared" ref="F88:Y88" ca="1" si="210">IF(F81=10,2,IF(F81&gt;7,1,0))</f>
        <v>0</v>
      </c>
      <c r="G88" s="164">
        <f t="shared" ca="1" si="210"/>
        <v>0</v>
      </c>
      <c r="H88" s="164">
        <f t="shared" ca="1" si="210"/>
        <v>0</v>
      </c>
      <c r="I88" s="163">
        <f t="shared" ca="1" si="210"/>
        <v>0</v>
      </c>
      <c r="J88" s="163">
        <f t="shared" ca="1" si="210"/>
        <v>0</v>
      </c>
      <c r="K88" s="164">
        <f t="shared" ca="1" si="210"/>
        <v>0</v>
      </c>
      <c r="L88" s="164">
        <f t="shared" ca="1" si="210"/>
        <v>0</v>
      </c>
      <c r="M88" s="163">
        <f t="shared" ca="1" si="210"/>
        <v>0</v>
      </c>
      <c r="N88" s="163">
        <f t="shared" ca="1" si="210"/>
        <v>0</v>
      </c>
      <c r="O88" s="164">
        <f t="shared" ca="1" si="210"/>
        <v>0</v>
      </c>
      <c r="P88" s="164">
        <f t="shared" ca="1" si="210"/>
        <v>0</v>
      </c>
      <c r="Q88" s="163">
        <f t="shared" ca="1" si="210"/>
        <v>0</v>
      </c>
      <c r="R88" s="163">
        <f t="shared" ca="1" si="210"/>
        <v>0</v>
      </c>
      <c r="S88" s="164">
        <f t="shared" ca="1" si="210"/>
        <v>1</v>
      </c>
      <c r="T88" s="164">
        <f t="shared" ca="1" si="210"/>
        <v>1</v>
      </c>
      <c r="U88" s="163">
        <f t="shared" ca="1" si="210"/>
        <v>1</v>
      </c>
      <c r="V88" s="163">
        <f t="shared" ca="1" si="210"/>
        <v>1</v>
      </c>
      <c r="W88" s="164">
        <f t="shared" ca="1" si="210"/>
        <v>2</v>
      </c>
      <c r="X88" s="164">
        <f t="shared" ca="1" si="210"/>
        <v>2</v>
      </c>
      <c r="Y88" s="164">
        <f t="shared" ca="1" si="210"/>
        <v>2</v>
      </c>
    </row>
    <row r="89" spans="1:25" x14ac:dyDescent="0.25">
      <c r="D89" s="165" t="s">
        <v>230</v>
      </c>
      <c r="E89" s="163" t="str">
        <f ca="1">IF(E77="AI",IF(E80=2,IF(OFFSET(E89,-9,-E84)=0,MAX(ROUND(OFFSET(E89,-5,-E84)-(SUMIFS($E73:$Y73,$E79:$Y79,1,$E81:$Y81,E81)+SUMIFS($E86:$Y86,$E79:$Y79,1,$E81:$Y81,E81)+E88),0),0),""),""),"")</f>
        <v/>
      </c>
      <c r="F89" s="163" t="str">
        <f t="shared" ref="F89" ca="1" si="211">IF(F77="AI",IF(F80=2,IF(OFFSET(F89,-9,-F84)=0,MAX(ROUND(OFFSET(F89,-5,-F84)-(SUMIFS($E73:$Y73,$E79:$Y79,1,$E81:$Y81,F81)+SUMIFS($E86:$Y86,$E79:$Y79,1,$E81:$Y81,F81)+F88),0),0),""),""),"")</f>
        <v/>
      </c>
      <c r="G89" s="164" t="str">
        <f t="shared" ref="G89" ca="1" si="212">IF(G77="AI",IF(G80=2,IF(OFFSET(G89,-9,-G84)=0,MAX(ROUND(OFFSET(G89,-5,-G84)-(SUMIFS($E73:$Y73,$E79:$Y79,1,$E81:$Y81,G81)+SUMIFS($E86:$Y86,$E79:$Y79,1,$E81:$Y81,G81)+G88),0),0),""),""),"")</f>
        <v/>
      </c>
      <c r="H89" s="164" t="str">
        <f t="shared" ref="H89" ca="1" si="213">IF(H77="AI",IF(H80=2,IF(OFFSET(H89,-9,-H84)=0,MAX(ROUND(OFFSET(H89,-5,-H84)-(SUMIFS($E73:$Y73,$E79:$Y79,1,$E81:$Y81,H81)+SUMIFS($E86:$Y86,$E79:$Y79,1,$E81:$Y81,H81)+H88),0),0),""),""),"")</f>
        <v/>
      </c>
      <c r="I89" s="163" t="str">
        <f t="shared" ref="I89" ca="1" si="214">IF(I77="AI",IF(I80=2,IF(OFFSET(I89,-9,-I84)=0,MAX(ROUND(OFFSET(I89,-5,-I84)-(SUMIFS($E73:$Y73,$E79:$Y79,1,$E81:$Y81,I81)+SUMIFS($E86:$Y86,$E79:$Y79,1,$E81:$Y81,I81)+I88),0),0),""),""),"")</f>
        <v/>
      </c>
      <c r="J89" s="163" t="str">
        <f t="shared" ref="J89" ca="1" si="215">IF(J77="AI",IF(J80=2,IF(OFFSET(J89,-9,-J84)=0,MAX(ROUND(OFFSET(J89,-5,-J84)-(SUMIFS($E73:$Y73,$E79:$Y79,1,$E81:$Y81,J81)+SUMIFS($E86:$Y86,$E79:$Y79,1,$E81:$Y81,J81)+J88),0),0),""),""),"")</f>
        <v/>
      </c>
      <c r="K89" s="164" t="str">
        <f t="shared" ref="K89" ca="1" si="216">IF(K77="AI",IF(K80=2,IF(OFFSET(K89,-9,-K84)=0,MAX(ROUND(OFFSET(K89,-5,-K84)-(SUMIFS($E73:$Y73,$E79:$Y79,1,$E81:$Y81,K81)+SUMIFS($E86:$Y86,$E79:$Y79,1,$E81:$Y81,K81)+K88),0),0),""),""),"")</f>
        <v/>
      </c>
      <c r="L89" s="164" t="str">
        <f t="shared" ref="L89" ca="1" si="217">IF(L77="AI",IF(L80=2,IF(OFFSET(L89,-9,-L84)=0,MAX(ROUND(OFFSET(L89,-5,-L84)-(SUMIFS($E73:$Y73,$E79:$Y79,1,$E81:$Y81,L81)+SUMIFS($E86:$Y86,$E79:$Y79,1,$E81:$Y81,L81)+L88),0),0),""),""),"")</f>
        <v/>
      </c>
      <c r="M89" s="163" t="str">
        <f t="shared" ref="M89" ca="1" si="218">IF(M77="AI",IF(M80=2,IF(OFFSET(M89,-9,-M84)=0,MAX(ROUND(OFFSET(M89,-5,-M84)-(SUMIFS($E73:$Y73,$E79:$Y79,1,$E81:$Y81,M81)+SUMIFS($E86:$Y86,$E79:$Y79,1,$E81:$Y81,M81)+M88),0),0),""),""),"")</f>
        <v/>
      </c>
      <c r="N89" s="163" t="str">
        <f t="shared" ref="N89" ca="1" si="219">IF(N77="AI",IF(N80=2,IF(OFFSET(N89,-9,-N84)=0,MAX(ROUND(OFFSET(N89,-5,-N84)-(SUMIFS($E73:$Y73,$E79:$Y79,1,$E81:$Y81,N81)+SUMIFS($E86:$Y86,$E79:$Y79,1,$E81:$Y81,N81)+N88),0),0),""),""),"")</f>
        <v/>
      </c>
      <c r="O89" s="164" t="str">
        <f t="shared" ref="O89" ca="1" si="220">IF(O77="AI",IF(O80=2,IF(OFFSET(O89,-9,-O84)=0,MAX(ROUND(OFFSET(O89,-5,-O84)-(SUMIFS($E73:$Y73,$E79:$Y79,1,$E81:$Y81,O81)+SUMIFS($E86:$Y86,$E79:$Y79,1,$E81:$Y81,O81)+O88),0),0),""),""),"")</f>
        <v/>
      </c>
      <c r="P89" s="164" t="str">
        <f t="shared" ref="P89" ca="1" si="221">IF(P77="AI",IF(P80=2,IF(OFFSET(P89,-9,-P84)=0,MAX(ROUND(OFFSET(P89,-5,-P84)-(SUMIFS($E73:$Y73,$E79:$Y79,1,$E81:$Y81,P81)+SUMIFS($E86:$Y86,$E79:$Y79,1,$E81:$Y81,P81)+P88),0),0),""),""),"")</f>
        <v/>
      </c>
      <c r="Q89" s="163" t="str">
        <f t="shared" ref="Q89" ca="1" si="222">IF(Q77="AI",IF(Q80=2,IF(OFFSET(Q89,-9,-Q84)=0,MAX(ROUND(OFFSET(Q89,-5,-Q84)-(SUMIFS($E73:$Y73,$E79:$Y79,1,$E81:$Y81,Q81)+SUMIFS($E86:$Y86,$E79:$Y79,1,$E81:$Y81,Q81)+Q88),0),0),""),""),"")</f>
        <v/>
      </c>
      <c r="R89" s="163" t="str">
        <f t="shared" ref="R89" ca="1" si="223">IF(R77="AI",IF(R80=2,IF(OFFSET(R89,-9,-R84)=0,MAX(ROUND(OFFSET(R89,-5,-R84)-(SUMIFS($E73:$Y73,$E79:$Y79,1,$E81:$Y81,R81)+SUMIFS($E86:$Y86,$E79:$Y79,1,$E81:$Y81,R81)+R88),0),0),""),""),"")</f>
        <v/>
      </c>
      <c r="S89" s="164" t="str">
        <f t="shared" ref="S89" ca="1" si="224">IF(S77="AI",IF(S80=2,IF(OFFSET(S89,-9,-S84)=0,MAX(ROUND(OFFSET(S89,-5,-S84)-(SUMIFS($E73:$Y73,$E79:$Y79,1,$E81:$Y81,S81)+SUMIFS($E86:$Y86,$E79:$Y79,1,$E81:$Y81,S81)+S88),0),0),""),""),"")</f>
        <v/>
      </c>
      <c r="T89" s="164" t="str">
        <f t="shared" ref="T89" ca="1" si="225">IF(T77="AI",IF(T80=2,IF(OFFSET(T89,-9,-T84)=0,MAX(ROUND(OFFSET(T89,-5,-T84)-(SUMIFS($E73:$Y73,$E79:$Y79,1,$E81:$Y81,T81)+SUMIFS($E86:$Y86,$E79:$Y79,1,$E81:$Y81,T81)+T88),0),0),""),""),"")</f>
        <v/>
      </c>
      <c r="U89" s="163" t="str">
        <f t="shared" ref="U89" ca="1" si="226">IF(U77="AI",IF(U80=2,IF(OFFSET(U89,-9,-U84)=0,MAX(ROUND(OFFSET(U89,-5,-U84)-(SUMIFS($E73:$Y73,$E79:$Y79,1,$E81:$Y81,U81)+SUMIFS($E86:$Y86,$E79:$Y79,1,$E81:$Y81,U81)+U88),0),0),""),""),"")</f>
        <v/>
      </c>
      <c r="V89" s="163" t="str">
        <f t="shared" ref="V89" ca="1" si="227">IF(V77="AI",IF(V80=2,IF(OFFSET(V89,-9,-V84)=0,MAX(ROUND(OFFSET(V89,-5,-V84)-(SUMIFS($E73:$Y73,$E79:$Y79,1,$E81:$Y81,V81)+SUMIFS($E86:$Y86,$E79:$Y79,1,$E81:$Y81,V81)+V88),0),0),""),""),"")</f>
        <v/>
      </c>
      <c r="W89" s="164" t="str">
        <f t="shared" ref="W89" ca="1" si="228">IF(W77="AI",IF(W80=2,IF(OFFSET(W89,-9,-W84)=0,MAX(ROUND(OFFSET(W89,-5,-W84)-(SUMIFS($E73:$Y73,$E79:$Y79,1,$E81:$Y81,W81)+SUMIFS($E86:$Y86,$E79:$Y79,1,$E81:$Y81,W81)+W88),0),0),""),""),"")</f>
        <v/>
      </c>
      <c r="X89" s="164">
        <f t="shared" ref="X89" ca="1" si="229">IF(X77="AI",IF(X80=2,IF(OFFSET(X89,-9,-X84)=0,MAX(ROUND(OFFSET(X89,-5,-X84)-(SUMIFS($E73:$Y73,$E79:$Y79,1,$E81:$Y81,X81)+SUMIFS($E86:$Y86,$E79:$Y79,1,$E81:$Y81,X81)+X88),0),0),""),""),"")</f>
        <v>0</v>
      </c>
      <c r="Y89" s="164" t="str">
        <f t="shared" ref="Y89" ca="1" si="230">IF(Y77="AI",IF(Y80=2,IF(OFFSET(Y89,-9,-Y84)=0,MAX(ROUND(OFFSET(Y89,-5,-Y84)-(SUMIFS($E73:$Y73,$E79:$Y79,1,$E81:$Y81,Y81)+SUMIFS($E86:$Y86,$E79:$Y79,1,$E81:$Y81,Y81)+Y88),0),0),""),""),"")</f>
        <v/>
      </c>
    </row>
    <row r="90" spans="1:25" x14ac:dyDescent="0.25">
      <c r="D90" s="165" t="s">
        <v>234</v>
      </c>
      <c r="E90" s="163" t="str">
        <f>IF(E77="R","",IF(E89="",IF(E87="",E86,E87),E89))</f>
        <v/>
      </c>
      <c r="F90" s="163" t="str">
        <f t="shared" ref="F90" si="231">IF(F77="R","",IF(F89="",IF(F87="",F86,F87),F89))</f>
        <v/>
      </c>
      <c r="G90" s="164" t="str">
        <f t="shared" ref="G90" si="232">IF(G77="R","",IF(G89="",IF(G87="",G86,G87),G89))</f>
        <v/>
      </c>
      <c r="H90" s="164" t="str">
        <f t="shared" ref="H90" si="233">IF(H77="R","",IF(H89="",IF(H87="",H86,H87),H89))</f>
        <v/>
      </c>
      <c r="I90" s="163" t="str">
        <f t="shared" ref="I90" si="234">IF(I77="R","",IF(I89="",IF(I87="",I86,I87),I89))</f>
        <v/>
      </c>
      <c r="J90" s="163" t="str">
        <f t="shared" ref="J90" si="235">IF(J77="R","",IF(J89="",IF(J87="",J86,J87),J89))</f>
        <v/>
      </c>
      <c r="K90" s="164" t="str">
        <f t="shared" ref="K90" si="236">IF(K77="R","",IF(K89="",IF(K87="",K86,K87),K89))</f>
        <v/>
      </c>
      <c r="L90" s="164" t="str">
        <f t="shared" ref="L90" si="237">IF(L77="R","",IF(L89="",IF(L87="",L86,L87),L89))</f>
        <v/>
      </c>
      <c r="M90" s="163" t="str">
        <f t="shared" ref="M90" si="238">IF(M77="R","",IF(M89="",IF(M87="",M86,M87),M89))</f>
        <v/>
      </c>
      <c r="N90" s="163" t="str">
        <f t="shared" ref="N90" si="239">IF(N77="R","",IF(N89="",IF(N87="",N86,N87),N89))</f>
        <v/>
      </c>
      <c r="O90" s="164" t="str">
        <f t="shared" ref="O90" si="240">IF(O77="R","",IF(O89="",IF(O87="",O86,O87),O89))</f>
        <v/>
      </c>
      <c r="P90" s="164" t="str">
        <f t="shared" ref="P90" si="241">IF(P77="R","",IF(P89="",IF(P87="",P86,P87),P89))</f>
        <v/>
      </c>
      <c r="Q90" s="163" t="str">
        <f t="shared" ref="Q90" si="242">IF(Q77="R","",IF(Q89="",IF(Q87="",Q86,Q87),Q89))</f>
        <v/>
      </c>
      <c r="R90" s="163" t="str">
        <f t="shared" ref="R90" si="243">IF(R77="R","",IF(R89="",IF(R87="",R86,R87),R89))</f>
        <v/>
      </c>
      <c r="S90" s="164" t="str">
        <f t="shared" ref="S90" si="244">IF(S77="R","",IF(S89="",IF(S87="",S86,S87),S89))</f>
        <v/>
      </c>
      <c r="T90" s="164" t="str">
        <f t="shared" ref="T90" si="245">IF(T77="R","",IF(T89="",IF(T87="",T86,T87),T89))</f>
        <v/>
      </c>
      <c r="U90" s="163" t="str">
        <f t="shared" ref="U90" si="246">IF(U77="R","",IF(U89="",IF(U87="",U86,U87),U89))</f>
        <v/>
      </c>
      <c r="V90" s="163" t="str">
        <f t="shared" ref="V90" si="247">IF(V77="R","",IF(V89="",IF(V87="",V86,V87),V89))</f>
        <v/>
      </c>
      <c r="W90" s="164">
        <f t="shared" ref="W90" ca="1" si="248">IF(W77="R","",IF(W89="",IF(W87="",W86,W87),W89))</f>
        <v>7</v>
      </c>
      <c r="X90" s="164">
        <f t="shared" ref="X90" ca="1" si="249">IF(X77="R","",IF(X89="",IF(X87="",X86,X87),X89))</f>
        <v>0</v>
      </c>
      <c r="Y90" s="164" t="str">
        <f t="shared" ref="Y90" ca="1" si="250">IF(Y77="R","",IF(Y89="",IF(Y87="",Y86,Y87),Y89))</f>
        <v/>
      </c>
    </row>
    <row r="91" spans="1:25" x14ac:dyDescent="0.25">
      <c r="D91" s="169" t="s">
        <v>233</v>
      </c>
      <c r="E91" s="215" t="s">
        <v>198</v>
      </c>
      <c r="F91" s="215"/>
      <c r="G91" s="216" t="s">
        <v>199</v>
      </c>
      <c r="H91" s="216"/>
      <c r="I91" s="215" t="s">
        <v>200</v>
      </c>
      <c r="J91" s="215"/>
      <c r="K91" s="216" t="s">
        <v>201</v>
      </c>
      <c r="L91" s="216"/>
      <c r="M91" s="215" t="s">
        <v>202</v>
      </c>
      <c r="N91" s="215"/>
      <c r="O91" s="216" t="s">
        <v>203</v>
      </c>
      <c r="P91" s="216"/>
      <c r="Q91" s="215" t="s">
        <v>204</v>
      </c>
      <c r="R91" s="215"/>
      <c r="S91" s="216" t="s">
        <v>205</v>
      </c>
      <c r="T91" s="216"/>
      <c r="U91" s="215" t="s">
        <v>206</v>
      </c>
      <c r="V91" s="215"/>
      <c r="W91" s="216" t="s">
        <v>207</v>
      </c>
      <c r="X91" s="216"/>
      <c r="Y91" s="216"/>
    </row>
    <row r="92" spans="1:25" x14ac:dyDescent="0.25">
      <c r="D92" s="166" t="s">
        <v>215</v>
      </c>
      <c r="E92" s="167">
        <f>IF(E77="R",E73,E90)</f>
        <v>8</v>
      </c>
      <c r="F92" s="167">
        <f t="shared" ref="F92:Y92" si="251">IF(F77="R",F73,F90)</f>
        <v>1</v>
      </c>
      <c r="G92" s="168">
        <f t="shared" si="251"/>
        <v>4</v>
      </c>
      <c r="H92" s="168">
        <f t="shared" si="251"/>
        <v>3</v>
      </c>
      <c r="I92" s="167">
        <f t="shared" si="251"/>
        <v>9</v>
      </c>
      <c r="J92" s="167">
        <f t="shared" si="251"/>
        <v>1</v>
      </c>
      <c r="K92" s="168">
        <f t="shared" si="251"/>
        <v>8</v>
      </c>
      <c r="L92" s="168">
        <f t="shared" si="251"/>
        <v>0</v>
      </c>
      <c r="M92" s="167">
        <f t="shared" si="251"/>
        <v>8</v>
      </c>
      <c r="N92" s="167">
        <f t="shared" si="251"/>
        <v>2</v>
      </c>
      <c r="O92" s="168">
        <f t="shared" si="251"/>
        <v>9</v>
      </c>
      <c r="P92" s="168">
        <f t="shared" si="251"/>
        <v>0</v>
      </c>
      <c r="Q92" s="167">
        <f t="shared" si="251"/>
        <v>6</v>
      </c>
      <c r="R92" s="167">
        <f t="shared" si="251"/>
        <v>0</v>
      </c>
      <c r="S92" s="168">
        <f t="shared" si="251"/>
        <v>6</v>
      </c>
      <c r="T92" s="168">
        <f t="shared" si="251"/>
        <v>0</v>
      </c>
      <c r="U92" s="167">
        <f t="shared" si="251"/>
        <v>8</v>
      </c>
      <c r="V92" s="167">
        <f t="shared" si="251"/>
        <v>0</v>
      </c>
      <c r="W92" s="168">
        <f t="shared" ca="1" si="251"/>
        <v>7</v>
      </c>
      <c r="X92" s="168">
        <f t="shared" ca="1" si="251"/>
        <v>0</v>
      </c>
      <c r="Y92" s="168" t="str">
        <f t="shared" ca="1" si="251"/>
        <v/>
      </c>
    </row>
    <row r="93" spans="1:25" x14ac:dyDescent="0.25">
      <c r="D93" s="166" t="s">
        <v>209</v>
      </c>
      <c r="E93" s="211">
        <f>IF(E92=10,IF(G92=10,20+I92,10+G92+H92),IF(SUM(E92:F92)=10,10+G92,SUM(E92:F92)))</f>
        <v>9</v>
      </c>
      <c r="F93" s="211"/>
      <c r="G93" s="210">
        <f t="shared" ref="G93" si="252">IF(G92=10,IF(I92=10,20+K92,10+I92+J92),IF(SUM(G92:H92)=10,10+I92,SUM(G92:H92)))</f>
        <v>7</v>
      </c>
      <c r="H93" s="210"/>
      <c r="I93" s="211">
        <f t="shared" ref="I93" si="253">IF(I92=10,IF(K92=10,20+M92,10+K92+L92),IF(SUM(I92:J92)=10,10+K92,SUM(I92:J92)))</f>
        <v>18</v>
      </c>
      <c r="J93" s="211"/>
      <c r="K93" s="210">
        <f t="shared" ref="K93" si="254">IF(K92=10,IF(M92=10,20+O92,10+M92+N92),IF(SUM(K92:L92)=10,10+M92,SUM(K92:L92)))</f>
        <v>8</v>
      </c>
      <c r="L93" s="210"/>
      <c r="M93" s="211">
        <f t="shared" ref="M93" si="255">IF(M92=10,IF(O92=10,20+Q92,10+O92+P92),IF(SUM(M92:N92)=10,10+O92,SUM(M92:N92)))</f>
        <v>19</v>
      </c>
      <c r="N93" s="211"/>
      <c r="O93" s="210">
        <f t="shared" ref="O93" si="256">IF(O92=10,IF(Q92=10,20+S92,10+Q92+R92),IF(SUM(O92:P92)=10,10+Q92,SUM(O92:P92)))</f>
        <v>9</v>
      </c>
      <c r="P93" s="210"/>
      <c r="Q93" s="211">
        <f t="shared" ref="Q93" si="257">IF(Q92=10,IF(S92=10,20+U92,10+S92+T92),IF(SUM(Q92:R92)=10,10+S92,SUM(Q92:R92)))</f>
        <v>6</v>
      </c>
      <c r="R93" s="211"/>
      <c r="S93" s="210">
        <f t="shared" ref="S93" si="258">IF(S92=10,IF(U92=10,20+W92,10+U92+V92),IF(SUM(S92:T92)=10,10+U92,SUM(S92:T92)))</f>
        <v>6</v>
      </c>
      <c r="T93" s="210"/>
      <c r="U93" s="211">
        <f>IF(U92=10,IF(W92=10,20+X92,10+W92+X92),IF(SUM(U92:V92)=10,10+W92,SUM(U92:V92)))</f>
        <v>8</v>
      </c>
      <c r="V93" s="211"/>
      <c r="W93" s="210">
        <f ca="1">SUM(W92:Y92)</f>
        <v>7</v>
      </c>
      <c r="X93" s="210"/>
      <c r="Y93" s="210"/>
    </row>
    <row r="94" spans="1:25" x14ac:dyDescent="0.25">
      <c r="D94" s="166" t="s">
        <v>97</v>
      </c>
      <c r="E94" s="211">
        <f ca="1">IF(D94="Pistekertymä",E93,E93+OFFSET(E94,0,-2))</f>
        <v>9</v>
      </c>
      <c r="F94" s="211"/>
      <c r="G94" s="210">
        <f t="shared" ref="G94" ca="1" si="259">IF(F94="Pistekertymä",G93,G93+OFFSET(G94,0,-2))</f>
        <v>16</v>
      </c>
      <c r="H94" s="210"/>
      <c r="I94" s="211">
        <f t="shared" ref="I94" ca="1" si="260">IF(H94="Pistekertymä",I93,I93+OFFSET(I94,0,-2))</f>
        <v>34</v>
      </c>
      <c r="J94" s="211"/>
      <c r="K94" s="210">
        <f t="shared" ref="K94" ca="1" si="261">IF(J94="Pistekertymä",K93,K93+OFFSET(K94,0,-2))</f>
        <v>42</v>
      </c>
      <c r="L94" s="210"/>
      <c r="M94" s="211">
        <f t="shared" ref="M94" ca="1" si="262">IF(L94="Pistekertymä",M93,M93+OFFSET(M94,0,-2))</f>
        <v>61</v>
      </c>
      <c r="N94" s="211"/>
      <c r="O94" s="210">
        <f t="shared" ref="O94" ca="1" si="263">IF(N94="Pistekertymä",O93,O93+OFFSET(O94,0,-2))</f>
        <v>70</v>
      </c>
      <c r="P94" s="210"/>
      <c r="Q94" s="211">
        <f t="shared" ref="Q94" ca="1" si="264">IF(P94="Pistekertymä",Q93,Q93+OFFSET(Q94,0,-2))</f>
        <v>76</v>
      </c>
      <c r="R94" s="211"/>
      <c r="S94" s="210">
        <f t="shared" ref="S94" ca="1" si="265">IF(R94="Pistekertymä",S93,S93+OFFSET(S94,0,-2))</f>
        <v>82</v>
      </c>
      <c r="T94" s="210"/>
      <c r="U94" s="211">
        <f t="shared" ref="U94" ca="1" si="266">IF(T94="Pistekertymä",U93,U93+OFFSET(U94,0,-2))</f>
        <v>90</v>
      </c>
      <c r="V94" s="211"/>
      <c r="W94" s="210">
        <f t="shared" ref="W94" ca="1" si="267">IF(V94="Pistekertymä",W93,W93+OFFSET(W94,0,-2))</f>
        <v>97</v>
      </c>
      <c r="X94" s="210"/>
      <c r="Y94" s="210"/>
    </row>
    <row r="95" spans="1:25" x14ac:dyDescent="0.25">
      <c r="D95" s="166" t="s">
        <v>210</v>
      </c>
      <c r="E95" s="211" t="str">
        <f>IF(SUM(E92:F92)&lt;=10,"OK","Virhe!")</f>
        <v>OK</v>
      </c>
      <c r="F95" s="211"/>
      <c r="G95" s="210" t="str">
        <f t="shared" ref="G95" si="268">IF(SUM(G92:H92)&lt;=10,"OK","Virhe!")</f>
        <v>OK</v>
      </c>
      <c r="H95" s="210"/>
      <c r="I95" s="211" t="str">
        <f t="shared" ref="I95" si="269">IF(SUM(I92:J92)&lt;=10,"OK","Virhe!")</f>
        <v>OK</v>
      </c>
      <c r="J95" s="211"/>
      <c r="K95" s="210" t="str">
        <f t="shared" ref="K95" si="270">IF(SUM(K92:L92)&lt;=10,"OK","Virhe!")</f>
        <v>OK</v>
      </c>
      <c r="L95" s="210"/>
      <c r="M95" s="211" t="str">
        <f t="shared" ref="M95" si="271">IF(SUM(M92:N92)&lt;=10,"OK","Virhe!")</f>
        <v>OK</v>
      </c>
      <c r="N95" s="211"/>
      <c r="O95" s="210" t="str">
        <f t="shared" ref="O95" si="272">IF(SUM(O92:P92)&lt;=10,"OK","Virhe!")</f>
        <v>OK</v>
      </c>
      <c r="P95" s="210"/>
      <c r="Q95" s="211" t="str">
        <f t="shared" ref="Q95" si="273">IF(SUM(Q92:R92)&lt;=10,"OK","Virhe!")</f>
        <v>OK</v>
      </c>
      <c r="R95" s="211"/>
      <c r="S95" s="210" t="str">
        <f t="shared" ref="S95" si="274">IF(SUM(S92:T92)&lt;=10,"OK","Virhe!")</f>
        <v>OK</v>
      </c>
      <c r="T95" s="210"/>
      <c r="U95" s="211" t="str">
        <f t="shared" ref="U95" si="275">IF(SUM(U92:V92)&lt;=10,"OK","Virhe!")</f>
        <v>OK</v>
      </c>
      <c r="V95" s="211"/>
      <c r="W95" s="210" t="str">
        <f ca="1">IF(SUM(W92:X92)&lt;=30,"OK","Virhe!")</f>
        <v>OK</v>
      </c>
      <c r="X95" s="210"/>
      <c r="Y95" s="210"/>
    </row>
    <row r="97" spans="1:25" x14ac:dyDescent="0.25">
      <c r="A97" s="145" t="s">
        <v>196</v>
      </c>
      <c r="B97" s="147"/>
      <c r="D97" s="170" t="s">
        <v>231</v>
      </c>
      <c r="E97" s="221" t="s">
        <v>198</v>
      </c>
      <c r="F97" s="221"/>
      <c r="G97" s="220" t="s">
        <v>199</v>
      </c>
      <c r="H97" s="220"/>
      <c r="I97" s="221" t="s">
        <v>200</v>
      </c>
      <c r="J97" s="221"/>
      <c r="K97" s="220" t="s">
        <v>201</v>
      </c>
      <c r="L97" s="220"/>
      <c r="M97" s="221" t="s">
        <v>202</v>
      </c>
      <c r="N97" s="221"/>
      <c r="O97" s="220" t="s">
        <v>203</v>
      </c>
      <c r="P97" s="220"/>
      <c r="Q97" s="221" t="s">
        <v>204</v>
      </c>
      <c r="R97" s="221"/>
      <c r="S97" s="220" t="s">
        <v>205</v>
      </c>
      <c r="T97" s="220"/>
      <c r="U97" s="221" t="s">
        <v>206</v>
      </c>
      <c r="V97" s="221"/>
      <c r="W97" s="220" t="s">
        <v>207</v>
      </c>
      <c r="X97" s="220"/>
      <c r="Y97" s="220"/>
    </row>
    <row r="98" spans="1:25" x14ac:dyDescent="0.25">
      <c r="A98" s="146" t="s">
        <v>139</v>
      </c>
      <c r="B98" s="148"/>
      <c r="D98" s="172" t="s">
        <v>208</v>
      </c>
      <c r="E98" s="173">
        <v>9</v>
      </c>
      <c r="F98" s="173">
        <v>0</v>
      </c>
      <c r="G98" s="174">
        <v>9</v>
      </c>
      <c r="H98" s="174">
        <v>0</v>
      </c>
      <c r="I98" s="173">
        <v>9</v>
      </c>
      <c r="J98" s="173">
        <v>1</v>
      </c>
      <c r="K98" s="174">
        <v>3</v>
      </c>
      <c r="L98" s="174">
        <v>7</v>
      </c>
      <c r="M98" s="173">
        <v>7</v>
      </c>
      <c r="N98" s="173">
        <v>0</v>
      </c>
      <c r="O98" s="174">
        <v>8</v>
      </c>
      <c r="P98" s="174">
        <v>0</v>
      </c>
      <c r="Q98" s="173">
        <v>2</v>
      </c>
      <c r="R98" s="173">
        <v>8</v>
      </c>
      <c r="S98" s="174">
        <v>7</v>
      </c>
      <c r="T98" s="174">
        <v>3</v>
      </c>
      <c r="U98" s="173"/>
      <c r="V98" s="173"/>
      <c r="W98" s="174"/>
      <c r="X98" s="174"/>
      <c r="Y98" s="174"/>
    </row>
    <row r="99" spans="1:25" x14ac:dyDescent="0.25">
      <c r="A99" s="146" t="s">
        <v>244</v>
      </c>
      <c r="B99" s="148"/>
      <c r="D99" s="175" t="s">
        <v>209</v>
      </c>
      <c r="E99" s="219">
        <f>IF(E98=10,IF(G98=10,20+I98,10+G98+H98),IF(SUM(E98:F98)=10,10+G98,SUM(E98:F98)))</f>
        <v>9</v>
      </c>
      <c r="F99" s="219"/>
      <c r="G99" s="218">
        <f t="shared" ref="G99" si="276">IF(G98=10,IF(I98=10,20+K98,10+I98+J98),IF(SUM(G98:H98)=10,10+I98,SUM(G98:H98)))</f>
        <v>9</v>
      </c>
      <c r="H99" s="218"/>
      <c r="I99" s="219">
        <f t="shared" ref="I99" si="277">IF(I98=10,IF(K98=10,20+M98,10+K98+L98),IF(SUM(I98:J98)=10,10+K98,SUM(I98:J98)))</f>
        <v>13</v>
      </c>
      <c r="J99" s="219"/>
      <c r="K99" s="218">
        <f t="shared" ref="K99" si="278">IF(K98=10,IF(M98=10,20+O98,10+M98+N98),IF(SUM(K98:L98)=10,10+M98,SUM(K98:L98)))</f>
        <v>17</v>
      </c>
      <c r="L99" s="218"/>
      <c r="M99" s="219">
        <f t="shared" ref="M99" si="279">IF(M98=10,IF(O98=10,20+Q98,10+O98+P98),IF(SUM(M98:N98)=10,10+O98,SUM(M98:N98)))</f>
        <v>7</v>
      </c>
      <c r="N99" s="219"/>
      <c r="O99" s="218">
        <f t="shared" ref="O99" si="280">IF(O98=10,IF(Q98=10,20+S98,10+Q98+R98),IF(SUM(O98:P98)=10,10+Q98,SUM(O98:P98)))</f>
        <v>8</v>
      </c>
      <c r="P99" s="218"/>
      <c r="Q99" s="219">
        <f t="shared" ref="Q99" si="281">IF(Q98=10,IF(S98=10,20+U98,10+S98+T98),IF(SUM(Q98:R98)=10,10+S98,SUM(Q98:R98)))</f>
        <v>17</v>
      </c>
      <c r="R99" s="219"/>
      <c r="S99" s="218">
        <f t="shared" ref="S99" si="282">IF(S98=10,IF(U98=10,20+W98,10+U98+V98),IF(SUM(S98:T98)=10,10+U98,SUM(S98:T98)))</f>
        <v>10</v>
      </c>
      <c r="T99" s="218"/>
      <c r="U99" s="219">
        <f>IF(U98=10,IF(W98=10,20+X98,10+W98+X98),IF(SUM(U98:V98)=10,10+W98,SUM(U98:V98)))</f>
        <v>0</v>
      </c>
      <c r="V99" s="219"/>
      <c r="W99" s="218">
        <f>SUM(W98:Y98)</f>
        <v>0</v>
      </c>
      <c r="X99" s="218"/>
      <c r="Y99" s="218"/>
    </row>
    <row r="100" spans="1:25" x14ac:dyDescent="0.25">
      <c r="A100" s="146" t="s">
        <v>197</v>
      </c>
      <c r="B100" s="148"/>
      <c r="D100" s="175" t="s">
        <v>97</v>
      </c>
      <c r="E100" s="219">
        <f ca="1">IF(D100="Pistekertymä",E99,E99+OFFSET(E100,0,-2))</f>
        <v>9</v>
      </c>
      <c r="F100" s="219"/>
      <c r="G100" s="218">
        <f t="shared" ref="G100" ca="1" si="283">IF(F100="Pistekertymä",G99,G99+OFFSET(G100,0,-2))</f>
        <v>18</v>
      </c>
      <c r="H100" s="218"/>
      <c r="I100" s="219">
        <f t="shared" ref="I100" ca="1" si="284">IF(H100="Pistekertymä",I99,I99+OFFSET(I100,0,-2))</f>
        <v>31</v>
      </c>
      <c r="J100" s="219"/>
      <c r="K100" s="218">
        <f t="shared" ref="K100" ca="1" si="285">IF(J100="Pistekertymä",K99,K99+OFFSET(K100,0,-2))</f>
        <v>48</v>
      </c>
      <c r="L100" s="218"/>
      <c r="M100" s="219">
        <f t="shared" ref="M100" ca="1" si="286">IF(L100="Pistekertymä",M99,M99+OFFSET(M100,0,-2))</f>
        <v>55</v>
      </c>
      <c r="N100" s="219"/>
      <c r="O100" s="218">
        <f t="shared" ref="O100" ca="1" si="287">IF(N100="Pistekertymä",O99,O99+OFFSET(O100,0,-2))</f>
        <v>63</v>
      </c>
      <c r="P100" s="218"/>
      <c r="Q100" s="219">
        <f t="shared" ref="Q100" ca="1" si="288">IF(P100="Pistekertymä",Q99,Q99+OFFSET(Q100,0,-2))</f>
        <v>80</v>
      </c>
      <c r="R100" s="219"/>
      <c r="S100" s="218">
        <f t="shared" ref="S100" ca="1" si="289">IF(R100="Pistekertymä",S99,S99+OFFSET(S100,0,-2))</f>
        <v>90</v>
      </c>
      <c r="T100" s="218"/>
      <c r="U100" s="219">
        <f t="shared" ref="U100" ca="1" si="290">IF(T100="Pistekertymä",U99,U99+OFFSET(U100,0,-2))</f>
        <v>90</v>
      </c>
      <c r="V100" s="219"/>
      <c r="W100" s="218">
        <f t="shared" ref="W100" ca="1" si="291">IF(V100="Pistekertymä",W99,W99+OFFSET(W100,0,-2))</f>
        <v>90</v>
      </c>
      <c r="X100" s="218"/>
      <c r="Y100" s="218"/>
    </row>
    <row r="101" spans="1:25" x14ac:dyDescent="0.25">
      <c r="A101" s="161" t="s">
        <v>213</v>
      </c>
      <c r="B101" s="154">
        <f ca="1">MIN(ROUNDDOWN(B104,0),9)</f>
        <v>6</v>
      </c>
      <c r="D101" s="165" t="s">
        <v>210</v>
      </c>
      <c r="E101" s="217" t="str">
        <f>IF(SUM(E98:F98)&lt;=10,"OK","Virhe!")</f>
        <v>OK</v>
      </c>
      <c r="F101" s="217"/>
      <c r="G101" s="212" t="str">
        <f t="shared" ref="G101" si="292">IF(SUM(G98:H98)&lt;=10,"OK","Virhe!")</f>
        <v>OK</v>
      </c>
      <c r="H101" s="212"/>
      <c r="I101" s="217" t="str">
        <f t="shared" ref="I101" si="293">IF(SUM(I98:J98)&lt;=10,"OK","Virhe!")</f>
        <v>OK</v>
      </c>
      <c r="J101" s="217"/>
      <c r="K101" s="212" t="str">
        <f t="shared" ref="K101" si="294">IF(SUM(K98:L98)&lt;=10,"OK","Virhe!")</f>
        <v>OK</v>
      </c>
      <c r="L101" s="212"/>
      <c r="M101" s="217" t="str">
        <f t="shared" ref="M101" si="295">IF(SUM(M98:N98)&lt;=10,"OK","Virhe!")</f>
        <v>OK</v>
      </c>
      <c r="N101" s="217"/>
      <c r="O101" s="212" t="str">
        <f t="shared" ref="O101" si="296">IF(SUM(O98:P98)&lt;=10,"OK","Virhe!")</f>
        <v>OK</v>
      </c>
      <c r="P101" s="212"/>
      <c r="Q101" s="217" t="str">
        <f t="shared" ref="Q101" si="297">IF(SUM(Q98:R98)&lt;=10,"OK","Virhe!")</f>
        <v>OK</v>
      </c>
      <c r="R101" s="217"/>
      <c r="S101" s="212" t="str">
        <f t="shared" ref="S101" si="298">IF(SUM(S98:T98)&lt;=10,"OK","Virhe!")</f>
        <v>OK</v>
      </c>
      <c r="T101" s="212"/>
      <c r="U101" s="217" t="str">
        <f t="shared" ref="U101" si="299">IF(SUM(U98:V98)&lt;=10,"OK","Virhe!")</f>
        <v>OK</v>
      </c>
      <c r="V101" s="217"/>
      <c r="W101" s="212" t="str">
        <f>IF(SUM(W98:X98)&lt;=30,"OK","Virhe!")</f>
        <v>OK</v>
      </c>
      <c r="X101" s="212"/>
      <c r="Y101" s="212"/>
    </row>
    <row r="102" spans="1:25" x14ac:dyDescent="0.25">
      <c r="A102" s="157" t="s">
        <v>214</v>
      </c>
      <c r="B102" s="149">
        <f ca="1">SUMPRODUCT(OFFSET(B102,-4,3):OFFSET(B102,-4,23),OFFSET(B102,1,3):OFFSET(B102,1,23),OFFSET(B102,2,3):OFFSET(B102,2,23))</f>
        <v>54</v>
      </c>
      <c r="D102" s="165" t="s">
        <v>211</v>
      </c>
      <c r="E102" s="163" t="str">
        <f>IF(E98="","AI","R")</f>
        <v>R</v>
      </c>
      <c r="F102" s="163" t="str">
        <f t="shared" ref="F102:Y102" si="300">IF(F98="","AI","R")</f>
        <v>R</v>
      </c>
      <c r="G102" s="164" t="str">
        <f t="shared" si="300"/>
        <v>R</v>
      </c>
      <c r="H102" s="164" t="str">
        <f t="shared" si="300"/>
        <v>R</v>
      </c>
      <c r="I102" s="163" t="str">
        <f t="shared" si="300"/>
        <v>R</v>
      </c>
      <c r="J102" s="163" t="str">
        <f t="shared" si="300"/>
        <v>R</v>
      </c>
      <c r="K102" s="164" t="str">
        <f t="shared" si="300"/>
        <v>R</v>
      </c>
      <c r="L102" s="164" t="str">
        <f t="shared" si="300"/>
        <v>R</v>
      </c>
      <c r="M102" s="163" t="str">
        <f t="shared" si="300"/>
        <v>R</v>
      </c>
      <c r="N102" s="163" t="str">
        <f t="shared" si="300"/>
        <v>R</v>
      </c>
      <c r="O102" s="164" t="str">
        <f t="shared" si="300"/>
        <v>R</v>
      </c>
      <c r="P102" s="164" t="str">
        <f t="shared" si="300"/>
        <v>R</v>
      </c>
      <c r="Q102" s="163" t="str">
        <f t="shared" si="300"/>
        <v>R</v>
      </c>
      <c r="R102" s="163" t="str">
        <f t="shared" si="300"/>
        <v>R</v>
      </c>
      <c r="S102" s="164" t="str">
        <f t="shared" si="300"/>
        <v>R</v>
      </c>
      <c r="T102" s="164" t="str">
        <f t="shared" si="300"/>
        <v>R</v>
      </c>
      <c r="U102" s="163" t="str">
        <f t="shared" si="300"/>
        <v>AI</v>
      </c>
      <c r="V102" s="163" t="str">
        <f t="shared" si="300"/>
        <v>AI</v>
      </c>
      <c r="W102" s="164" t="str">
        <f t="shared" si="300"/>
        <v>AI</v>
      </c>
      <c r="X102" s="164" t="str">
        <f t="shared" si="300"/>
        <v>AI</v>
      </c>
      <c r="Y102" s="164" t="str">
        <f t="shared" si="300"/>
        <v>AI</v>
      </c>
    </row>
    <row r="103" spans="1:25" x14ac:dyDescent="0.25">
      <c r="A103" s="157" t="s">
        <v>215</v>
      </c>
      <c r="B103" s="149">
        <f ca="1">SUMPRODUCT(OFFSET(B102,1,3):OFFSET(B102,1,23),OFFSET(B102,2,3):OFFSET(B102,2,23))</f>
        <v>8</v>
      </c>
      <c r="D103" s="165" t="s">
        <v>212</v>
      </c>
      <c r="E103" s="163">
        <f>IF(E102="R",1,0)</f>
        <v>1</v>
      </c>
      <c r="F103" s="163">
        <f t="shared" ref="F103" si="301">IF(F102="R",1,0)</f>
        <v>1</v>
      </c>
      <c r="G103" s="164">
        <f t="shared" ref="G103" si="302">IF(G102="R",1,0)</f>
        <v>1</v>
      </c>
      <c r="H103" s="164">
        <f t="shared" ref="H103" si="303">IF(H102="R",1,0)</f>
        <v>1</v>
      </c>
      <c r="I103" s="163">
        <f t="shared" ref="I103" si="304">IF(I102="R",1,0)</f>
        <v>1</v>
      </c>
      <c r="J103" s="163">
        <f t="shared" ref="J103" si="305">IF(J102="R",1,0)</f>
        <v>1</v>
      </c>
      <c r="K103" s="164">
        <f t="shared" ref="K103" si="306">IF(K102="R",1,0)</f>
        <v>1</v>
      </c>
      <c r="L103" s="164">
        <f t="shared" ref="L103" si="307">IF(L102="R",1,0)</f>
        <v>1</v>
      </c>
      <c r="M103" s="163">
        <f t="shared" ref="M103" si="308">IF(M102="R",1,0)</f>
        <v>1</v>
      </c>
      <c r="N103" s="163">
        <f t="shared" ref="N103" si="309">IF(N102="R",1,0)</f>
        <v>1</v>
      </c>
      <c r="O103" s="164">
        <f t="shared" ref="O103" si="310">IF(O102="R",1,0)</f>
        <v>1</v>
      </c>
      <c r="P103" s="164">
        <f t="shared" ref="P103" si="311">IF(P102="R",1,0)</f>
        <v>1</v>
      </c>
      <c r="Q103" s="163">
        <f t="shared" ref="Q103" si="312">IF(Q102="R",1,0)</f>
        <v>1</v>
      </c>
      <c r="R103" s="163">
        <f t="shared" ref="R103" si="313">IF(R102="R",1,0)</f>
        <v>1</v>
      </c>
      <c r="S103" s="164">
        <f t="shared" ref="S103" si="314">IF(S102="R",1,0)</f>
        <v>1</v>
      </c>
      <c r="T103" s="164">
        <f t="shared" ref="T103" si="315">IF(T102="R",1,0)</f>
        <v>1</v>
      </c>
      <c r="U103" s="163">
        <f t="shared" ref="U103" si="316">IF(U102="R",1,0)</f>
        <v>0</v>
      </c>
      <c r="V103" s="163">
        <f t="shared" ref="V103" si="317">IF(V102="R",1,0)</f>
        <v>0</v>
      </c>
      <c r="W103" s="164">
        <f t="shared" ref="W103" si="318">IF(W102="R",1,0)</f>
        <v>0</v>
      </c>
      <c r="X103" s="164">
        <f t="shared" ref="X103" si="319">IF(X102="R",1,0)</f>
        <v>0</v>
      </c>
      <c r="Y103" s="164">
        <f t="shared" ref="Y103" si="320">IF(Y102="R",1,0)</f>
        <v>0</v>
      </c>
    </row>
    <row r="104" spans="1:25" x14ac:dyDescent="0.25">
      <c r="A104" s="157" t="s">
        <v>216</v>
      </c>
      <c r="B104" s="151">
        <f ca="1">B102/B103</f>
        <v>6.75</v>
      </c>
      <c r="D104" s="165" t="s">
        <v>213</v>
      </c>
      <c r="E104" s="163">
        <f>IF(LEFT(E97,1)="R",1,IF(OR(D97="R10",C97="R10"),IF(D98=10,1,0),0))</f>
        <v>1</v>
      </c>
      <c r="F104" s="163">
        <f t="shared" ref="F104" si="321">IF(LEFT(F97,1)="R",1,IF(OR(E97="R10",D97="R10"),IF(E98=10,1,0),0))</f>
        <v>0</v>
      </c>
      <c r="G104" s="164">
        <f t="shared" ref="G104" si="322">IF(LEFT(G97,1)="R",1,IF(OR(F97="R10",E97="R10"),IF(F98=10,1,0),0))</f>
        <v>1</v>
      </c>
      <c r="H104" s="164">
        <f t="shared" ref="H104" si="323">IF(LEFT(H97,1)="R",1,IF(OR(G97="R10",F97="R10"),IF(G98=10,1,0),0))</f>
        <v>0</v>
      </c>
      <c r="I104" s="163">
        <f t="shared" ref="I104" si="324">IF(LEFT(I97,1)="R",1,IF(OR(H97="R10",G97="R10"),IF(H98=10,1,0),0))</f>
        <v>1</v>
      </c>
      <c r="J104" s="163">
        <f t="shared" ref="J104" si="325">IF(LEFT(J97,1)="R",1,IF(OR(I97="R10",H97="R10"),IF(I98=10,1,0),0))</f>
        <v>0</v>
      </c>
      <c r="K104" s="164">
        <f t="shared" ref="K104" si="326">IF(LEFT(K97,1)="R",1,IF(OR(J97="R10",I97="R10"),IF(J98=10,1,0),0))</f>
        <v>1</v>
      </c>
      <c r="L104" s="164">
        <f t="shared" ref="L104" si="327">IF(LEFT(L97,1)="R",1,IF(OR(K97="R10",J97="R10"),IF(K98=10,1,0),0))</f>
        <v>0</v>
      </c>
      <c r="M104" s="163">
        <f t="shared" ref="M104" si="328">IF(LEFT(M97,1)="R",1,IF(OR(L97="R10",K97="R10"),IF(L98=10,1,0),0))</f>
        <v>1</v>
      </c>
      <c r="N104" s="163">
        <f t="shared" ref="N104" si="329">IF(LEFT(N97,1)="R",1,IF(OR(M97="R10",L97="R10"),IF(M98=10,1,0),0))</f>
        <v>0</v>
      </c>
      <c r="O104" s="164">
        <f t="shared" ref="O104" si="330">IF(LEFT(O97,1)="R",1,IF(OR(N97="R10",M97="R10"),IF(N98=10,1,0),0))</f>
        <v>1</v>
      </c>
      <c r="P104" s="164">
        <f t="shared" ref="P104" si="331">IF(LEFT(P97,1)="R",1,IF(OR(O97="R10",N97="R10"),IF(O98=10,1,0),0))</f>
        <v>0</v>
      </c>
      <c r="Q104" s="163">
        <f t="shared" ref="Q104" si="332">IF(LEFT(Q97,1)="R",1,IF(OR(P97="R10",O97="R10"),IF(P98=10,1,0),0))</f>
        <v>1</v>
      </c>
      <c r="R104" s="163">
        <f t="shared" ref="R104" si="333">IF(LEFT(R97,1)="R",1,IF(OR(Q97="R10",P97="R10"),IF(Q98=10,1,0),0))</f>
        <v>0</v>
      </c>
      <c r="S104" s="164">
        <f t="shared" ref="S104" si="334">IF(LEFT(S97,1)="R",1,IF(OR(R97="R10",Q97="R10"),IF(R98=10,1,0),0))</f>
        <v>1</v>
      </c>
      <c r="T104" s="164">
        <f t="shared" ref="T104" si="335">IF(LEFT(T97,1)="R",1,IF(OR(S97="R10",R97="R10"),IF(S98=10,1,0),0))</f>
        <v>0</v>
      </c>
      <c r="U104" s="163">
        <f t="shared" ref="U104" si="336">IF(LEFT(U97,1)="R",1,IF(OR(T97="R10",S97="R10"),IF(T98=10,1,0),0))</f>
        <v>1</v>
      </c>
      <c r="V104" s="163">
        <f t="shared" ref="V104" si="337">IF(LEFT(V97,1)="R",1,IF(OR(U97="R10",T97="R10"),IF(U98=10,1,0),0))</f>
        <v>0</v>
      </c>
      <c r="W104" s="164">
        <f t="shared" ref="W104" si="338">IF(LEFT(W97,1)="R",1,IF(OR(V97="R10",U97="R10"),IF(V98=10,1,0),0))</f>
        <v>1</v>
      </c>
      <c r="X104" s="164">
        <f t="shared" ref="X104" si="339">IF(LEFT(X97,1)="R",1,IF(OR(W97="R10",V97="R10"),IF(W98=10,1,0),0))</f>
        <v>0</v>
      </c>
      <c r="Y104" s="164">
        <f t="shared" ref="Y104" si="340">IF(LEFT(Y97,1)="R",1,IF(OR(X97="R10",W97="R10"),IF(X98=10,1,0),0))</f>
        <v>0</v>
      </c>
    </row>
    <row r="105" spans="1:25" x14ac:dyDescent="0.25">
      <c r="A105" s="158" t="s">
        <v>218</v>
      </c>
      <c r="B105" s="153">
        <f ca="1">IF(B108&gt;=0.85,1,0)</f>
        <v>0</v>
      </c>
      <c r="D105" s="165" t="s">
        <v>217</v>
      </c>
      <c r="E105" s="163">
        <f ca="1">IFERROR(IF(OFFSET(E105,-8,-2)="R10",3,IF(E104=1,1,2)),1)</f>
        <v>1</v>
      </c>
      <c r="F105" s="163">
        <f t="shared" ref="F105" ca="1" si="341">IFERROR(IF(OFFSET(F105,-8,-2)="R10",3,IF(F104=1,1,2)),1)</f>
        <v>2</v>
      </c>
      <c r="G105" s="164">
        <f t="shared" ref="G105" ca="1" si="342">IFERROR(IF(OFFSET(G105,-8,-2)="R10",3,IF(G104=1,1,2)),1)</f>
        <v>1</v>
      </c>
      <c r="H105" s="164">
        <f t="shared" ref="H105" ca="1" si="343">IFERROR(IF(OFFSET(H105,-8,-2)="R10",3,IF(H104=1,1,2)),1)</f>
        <v>2</v>
      </c>
      <c r="I105" s="163">
        <f t="shared" ref="I105" ca="1" si="344">IFERROR(IF(OFFSET(I105,-8,-2)="R10",3,IF(I104=1,1,2)),1)</f>
        <v>1</v>
      </c>
      <c r="J105" s="163">
        <f t="shared" ref="J105" ca="1" si="345">IFERROR(IF(OFFSET(J105,-8,-2)="R10",3,IF(J104=1,1,2)),1)</f>
        <v>2</v>
      </c>
      <c r="K105" s="164">
        <f t="shared" ref="K105" ca="1" si="346">IFERROR(IF(OFFSET(K105,-8,-2)="R10",3,IF(K104=1,1,2)),1)</f>
        <v>1</v>
      </c>
      <c r="L105" s="164">
        <f t="shared" ref="L105" ca="1" si="347">IFERROR(IF(OFFSET(L105,-8,-2)="R10",3,IF(L104=1,1,2)),1)</f>
        <v>2</v>
      </c>
      <c r="M105" s="163">
        <f t="shared" ref="M105" ca="1" si="348">IFERROR(IF(OFFSET(M105,-8,-2)="R10",3,IF(M104=1,1,2)),1)</f>
        <v>1</v>
      </c>
      <c r="N105" s="163">
        <f t="shared" ref="N105" ca="1" si="349">IFERROR(IF(OFFSET(N105,-8,-2)="R10",3,IF(N104=1,1,2)),1)</f>
        <v>2</v>
      </c>
      <c r="O105" s="164">
        <f t="shared" ref="O105" ca="1" si="350">IFERROR(IF(OFFSET(O105,-8,-2)="R10",3,IF(O104=1,1,2)),1)</f>
        <v>1</v>
      </c>
      <c r="P105" s="164">
        <f t="shared" ref="P105" ca="1" si="351">IFERROR(IF(OFFSET(P105,-8,-2)="R10",3,IF(P104=1,1,2)),1)</f>
        <v>2</v>
      </c>
      <c r="Q105" s="163">
        <f t="shared" ref="Q105" ca="1" si="352">IFERROR(IF(OFFSET(Q105,-8,-2)="R10",3,IF(Q104=1,1,2)),1)</f>
        <v>1</v>
      </c>
      <c r="R105" s="163">
        <f t="shared" ref="R105" ca="1" si="353">IFERROR(IF(OFFSET(R105,-8,-2)="R10",3,IF(R104=1,1,2)),1)</f>
        <v>2</v>
      </c>
      <c r="S105" s="164">
        <f t="shared" ref="S105" ca="1" si="354">IFERROR(IF(OFFSET(S105,-8,-2)="R10",3,IF(S104=1,1,2)),1)</f>
        <v>1</v>
      </c>
      <c r="T105" s="164">
        <f t="shared" ref="T105" ca="1" si="355">IFERROR(IF(OFFSET(T105,-8,-2)="R10",3,IF(T104=1,1,2)),1)</f>
        <v>2</v>
      </c>
      <c r="U105" s="163">
        <f t="shared" ref="U105" ca="1" si="356">IFERROR(IF(OFFSET(U105,-8,-2)="R10",3,IF(U104=1,1,2)),1)</f>
        <v>1</v>
      </c>
      <c r="V105" s="163">
        <f t="shared" ref="V105" ca="1" si="357">IFERROR(IF(OFFSET(V105,-8,-2)="R10",3,IF(V104=1,1,2)),1)</f>
        <v>2</v>
      </c>
      <c r="W105" s="164">
        <f t="shared" ref="W105" ca="1" si="358">IFERROR(IF(OFFSET(W105,-8,-2)="R10",3,IF(W104=1,1,2)),1)</f>
        <v>1</v>
      </c>
      <c r="X105" s="164">
        <f t="shared" ref="X105" ca="1" si="359">IFERROR(IF(OFFSET(X105,-8,-2)="R10",3,IF(X104=1,1,2)),1)</f>
        <v>2</v>
      </c>
      <c r="Y105" s="164">
        <f t="shared" ref="Y105" ca="1" si="360">IFERROR(IF(OFFSET(Y105,-8,-2)="R10",3,IF(Y104=1,1,2)),1)</f>
        <v>3</v>
      </c>
    </row>
    <row r="106" spans="1:25" x14ac:dyDescent="0.25">
      <c r="A106" s="159" t="s">
        <v>220</v>
      </c>
      <c r="B106" s="150">
        <f ca="1">COUNTIFS(OFFSET(B106,1,3):OFFSET(B106,1,23),10,OFFSET(B106,-2,3):OFFSET(B106,-2,23),1,OFFSET(B106,2,3):OFFSET(B106,2,23),1)</f>
        <v>4</v>
      </c>
      <c r="D106" s="165" t="s">
        <v>125</v>
      </c>
      <c r="E106" s="163">
        <f>IF(D106="Ruutu",1,IF(E105=3,10,IF(D105=1,D106,1+D106)))</f>
        <v>1</v>
      </c>
      <c r="F106" s="163">
        <f t="shared" ref="F106" ca="1" si="361">IF(E106="Ruutu",1,IF(F105=3,10,IF(E105=1,E106,1+E106)))</f>
        <v>1</v>
      </c>
      <c r="G106" s="164">
        <f t="shared" ref="G106" ca="1" si="362">IF(F106="Ruutu",1,IF(G105=3,10,IF(F105=1,F106,1+F106)))</f>
        <v>2</v>
      </c>
      <c r="H106" s="164">
        <f t="shared" ref="H106" ca="1" si="363">IF(G106="Ruutu",1,IF(H105=3,10,IF(G105=1,G106,1+G106)))</f>
        <v>2</v>
      </c>
      <c r="I106" s="163">
        <f t="shared" ref="I106" ca="1" si="364">IF(H106="Ruutu",1,IF(I105=3,10,IF(H105=1,H106,1+H106)))</f>
        <v>3</v>
      </c>
      <c r="J106" s="163">
        <f t="shared" ref="J106" ca="1" si="365">IF(I106="Ruutu",1,IF(J105=3,10,IF(I105=1,I106,1+I106)))</f>
        <v>3</v>
      </c>
      <c r="K106" s="164">
        <f t="shared" ref="K106" ca="1" si="366">IF(J106="Ruutu",1,IF(K105=3,10,IF(J105=1,J106,1+J106)))</f>
        <v>4</v>
      </c>
      <c r="L106" s="164">
        <f t="shared" ref="L106" ca="1" si="367">IF(K106="Ruutu",1,IF(L105=3,10,IF(K105=1,K106,1+K106)))</f>
        <v>4</v>
      </c>
      <c r="M106" s="163">
        <f t="shared" ref="M106" ca="1" si="368">IF(L106="Ruutu",1,IF(M105=3,10,IF(L105=1,L106,1+L106)))</f>
        <v>5</v>
      </c>
      <c r="N106" s="163">
        <f t="shared" ref="N106" ca="1" si="369">IF(M106="Ruutu",1,IF(N105=3,10,IF(M105=1,M106,1+M106)))</f>
        <v>5</v>
      </c>
      <c r="O106" s="164">
        <f t="shared" ref="O106" ca="1" si="370">IF(N106="Ruutu",1,IF(O105=3,10,IF(N105=1,N106,1+N106)))</f>
        <v>6</v>
      </c>
      <c r="P106" s="164">
        <f t="shared" ref="P106" ca="1" si="371">IF(O106="Ruutu",1,IF(P105=3,10,IF(O105=1,O106,1+O106)))</f>
        <v>6</v>
      </c>
      <c r="Q106" s="163">
        <f t="shared" ref="Q106" ca="1" si="372">IF(P106="Ruutu",1,IF(Q105=3,10,IF(P105=1,P106,1+P106)))</f>
        <v>7</v>
      </c>
      <c r="R106" s="163">
        <f t="shared" ref="R106" ca="1" si="373">IF(Q106="Ruutu",1,IF(R105=3,10,IF(Q105=1,Q106,1+Q106)))</f>
        <v>7</v>
      </c>
      <c r="S106" s="164">
        <f t="shared" ref="S106" ca="1" si="374">IF(R106="Ruutu",1,IF(S105=3,10,IF(R105=1,R106,1+R106)))</f>
        <v>8</v>
      </c>
      <c r="T106" s="164">
        <f t="shared" ref="T106" ca="1" si="375">IF(S106="Ruutu",1,IF(T105=3,10,IF(S105=1,S106,1+S106)))</f>
        <v>8</v>
      </c>
      <c r="U106" s="163">
        <f t="shared" ref="U106" ca="1" si="376">IF(T106="Ruutu",1,IF(U105=3,10,IF(T105=1,T106,1+T106)))</f>
        <v>9</v>
      </c>
      <c r="V106" s="163">
        <f t="shared" ref="V106" ca="1" si="377">IF(U106="Ruutu",1,IF(V105=3,10,IF(U105=1,U106,1+U106)))</f>
        <v>9</v>
      </c>
      <c r="W106" s="164">
        <f t="shared" ref="W106" ca="1" si="378">IF(V106="Ruutu",1,IF(W105=3,10,IF(V105=1,V106,1+V106)))</f>
        <v>10</v>
      </c>
      <c r="X106" s="164">
        <f t="shared" ref="X106" ca="1" si="379">IF(W106="Ruutu",1,IF(X105=3,10,IF(W105=1,W106,1+W106)))</f>
        <v>10</v>
      </c>
      <c r="Y106" s="164">
        <f t="shared" ref="Y106" ca="1" si="380">IF(X106="Ruutu",1,IF(Y105=3,10,IF(X105=1,X106,1+X106)))</f>
        <v>10</v>
      </c>
    </row>
    <row r="107" spans="1:25" x14ac:dyDescent="0.25">
      <c r="A107" s="159" t="s">
        <v>222</v>
      </c>
      <c r="B107" s="150">
        <f ca="1">COUNTIFS(OFFSET(B106,-2,3):OFFSET(B106,-2,23),1,OFFSET(B106,2,3):OFFSET(B106,2,23),1)</f>
        <v>8</v>
      </c>
      <c r="D107" s="165" t="s">
        <v>219</v>
      </c>
      <c r="E107" s="163">
        <f t="shared" ref="E107:Y107" ca="1" si="381">SUMIFS($E98:$Y98,$E106:$Y106,E106)</f>
        <v>9</v>
      </c>
      <c r="F107" s="163">
        <f t="shared" ca="1" si="381"/>
        <v>9</v>
      </c>
      <c r="G107" s="164">
        <f t="shared" ca="1" si="381"/>
        <v>9</v>
      </c>
      <c r="H107" s="164">
        <f t="shared" ca="1" si="381"/>
        <v>9</v>
      </c>
      <c r="I107" s="163">
        <f t="shared" ca="1" si="381"/>
        <v>10</v>
      </c>
      <c r="J107" s="163">
        <f t="shared" ca="1" si="381"/>
        <v>10</v>
      </c>
      <c r="K107" s="164">
        <f t="shared" ca="1" si="381"/>
        <v>10</v>
      </c>
      <c r="L107" s="164">
        <f t="shared" ca="1" si="381"/>
        <v>10</v>
      </c>
      <c r="M107" s="163">
        <f t="shared" ca="1" si="381"/>
        <v>7</v>
      </c>
      <c r="N107" s="163">
        <f t="shared" ca="1" si="381"/>
        <v>7</v>
      </c>
      <c r="O107" s="164">
        <f t="shared" ca="1" si="381"/>
        <v>8</v>
      </c>
      <c r="P107" s="164">
        <f t="shared" ca="1" si="381"/>
        <v>8</v>
      </c>
      <c r="Q107" s="163">
        <f t="shared" ca="1" si="381"/>
        <v>10</v>
      </c>
      <c r="R107" s="163">
        <f t="shared" ca="1" si="381"/>
        <v>10</v>
      </c>
      <c r="S107" s="164">
        <f t="shared" ca="1" si="381"/>
        <v>10</v>
      </c>
      <c r="T107" s="164">
        <f t="shared" ca="1" si="381"/>
        <v>10</v>
      </c>
      <c r="U107" s="163">
        <f t="shared" ca="1" si="381"/>
        <v>0</v>
      </c>
      <c r="V107" s="163">
        <f t="shared" ca="1" si="381"/>
        <v>0</v>
      </c>
      <c r="W107" s="164">
        <f t="shared" ca="1" si="381"/>
        <v>0</v>
      </c>
      <c r="X107" s="164">
        <f t="shared" ca="1" si="381"/>
        <v>0</v>
      </c>
      <c r="Y107" s="164">
        <f t="shared" ca="1" si="381"/>
        <v>0</v>
      </c>
    </row>
    <row r="108" spans="1:25" x14ac:dyDescent="0.25">
      <c r="A108" s="159" t="s">
        <v>223</v>
      </c>
      <c r="B108" s="152">
        <f ca="1">B106/B107</f>
        <v>0.5</v>
      </c>
      <c r="D108" s="165" t="s">
        <v>221</v>
      </c>
      <c r="E108" s="163">
        <f t="shared" ref="E108:Y108" ca="1" si="382">(SUMIFS($E103:$Y103,$E106:$Y106,E106)&gt;=2)*1</f>
        <v>1</v>
      </c>
      <c r="F108" s="163">
        <f t="shared" ca="1" si="382"/>
        <v>1</v>
      </c>
      <c r="G108" s="164">
        <f t="shared" ca="1" si="382"/>
        <v>1</v>
      </c>
      <c r="H108" s="164">
        <f t="shared" ca="1" si="382"/>
        <v>1</v>
      </c>
      <c r="I108" s="163">
        <f t="shared" ca="1" si="382"/>
        <v>1</v>
      </c>
      <c r="J108" s="163">
        <f t="shared" ca="1" si="382"/>
        <v>1</v>
      </c>
      <c r="K108" s="164">
        <f t="shared" ca="1" si="382"/>
        <v>1</v>
      </c>
      <c r="L108" s="164">
        <f t="shared" ca="1" si="382"/>
        <v>1</v>
      </c>
      <c r="M108" s="163">
        <f t="shared" ca="1" si="382"/>
        <v>1</v>
      </c>
      <c r="N108" s="163">
        <f t="shared" ca="1" si="382"/>
        <v>1</v>
      </c>
      <c r="O108" s="164">
        <f t="shared" ca="1" si="382"/>
        <v>1</v>
      </c>
      <c r="P108" s="164">
        <f t="shared" ca="1" si="382"/>
        <v>1</v>
      </c>
      <c r="Q108" s="163">
        <f t="shared" ca="1" si="382"/>
        <v>1</v>
      </c>
      <c r="R108" s="163">
        <f t="shared" ca="1" si="382"/>
        <v>1</v>
      </c>
      <c r="S108" s="164">
        <f t="shared" ca="1" si="382"/>
        <v>1</v>
      </c>
      <c r="T108" s="164">
        <f t="shared" ca="1" si="382"/>
        <v>1</v>
      </c>
      <c r="U108" s="163">
        <f t="shared" ca="1" si="382"/>
        <v>0</v>
      </c>
      <c r="V108" s="163">
        <f t="shared" ca="1" si="382"/>
        <v>0</v>
      </c>
      <c r="W108" s="164">
        <f t="shared" ca="1" si="382"/>
        <v>0</v>
      </c>
      <c r="X108" s="164">
        <f t="shared" ca="1" si="382"/>
        <v>0</v>
      </c>
      <c r="Y108" s="164">
        <f t="shared" ca="1" si="382"/>
        <v>0</v>
      </c>
    </row>
    <row r="109" spans="1:25" x14ac:dyDescent="0.25">
      <c r="A109" s="162" t="s">
        <v>224</v>
      </c>
      <c r="B109" s="155">
        <f ca="1">B110/B111*10</f>
        <v>9.125</v>
      </c>
      <c r="D109" s="165" t="s">
        <v>226</v>
      </c>
      <c r="E109" s="163">
        <f>COLUMN()-2</f>
        <v>3</v>
      </c>
      <c r="F109" s="163">
        <f t="shared" ref="F109:Y109" si="383">COLUMN()-2</f>
        <v>4</v>
      </c>
      <c r="G109" s="164">
        <f t="shared" si="383"/>
        <v>5</v>
      </c>
      <c r="H109" s="164">
        <f t="shared" si="383"/>
        <v>6</v>
      </c>
      <c r="I109" s="163">
        <f t="shared" si="383"/>
        <v>7</v>
      </c>
      <c r="J109" s="163">
        <f t="shared" si="383"/>
        <v>8</v>
      </c>
      <c r="K109" s="164">
        <f t="shared" si="383"/>
        <v>9</v>
      </c>
      <c r="L109" s="164">
        <f t="shared" si="383"/>
        <v>10</v>
      </c>
      <c r="M109" s="163">
        <f t="shared" si="383"/>
        <v>11</v>
      </c>
      <c r="N109" s="163">
        <f t="shared" si="383"/>
        <v>12</v>
      </c>
      <c r="O109" s="164">
        <f t="shared" si="383"/>
        <v>13</v>
      </c>
      <c r="P109" s="164">
        <f t="shared" si="383"/>
        <v>14</v>
      </c>
      <c r="Q109" s="163">
        <f t="shared" si="383"/>
        <v>15</v>
      </c>
      <c r="R109" s="163">
        <f t="shared" si="383"/>
        <v>16</v>
      </c>
      <c r="S109" s="164">
        <f t="shared" si="383"/>
        <v>17</v>
      </c>
      <c r="T109" s="164">
        <f t="shared" si="383"/>
        <v>18</v>
      </c>
      <c r="U109" s="163">
        <f t="shared" si="383"/>
        <v>19</v>
      </c>
      <c r="V109" s="163">
        <f t="shared" si="383"/>
        <v>20</v>
      </c>
      <c r="W109" s="164">
        <f t="shared" si="383"/>
        <v>21</v>
      </c>
      <c r="X109" s="164">
        <f t="shared" si="383"/>
        <v>22</v>
      </c>
      <c r="Y109" s="164">
        <f t="shared" si="383"/>
        <v>23</v>
      </c>
    </row>
    <row r="110" spans="1:25" x14ac:dyDescent="0.25">
      <c r="A110" s="160" t="s">
        <v>214</v>
      </c>
      <c r="B110" s="156">
        <f ca="1">SUM(OFFSET(B110,-12,3):OFFSET(B110,-12,23))</f>
        <v>73</v>
      </c>
      <c r="D110" s="165" t="s">
        <v>227</v>
      </c>
      <c r="E110" s="163">
        <v>0</v>
      </c>
      <c r="F110" s="163">
        <v>0</v>
      </c>
      <c r="G110" s="164">
        <v>0</v>
      </c>
      <c r="H110" s="164">
        <v>0</v>
      </c>
      <c r="I110" s="163">
        <v>0</v>
      </c>
      <c r="J110" s="163">
        <v>0</v>
      </c>
      <c r="K110" s="164">
        <v>0</v>
      </c>
      <c r="L110" s="164">
        <v>0</v>
      </c>
      <c r="M110" s="163">
        <v>0</v>
      </c>
      <c r="N110" s="163">
        <v>0</v>
      </c>
      <c r="O110" s="164">
        <v>0</v>
      </c>
      <c r="P110" s="164">
        <v>0</v>
      </c>
      <c r="Q110" s="163">
        <v>0</v>
      </c>
      <c r="R110" s="163">
        <v>0</v>
      </c>
      <c r="S110" s="164">
        <v>0</v>
      </c>
      <c r="T110" s="164">
        <v>0</v>
      </c>
      <c r="U110" s="163">
        <v>0</v>
      </c>
      <c r="V110" s="163">
        <v>0</v>
      </c>
      <c r="W110" s="164">
        <v>0</v>
      </c>
      <c r="X110" s="164">
        <v>0</v>
      </c>
      <c r="Y110" s="164">
        <v>1</v>
      </c>
    </row>
    <row r="111" spans="1:25" x14ac:dyDescent="0.25">
      <c r="A111" s="160" t="s">
        <v>225</v>
      </c>
      <c r="B111" s="156">
        <f ca="1">10*SUMPRODUCT(OFFSET(B111,-7,3):OFFSET(B111,-7,23),OFFSET(B111,-8,3):OFFSET(B111,-8,23))</f>
        <v>80</v>
      </c>
      <c r="D111" s="165" t="s">
        <v>213</v>
      </c>
      <c r="E111" s="163" t="str">
        <f ca="1">IF(E102="AI",IF(OR(E104=1,AND(E110=1,OFFSET(E111,-6,-E109)=1)),OFFSET(E111,-10,-E109),""),"")</f>
        <v/>
      </c>
      <c r="F111" s="163" t="str">
        <f t="shared" ref="F111" ca="1" si="384">IF(F102="AI",IF(OR(F104=1,AND(F110=1,OFFSET(F111,-6,-F109)=1)),OFFSET(F111,-10,-F109),""),"")</f>
        <v/>
      </c>
      <c r="G111" s="164" t="str">
        <f t="shared" ref="G111" ca="1" si="385">IF(G102="AI",IF(OR(G104=1,AND(G110=1,OFFSET(G111,-6,-G109)=1)),OFFSET(G111,-10,-G109),""),"")</f>
        <v/>
      </c>
      <c r="H111" s="164" t="str">
        <f t="shared" ref="H111" ca="1" si="386">IF(H102="AI",IF(OR(H104=1,AND(H110=1,OFFSET(H111,-6,-H109)=1)),OFFSET(H111,-10,-H109),""),"")</f>
        <v/>
      </c>
      <c r="I111" s="163" t="str">
        <f t="shared" ref="I111" ca="1" si="387">IF(I102="AI",IF(OR(I104=1,AND(I110=1,OFFSET(I111,-6,-I109)=1)),OFFSET(I111,-10,-I109),""),"")</f>
        <v/>
      </c>
      <c r="J111" s="163" t="str">
        <f t="shared" ref="J111" ca="1" si="388">IF(J102="AI",IF(OR(J104=1,AND(J110=1,OFFSET(J111,-6,-J109)=1)),OFFSET(J111,-10,-J109),""),"")</f>
        <v/>
      </c>
      <c r="K111" s="164" t="str">
        <f t="shared" ref="K111" ca="1" si="389">IF(K102="AI",IF(OR(K104=1,AND(K110=1,OFFSET(K111,-6,-K109)=1)),OFFSET(K111,-10,-K109),""),"")</f>
        <v/>
      </c>
      <c r="L111" s="164" t="str">
        <f t="shared" ref="L111" ca="1" si="390">IF(L102="AI",IF(OR(L104=1,AND(L110=1,OFFSET(L111,-6,-L109)=1)),OFFSET(L111,-10,-L109),""),"")</f>
        <v/>
      </c>
      <c r="M111" s="163" t="str">
        <f t="shared" ref="M111" ca="1" si="391">IF(M102="AI",IF(OR(M104=1,AND(M110=1,OFFSET(M111,-6,-M109)=1)),OFFSET(M111,-10,-M109),""),"")</f>
        <v/>
      </c>
      <c r="N111" s="163" t="str">
        <f t="shared" ref="N111" ca="1" si="392">IF(N102="AI",IF(OR(N104=1,AND(N110=1,OFFSET(N111,-6,-N109)=1)),OFFSET(N111,-10,-N109),""),"")</f>
        <v/>
      </c>
      <c r="O111" s="164" t="str">
        <f t="shared" ref="O111" ca="1" si="393">IF(O102="AI",IF(OR(O104=1,AND(O110=1,OFFSET(O111,-6,-O109)=1)),OFFSET(O111,-10,-O109),""),"")</f>
        <v/>
      </c>
      <c r="P111" s="164" t="str">
        <f t="shared" ref="P111" ca="1" si="394">IF(P102="AI",IF(OR(P104=1,AND(P110=1,OFFSET(P111,-6,-P109)=1)),OFFSET(P111,-10,-P109),""),"")</f>
        <v/>
      </c>
      <c r="Q111" s="163" t="str">
        <f t="shared" ref="Q111" ca="1" si="395">IF(Q102="AI",IF(OR(Q104=1,AND(Q110=1,OFFSET(Q111,-6,-Q109)=1)),OFFSET(Q111,-10,-Q109),""),"")</f>
        <v/>
      </c>
      <c r="R111" s="163" t="str">
        <f t="shared" ref="R111" ca="1" si="396">IF(R102="AI",IF(OR(R104=1,AND(R110=1,OFFSET(R111,-6,-R109)=1)),OFFSET(R111,-10,-R109),""),"")</f>
        <v/>
      </c>
      <c r="S111" s="164" t="str">
        <f t="shared" ref="S111" ca="1" si="397">IF(S102="AI",IF(OR(S104=1,AND(S110=1,OFFSET(S111,-6,-S109)=1)),OFFSET(S111,-10,-S109),""),"")</f>
        <v/>
      </c>
      <c r="T111" s="164" t="str">
        <f t="shared" ref="T111" ca="1" si="398">IF(T102="AI",IF(OR(T104=1,AND(T110=1,OFFSET(T111,-6,-T109)=1)),OFFSET(T111,-10,-T109),""),"")</f>
        <v/>
      </c>
      <c r="U111" s="163">
        <f t="shared" ref="U111" ca="1" si="399">IF(U102="AI",IF(OR(U104=1,AND(U110=1,OFFSET(U111,-6,-U109)=1)),OFFSET(U111,-10,-U109),""),"")</f>
        <v>6</v>
      </c>
      <c r="V111" s="163" t="str">
        <f t="shared" ref="V111" ca="1" si="400">IF(V102="AI",IF(OR(V104=1,AND(V110=1,OFFSET(V111,-6,-V109)=1)),OFFSET(V111,-10,-V109),""),"")</f>
        <v/>
      </c>
      <c r="W111" s="164">
        <f t="shared" ref="W111" ca="1" si="401">IF(W102="AI",IF(OR(W104=1,AND(W110=1,OFFSET(W111,-6,-W109)=1)),OFFSET(W111,-10,-W109),""),"")</f>
        <v>6</v>
      </c>
      <c r="X111" s="164" t="str">
        <f t="shared" ref="X111" ca="1" si="402">IF(X102="AI",IF(OR(X104=1,AND(X110=1,OFFSET(X111,-6,-X109)=1)),OFFSET(X111,-10,-X109),""),"")</f>
        <v/>
      </c>
      <c r="Y111" s="164" t="str">
        <f t="shared" ref="Y111" ca="1" si="403">IF(Y102="AI",IF(OR(Y104=1,AND(Y110=1,OFFSET(Y111,-6,-Y109)=1)),OFFSET(Y111,-10,-Y109),""),"")</f>
        <v/>
      </c>
    </row>
    <row r="112" spans="1:25" x14ac:dyDescent="0.25">
      <c r="A112" s="213" t="s">
        <v>235</v>
      </c>
      <c r="B112" s="214">
        <f ca="1">W119</f>
        <v>111</v>
      </c>
      <c r="D112" s="165" t="s">
        <v>229</v>
      </c>
      <c r="E112" s="163" t="str">
        <f ca="1">IF(E102="AI",IF(E105=2,IF(OFFSET(E112,-7,-E109)=1,10-SUMIFS($E111:$X111,$E106:$X106,E106),""),""),"")</f>
        <v/>
      </c>
      <c r="F112" s="163" t="str">
        <f t="shared" ref="F112" ca="1" si="404">IF(F102="AI",IF(F105=2,IF(OFFSET(F112,-7,-F109)=1,10-SUMIFS($E111:$X111,$E106:$X106,F106),""),""),"")</f>
        <v/>
      </c>
      <c r="G112" s="164" t="str">
        <f t="shared" ref="G112" ca="1" si="405">IF(G102="AI",IF(G105=2,IF(OFFSET(G112,-7,-G109)=1,10-SUMIFS($E111:$X111,$E106:$X106,G106),""),""),"")</f>
        <v/>
      </c>
      <c r="H112" s="164" t="str">
        <f t="shared" ref="H112" ca="1" si="406">IF(H102="AI",IF(H105=2,IF(OFFSET(H112,-7,-H109)=1,10-SUMIFS($E111:$X111,$E106:$X106,H106),""),""),"")</f>
        <v/>
      </c>
      <c r="I112" s="163" t="str">
        <f t="shared" ref="I112" ca="1" si="407">IF(I102="AI",IF(I105=2,IF(OFFSET(I112,-7,-I109)=1,10-SUMIFS($E111:$X111,$E106:$X106,I106),""),""),"")</f>
        <v/>
      </c>
      <c r="J112" s="163" t="str">
        <f t="shared" ref="J112" ca="1" si="408">IF(J102="AI",IF(J105=2,IF(OFFSET(J112,-7,-J109)=1,10-SUMIFS($E111:$X111,$E106:$X106,J106),""),""),"")</f>
        <v/>
      </c>
      <c r="K112" s="164" t="str">
        <f t="shared" ref="K112" ca="1" si="409">IF(K102="AI",IF(K105=2,IF(OFFSET(K112,-7,-K109)=1,10-SUMIFS($E111:$X111,$E106:$X106,K106),""),""),"")</f>
        <v/>
      </c>
      <c r="L112" s="164" t="str">
        <f t="shared" ref="L112" ca="1" si="410">IF(L102="AI",IF(L105=2,IF(OFFSET(L112,-7,-L109)=1,10-SUMIFS($E111:$X111,$E106:$X106,L106),""),""),"")</f>
        <v/>
      </c>
      <c r="M112" s="163" t="str">
        <f t="shared" ref="M112" ca="1" si="411">IF(M102="AI",IF(M105=2,IF(OFFSET(M112,-7,-M109)=1,10-SUMIFS($E111:$X111,$E106:$X106,M106),""),""),"")</f>
        <v/>
      </c>
      <c r="N112" s="163" t="str">
        <f t="shared" ref="N112" ca="1" si="412">IF(N102="AI",IF(N105=2,IF(OFFSET(N112,-7,-N109)=1,10-SUMIFS($E111:$X111,$E106:$X106,N106),""),""),"")</f>
        <v/>
      </c>
      <c r="O112" s="164" t="str">
        <f t="shared" ref="O112" ca="1" si="413">IF(O102="AI",IF(O105=2,IF(OFFSET(O112,-7,-O109)=1,10-SUMIFS($E111:$X111,$E106:$X106,O106),""),""),"")</f>
        <v/>
      </c>
      <c r="P112" s="164" t="str">
        <f t="shared" ref="P112" ca="1" si="414">IF(P102="AI",IF(P105=2,IF(OFFSET(P112,-7,-P109)=1,10-SUMIFS($E111:$X111,$E106:$X106,P106),""),""),"")</f>
        <v/>
      </c>
      <c r="Q112" s="163" t="str">
        <f t="shared" ref="Q112" ca="1" si="415">IF(Q102="AI",IF(Q105=2,IF(OFFSET(Q112,-7,-Q109)=1,10-SUMIFS($E111:$X111,$E106:$X106,Q106),""),""),"")</f>
        <v/>
      </c>
      <c r="R112" s="163" t="str">
        <f t="shared" ref="R112" ca="1" si="416">IF(R102="AI",IF(R105=2,IF(OFFSET(R112,-7,-R109)=1,10-SUMIFS($E111:$X111,$E106:$X106,R106),""),""),"")</f>
        <v/>
      </c>
      <c r="S112" s="164" t="str">
        <f t="shared" ref="S112" ca="1" si="417">IF(S102="AI",IF(S105=2,IF(OFFSET(S112,-7,-S109)=1,10-SUMIFS($E111:$X111,$E106:$X106,S106),""),""),"")</f>
        <v/>
      </c>
      <c r="T112" s="164" t="str">
        <f t="shared" ref="T112" ca="1" si="418">IF(T102="AI",IF(T105=2,IF(OFFSET(T112,-7,-T109)=1,10-SUMIFS($E111:$X111,$E106:$X106,T106),""),""),"")</f>
        <v/>
      </c>
      <c r="U112" s="163" t="str">
        <f t="shared" ref="U112" ca="1" si="419">IF(U102="AI",IF(U105=2,IF(OFFSET(U112,-7,-U109)=1,10-SUMIFS($E111:$X111,$E106:$X106,U106),""),""),"")</f>
        <v/>
      </c>
      <c r="V112" s="163" t="str">
        <f t="shared" ref="V112" ca="1" si="420">IF(V102="AI",IF(V105=2,IF(OFFSET(V112,-7,-V109)=1,10-SUMIFS($E111:$X111,$E106:$X106,V106),""),""),"")</f>
        <v/>
      </c>
      <c r="W112" s="164" t="str">
        <f t="shared" ref="W112" ca="1" si="421">IF(W102="AI",IF(W105=2,IF(OFFSET(W112,-7,-W109)=1,10-SUMIFS($E111:$X111,$E106:$X106,W106),""),""),"")</f>
        <v/>
      </c>
      <c r="X112" s="164" t="str">
        <f t="shared" ref="X112" ca="1" si="422">IF(X102="AI",IF(X105=2,IF(OFFSET(X112,-7,-X109)=1,10-SUMIFS($E111:$X111,$E106:$X106,X106),""),""),"")</f>
        <v/>
      </c>
      <c r="Y112" s="164" t="str">
        <f t="shared" ref="Y112" ca="1" si="423">IF(Y102="AI",IF(Y105=2,IF(OFFSET(Y112,-7,-Y109)=1,10-SUMIFS($E111:$X111,$E106:$X106,Y106),""),""),"")</f>
        <v/>
      </c>
    </row>
    <row r="113" spans="1:25" x14ac:dyDescent="0.25">
      <c r="A113" s="213"/>
      <c r="B113" s="214"/>
      <c r="D113" s="165" t="s">
        <v>232</v>
      </c>
      <c r="E113" s="163">
        <f>IF(E106=10,2,IF(E106&gt;7,1,0))</f>
        <v>0</v>
      </c>
      <c r="F113" s="163">
        <f t="shared" ref="F113:Y113" ca="1" si="424">IF(F106=10,2,IF(F106&gt;7,1,0))</f>
        <v>0</v>
      </c>
      <c r="G113" s="164">
        <f t="shared" ca="1" si="424"/>
        <v>0</v>
      </c>
      <c r="H113" s="164">
        <f t="shared" ca="1" si="424"/>
        <v>0</v>
      </c>
      <c r="I113" s="163">
        <f t="shared" ca="1" si="424"/>
        <v>0</v>
      </c>
      <c r="J113" s="163">
        <f t="shared" ca="1" si="424"/>
        <v>0</v>
      </c>
      <c r="K113" s="164">
        <f t="shared" ca="1" si="424"/>
        <v>0</v>
      </c>
      <c r="L113" s="164">
        <f t="shared" ca="1" si="424"/>
        <v>0</v>
      </c>
      <c r="M113" s="163">
        <f t="shared" ca="1" si="424"/>
        <v>0</v>
      </c>
      <c r="N113" s="163">
        <f t="shared" ca="1" si="424"/>
        <v>0</v>
      </c>
      <c r="O113" s="164">
        <f t="shared" ca="1" si="424"/>
        <v>0</v>
      </c>
      <c r="P113" s="164">
        <f t="shared" ca="1" si="424"/>
        <v>0</v>
      </c>
      <c r="Q113" s="163">
        <f t="shared" ca="1" si="424"/>
        <v>0</v>
      </c>
      <c r="R113" s="163">
        <f t="shared" ca="1" si="424"/>
        <v>0</v>
      </c>
      <c r="S113" s="164">
        <f t="shared" ca="1" si="424"/>
        <v>1</v>
      </c>
      <c r="T113" s="164">
        <f t="shared" ca="1" si="424"/>
        <v>1</v>
      </c>
      <c r="U113" s="163">
        <f t="shared" ca="1" si="424"/>
        <v>1</v>
      </c>
      <c r="V113" s="163">
        <f t="shared" ca="1" si="424"/>
        <v>1</v>
      </c>
      <c r="W113" s="164">
        <f t="shared" ca="1" si="424"/>
        <v>2</v>
      </c>
      <c r="X113" s="164">
        <f t="shared" ca="1" si="424"/>
        <v>2</v>
      </c>
      <c r="Y113" s="164">
        <f t="shared" ca="1" si="424"/>
        <v>2</v>
      </c>
    </row>
    <row r="114" spans="1:25" x14ac:dyDescent="0.25">
      <c r="D114" s="165" t="s">
        <v>230</v>
      </c>
      <c r="E114" s="163" t="str">
        <f ca="1">IF(E102="AI",IF(E105=2,IF(OFFSET(E114,-9,-E109)=0,MAX(ROUND(OFFSET(E114,-5,-E109)-(SUMIFS($E98:$Y98,$E104:$Y104,1,$E106:$Y106,E106)+SUMIFS($E111:$Y111,$E104:$Y104,1,$E106:$Y106,E106)+E113),0),0),""),""),"")</f>
        <v/>
      </c>
      <c r="F114" s="163" t="str">
        <f t="shared" ref="F114" ca="1" si="425">IF(F102="AI",IF(F105=2,IF(OFFSET(F114,-9,-F109)=0,MAX(ROUND(OFFSET(F114,-5,-F109)-(SUMIFS($E98:$Y98,$E104:$Y104,1,$E106:$Y106,F106)+SUMIFS($E111:$Y111,$E104:$Y104,1,$E106:$Y106,F106)+F113),0),0),""),""),"")</f>
        <v/>
      </c>
      <c r="G114" s="164" t="str">
        <f t="shared" ref="G114" ca="1" si="426">IF(G102="AI",IF(G105=2,IF(OFFSET(G114,-9,-G109)=0,MAX(ROUND(OFFSET(G114,-5,-G109)-(SUMIFS($E98:$Y98,$E104:$Y104,1,$E106:$Y106,G106)+SUMIFS($E111:$Y111,$E104:$Y104,1,$E106:$Y106,G106)+G113),0),0),""),""),"")</f>
        <v/>
      </c>
      <c r="H114" s="164" t="str">
        <f t="shared" ref="H114" ca="1" si="427">IF(H102="AI",IF(H105=2,IF(OFFSET(H114,-9,-H109)=0,MAX(ROUND(OFFSET(H114,-5,-H109)-(SUMIFS($E98:$Y98,$E104:$Y104,1,$E106:$Y106,H106)+SUMIFS($E111:$Y111,$E104:$Y104,1,$E106:$Y106,H106)+H113),0),0),""),""),"")</f>
        <v/>
      </c>
      <c r="I114" s="163" t="str">
        <f t="shared" ref="I114" ca="1" si="428">IF(I102="AI",IF(I105=2,IF(OFFSET(I114,-9,-I109)=0,MAX(ROUND(OFFSET(I114,-5,-I109)-(SUMIFS($E98:$Y98,$E104:$Y104,1,$E106:$Y106,I106)+SUMIFS($E111:$Y111,$E104:$Y104,1,$E106:$Y106,I106)+I113),0),0),""),""),"")</f>
        <v/>
      </c>
      <c r="J114" s="163" t="str">
        <f t="shared" ref="J114" ca="1" si="429">IF(J102="AI",IF(J105=2,IF(OFFSET(J114,-9,-J109)=0,MAX(ROUND(OFFSET(J114,-5,-J109)-(SUMIFS($E98:$Y98,$E104:$Y104,1,$E106:$Y106,J106)+SUMIFS($E111:$Y111,$E104:$Y104,1,$E106:$Y106,J106)+J113),0),0),""),""),"")</f>
        <v/>
      </c>
      <c r="K114" s="164" t="str">
        <f t="shared" ref="K114" ca="1" si="430">IF(K102="AI",IF(K105=2,IF(OFFSET(K114,-9,-K109)=0,MAX(ROUND(OFFSET(K114,-5,-K109)-(SUMIFS($E98:$Y98,$E104:$Y104,1,$E106:$Y106,K106)+SUMIFS($E111:$Y111,$E104:$Y104,1,$E106:$Y106,K106)+K113),0),0),""),""),"")</f>
        <v/>
      </c>
      <c r="L114" s="164" t="str">
        <f t="shared" ref="L114" ca="1" si="431">IF(L102="AI",IF(L105=2,IF(OFFSET(L114,-9,-L109)=0,MAX(ROUND(OFFSET(L114,-5,-L109)-(SUMIFS($E98:$Y98,$E104:$Y104,1,$E106:$Y106,L106)+SUMIFS($E111:$Y111,$E104:$Y104,1,$E106:$Y106,L106)+L113),0),0),""),""),"")</f>
        <v/>
      </c>
      <c r="M114" s="163" t="str">
        <f t="shared" ref="M114" ca="1" si="432">IF(M102="AI",IF(M105=2,IF(OFFSET(M114,-9,-M109)=0,MAX(ROUND(OFFSET(M114,-5,-M109)-(SUMIFS($E98:$Y98,$E104:$Y104,1,$E106:$Y106,M106)+SUMIFS($E111:$Y111,$E104:$Y104,1,$E106:$Y106,M106)+M113),0),0),""),""),"")</f>
        <v/>
      </c>
      <c r="N114" s="163" t="str">
        <f t="shared" ref="N114" ca="1" si="433">IF(N102="AI",IF(N105=2,IF(OFFSET(N114,-9,-N109)=0,MAX(ROUND(OFFSET(N114,-5,-N109)-(SUMIFS($E98:$Y98,$E104:$Y104,1,$E106:$Y106,N106)+SUMIFS($E111:$Y111,$E104:$Y104,1,$E106:$Y106,N106)+N113),0),0),""),""),"")</f>
        <v/>
      </c>
      <c r="O114" s="164" t="str">
        <f t="shared" ref="O114" ca="1" si="434">IF(O102="AI",IF(O105=2,IF(OFFSET(O114,-9,-O109)=0,MAX(ROUND(OFFSET(O114,-5,-O109)-(SUMIFS($E98:$Y98,$E104:$Y104,1,$E106:$Y106,O106)+SUMIFS($E111:$Y111,$E104:$Y104,1,$E106:$Y106,O106)+O113),0),0),""),""),"")</f>
        <v/>
      </c>
      <c r="P114" s="164" t="str">
        <f t="shared" ref="P114" ca="1" si="435">IF(P102="AI",IF(P105=2,IF(OFFSET(P114,-9,-P109)=0,MAX(ROUND(OFFSET(P114,-5,-P109)-(SUMIFS($E98:$Y98,$E104:$Y104,1,$E106:$Y106,P106)+SUMIFS($E111:$Y111,$E104:$Y104,1,$E106:$Y106,P106)+P113),0),0),""),""),"")</f>
        <v/>
      </c>
      <c r="Q114" s="163" t="str">
        <f t="shared" ref="Q114" ca="1" si="436">IF(Q102="AI",IF(Q105=2,IF(OFFSET(Q114,-9,-Q109)=0,MAX(ROUND(OFFSET(Q114,-5,-Q109)-(SUMIFS($E98:$Y98,$E104:$Y104,1,$E106:$Y106,Q106)+SUMIFS($E111:$Y111,$E104:$Y104,1,$E106:$Y106,Q106)+Q113),0),0),""),""),"")</f>
        <v/>
      </c>
      <c r="R114" s="163" t="str">
        <f t="shared" ref="R114" ca="1" si="437">IF(R102="AI",IF(R105=2,IF(OFFSET(R114,-9,-R109)=0,MAX(ROUND(OFFSET(R114,-5,-R109)-(SUMIFS($E98:$Y98,$E104:$Y104,1,$E106:$Y106,R106)+SUMIFS($E111:$Y111,$E104:$Y104,1,$E106:$Y106,R106)+R113),0),0),""),""),"")</f>
        <v/>
      </c>
      <c r="S114" s="164" t="str">
        <f t="shared" ref="S114" ca="1" si="438">IF(S102="AI",IF(S105=2,IF(OFFSET(S114,-9,-S109)=0,MAX(ROUND(OFFSET(S114,-5,-S109)-(SUMIFS($E98:$Y98,$E104:$Y104,1,$E106:$Y106,S106)+SUMIFS($E111:$Y111,$E104:$Y104,1,$E106:$Y106,S106)+S113),0),0),""),""),"")</f>
        <v/>
      </c>
      <c r="T114" s="164" t="str">
        <f t="shared" ref="T114" ca="1" si="439">IF(T102="AI",IF(T105=2,IF(OFFSET(T114,-9,-T109)=0,MAX(ROUND(OFFSET(T114,-5,-T109)-(SUMIFS($E98:$Y98,$E104:$Y104,1,$E106:$Y106,T106)+SUMIFS($E111:$Y111,$E104:$Y104,1,$E106:$Y106,T106)+T113),0),0),""),""),"")</f>
        <v/>
      </c>
      <c r="U114" s="163" t="str">
        <f t="shared" ref="U114" ca="1" si="440">IF(U102="AI",IF(U105=2,IF(OFFSET(U114,-9,-U109)=0,MAX(ROUND(OFFSET(U114,-5,-U109)-(SUMIFS($E98:$Y98,$E104:$Y104,1,$E106:$Y106,U106)+SUMIFS($E111:$Y111,$E104:$Y104,1,$E106:$Y106,U106)+U113),0),0),""),""),"")</f>
        <v/>
      </c>
      <c r="V114" s="163">
        <f t="shared" ref="V114" ca="1" si="441">IF(V102="AI",IF(V105=2,IF(OFFSET(V114,-9,-V109)=0,MAX(ROUND(OFFSET(V114,-5,-V109)-(SUMIFS($E98:$Y98,$E104:$Y104,1,$E106:$Y106,V106)+SUMIFS($E111:$Y111,$E104:$Y104,1,$E106:$Y106,V106)+V113),0),0),""),""),"")</f>
        <v>2</v>
      </c>
      <c r="W114" s="164" t="str">
        <f t="shared" ref="W114" ca="1" si="442">IF(W102="AI",IF(W105=2,IF(OFFSET(W114,-9,-W109)=0,MAX(ROUND(OFFSET(W114,-5,-W109)-(SUMIFS($E98:$Y98,$E104:$Y104,1,$E106:$Y106,W106)+SUMIFS($E111:$Y111,$E104:$Y104,1,$E106:$Y106,W106)+W113),0),0),""),""),"")</f>
        <v/>
      </c>
      <c r="X114" s="164">
        <f t="shared" ref="X114" ca="1" si="443">IF(X102="AI",IF(X105=2,IF(OFFSET(X114,-9,-X109)=0,MAX(ROUND(OFFSET(X114,-5,-X109)-(SUMIFS($E98:$Y98,$E104:$Y104,1,$E106:$Y106,X106)+SUMIFS($E111:$Y111,$E104:$Y104,1,$E106:$Y106,X106)+X113),0),0),""),""),"")</f>
        <v>1</v>
      </c>
      <c r="Y114" s="164" t="str">
        <f t="shared" ref="Y114" ca="1" si="444">IF(Y102="AI",IF(Y105=2,IF(OFFSET(Y114,-9,-Y109)=0,MAX(ROUND(OFFSET(Y114,-5,-Y109)-(SUMIFS($E98:$Y98,$E104:$Y104,1,$E106:$Y106,Y106)+SUMIFS($E111:$Y111,$E104:$Y104,1,$E106:$Y106,Y106)+Y113),0),0),""),""),"")</f>
        <v/>
      </c>
    </row>
    <row r="115" spans="1:25" x14ac:dyDescent="0.25">
      <c r="D115" s="165" t="s">
        <v>234</v>
      </c>
      <c r="E115" s="163" t="str">
        <f>IF(E102="R","",IF(E114="",IF(E112="",E111,E112),E114))</f>
        <v/>
      </c>
      <c r="F115" s="163" t="str">
        <f t="shared" ref="F115" si="445">IF(F102="R","",IF(F114="",IF(F112="",F111,F112),F114))</f>
        <v/>
      </c>
      <c r="G115" s="164" t="str">
        <f t="shared" ref="G115" si="446">IF(G102="R","",IF(G114="",IF(G112="",G111,G112),G114))</f>
        <v/>
      </c>
      <c r="H115" s="164" t="str">
        <f t="shared" ref="H115" si="447">IF(H102="R","",IF(H114="",IF(H112="",H111,H112),H114))</f>
        <v/>
      </c>
      <c r="I115" s="163" t="str">
        <f t="shared" ref="I115" si="448">IF(I102="R","",IF(I114="",IF(I112="",I111,I112),I114))</f>
        <v/>
      </c>
      <c r="J115" s="163" t="str">
        <f t="shared" ref="J115" si="449">IF(J102="R","",IF(J114="",IF(J112="",J111,J112),J114))</f>
        <v/>
      </c>
      <c r="K115" s="164" t="str">
        <f t="shared" ref="K115" si="450">IF(K102="R","",IF(K114="",IF(K112="",K111,K112),K114))</f>
        <v/>
      </c>
      <c r="L115" s="164" t="str">
        <f t="shared" ref="L115" si="451">IF(L102="R","",IF(L114="",IF(L112="",L111,L112),L114))</f>
        <v/>
      </c>
      <c r="M115" s="163" t="str">
        <f t="shared" ref="M115" si="452">IF(M102="R","",IF(M114="",IF(M112="",M111,M112),M114))</f>
        <v/>
      </c>
      <c r="N115" s="163" t="str">
        <f t="shared" ref="N115" si="453">IF(N102="R","",IF(N114="",IF(N112="",N111,N112),N114))</f>
        <v/>
      </c>
      <c r="O115" s="164" t="str">
        <f t="shared" ref="O115" si="454">IF(O102="R","",IF(O114="",IF(O112="",O111,O112),O114))</f>
        <v/>
      </c>
      <c r="P115" s="164" t="str">
        <f t="shared" ref="P115" si="455">IF(P102="R","",IF(P114="",IF(P112="",P111,P112),P114))</f>
        <v/>
      </c>
      <c r="Q115" s="163" t="str">
        <f t="shared" ref="Q115" si="456">IF(Q102="R","",IF(Q114="",IF(Q112="",Q111,Q112),Q114))</f>
        <v/>
      </c>
      <c r="R115" s="163" t="str">
        <f t="shared" ref="R115" si="457">IF(R102="R","",IF(R114="",IF(R112="",R111,R112),R114))</f>
        <v/>
      </c>
      <c r="S115" s="164" t="str">
        <f t="shared" ref="S115" si="458">IF(S102="R","",IF(S114="",IF(S112="",S111,S112),S114))</f>
        <v/>
      </c>
      <c r="T115" s="164" t="str">
        <f t="shared" ref="T115" si="459">IF(T102="R","",IF(T114="",IF(T112="",T111,T112),T114))</f>
        <v/>
      </c>
      <c r="U115" s="163">
        <f t="shared" ref="U115" ca="1" si="460">IF(U102="R","",IF(U114="",IF(U112="",U111,U112),U114))</f>
        <v>6</v>
      </c>
      <c r="V115" s="163">
        <f t="shared" ref="V115" ca="1" si="461">IF(V102="R","",IF(V114="",IF(V112="",V111,V112),V114))</f>
        <v>2</v>
      </c>
      <c r="W115" s="164">
        <f t="shared" ref="W115" ca="1" si="462">IF(W102="R","",IF(W114="",IF(W112="",W111,W112),W114))</f>
        <v>6</v>
      </c>
      <c r="X115" s="164">
        <f t="shared" ref="X115" ca="1" si="463">IF(X102="R","",IF(X114="",IF(X112="",X111,X112),X114))</f>
        <v>1</v>
      </c>
      <c r="Y115" s="164" t="str">
        <f t="shared" ref="Y115" ca="1" si="464">IF(Y102="R","",IF(Y114="",IF(Y112="",Y111,Y112),Y114))</f>
        <v/>
      </c>
    </row>
    <row r="116" spans="1:25" x14ac:dyDescent="0.25">
      <c r="D116" s="169" t="s">
        <v>233</v>
      </c>
      <c r="E116" s="215" t="s">
        <v>198</v>
      </c>
      <c r="F116" s="215"/>
      <c r="G116" s="216" t="s">
        <v>199</v>
      </c>
      <c r="H116" s="216"/>
      <c r="I116" s="215" t="s">
        <v>200</v>
      </c>
      <c r="J116" s="215"/>
      <c r="K116" s="216" t="s">
        <v>201</v>
      </c>
      <c r="L116" s="216"/>
      <c r="M116" s="215" t="s">
        <v>202</v>
      </c>
      <c r="N116" s="215"/>
      <c r="O116" s="216" t="s">
        <v>203</v>
      </c>
      <c r="P116" s="216"/>
      <c r="Q116" s="215" t="s">
        <v>204</v>
      </c>
      <c r="R116" s="215"/>
      <c r="S116" s="216" t="s">
        <v>205</v>
      </c>
      <c r="T116" s="216"/>
      <c r="U116" s="215" t="s">
        <v>206</v>
      </c>
      <c r="V116" s="215"/>
      <c r="W116" s="216" t="s">
        <v>207</v>
      </c>
      <c r="X116" s="216"/>
      <c r="Y116" s="216"/>
    </row>
    <row r="117" spans="1:25" x14ac:dyDescent="0.25">
      <c r="D117" s="166" t="s">
        <v>215</v>
      </c>
      <c r="E117" s="167">
        <f>IF(E102="R",E98,E115)</f>
        <v>9</v>
      </c>
      <c r="F117" s="167">
        <f t="shared" ref="F117:Y117" si="465">IF(F102="R",F98,F115)</f>
        <v>0</v>
      </c>
      <c r="G117" s="168">
        <f t="shared" si="465"/>
        <v>9</v>
      </c>
      <c r="H117" s="168">
        <f t="shared" si="465"/>
        <v>0</v>
      </c>
      <c r="I117" s="167">
        <f t="shared" si="465"/>
        <v>9</v>
      </c>
      <c r="J117" s="167">
        <f t="shared" si="465"/>
        <v>1</v>
      </c>
      <c r="K117" s="168">
        <f t="shared" si="465"/>
        <v>3</v>
      </c>
      <c r="L117" s="168">
        <f t="shared" si="465"/>
        <v>7</v>
      </c>
      <c r="M117" s="167">
        <f t="shared" si="465"/>
        <v>7</v>
      </c>
      <c r="N117" s="167">
        <f t="shared" si="465"/>
        <v>0</v>
      </c>
      <c r="O117" s="168">
        <f t="shared" si="465"/>
        <v>8</v>
      </c>
      <c r="P117" s="168">
        <f t="shared" si="465"/>
        <v>0</v>
      </c>
      <c r="Q117" s="167">
        <f t="shared" si="465"/>
        <v>2</v>
      </c>
      <c r="R117" s="167">
        <f t="shared" si="465"/>
        <v>8</v>
      </c>
      <c r="S117" s="168">
        <f t="shared" si="465"/>
        <v>7</v>
      </c>
      <c r="T117" s="168">
        <f t="shared" si="465"/>
        <v>3</v>
      </c>
      <c r="U117" s="167">
        <f t="shared" ca="1" si="465"/>
        <v>6</v>
      </c>
      <c r="V117" s="167">
        <f t="shared" ca="1" si="465"/>
        <v>2</v>
      </c>
      <c r="W117" s="168">
        <f t="shared" ca="1" si="465"/>
        <v>6</v>
      </c>
      <c r="X117" s="168">
        <f t="shared" ca="1" si="465"/>
        <v>1</v>
      </c>
      <c r="Y117" s="168" t="str">
        <f t="shared" ca="1" si="465"/>
        <v/>
      </c>
    </row>
    <row r="118" spans="1:25" x14ac:dyDescent="0.25">
      <c r="D118" s="166" t="s">
        <v>209</v>
      </c>
      <c r="E118" s="211">
        <f>IF(E117=10,IF(G117=10,20+I117,10+G117+H117),IF(SUM(E117:F117)=10,10+G117,SUM(E117:F117)))</f>
        <v>9</v>
      </c>
      <c r="F118" s="211"/>
      <c r="G118" s="210">
        <f t="shared" ref="G118" si="466">IF(G117=10,IF(I117=10,20+K117,10+I117+J117),IF(SUM(G117:H117)=10,10+I117,SUM(G117:H117)))</f>
        <v>9</v>
      </c>
      <c r="H118" s="210"/>
      <c r="I118" s="211">
        <f t="shared" ref="I118" si="467">IF(I117=10,IF(K117=10,20+M117,10+K117+L117),IF(SUM(I117:J117)=10,10+K117,SUM(I117:J117)))</f>
        <v>13</v>
      </c>
      <c r="J118" s="211"/>
      <c r="K118" s="210">
        <f t="shared" ref="K118" si="468">IF(K117=10,IF(M117=10,20+O117,10+M117+N117),IF(SUM(K117:L117)=10,10+M117,SUM(K117:L117)))</f>
        <v>17</v>
      </c>
      <c r="L118" s="210"/>
      <c r="M118" s="211">
        <f t="shared" ref="M118" si="469">IF(M117=10,IF(O117=10,20+Q117,10+O117+P117),IF(SUM(M117:N117)=10,10+O117,SUM(M117:N117)))</f>
        <v>7</v>
      </c>
      <c r="N118" s="211"/>
      <c r="O118" s="210">
        <f t="shared" ref="O118" si="470">IF(O117=10,IF(Q117=10,20+S117,10+Q117+R117),IF(SUM(O117:P117)=10,10+Q117,SUM(O117:P117)))</f>
        <v>8</v>
      </c>
      <c r="P118" s="210"/>
      <c r="Q118" s="211">
        <f t="shared" ref="Q118" si="471">IF(Q117=10,IF(S117=10,20+U117,10+S117+T117),IF(SUM(Q117:R117)=10,10+S117,SUM(Q117:R117)))</f>
        <v>17</v>
      </c>
      <c r="R118" s="211"/>
      <c r="S118" s="210">
        <f t="shared" ref="S118" ca="1" si="472">IF(S117=10,IF(U117=10,20+W117,10+U117+V117),IF(SUM(S117:T117)=10,10+U117,SUM(S117:T117)))</f>
        <v>16</v>
      </c>
      <c r="T118" s="210"/>
      <c r="U118" s="211">
        <f ca="1">IF(U117=10,IF(W117=10,20+X117,10+W117+X117),IF(SUM(U117:V117)=10,10+W117,SUM(U117:V117)))</f>
        <v>8</v>
      </c>
      <c r="V118" s="211"/>
      <c r="W118" s="210">
        <f ca="1">SUM(W117:Y117)</f>
        <v>7</v>
      </c>
      <c r="X118" s="210"/>
      <c r="Y118" s="210"/>
    </row>
    <row r="119" spans="1:25" x14ac:dyDescent="0.25">
      <c r="D119" s="166" t="s">
        <v>97</v>
      </c>
      <c r="E119" s="211">
        <f ca="1">IF(D119="Pistekertymä",E118,E118+OFFSET(E119,0,-2))</f>
        <v>9</v>
      </c>
      <c r="F119" s="211"/>
      <c r="G119" s="210">
        <f t="shared" ref="G119" ca="1" si="473">IF(F119="Pistekertymä",G118,G118+OFFSET(G119,0,-2))</f>
        <v>18</v>
      </c>
      <c r="H119" s="210"/>
      <c r="I119" s="211">
        <f t="shared" ref="I119" ca="1" si="474">IF(H119="Pistekertymä",I118,I118+OFFSET(I119,0,-2))</f>
        <v>31</v>
      </c>
      <c r="J119" s="211"/>
      <c r="K119" s="210">
        <f t="shared" ref="K119" ca="1" si="475">IF(J119="Pistekertymä",K118,K118+OFFSET(K119,0,-2))</f>
        <v>48</v>
      </c>
      <c r="L119" s="210"/>
      <c r="M119" s="211">
        <f t="shared" ref="M119" ca="1" si="476">IF(L119="Pistekertymä",M118,M118+OFFSET(M119,0,-2))</f>
        <v>55</v>
      </c>
      <c r="N119" s="211"/>
      <c r="O119" s="210">
        <f t="shared" ref="O119" ca="1" si="477">IF(N119="Pistekertymä",O118,O118+OFFSET(O119,0,-2))</f>
        <v>63</v>
      </c>
      <c r="P119" s="210"/>
      <c r="Q119" s="211">
        <f t="shared" ref="Q119" ca="1" si="478">IF(P119="Pistekertymä",Q118,Q118+OFFSET(Q119,0,-2))</f>
        <v>80</v>
      </c>
      <c r="R119" s="211"/>
      <c r="S119" s="210">
        <f t="shared" ref="S119" ca="1" si="479">IF(R119="Pistekertymä",S118,S118+OFFSET(S119,0,-2))</f>
        <v>96</v>
      </c>
      <c r="T119" s="210"/>
      <c r="U119" s="211">
        <f t="shared" ref="U119" ca="1" si="480">IF(T119="Pistekertymä",U118,U118+OFFSET(U119,0,-2))</f>
        <v>104</v>
      </c>
      <c r="V119" s="211"/>
      <c r="W119" s="210">
        <f t="shared" ref="W119" ca="1" si="481">IF(V119="Pistekertymä",W118,W118+OFFSET(W119,0,-2))</f>
        <v>111</v>
      </c>
      <c r="X119" s="210"/>
      <c r="Y119" s="210"/>
    </row>
    <row r="120" spans="1:25" x14ac:dyDescent="0.25">
      <c r="D120" s="166" t="s">
        <v>210</v>
      </c>
      <c r="E120" s="211" t="str">
        <f>IF(SUM(E117:F117)&lt;=10,"OK","Virhe!")</f>
        <v>OK</v>
      </c>
      <c r="F120" s="211"/>
      <c r="G120" s="210" t="str">
        <f t="shared" ref="G120" si="482">IF(SUM(G117:H117)&lt;=10,"OK","Virhe!")</f>
        <v>OK</v>
      </c>
      <c r="H120" s="210"/>
      <c r="I120" s="211" t="str">
        <f t="shared" ref="I120" si="483">IF(SUM(I117:J117)&lt;=10,"OK","Virhe!")</f>
        <v>OK</v>
      </c>
      <c r="J120" s="211"/>
      <c r="K120" s="210" t="str">
        <f t="shared" ref="K120" si="484">IF(SUM(K117:L117)&lt;=10,"OK","Virhe!")</f>
        <v>OK</v>
      </c>
      <c r="L120" s="210"/>
      <c r="M120" s="211" t="str">
        <f t="shared" ref="M120" si="485">IF(SUM(M117:N117)&lt;=10,"OK","Virhe!")</f>
        <v>OK</v>
      </c>
      <c r="N120" s="211"/>
      <c r="O120" s="210" t="str">
        <f t="shared" ref="O120" si="486">IF(SUM(O117:P117)&lt;=10,"OK","Virhe!")</f>
        <v>OK</v>
      </c>
      <c r="P120" s="210"/>
      <c r="Q120" s="211" t="str">
        <f t="shared" ref="Q120" si="487">IF(SUM(Q117:R117)&lt;=10,"OK","Virhe!")</f>
        <v>OK</v>
      </c>
      <c r="R120" s="211"/>
      <c r="S120" s="210" t="str">
        <f t="shared" ref="S120" si="488">IF(SUM(S117:T117)&lt;=10,"OK","Virhe!")</f>
        <v>OK</v>
      </c>
      <c r="T120" s="210"/>
      <c r="U120" s="211" t="str">
        <f t="shared" ref="U120" ca="1" si="489">IF(SUM(U117:V117)&lt;=10,"OK","Virhe!")</f>
        <v>OK</v>
      </c>
      <c r="V120" s="211"/>
      <c r="W120" s="210" t="str">
        <f ca="1">IF(SUM(W117:X117)&lt;=30,"OK","Virhe!")</f>
        <v>OK</v>
      </c>
      <c r="X120" s="210"/>
      <c r="Y120" s="210"/>
    </row>
    <row r="122" spans="1:25" x14ac:dyDescent="0.25">
      <c r="A122" s="145" t="s">
        <v>196</v>
      </c>
      <c r="B122" s="147"/>
      <c r="D122" s="170" t="s">
        <v>231</v>
      </c>
      <c r="E122" s="221" t="s">
        <v>198</v>
      </c>
      <c r="F122" s="221"/>
      <c r="G122" s="220" t="s">
        <v>199</v>
      </c>
      <c r="H122" s="220"/>
      <c r="I122" s="221" t="s">
        <v>200</v>
      </c>
      <c r="J122" s="221"/>
      <c r="K122" s="220" t="s">
        <v>201</v>
      </c>
      <c r="L122" s="220"/>
      <c r="M122" s="221" t="s">
        <v>202</v>
      </c>
      <c r="N122" s="221"/>
      <c r="O122" s="220" t="s">
        <v>203</v>
      </c>
      <c r="P122" s="220"/>
      <c r="Q122" s="221" t="s">
        <v>204</v>
      </c>
      <c r="R122" s="221"/>
      <c r="S122" s="220" t="s">
        <v>205</v>
      </c>
      <c r="T122" s="220"/>
      <c r="U122" s="221" t="s">
        <v>206</v>
      </c>
      <c r="V122" s="221"/>
      <c r="W122" s="220" t="s">
        <v>207</v>
      </c>
      <c r="X122" s="220"/>
      <c r="Y122" s="220"/>
    </row>
    <row r="123" spans="1:25" x14ac:dyDescent="0.25">
      <c r="A123" s="146"/>
      <c r="B123" s="148"/>
      <c r="D123" s="172" t="s">
        <v>208</v>
      </c>
      <c r="E123" s="173"/>
      <c r="F123" s="173"/>
      <c r="G123" s="174"/>
      <c r="H123" s="174"/>
      <c r="I123" s="173"/>
      <c r="J123" s="173"/>
      <c r="K123" s="174"/>
      <c r="L123" s="174"/>
      <c r="M123" s="173"/>
      <c r="N123" s="173"/>
      <c r="O123" s="174"/>
      <c r="P123" s="174"/>
      <c r="Q123" s="173"/>
      <c r="R123" s="173"/>
      <c r="S123" s="174"/>
      <c r="T123" s="174"/>
      <c r="U123" s="173"/>
      <c r="V123" s="173"/>
      <c r="W123" s="174"/>
      <c r="X123" s="174"/>
      <c r="Y123" s="174"/>
    </row>
    <row r="124" spans="1:25" x14ac:dyDescent="0.25">
      <c r="A124" s="146"/>
      <c r="B124" s="148"/>
      <c r="D124" s="175" t="s">
        <v>209</v>
      </c>
      <c r="E124" s="219">
        <f>IF(E123=10,IF(G123=10,20+I123,10+G123+H123),IF(SUM(E123:F123)=10,10+G123,SUM(E123:F123)))</f>
        <v>0</v>
      </c>
      <c r="F124" s="219"/>
      <c r="G124" s="218">
        <f t="shared" ref="G124" si="490">IF(G123=10,IF(I123=10,20+K123,10+I123+J123),IF(SUM(G123:H123)=10,10+I123,SUM(G123:H123)))</f>
        <v>0</v>
      </c>
      <c r="H124" s="218"/>
      <c r="I124" s="219">
        <f t="shared" ref="I124" si="491">IF(I123=10,IF(K123=10,20+M123,10+K123+L123),IF(SUM(I123:J123)=10,10+K123,SUM(I123:J123)))</f>
        <v>0</v>
      </c>
      <c r="J124" s="219"/>
      <c r="K124" s="218">
        <f t="shared" ref="K124" si="492">IF(K123=10,IF(M123=10,20+O123,10+M123+N123),IF(SUM(K123:L123)=10,10+M123,SUM(K123:L123)))</f>
        <v>0</v>
      </c>
      <c r="L124" s="218"/>
      <c r="M124" s="219">
        <f t="shared" ref="M124" si="493">IF(M123=10,IF(O123=10,20+Q123,10+O123+P123),IF(SUM(M123:N123)=10,10+O123,SUM(M123:N123)))</f>
        <v>0</v>
      </c>
      <c r="N124" s="219"/>
      <c r="O124" s="218">
        <f t="shared" ref="O124" si="494">IF(O123=10,IF(Q123=10,20+S123,10+Q123+R123),IF(SUM(O123:P123)=10,10+Q123,SUM(O123:P123)))</f>
        <v>0</v>
      </c>
      <c r="P124" s="218"/>
      <c r="Q124" s="219">
        <f t="shared" ref="Q124" si="495">IF(Q123=10,IF(S123=10,20+U123,10+S123+T123),IF(SUM(Q123:R123)=10,10+S123,SUM(Q123:R123)))</f>
        <v>0</v>
      </c>
      <c r="R124" s="219"/>
      <c r="S124" s="218">
        <f t="shared" ref="S124" si="496">IF(S123=10,IF(U123=10,20+W123,10+U123+V123),IF(SUM(S123:T123)=10,10+U123,SUM(S123:T123)))</f>
        <v>0</v>
      </c>
      <c r="T124" s="218"/>
      <c r="U124" s="219">
        <f>IF(U123=10,IF(W123=10,20+X123,10+W123+X123),IF(SUM(U123:V123)=10,10+W123,SUM(U123:V123)))</f>
        <v>0</v>
      </c>
      <c r="V124" s="219"/>
      <c r="W124" s="218">
        <f>SUM(W123:Y123)</f>
        <v>0</v>
      </c>
      <c r="X124" s="218"/>
      <c r="Y124" s="218"/>
    </row>
    <row r="125" spans="1:25" x14ac:dyDescent="0.25">
      <c r="A125" s="146"/>
      <c r="B125" s="148"/>
      <c r="D125" s="175" t="s">
        <v>97</v>
      </c>
      <c r="E125" s="219">
        <f ca="1">IF(D125="Pistekertymä",E124,E124+OFFSET(E125,0,-2))</f>
        <v>0</v>
      </c>
      <c r="F125" s="219"/>
      <c r="G125" s="218">
        <f t="shared" ref="G125" ca="1" si="497">IF(F125="Pistekertymä",G124,G124+OFFSET(G125,0,-2))</f>
        <v>0</v>
      </c>
      <c r="H125" s="218"/>
      <c r="I125" s="219">
        <f t="shared" ref="I125" ca="1" si="498">IF(H125="Pistekertymä",I124,I124+OFFSET(I125,0,-2))</f>
        <v>0</v>
      </c>
      <c r="J125" s="219"/>
      <c r="K125" s="218">
        <f t="shared" ref="K125" ca="1" si="499">IF(J125="Pistekertymä",K124,K124+OFFSET(K125,0,-2))</f>
        <v>0</v>
      </c>
      <c r="L125" s="218"/>
      <c r="M125" s="219">
        <f t="shared" ref="M125" ca="1" si="500">IF(L125="Pistekertymä",M124,M124+OFFSET(M125,0,-2))</f>
        <v>0</v>
      </c>
      <c r="N125" s="219"/>
      <c r="O125" s="218">
        <f t="shared" ref="O125" ca="1" si="501">IF(N125="Pistekertymä",O124,O124+OFFSET(O125,0,-2))</f>
        <v>0</v>
      </c>
      <c r="P125" s="218"/>
      <c r="Q125" s="219">
        <f t="shared" ref="Q125" ca="1" si="502">IF(P125="Pistekertymä",Q124,Q124+OFFSET(Q125,0,-2))</f>
        <v>0</v>
      </c>
      <c r="R125" s="219"/>
      <c r="S125" s="218">
        <f t="shared" ref="S125" ca="1" si="503">IF(R125="Pistekertymä",S124,S124+OFFSET(S125,0,-2))</f>
        <v>0</v>
      </c>
      <c r="T125" s="218"/>
      <c r="U125" s="219">
        <f t="shared" ref="U125" ca="1" si="504">IF(T125="Pistekertymä",U124,U124+OFFSET(U125,0,-2))</f>
        <v>0</v>
      </c>
      <c r="V125" s="219"/>
      <c r="W125" s="218">
        <f t="shared" ref="W125" ca="1" si="505">IF(V125="Pistekertymä",W124,W124+OFFSET(W125,0,-2))</f>
        <v>0</v>
      </c>
      <c r="X125" s="218"/>
      <c r="Y125" s="218"/>
    </row>
    <row r="126" spans="1:25" x14ac:dyDescent="0.25">
      <c r="A126" s="161" t="s">
        <v>213</v>
      </c>
      <c r="B126" s="154" t="e">
        <f ca="1">MIN(ROUNDDOWN(B129,0),9)</f>
        <v>#DIV/0!</v>
      </c>
      <c r="D126" s="165" t="s">
        <v>210</v>
      </c>
      <c r="E126" s="217" t="str">
        <f>IF(SUM(E123:F123)&lt;=10,"OK","Virhe!")</f>
        <v>OK</v>
      </c>
      <c r="F126" s="217"/>
      <c r="G126" s="212" t="str">
        <f t="shared" ref="G126" si="506">IF(SUM(G123:H123)&lt;=10,"OK","Virhe!")</f>
        <v>OK</v>
      </c>
      <c r="H126" s="212"/>
      <c r="I126" s="217" t="str">
        <f t="shared" ref="I126" si="507">IF(SUM(I123:J123)&lt;=10,"OK","Virhe!")</f>
        <v>OK</v>
      </c>
      <c r="J126" s="217"/>
      <c r="K126" s="212" t="str">
        <f t="shared" ref="K126" si="508">IF(SUM(K123:L123)&lt;=10,"OK","Virhe!")</f>
        <v>OK</v>
      </c>
      <c r="L126" s="212"/>
      <c r="M126" s="217" t="str">
        <f t="shared" ref="M126" si="509">IF(SUM(M123:N123)&lt;=10,"OK","Virhe!")</f>
        <v>OK</v>
      </c>
      <c r="N126" s="217"/>
      <c r="O126" s="212" t="str">
        <f t="shared" ref="O126" si="510">IF(SUM(O123:P123)&lt;=10,"OK","Virhe!")</f>
        <v>OK</v>
      </c>
      <c r="P126" s="212"/>
      <c r="Q126" s="217" t="str">
        <f t="shared" ref="Q126" si="511">IF(SUM(Q123:R123)&lt;=10,"OK","Virhe!")</f>
        <v>OK</v>
      </c>
      <c r="R126" s="217"/>
      <c r="S126" s="212" t="str">
        <f t="shared" ref="S126" si="512">IF(SUM(S123:T123)&lt;=10,"OK","Virhe!")</f>
        <v>OK</v>
      </c>
      <c r="T126" s="212"/>
      <c r="U126" s="217" t="str">
        <f t="shared" ref="U126" si="513">IF(SUM(U123:V123)&lt;=10,"OK","Virhe!")</f>
        <v>OK</v>
      </c>
      <c r="V126" s="217"/>
      <c r="W126" s="212" t="str">
        <f>IF(SUM(W123:X123)&lt;=30,"OK","Virhe!")</f>
        <v>OK</v>
      </c>
      <c r="X126" s="212"/>
      <c r="Y126" s="212"/>
    </row>
    <row r="127" spans="1:25" x14ac:dyDescent="0.25">
      <c r="A127" s="157" t="s">
        <v>214</v>
      </c>
      <c r="B127" s="149">
        <f ca="1">SUMPRODUCT(OFFSET(B127,-4,3):OFFSET(B127,-4,23),OFFSET(B127,1,3):OFFSET(B127,1,23),OFFSET(B127,2,3):OFFSET(B127,2,23))</f>
        <v>0</v>
      </c>
      <c r="D127" s="165" t="s">
        <v>211</v>
      </c>
      <c r="E127" s="163" t="str">
        <f>IF(E123="","AI","R")</f>
        <v>AI</v>
      </c>
      <c r="F127" s="163" t="str">
        <f t="shared" ref="F127:Y127" si="514">IF(F123="","AI","R")</f>
        <v>AI</v>
      </c>
      <c r="G127" s="164" t="str">
        <f t="shared" si="514"/>
        <v>AI</v>
      </c>
      <c r="H127" s="164" t="str">
        <f t="shared" si="514"/>
        <v>AI</v>
      </c>
      <c r="I127" s="163" t="str">
        <f t="shared" si="514"/>
        <v>AI</v>
      </c>
      <c r="J127" s="163" t="str">
        <f t="shared" si="514"/>
        <v>AI</v>
      </c>
      <c r="K127" s="164" t="str">
        <f t="shared" si="514"/>
        <v>AI</v>
      </c>
      <c r="L127" s="164" t="str">
        <f t="shared" si="514"/>
        <v>AI</v>
      </c>
      <c r="M127" s="163" t="str">
        <f t="shared" si="514"/>
        <v>AI</v>
      </c>
      <c r="N127" s="163" t="str">
        <f t="shared" si="514"/>
        <v>AI</v>
      </c>
      <c r="O127" s="164" t="str">
        <f t="shared" si="514"/>
        <v>AI</v>
      </c>
      <c r="P127" s="164" t="str">
        <f t="shared" si="514"/>
        <v>AI</v>
      </c>
      <c r="Q127" s="163" t="str">
        <f t="shared" si="514"/>
        <v>AI</v>
      </c>
      <c r="R127" s="163" t="str">
        <f t="shared" si="514"/>
        <v>AI</v>
      </c>
      <c r="S127" s="164" t="str">
        <f t="shared" si="514"/>
        <v>AI</v>
      </c>
      <c r="T127" s="164" t="str">
        <f t="shared" si="514"/>
        <v>AI</v>
      </c>
      <c r="U127" s="163" t="str">
        <f t="shared" si="514"/>
        <v>AI</v>
      </c>
      <c r="V127" s="163" t="str">
        <f t="shared" si="514"/>
        <v>AI</v>
      </c>
      <c r="W127" s="164" t="str">
        <f t="shared" si="514"/>
        <v>AI</v>
      </c>
      <c r="X127" s="164" t="str">
        <f t="shared" si="514"/>
        <v>AI</v>
      </c>
      <c r="Y127" s="164" t="str">
        <f t="shared" si="514"/>
        <v>AI</v>
      </c>
    </row>
    <row r="128" spans="1:25" x14ac:dyDescent="0.25">
      <c r="A128" s="157" t="s">
        <v>215</v>
      </c>
      <c r="B128" s="149">
        <f ca="1">SUMPRODUCT(OFFSET(B127,1,3):OFFSET(B127,1,23),OFFSET(B127,2,3):OFFSET(B127,2,23))</f>
        <v>0</v>
      </c>
      <c r="D128" s="165" t="s">
        <v>212</v>
      </c>
      <c r="E128" s="163">
        <f>IF(E127="R",1,0)</f>
        <v>0</v>
      </c>
      <c r="F128" s="163">
        <f t="shared" ref="F128:Y128" si="515">IF(F127="R",1,0)</f>
        <v>0</v>
      </c>
      <c r="G128" s="164">
        <f t="shared" si="515"/>
        <v>0</v>
      </c>
      <c r="H128" s="164">
        <f t="shared" si="515"/>
        <v>0</v>
      </c>
      <c r="I128" s="163">
        <f t="shared" si="515"/>
        <v>0</v>
      </c>
      <c r="J128" s="163">
        <f t="shared" si="515"/>
        <v>0</v>
      </c>
      <c r="K128" s="164">
        <f t="shared" si="515"/>
        <v>0</v>
      </c>
      <c r="L128" s="164">
        <f t="shared" si="515"/>
        <v>0</v>
      </c>
      <c r="M128" s="163">
        <f t="shared" si="515"/>
        <v>0</v>
      </c>
      <c r="N128" s="163">
        <f t="shared" si="515"/>
        <v>0</v>
      </c>
      <c r="O128" s="164">
        <f t="shared" si="515"/>
        <v>0</v>
      </c>
      <c r="P128" s="164">
        <f t="shared" si="515"/>
        <v>0</v>
      </c>
      <c r="Q128" s="163">
        <f t="shared" si="515"/>
        <v>0</v>
      </c>
      <c r="R128" s="163">
        <f t="shared" si="515"/>
        <v>0</v>
      </c>
      <c r="S128" s="164">
        <f t="shared" si="515"/>
        <v>0</v>
      </c>
      <c r="T128" s="164">
        <f t="shared" si="515"/>
        <v>0</v>
      </c>
      <c r="U128" s="163">
        <f t="shared" si="515"/>
        <v>0</v>
      </c>
      <c r="V128" s="163">
        <f t="shared" si="515"/>
        <v>0</v>
      </c>
      <c r="W128" s="164">
        <f t="shared" si="515"/>
        <v>0</v>
      </c>
      <c r="X128" s="164">
        <f t="shared" si="515"/>
        <v>0</v>
      </c>
      <c r="Y128" s="164">
        <f t="shared" si="515"/>
        <v>0</v>
      </c>
    </row>
    <row r="129" spans="1:25" x14ac:dyDescent="0.25">
      <c r="A129" s="157" t="s">
        <v>216</v>
      </c>
      <c r="B129" s="151" t="e">
        <f ca="1">B127/B128</f>
        <v>#DIV/0!</v>
      </c>
      <c r="D129" s="165" t="s">
        <v>213</v>
      </c>
      <c r="E129" s="163">
        <f>IF(LEFT(E122,1)="R",1,IF(OR(D122="R10",C122="R10"),IF(D123=10,1,0),0))</f>
        <v>1</v>
      </c>
      <c r="F129" s="163">
        <f t="shared" ref="F129" si="516">IF(LEFT(F122,1)="R",1,IF(OR(E122="R10",D122="R10"),IF(E123=10,1,0),0))</f>
        <v>0</v>
      </c>
      <c r="G129" s="164">
        <f t="shared" ref="G129" si="517">IF(LEFT(G122,1)="R",1,IF(OR(F122="R10",E122="R10"),IF(F123=10,1,0),0))</f>
        <v>1</v>
      </c>
      <c r="H129" s="164">
        <f t="shared" ref="H129" si="518">IF(LEFT(H122,1)="R",1,IF(OR(G122="R10",F122="R10"),IF(G123=10,1,0),0))</f>
        <v>0</v>
      </c>
      <c r="I129" s="163">
        <f t="shared" ref="I129" si="519">IF(LEFT(I122,1)="R",1,IF(OR(H122="R10",G122="R10"),IF(H123=10,1,0),0))</f>
        <v>1</v>
      </c>
      <c r="J129" s="163">
        <f t="shared" ref="J129" si="520">IF(LEFT(J122,1)="R",1,IF(OR(I122="R10",H122="R10"),IF(I123=10,1,0),0))</f>
        <v>0</v>
      </c>
      <c r="K129" s="164">
        <f t="shared" ref="K129" si="521">IF(LEFT(K122,1)="R",1,IF(OR(J122="R10",I122="R10"),IF(J123=10,1,0),0))</f>
        <v>1</v>
      </c>
      <c r="L129" s="164">
        <f t="shared" ref="L129" si="522">IF(LEFT(L122,1)="R",1,IF(OR(K122="R10",J122="R10"),IF(K123=10,1,0),0))</f>
        <v>0</v>
      </c>
      <c r="M129" s="163">
        <f t="shared" ref="M129" si="523">IF(LEFT(M122,1)="R",1,IF(OR(L122="R10",K122="R10"),IF(L123=10,1,0),0))</f>
        <v>1</v>
      </c>
      <c r="N129" s="163">
        <f t="shared" ref="N129" si="524">IF(LEFT(N122,1)="R",1,IF(OR(M122="R10",L122="R10"),IF(M123=10,1,0),0))</f>
        <v>0</v>
      </c>
      <c r="O129" s="164">
        <f t="shared" ref="O129" si="525">IF(LEFT(O122,1)="R",1,IF(OR(N122="R10",M122="R10"),IF(N123=10,1,0),0))</f>
        <v>1</v>
      </c>
      <c r="P129" s="164">
        <f t="shared" ref="P129" si="526">IF(LEFT(P122,1)="R",1,IF(OR(O122="R10",N122="R10"),IF(O123=10,1,0),0))</f>
        <v>0</v>
      </c>
      <c r="Q129" s="163">
        <f t="shared" ref="Q129" si="527">IF(LEFT(Q122,1)="R",1,IF(OR(P122="R10",O122="R10"),IF(P123=10,1,0),0))</f>
        <v>1</v>
      </c>
      <c r="R129" s="163">
        <f t="shared" ref="R129" si="528">IF(LEFT(R122,1)="R",1,IF(OR(Q122="R10",P122="R10"),IF(Q123=10,1,0),0))</f>
        <v>0</v>
      </c>
      <c r="S129" s="164">
        <f t="shared" ref="S129" si="529">IF(LEFT(S122,1)="R",1,IF(OR(R122="R10",Q122="R10"),IF(R123=10,1,0),0))</f>
        <v>1</v>
      </c>
      <c r="T129" s="164">
        <f t="shared" ref="T129" si="530">IF(LEFT(T122,1)="R",1,IF(OR(S122="R10",R122="R10"),IF(S123=10,1,0),0))</f>
        <v>0</v>
      </c>
      <c r="U129" s="163">
        <f t="shared" ref="U129" si="531">IF(LEFT(U122,1)="R",1,IF(OR(T122="R10",S122="R10"),IF(T123=10,1,0),0))</f>
        <v>1</v>
      </c>
      <c r="V129" s="163">
        <f t="shared" ref="V129" si="532">IF(LEFT(V122,1)="R",1,IF(OR(U122="R10",T122="R10"),IF(U123=10,1,0),0))</f>
        <v>0</v>
      </c>
      <c r="W129" s="164">
        <f t="shared" ref="W129" si="533">IF(LEFT(W122,1)="R",1,IF(OR(V122="R10",U122="R10"),IF(V123=10,1,0),0))</f>
        <v>1</v>
      </c>
      <c r="X129" s="164">
        <f t="shared" ref="X129" si="534">IF(LEFT(X122,1)="R",1,IF(OR(W122="R10",V122="R10"),IF(W123=10,1,0),0))</f>
        <v>0</v>
      </c>
      <c r="Y129" s="164">
        <f t="shared" ref="Y129" si="535">IF(LEFT(Y122,1)="R",1,IF(OR(X122="R10",W122="R10"),IF(X123=10,1,0),0))</f>
        <v>0</v>
      </c>
    </row>
    <row r="130" spans="1:25" x14ac:dyDescent="0.25">
      <c r="A130" s="158" t="s">
        <v>218</v>
      </c>
      <c r="B130" s="153" t="e">
        <f ca="1">IF(B133&gt;=0.85,1,0)</f>
        <v>#DIV/0!</v>
      </c>
      <c r="D130" s="165" t="s">
        <v>217</v>
      </c>
      <c r="E130" s="163">
        <f ca="1">IFERROR(IF(OFFSET(E130,-8,-2)="R10",3,IF(E129=1,1,2)),1)</f>
        <v>1</v>
      </c>
      <c r="F130" s="163">
        <f t="shared" ref="F130:Y130" ca="1" si="536">IFERROR(IF(OFFSET(F130,-8,-2)="R10",3,IF(F129=1,1,2)),1)</f>
        <v>2</v>
      </c>
      <c r="G130" s="164">
        <f t="shared" ca="1" si="536"/>
        <v>1</v>
      </c>
      <c r="H130" s="164">
        <f t="shared" ca="1" si="536"/>
        <v>2</v>
      </c>
      <c r="I130" s="163">
        <f t="shared" ca="1" si="536"/>
        <v>1</v>
      </c>
      <c r="J130" s="163">
        <f t="shared" ca="1" si="536"/>
        <v>2</v>
      </c>
      <c r="K130" s="164">
        <f t="shared" ca="1" si="536"/>
        <v>1</v>
      </c>
      <c r="L130" s="164">
        <f t="shared" ca="1" si="536"/>
        <v>2</v>
      </c>
      <c r="M130" s="163">
        <f t="shared" ca="1" si="536"/>
        <v>1</v>
      </c>
      <c r="N130" s="163">
        <f t="shared" ca="1" si="536"/>
        <v>2</v>
      </c>
      <c r="O130" s="164">
        <f t="shared" ca="1" si="536"/>
        <v>1</v>
      </c>
      <c r="P130" s="164">
        <f t="shared" ca="1" si="536"/>
        <v>2</v>
      </c>
      <c r="Q130" s="163">
        <f t="shared" ca="1" si="536"/>
        <v>1</v>
      </c>
      <c r="R130" s="163">
        <f t="shared" ca="1" si="536"/>
        <v>2</v>
      </c>
      <c r="S130" s="164">
        <f t="shared" ca="1" si="536"/>
        <v>1</v>
      </c>
      <c r="T130" s="164">
        <f t="shared" ca="1" si="536"/>
        <v>2</v>
      </c>
      <c r="U130" s="163">
        <f t="shared" ca="1" si="536"/>
        <v>1</v>
      </c>
      <c r="V130" s="163">
        <f t="shared" ca="1" si="536"/>
        <v>2</v>
      </c>
      <c r="W130" s="164">
        <f t="shared" ca="1" si="536"/>
        <v>1</v>
      </c>
      <c r="X130" s="164">
        <f t="shared" ca="1" si="536"/>
        <v>2</v>
      </c>
      <c r="Y130" s="164">
        <f t="shared" ca="1" si="536"/>
        <v>3</v>
      </c>
    </row>
    <row r="131" spans="1:25" x14ac:dyDescent="0.25">
      <c r="A131" s="159" t="s">
        <v>220</v>
      </c>
      <c r="B131" s="150">
        <f ca="1">COUNTIFS(OFFSET(B131,1,3):OFFSET(B131,1,23),10,OFFSET(B131,-2,3):OFFSET(B131,-2,23),1,OFFSET(B131,2,3):OFFSET(B131,2,23),1)</f>
        <v>0</v>
      </c>
      <c r="D131" s="165" t="s">
        <v>125</v>
      </c>
      <c r="E131" s="163">
        <f>IF(D131="Ruutu",1,IF(E130=3,10,IF(D130=1,D131,1+D131)))</f>
        <v>1</v>
      </c>
      <c r="F131" s="163">
        <f t="shared" ref="F131" ca="1" si="537">IF(E131="Ruutu",1,IF(F130=3,10,IF(E130=1,E131,1+E131)))</f>
        <v>1</v>
      </c>
      <c r="G131" s="164">
        <f t="shared" ref="G131" ca="1" si="538">IF(F131="Ruutu",1,IF(G130=3,10,IF(F130=1,F131,1+F131)))</f>
        <v>2</v>
      </c>
      <c r="H131" s="164">
        <f t="shared" ref="H131" ca="1" si="539">IF(G131="Ruutu",1,IF(H130=3,10,IF(G130=1,G131,1+G131)))</f>
        <v>2</v>
      </c>
      <c r="I131" s="163">
        <f t="shared" ref="I131" ca="1" si="540">IF(H131="Ruutu",1,IF(I130=3,10,IF(H130=1,H131,1+H131)))</f>
        <v>3</v>
      </c>
      <c r="J131" s="163">
        <f t="shared" ref="J131" ca="1" si="541">IF(I131="Ruutu",1,IF(J130=3,10,IF(I130=1,I131,1+I131)))</f>
        <v>3</v>
      </c>
      <c r="K131" s="164">
        <f t="shared" ref="K131" ca="1" si="542">IF(J131="Ruutu",1,IF(K130=3,10,IF(J130=1,J131,1+J131)))</f>
        <v>4</v>
      </c>
      <c r="L131" s="164">
        <f t="shared" ref="L131" ca="1" si="543">IF(K131="Ruutu",1,IF(L130=3,10,IF(K130=1,K131,1+K131)))</f>
        <v>4</v>
      </c>
      <c r="M131" s="163">
        <f t="shared" ref="M131" ca="1" si="544">IF(L131="Ruutu",1,IF(M130=3,10,IF(L130=1,L131,1+L131)))</f>
        <v>5</v>
      </c>
      <c r="N131" s="163">
        <f t="shared" ref="N131" ca="1" si="545">IF(M131="Ruutu",1,IF(N130=3,10,IF(M130=1,M131,1+M131)))</f>
        <v>5</v>
      </c>
      <c r="O131" s="164">
        <f t="shared" ref="O131" ca="1" si="546">IF(N131="Ruutu",1,IF(O130=3,10,IF(N130=1,N131,1+N131)))</f>
        <v>6</v>
      </c>
      <c r="P131" s="164">
        <f t="shared" ref="P131" ca="1" si="547">IF(O131="Ruutu",1,IF(P130=3,10,IF(O130=1,O131,1+O131)))</f>
        <v>6</v>
      </c>
      <c r="Q131" s="163">
        <f t="shared" ref="Q131" ca="1" si="548">IF(P131="Ruutu",1,IF(Q130=3,10,IF(P130=1,P131,1+P131)))</f>
        <v>7</v>
      </c>
      <c r="R131" s="163">
        <f t="shared" ref="R131" ca="1" si="549">IF(Q131="Ruutu",1,IF(R130=3,10,IF(Q130=1,Q131,1+Q131)))</f>
        <v>7</v>
      </c>
      <c r="S131" s="164">
        <f t="shared" ref="S131" ca="1" si="550">IF(R131="Ruutu",1,IF(S130=3,10,IF(R130=1,R131,1+R131)))</f>
        <v>8</v>
      </c>
      <c r="T131" s="164">
        <f t="shared" ref="T131" ca="1" si="551">IF(S131="Ruutu",1,IF(T130=3,10,IF(S130=1,S131,1+S131)))</f>
        <v>8</v>
      </c>
      <c r="U131" s="163">
        <f t="shared" ref="U131" ca="1" si="552">IF(T131="Ruutu",1,IF(U130=3,10,IF(T130=1,T131,1+T131)))</f>
        <v>9</v>
      </c>
      <c r="V131" s="163">
        <f t="shared" ref="V131" ca="1" si="553">IF(U131="Ruutu",1,IF(V130=3,10,IF(U130=1,U131,1+U131)))</f>
        <v>9</v>
      </c>
      <c r="W131" s="164">
        <f t="shared" ref="W131" ca="1" si="554">IF(V131="Ruutu",1,IF(W130=3,10,IF(V130=1,V131,1+V131)))</f>
        <v>10</v>
      </c>
      <c r="X131" s="164">
        <f t="shared" ref="X131" ca="1" si="555">IF(W131="Ruutu",1,IF(X130=3,10,IF(W130=1,W131,1+W131)))</f>
        <v>10</v>
      </c>
      <c r="Y131" s="164">
        <f t="shared" ref="Y131" ca="1" si="556">IF(X131="Ruutu",1,IF(Y130=3,10,IF(X130=1,X131,1+X131)))</f>
        <v>10</v>
      </c>
    </row>
    <row r="132" spans="1:25" x14ac:dyDescent="0.25">
      <c r="A132" s="159" t="s">
        <v>222</v>
      </c>
      <c r="B132" s="150">
        <f ca="1">COUNTIFS(OFFSET(B131,-2,3):OFFSET(B131,-2,23),1,OFFSET(B131,2,3):OFFSET(B131,2,23),1)</f>
        <v>0</v>
      </c>
      <c r="D132" s="165" t="s">
        <v>219</v>
      </c>
      <c r="E132" s="163">
        <f t="shared" ref="E132" ca="1" si="557">SUMIFS($E123:$Y123,$E131:$Y131,E131)</f>
        <v>0</v>
      </c>
      <c r="F132" s="163">
        <f t="shared" ref="F132" ca="1" si="558">SUMIFS($E123:$Y123,$E131:$Y131,F131)</f>
        <v>0</v>
      </c>
      <c r="G132" s="164">
        <f t="shared" ref="G132" ca="1" si="559">SUMIFS($E123:$Y123,$E131:$Y131,G131)</f>
        <v>0</v>
      </c>
      <c r="H132" s="164">
        <f t="shared" ref="H132" ca="1" si="560">SUMIFS($E123:$Y123,$E131:$Y131,H131)</f>
        <v>0</v>
      </c>
      <c r="I132" s="163">
        <f t="shared" ref="I132" ca="1" si="561">SUMIFS($E123:$Y123,$E131:$Y131,I131)</f>
        <v>0</v>
      </c>
      <c r="J132" s="163">
        <f t="shared" ref="J132" ca="1" si="562">SUMIFS($E123:$Y123,$E131:$Y131,J131)</f>
        <v>0</v>
      </c>
      <c r="K132" s="164">
        <f t="shared" ref="K132" ca="1" si="563">SUMIFS($E123:$Y123,$E131:$Y131,K131)</f>
        <v>0</v>
      </c>
      <c r="L132" s="164">
        <f t="shared" ref="L132" ca="1" si="564">SUMIFS($E123:$Y123,$E131:$Y131,L131)</f>
        <v>0</v>
      </c>
      <c r="M132" s="163">
        <f t="shared" ref="M132" ca="1" si="565">SUMIFS($E123:$Y123,$E131:$Y131,M131)</f>
        <v>0</v>
      </c>
      <c r="N132" s="163">
        <f t="shared" ref="N132" ca="1" si="566">SUMIFS($E123:$Y123,$E131:$Y131,N131)</f>
        <v>0</v>
      </c>
      <c r="O132" s="164">
        <f t="shared" ref="O132" ca="1" si="567">SUMIFS($E123:$Y123,$E131:$Y131,O131)</f>
        <v>0</v>
      </c>
      <c r="P132" s="164">
        <f t="shared" ref="P132" ca="1" si="568">SUMIFS($E123:$Y123,$E131:$Y131,P131)</f>
        <v>0</v>
      </c>
      <c r="Q132" s="163">
        <f t="shared" ref="Q132" ca="1" si="569">SUMIFS($E123:$Y123,$E131:$Y131,Q131)</f>
        <v>0</v>
      </c>
      <c r="R132" s="163">
        <f t="shared" ref="R132" ca="1" si="570">SUMIFS($E123:$Y123,$E131:$Y131,R131)</f>
        <v>0</v>
      </c>
      <c r="S132" s="164">
        <f t="shared" ref="S132" ca="1" si="571">SUMIFS($E123:$Y123,$E131:$Y131,S131)</f>
        <v>0</v>
      </c>
      <c r="T132" s="164">
        <f t="shared" ref="T132" ca="1" si="572">SUMIFS($E123:$Y123,$E131:$Y131,T131)</f>
        <v>0</v>
      </c>
      <c r="U132" s="163">
        <f t="shared" ref="U132" ca="1" si="573">SUMIFS($E123:$Y123,$E131:$Y131,U131)</f>
        <v>0</v>
      </c>
      <c r="V132" s="163">
        <f t="shared" ref="V132" ca="1" si="574">SUMIFS($E123:$Y123,$E131:$Y131,V131)</f>
        <v>0</v>
      </c>
      <c r="W132" s="164">
        <f t="shared" ref="W132" ca="1" si="575">SUMIFS($E123:$Y123,$E131:$Y131,W131)</f>
        <v>0</v>
      </c>
      <c r="X132" s="164">
        <f t="shared" ref="X132" ca="1" si="576">SUMIFS($E123:$Y123,$E131:$Y131,X131)</f>
        <v>0</v>
      </c>
      <c r="Y132" s="164">
        <f t="shared" ref="Y132" ca="1" si="577">SUMIFS($E123:$Y123,$E131:$Y131,Y131)</f>
        <v>0</v>
      </c>
    </row>
    <row r="133" spans="1:25" x14ac:dyDescent="0.25">
      <c r="A133" s="159" t="s">
        <v>223</v>
      </c>
      <c r="B133" s="152" t="e">
        <f ca="1">B131/B132</f>
        <v>#DIV/0!</v>
      </c>
      <c r="D133" s="165" t="s">
        <v>221</v>
      </c>
      <c r="E133" s="163">
        <f t="shared" ref="E133:Y133" ca="1" si="578">(SUMIFS($E128:$Y128,$E131:$Y131,E131)&gt;=2)*1</f>
        <v>0</v>
      </c>
      <c r="F133" s="163">
        <f t="shared" ca="1" si="578"/>
        <v>0</v>
      </c>
      <c r="G133" s="164">
        <f t="shared" ca="1" si="578"/>
        <v>0</v>
      </c>
      <c r="H133" s="164">
        <f t="shared" ca="1" si="578"/>
        <v>0</v>
      </c>
      <c r="I133" s="163">
        <f t="shared" ca="1" si="578"/>
        <v>0</v>
      </c>
      <c r="J133" s="163">
        <f t="shared" ca="1" si="578"/>
        <v>0</v>
      </c>
      <c r="K133" s="164">
        <f t="shared" ca="1" si="578"/>
        <v>0</v>
      </c>
      <c r="L133" s="164">
        <f t="shared" ca="1" si="578"/>
        <v>0</v>
      </c>
      <c r="M133" s="163">
        <f t="shared" ca="1" si="578"/>
        <v>0</v>
      </c>
      <c r="N133" s="163">
        <f t="shared" ca="1" si="578"/>
        <v>0</v>
      </c>
      <c r="O133" s="164">
        <f t="shared" ca="1" si="578"/>
        <v>0</v>
      </c>
      <c r="P133" s="164">
        <f t="shared" ca="1" si="578"/>
        <v>0</v>
      </c>
      <c r="Q133" s="163">
        <f t="shared" ca="1" si="578"/>
        <v>0</v>
      </c>
      <c r="R133" s="163">
        <f t="shared" ca="1" si="578"/>
        <v>0</v>
      </c>
      <c r="S133" s="164">
        <f t="shared" ca="1" si="578"/>
        <v>0</v>
      </c>
      <c r="T133" s="164">
        <f t="shared" ca="1" si="578"/>
        <v>0</v>
      </c>
      <c r="U133" s="163">
        <f t="shared" ca="1" si="578"/>
        <v>0</v>
      </c>
      <c r="V133" s="163">
        <f t="shared" ca="1" si="578"/>
        <v>0</v>
      </c>
      <c r="W133" s="164">
        <f t="shared" ca="1" si="578"/>
        <v>0</v>
      </c>
      <c r="X133" s="164">
        <f t="shared" ca="1" si="578"/>
        <v>0</v>
      </c>
      <c r="Y133" s="164">
        <f t="shared" ca="1" si="578"/>
        <v>0</v>
      </c>
    </row>
    <row r="134" spans="1:25" x14ac:dyDescent="0.25">
      <c r="A134" s="162" t="s">
        <v>224</v>
      </c>
      <c r="B134" s="155" t="e">
        <f ca="1">B135/B136*10</f>
        <v>#DIV/0!</v>
      </c>
      <c r="D134" s="165" t="s">
        <v>226</v>
      </c>
      <c r="E134" s="163">
        <f>COLUMN()-2</f>
        <v>3</v>
      </c>
      <c r="F134" s="163">
        <f t="shared" ref="F134:Y134" si="579">COLUMN()-2</f>
        <v>4</v>
      </c>
      <c r="G134" s="164">
        <f t="shared" si="579"/>
        <v>5</v>
      </c>
      <c r="H134" s="164">
        <f t="shared" si="579"/>
        <v>6</v>
      </c>
      <c r="I134" s="163">
        <f t="shared" si="579"/>
        <v>7</v>
      </c>
      <c r="J134" s="163">
        <f t="shared" si="579"/>
        <v>8</v>
      </c>
      <c r="K134" s="164">
        <f t="shared" si="579"/>
        <v>9</v>
      </c>
      <c r="L134" s="164">
        <f t="shared" si="579"/>
        <v>10</v>
      </c>
      <c r="M134" s="163">
        <f t="shared" si="579"/>
        <v>11</v>
      </c>
      <c r="N134" s="163">
        <f t="shared" si="579"/>
        <v>12</v>
      </c>
      <c r="O134" s="164">
        <f t="shared" si="579"/>
        <v>13</v>
      </c>
      <c r="P134" s="164">
        <f t="shared" si="579"/>
        <v>14</v>
      </c>
      <c r="Q134" s="163">
        <f t="shared" si="579"/>
        <v>15</v>
      </c>
      <c r="R134" s="163">
        <f t="shared" si="579"/>
        <v>16</v>
      </c>
      <c r="S134" s="164">
        <f t="shared" si="579"/>
        <v>17</v>
      </c>
      <c r="T134" s="164">
        <f t="shared" si="579"/>
        <v>18</v>
      </c>
      <c r="U134" s="163">
        <f t="shared" si="579"/>
        <v>19</v>
      </c>
      <c r="V134" s="163">
        <f t="shared" si="579"/>
        <v>20</v>
      </c>
      <c r="W134" s="164">
        <f t="shared" si="579"/>
        <v>21</v>
      </c>
      <c r="X134" s="164">
        <f t="shared" si="579"/>
        <v>22</v>
      </c>
      <c r="Y134" s="164">
        <f t="shared" si="579"/>
        <v>23</v>
      </c>
    </row>
    <row r="135" spans="1:25" x14ac:dyDescent="0.25">
      <c r="A135" s="160" t="s">
        <v>214</v>
      </c>
      <c r="B135" s="156">
        <f ca="1">SUM(OFFSET(B135,-12,3):OFFSET(B135,-12,23))</f>
        <v>0</v>
      </c>
      <c r="D135" s="165" t="s">
        <v>227</v>
      </c>
      <c r="E135" s="163">
        <v>0</v>
      </c>
      <c r="F135" s="163">
        <v>0</v>
      </c>
      <c r="G135" s="164">
        <v>0</v>
      </c>
      <c r="H135" s="164">
        <v>0</v>
      </c>
      <c r="I135" s="163">
        <v>0</v>
      </c>
      <c r="J135" s="163">
        <v>0</v>
      </c>
      <c r="K135" s="164">
        <v>0</v>
      </c>
      <c r="L135" s="164">
        <v>0</v>
      </c>
      <c r="M135" s="163">
        <v>0</v>
      </c>
      <c r="N135" s="163">
        <v>0</v>
      </c>
      <c r="O135" s="164">
        <v>0</v>
      </c>
      <c r="P135" s="164">
        <v>0</v>
      </c>
      <c r="Q135" s="163">
        <v>0</v>
      </c>
      <c r="R135" s="163">
        <v>0</v>
      </c>
      <c r="S135" s="164">
        <v>0</v>
      </c>
      <c r="T135" s="164">
        <v>0</v>
      </c>
      <c r="U135" s="163">
        <v>0</v>
      </c>
      <c r="V135" s="163">
        <v>0</v>
      </c>
      <c r="W135" s="164">
        <v>0</v>
      </c>
      <c r="X135" s="164">
        <v>0</v>
      </c>
      <c r="Y135" s="164">
        <v>1</v>
      </c>
    </row>
    <row r="136" spans="1:25" x14ac:dyDescent="0.25">
      <c r="A136" s="160" t="s">
        <v>225</v>
      </c>
      <c r="B136" s="156">
        <f ca="1">10*SUMPRODUCT(OFFSET(B136,-7,3):OFFSET(B136,-7,23),OFFSET(B136,-8,3):OFFSET(B136,-8,23))</f>
        <v>0</v>
      </c>
      <c r="D136" s="165" t="s">
        <v>213</v>
      </c>
      <c r="E136" s="163" t="e">
        <f ca="1">IF(E127="AI",IF(OR(E129=1,AND(E135=1,OFFSET(E136,-6,-E134)=1)),OFFSET(E136,-10,-E134),""),"")</f>
        <v>#DIV/0!</v>
      </c>
      <c r="F136" s="163" t="e">
        <f t="shared" ref="F136:Y136" ca="1" si="580">IF(F127="AI",IF(OR(F129=1,AND(F135=1,OFFSET(F136,-6,-F134)=1)),OFFSET(F136,-10,-F134),""),"")</f>
        <v>#DIV/0!</v>
      </c>
      <c r="G136" s="164" t="e">
        <f t="shared" ca="1" si="580"/>
        <v>#DIV/0!</v>
      </c>
      <c r="H136" s="164" t="e">
        <f t="shared" ca="1" si="580"/>
        <v>#DIV/0!</v>
      </c>
      <c r="I136" s="163" t="e">
        <f t="shared" ca="1" si="580"/>
        <v>#DIV/0!</v>
      </c>
      <c r="J136" s="163" t="e">
        <f t="shared" ca="1" si="580"/>
        <v>#DIV/0!</v>
      </c>
      <c r="K136" s="164" t="e">
        <f t="shared" ca="1" si="580"/>
        <v>#DIV/0!</v>
      </c>
      <c r="L136" s="164" t="e">
        <f t="shared" ca="1" si="580"/>
        <v>#DIV/0!</v>
      </c>
      <c r="M136" s="163" t="e">
        <f t="shared" ca="1" si="580"/>
        <v>#DIV/0!</v>
      </c>
      <c r="N136" s="163" t="e">
        <f t="shared" ca="1" si="580"/>
        <v>#DIV/0!</v>
      </c>
      <c r="O136" s="164" t="e">
        <f t="shared" ca="1" si="580"/>
        <v>#DIV/0!</v>
      </c>
      <c r="P136" s="164" t="e">
        <f t="shared" ca="1" si="580"/>
        <v>#DIV/0!</v>
      </c>
      <c r="Q136" s="163" t="e">
        <f t="shared" ca="1" si="580"/>
        <v>#DIV/0!</v>
      </c>
      <c r="R136" s="163" t="e">
        <f t="shared" ca="1" si="580"/>
        <v>#DIV/0!</v>
      </c>
      <c r="S136" s="164" t="e">
        <f t="shared" ca="1" si="580"/>
        <v>#DIV/0!</v>
      </c>
      <c r="T136" s="164" t="e">
        <f t="shared" ca="1" si="580"/>
        <v>#DIV/0!</v>
      </c>
      <c r="U136" s="163" t="e">
        <f t="shared" ca="1" si="580"/>
        <v>#DIV/0!</v>
      </c>
      <c r="V136" s="163" t="e">
        <f t="shared" ca="1" si="580"/>
        <v>#DIV/0!</v>
      </c>
      <c r="W136" s="164" t="e">
        <f t="shared" ca="1" si="580"/>
        <v>#DIV/0!</v>
      </c>
      <c r="X136" s="164" t="e">
        <f t="shared" ca="1" si="580"/>
        <v>#DIV/0!</v>
      </c>
      <c r="Y136" s="164" t="e">
        <f t="shared" ca="1" si="580"/>
        <v>#DIV/0!</v>
      </c>
    </row>
    <row r="137" spans="1:25" x14ac:dyDescent="0.25">
      <c r="A137" s="213" t="s">
        <v>235</v>
      </c>
      <c r="B137" s="214" t="e">
        <f ca="1">W144</f>
        <v>#DIV/0!</v>
      </c>
      <c r="D137" s="165" t="s">
        <v>229</v>
      </c>
      <c r="E137" s="163" t="str">
        <f ca="1">IF(E127="AI",IF(E130=2,IF(OFFSET(E137,-7,-E134)=1,10-SUMIFS($E136:$X136,$E131:$X131,E131),""),""),"")</f>
        <v/>
      </c>
      <c r="F137" s="163" t="e">
        <f t="shared" ref="F137:Y137" ca="1" si="581">IF(F127="AI",IF(F130=2,IF(OFFSET(F137,-7,-F134)=1,10-SUMIFS($E136:$X136,$E131:$X131,F131),""),""),"")</f>
        <v>#DIV/0!</v>
      </c>
      <c r="G137" s="164" t="str">
        <f t="shared" ca="1" si="581"/>
        <v/>
      </c>
      <c r="H137" s="164" t="e">
        <f t="shared" ca="1" si="581"/>
        <v>#DIV/0!</v>
      </c>
      <c r="I137" s="163" t="str">
        <f t="shared" ca="1" si="581"/>
        <v/>
      </c>
      <c r="J137" s="163" t="e">
        <f t="shared" ca="1" si="581"/>
        <v>#DIV/0!</v>
      </c>
      <c r="K137" s="164" t="str">
        <f t="shared" ca="1" si="581"/>
        <v/>
      </c>
      <c r="L137" s="164" t="e">
        <f t="shared" ca="1" si="581"/>
        <v>#DIV/0!</v>
      </c>
      <c r="M137" s="163" t="str">
        <f t="shared" ca="1" si="581"/>
        <v/>
      </c>
      <c r="N137" s="163" t="e">
        <f t="shared" ca="1" si="581"/>
        <v>#DIV/0!</v>
      </c>
      <c r="O137" s="164" t="str">
        <f t="shared" ca="1" si="581"/>
        <v/>
      </c>
      <c r="P137" s="164" t="e">
        <f t="shared" ca="1" si="581"/>
        <v>#DIV/0!</v>
      </c>
      <c r="Q137" s="163" t="str">
        <f t="shared" ca="1" si="581"/>
        <v/>
      </c>
      <c r="R137" s="163" t="e">
        <f t="shared" ca="1" si="581"/>
        <v>#DIV/0!</v>
      </c>
      <c r="S137" s="164" t="str">
        <f t="shared" ca="1" si="581"/>
        <v/>
      </c>
      <c r="T137" s="164" t="e">
        <f t="shared" ca="1" si="581"/>
        <v>#DIV/0!</v>
      </c>
      <c r="U137" s="163" t="str">
        <f t="shared" ca="1" si="581"/>
        <v/>
      </c>
      <c r="V137" s="163" t="e">
        <f t="shared" ca="1" si="581"/>
        <v>#DIV/0!</v>
      </c>
      <c r="W137" s="164" t="str">
        <f t="shared" ca="1" si="581"/>
        <v/>
      </c>
      <c r="X137" s="164" t="e">
        <f t="shared" ca="1" si="581"/>
        <v>#DIV/0!</v>
      </c>
      <c r="Y137" s="164" t="str">
        <f t="shared" ca="1" si="581"/>
        <v/>
      </c>
    </row>
    <row r="138" spans="1:25" x14ac:dyDescent="0.25">
      <c r="A138" s="213"/>
      <c r="B138" s="214"/>
      <c r="D138" s="165" t="s">
        <v>232</v>
      </c>
      <c r="E138" s="163">
        <f>IF(E131=10,2,IF(E131&gt;7,1,0))</f>
        <v>0</v>
      </c>
      <c r="F138" s="163">
        <f t="shared" ref="F138:Y138" ca="1" si="582">IF(F131=10,2,IF(F131&gt;7,1,0))</f>
        <v>0</v>
      </c>
      <c r="G138" s="164">
        <f t="shared" ca="1" si="582"/>
        <v>0</v>
      </c>
      <c r="H138" s="164">
        <f t="shared" ca="1" si="582"/>
        <v>0</v>
      </c>
      <c r="I138" s="163">
        <f t="shared" ca="1" si="582"/>
        <v>0</v>
      </c>
      <c r="J138" s="163">
        <f t="shared" ca="1" si="582"/>
        <v>0</v>
      </c>
      <c r="K138" s="164">
        <f t="shared" ca="1" si="582"/>
        <v>0</v>
      </c>
      <c r="L138" s="164">
        <f t="shared" ca="1" si="582"/>
        <v>0</v>
      </c>
      <c r="M138" s="163">
        <f t="shared" ca="1" si="582"/>
        <v>0</v>
      </c>
      <c r="N138" s="163">
        <f t="shared" ca="1" si="582"/>
        <v>0</v>
      </c>
      <c r="O138" s="164">
        <f t="shared" ca="1" si="582"/>
        <v>0</v>
      </c>
      <c r="P138" s="164">
        <f t="shared" ca="1" si="582"/>
        <v>0</v>
      </c>
      <c r="Q138" s="163">
        <f t="shared" ca="1" si="582"/>
        <v>0</v>
      </c>
      <c r="R138" s="163">
        <f t="shared" ca="1" si="582"/>
        <v>0</v>
      </c>
      <c r="S138" s="164">
        <f t="shared" ca="1" si="582"/>
        <v>1</v>
      </c>
      <c r="T138" s="164">
        <f t="shared" ca="1" si="582"/>
        <v>1</v>
      </c>
      <c r="U138" s="163">
        <f t="shared" ca="1" si="582"/>
        <v>1</v>
      </c>
      <c r="V138" s="163">
        <f t="shared" ca="1" si="582"/>
        <v>1</v>
      </c>
      <c r="W138" s="164">
        <f t="shared" ca="1" si="582"/>
        <v>2</v>
      </c>
      <c r="X138" s="164">
        <f t="shared" ca="1" si="582"/>
        <v>2</v>
      </c>
      <c r="Y138" s="164">
        <f t="shared" ca="1" si="582"/>
        <v>2</v>
      </c>
    </row>
    <row r="139" spans="1:25" x14ac:dyDescent="0.25">
      <c r="D139" s="165" t="s">
        <v>230</v>
      </c>
      <c r="E139" s="163" t="str">
        <f ca="1">IF(E127="AI",IF(E130=2,IF(OFFSET(E139,-9,-E134)=0,MAX(ROUND(OFFSET(E139,-5,-E134)-(SUMIFS($E123:$Y123,$E129:$Y129,1,$E131:$Y131,E131)+SUMIFS($E136:$Y136,$E129:$Y129,1,$E131:$Y131,E131)+E138),0),0),""),""),"")</f>
        <v/>
      </c>
      <c r="F139" s="163" t="e">
        <f t="shared" ref="F139:Y139" ca="1" si="583">IF(F127="AI",IF(F130=2,IF(OFFSET(F139,-9,-F134)=0,MAX(ROUND(OFFSET(F139,-5,-F134)-(SUMIFS($E123:$Y123,$E129:$Y129,1,$E131:$Y131,F131)+SUMIFS($E136:$Y136,$E129:$Y129,1,$E131:$Y131,F131)+F138),0),0),""),""),"")</f>
        <v>#DIV/0!</v>
      </c>
      <c r="G139" s="164" t="str">
        <f t="shared" ca="1" si="583"/>
        <v/>
      </c>
      <c r="H139" s="164" t="e">
        <f t="shared" ca="1" si="583"/>
        <v>#DIV/0!</v>
      </c>
      <c r="I139" s="163" t="str">
        <f t="shared" ca="1" si="583"/>
        <v/>
      </c>
      <c r="J139" s="163" t="e">
        <f t="shared" ca="1" si="583"/>
        <v>#DIV/0!</v>
      </c>
      <c r="K139" s="164" t="str">
        <f t="shared" ca="1" si="583"/>
        <v/>
      </c>
      <c r="L139" s="164" t="e">
        <f t="shared" ca="1" si="583"/>
        <v>#DIV/0!</v>
      </c>
      <c r="M139" s="163" t="str">
        <f t="shared" ca="1" si="583"/>
        <v/>
      </c>
      <c r="N139" s="163" t="e">
        <f t="shared" ca="1" si="583"/>
        <v>#DIV/0!</v>
      </c>
      <c r="O139" s="164" t="str">
        <f t="shared" ca="1" si="583"/>
        <v/>
      </c>
      <c r="P139" s="164" t="e">
        <f t="shared" ca="1" si="583"/>
        <v>#DIV/0!</v>
      </c>
      <c r="Q139" s="163" t="str">
        <f t="shared" ca="1" si="583"/>
        <v/>
      </c>
      <c r="R139" s="163" t="e">
        <f t="shared" ca="1" si="583"/>
        <v>#DIV/0!</v>
      </c>
      <c r="S139" s="164" t="str">
        <f t="shared" ca="1" si="583"/>
        <v/>
      </c>
      <c r="T139" s="164" t="e">
        <f t="shared" ca="1" si="583"/>
        <v>#DIV/0!</v>
      </c>
      <c r="U139" s="163" t="str">
        <f t="shared" ca="1" si="583"/>
        <v/>
      </c>
      <c r="V139" s="163" t="e">
        <f t="shared" ca="1" si="583"/>
        <v>#DIV/0!</v>
      </c>
      <c r="W139" s="164" t="str">
        <f t="shared" ca="1" si="583"/>
        <v/>
      </c>
      <c r="X139" s="164" t="e">
        <f t="shared" ca="1" si="583"/>
        <v>#DIV/0!</v>
      </c>
      <c r="Y139" s="164" t="str">
        <f t="shared" ca="1" si="583"/>
        <v/>
      </c>
    </row>
    <row r="140" spans="1:25" x14ac:dyDescent="0.25">
      <c r="D140" s="165" t="s">
        <v>234</v>
      </c>
      <c r="E140" s="163" t="e">
        <f ca="1">IF(E127="R","",IF(E139="",IF(E137="",E136,E137),E139))</f>
        <v>#DIV/0!</v>
      </c>
      <c r="F140" s="163" t="e">
        <f t="shared" ref="F140:Y140" ca="1" si="584">IF(F127="R","",IF(F139="",IF(F137="",F136,F137),F139))</f>
        <v>#DIV/0!</v>
      </c>
      <c r="G140" s="164" t="e">
        <f t="shared" ca="1" si="584"/>
        <v>#DIV/0!</v>
      </c>
      <c r="H140" s="164" t="e">
        <f t="shared" ca="1" si="584"/>
        <v>#DIV/0!</v>
      </c>
      <c r="I140" s="163" t="e">
        <f t="shared" ca="1" si="584"/>
        <v>#DIV/0!</v>
      </c>
      <c r="J140" s="163" t="e">
        <f t="shared" ca="1" si="584"/>
        <v>#DIV/0!</v>
      </c>
      <c r="K140" s="164" t="e">
        <f t="shared" ca="1" si="584"/>
        <v>#DIV/0!</v>
      </c>
      <c r="L140" s="164" t="e">
        <f t="shared" ca="1" si="584"/>
        <v>#DIV/0!</v>
      </c>
      <c r="M140" s="163" t="e">
        <f t="shared" ca="1" si="584"/>
        <v>#DIV/0!</v>
      </c>
      <c r="N140" s="163" t="e">
        <f t="shared" ca="1" si="584"/>
        <v>#DIV/0!</v>
      </c>
      <c r="O140" s="164" t="e">
        <f t="shared" ca="1" si="584"/>
        <v>#DIV/0!</v>
      </c>
      <c r="P140" s="164" t="e">
        <f t="shared" ca="1" si="584"/>
        <v>#DIV/0!</v>
      </c>
      <c r="Q140" s="163" t="e">
        <f t="shared" ca="1" si="584"/>
        <v>#DIV/0!</v>
      </c>
      <c r="R140" s="163" t="e">
        <f t="shared" ca="1" si="584"/>
        <v>#DIV/0!</v>
      </c>
      <c r="S140" s="164" t="e">
        <f t="shared" ca="1" si="584"/>
        <v>#DIV/0!</v>
      </c>
      <c r="T140" s="164" t="e">
        <f t="shared" ca="1" si="584"/>
        <v>#DIV/0!</v>
      </c>
      <c r="U140" s="163" t="e">
        <f t="shared" ca="1" si="584"/>
        <v>#DIV/0!</v>
      </c>
      <c r="V140" s="163" t="e">
        <f t="shared" ca="1" si="584"/>
        <v>#DIV/0!</v>
      </c>
      <c r="W140" s="164" t="e">
        <f t="shared" ca="1" si="584"/>
        <v>#DIV/0!</v>
      </c>
      <c r="X140" s="164" t="e">
        <f t="shared" ca="1" si="584"/>
        <v>#DIV/0!</v>
      </c>
      <c r="Y140" s="164" t="e">
        <f t="shared" ca="1" si="584"/>
        <v>#DIV/0!</v>
      </c>
    </row>
    <row r="141" spans="1:25" x14ac:dyDescent="0.25">
      <c r="D141" s="169" t="s">
        <v>233</v>
      </c>
      <c r="E141" s="215" t="s">
        <v>198</v>
      </c>
      <c r="F141" s="215"/>
      <c r="G141" s="216" t="s">
        <v>199</v>
      </c>
      <c r="H141" s="216"/>
      <c r="I141" s="215" t="s">
        <v>200</v>
      </c>
      <c r="J141" s="215"/>
      <c r="K141" s="216" t="s">
        <v>201</v>
      </c>
      <c r="L141" s="216"/>
      <c r="M141" s="215" t="s">
        <v>202</v>
      </c>
      <c r="N141" s="215"/>
      <c r="O141" s="216" t="s">
        <v>203</v>
      </c>
      <c r="P141" s="216"/>
      <c r="Q141" s="215" t="s">
        <v>204</v>
      </c>
      <c r="R141" s="215"/>
      <c r="S141" s="216" t="s">
        <v>205</v>
      </c>
      <c r="T141" s="216"/>
      <c r="U141" s="215" t="s">
        <v>206</v>
      </c>
      <c r="V141" s="215"/>
      <c r="W141" s="216" t="s">
        <v>207</v>
      </c>
      <c r="X141" s="216"/>
      <c r="Y141" s="216"/>
    </row>
    <row r="142" spans="1:25" x14ac:dyDescent="0.25">
      <c r="D142" s="166" t="s">
        <v>215</v>
      </c>
      <c r="E142" s="167" t="e">
        <f ca="1">IF(E127="R",E123,E140)</f>
        <v>#DIV/0!</v>
      </c>
      <c r="F142" s="167" t="e">
        <f t="shared" ref="F142:Y142" ca="1" si="585">IF(F127="R",F123,F140)</f>
        <v>#DIV/0!</v>
      </c>
      <c r="G142" s="168" t="e">
        <f t="shared" ca="1" si="585"/>
        <v>#DIV/0!</v>
      </c>
      <c r="H142" s="168" t="e">
        <f t="shared" ca="1" si="585"/>
        <v>#DIV/0!</v>
      </c>
      <c r="I142" s="167" t="e">
        <f t="shared" ca="1" si="585"/>
        <v>#DIV/0!</v>
      </c>
      <c r="J142" s="167" t="e">
        <f t="shared" ca="1" si="585"/>
        <v>#DIV/0!</v>
      </c>
      <c r="K142" s="168" t="e">
        <f t="shared" ca="1" si="585"/>
        <v>#DIV/0!</v>
      </c>
      <c r="L142" s="168" t="e">
        <f t="shared" ca="1" si="585"/>
        <v>#DIV/0!</v>
      </c>
      <c r="M142" s="167" t="e">
        <f t="shared" ca="1" si="585"/>
        <v>#DIV/0!</v>
      </c>
      <c r="N142" s="167" t="e">
        <f t="shared" ca="1" si="585"/>
        <v>#DIV/0!</v>
      </c>
      <c r="O142" s="168" t="e">
        <f t="shared" ca="1" si="585"/>
        <v>#DIV/0!</v>
      </c>
      <c r="P142" s="168" t="e">
        <f t="shared" ca="1" si="585"/>
        <v>#DIV/0!</v>
      </c>
      <c r="Q142" s="167" t="e">
        <f t="shared" ca="1" si="585"/>
        <v>#DIV/0!</v>
      </c>
      <c r="R142" s="167" t="e">
        <f t="shared" ca="1" si="585"/>
        <v>#DIV/0!</v>
      </c>
      <c r="S142" s="168" t="e">
        <f t="shared" ca="1" si="585"/>
        <v>#DIV/0!</v>
      </c>
      <c r="T142" s="168" t="e">
        <f t="shared" ca="1" si="585"/>
        <v>#DIV/0!</v>
      </c>
      <c r="U142" s="167" t="e">
        <f t="shared" ca="1" si="585"/>
        <v>#DIV/0!</v>
      </c>
      <c r="V142" s="167" t="e">
        <f t="shared" ca="1" si="585"/>
        <v>#DIV/0!</v>
      </c>
      <c r="W142" s="168" t="e">
        <f t="shared" ca="1" si="585"/>
        <v>#DIV/0!</v>
      </c>
      <c r="X142" s="168" t="e">
        <f t="shared" ca="1" si="585"/>
        <v>#DIV/0!</v>
      </c>
      <c r="Y142" s="168" t="e">
        <f t="shared" ca="1" si="585"/>
        <v>#DIV/0!</v>
      </c>
    </row>
    <row r="143" spans="1:25" x14ac:dyDescent="0.25">
      <c r="D143" s="166" t="s">
        <v>209</v>
      </c>
      <c r="E143" s="211" t="e">
        <f ca="1">IF(E142=10,IF(G142=10,20+I142,10+G142+H142),IF(SUM(E142:F142)=10,10+G142,SUM(E142:F142)))</f>
        <v>#DIV/0!</v>
      </c>
      <c r="F143" s="211"/>
      <c r="G143" s="210" t="e">
        <f t="shared" ref="G143" ca="1" si="586">IF(G142=10,IF(I142=10,20+K142,10+I142+J142),IF(SUM(G142:H142)=10,10+I142,SUM(G142:H142)))</f>
        <v>#DIV/0!</v>
      </c>
      <c r="H143" s="210"/>
      <c r="I143" s="211" t="e">
        <f t="shared" ref="I143" ca="1" si="587">IF(I142=10,IF(K142=10,20+M142,10+K142+L142),IF(SUM(I142:J142)=10,10+K142,SUM(I142:J142)))</f>
        <v>#DIV/0!</v>
      </c>
      <c r="J143" s="211"/>
      <c r="K143" s="210" t="e">
        <f t="shared" ref="K143" ca="1" si="588">IF(K142=10,IF(M142=10,20+O142,10+M142+N142),IF(SUM(K142:L142)=10,10+M142,SUM(K142:L142)))</f>
        <v>#DIV/0!</v>
      </c>
      <c r="L143" s="210"/>
      <c r="M143" s="211" t="e">
        <f t="shared" ref="M143" ca="1" si="589">IF(M142=10,IF(O142=10,20+Q142,10+O142+P142),IF(SUM(M142:N142)=10,10+O142,SUM(M142:N142)))</f>
        <v>#DIV/0!</v>
      </c>
      <c r="N143" s="211"/>
      <c r="O143" s="210" t="e">
        <f t="shared" ref="O143" ca="1" si="590">IF(O142=10,IF(Q142=10,20+S142,10+Q142+R142),IF(SUM(O142:P142)=10,10+Q142,SUM(O142:P142)))</f>
        <v>#DIV/0!</v>
      </c>
      <c r="P143" s="210"/>
      <c r="Q143" s="211" t="e">
        <f t="shared" ref="Q143" ca="1" si="591">IF(Q142=10,IF(S142=10,20+U142,10+S142+T142),IF(SUM(Q142:R142)=10,10+S142,SUM(Q142:R142)))</f>
        <v>#DIV/0!</v>
      </c>
      <c r="R143" s="211"/>
      <c r="S143" s="210" t="e">
        <f t="shared" ref="S143" ca="1" si="592">IF(S142=10,IF(U142=10,20+W142,10+U142+V142),IF(SUM(S142:T142)=10,10+U142,SUM(S142:T142)))</f>
        <v>#DIV/0!</v>
      </c>
      <c r="T143" s="210"/>
      <c r="U143" s="211" t="e">
        <f ca="1">IF(U142=10,IF(W142=10,20+X142,10+W142+X142),IF(SUM(U142:V142)=10,10+W142,SUM(U142:V142)))</f>
        <v>#DIV/0!</v>
      </c>
      <c r="V143" s="211"/>
      <c r="W143" s="210" t="e">
        <f ca="1">SUM(W142:Y142)</f>
        <v>#DIV/0!</v>
      </c>
      <c r="X143" s="210"/>
      <c r="Y143" s="210"/>
    </row>
    <row r="144" spans="1:25" x14ac:dyDescent="0.25">
      <c r="D144" s="166" t="s">
        <v>97</v>
      </c>
      <c r="E144" s="211" t="e">
        <f ca="1">IF(D144="Pistekertymä",E143,E143+OFFSET(E144,0,-2))</f>
        <v>#DIV/0!</v>
      </c>
      <c r="F144" s="211"/>
      <c r="G144" s="210" t="e">
        <f t="shared" ref="G144" ca="1" si="593">IF(F144="Pistekertymä",G143,G143+OFFSET(G144,0,-2))</f>
        <v>#DIV/0!</v>
      </c>
      <c r="H144" s="210"/>
      <c r="I144" s="211" t="e">
        <f t="shared" ref="I144" ca="1" si="594">IF(H144="Pistekertymä",I143,I143+OFFSET(I144,0,-2))</f>
        <v>#DIV/0!</v>
      </c>
      <c r="J144" s="211"/>
      <c r="K144" s="210" t="e">
        <f t="shared" ref="K144" ca="1" si="595">IF(J144="Pistekertymä",K143,K143+OFFSET(K144,0,-2))</f>
        <v>#DIV/0!</v>
      </c>
      <c r="L144" s="210"/>
      <c r="M144" s="211" t="e">
        <f t="shared" ref="M144" ca="1" si="596">IF(L144="Pistekertymä",M143,M143+OFFSET(M144,0,-2))</f>
        <v>#DIV/0!</v>
      </c>
      <c r="N144" s="211"/>
      <c r="O144" s="210" t="e">
        <f t="shared" ref="O144" ca="1" si="597">IF(N144="Pistekertymä",O143,O143+OFFSET(O144,0,-2))</f>
        <v>#DIV/0!</v>
      </c>
      <c r="P144" s="210"/>
      <c r="Q144" s="211" t="e">
        <f t="shared" ref="Q144" ca="1" si="598">IF(P144="Pistekertymä",Q143,Q143+OFFSET(Q144,0,-2))</f>
        <v>#DIV/0!</v>
      </c>
      <c r="R144" s="211"/>
      <c r="S144" s="210" t="e">
        <f t="shared" ref="S144" ca="1" si="599">IF(R144="Pistekertymä",S143,S143+OFFSET(S144,0,-2))</f>
        <v>#DIV/0!</v>
      </c>
      <c r="T144" s="210"/>
      <c r="U144" s="211" t="e">
        <f t="shared" ref="U144" ca="1" si="600">IF(T144="Pistekertymä",U143,U143+OFFSET(U144,0,-2))</f>
        <v>#DIV/0!</v>
      </c>
      <c r="V144" s="211"/>
      <c r="W144" s="210" t="e">
        <f t="shared" ref="W144" ca="1" si="601">IF(V144="Pistekertymä",W143,W143+OFFSET(W144,0,-2))</f>
        <v>#DIV/0!</v>
      </c>
      <c r="X144" s="210"/>
      <c r="Y144" s="210"/>
    </row>
    <row r="145" spans="4:25" x14ac:dyDescent="0.25">
      <c r="D145" s="166" t="s">
        <v>210</v>
      </c>
      <c r="E145" s="211" t="e">
        <f ca="1">IF(SUM(E142:F142)&lt;=10,"OK","Virhe!")</f>
        <v>#DIV/0!</v>
      </c>
      <c r="F145" s="211"/>
      <c r="G145" s="210" t="e">
        <f t="shared" ref="G145" ca="1" si="602">IF(SUM(G142:H142)&lt;=10,"OK","Virhe!")</f>
        <v>#DIV/0!</v>
      </c>
      <c r="H145" s="210"/>
      <c r="I145" s="211" t="e">
        <f t="shared" ref="I145" ca="1" si="603">IF(SUM(I142:J142)&lt;=10,"OK","Virhe!")</f>
        <v>#DIV/0!</v>
      </c>
      <c r="J145" s="211"/>
      <c r="K145" s="210" t="e">
        <f t="shared" ref="K145" ca="1" si="604">IF(SUM(K142:L142)&lt;=10,"OK","Virhe!")</f>
        <v>#DIV/0!</v>
      </c>
      <c r="L145" s="210"/>
      <c r="M145" s="211" t="e">
        <f t="shared" ref="M145" ca="1" si="605">IF(SUM(M142:N142)&lt;=10,"OK","Virhe!")</f>
        <v>#DIV/0!</v>
      </c>
      <c r="N145" s="211"/>
      <c r="O145" s="210" t="e">
        <f t="shared" ref="O145" ca="1" si="606">IF(SUM(O142:P142)&lt;=10,"OK","Virhe!")</f>
        <v>#DIV/0!</v>
      </c>
      <c r="P145" s="210"/>
      <c r="Q145" s="211" t="e">
        <f t="shared" ref="Q145" ca="1" si="607">IF(SUM(Q142:R142)&lt;=10,"OK","Virhe!")</f>
        <v>#DIV/0!</v>
      </c>
      <c r="R145" s="211"/>
      <c r="S145" s="210" t="e">
        <f t="shared" ref="S145" ca="1" si="608">IF(SUM(S142:T142)&lt;=10,"OK","Virhe!")</f>
        <v>#DIV/0!</v>
      </c>
      <c r="T145" s="210"/>
      <c r="U145" s="211" t="e">
        <f t="shared" ref="U145" ca="1" si="609">IF(SUM(U142:V142)&lt;=10,"OK","Virhe!")</f>
        <v>#DIV/0!</v>
      </c>
      <c r="V145" s="211"/>
      <c r="W145" s="210" t="e">
        <f ca="1">IF(SUM(W142:X142)&lt;=30,"OK","Virhe!")</f>
        <v>#DIV/0!</v>
      </c>
      <c r="X145" s="210"/>
      <c r="Y145" s="210"/>
    </row>
  </sheetData>
  <mergeCells count="333">
    <mergeCell ref="Q1:Z2"/>
    <mergeCell ref="W120:Y120"/>
    <mergeCell ref="Q119:R119"/>
    <mergeCell ref="S119:T119"/>
    <mergeCell ref="U119:V119"/>
    <mergeCell ref="W119:Y119"/>
    <mergeCell ref="E120:F120"/>
    <mergeCell ref="G120:H120"/>
    <mergeCell ref="I120:J120"/>
    <mergeCell ref="K120:L120"/>
    <mergeCell ref="M120:N120"/>
    <mergeCell ref="O120:P120"/>
    <mergeCell ref="E119:F119"/>
    <mergeCell ref="G119:H119"/>
    <mergeCell ref="I119:J119"/>
    <mergeCell ref="K119:L119"/>
    <mergeCell ref="M119:N119"/>
    <mergeCell ref="O119:P119"/>
    <mergeCell ref="Q120:R120"/>
    <mergeCell ref="S120:T120"/>
    <mergeCell ref="U120:V120"/>
    <mergeCell ref="Q116:R116"/>
    <mergeCell ref="S116:T116"/>
    <mergeCell ref="U116:V116"/>
    <mergeCell ref="W116:Y116"/>
    <mergeCell ref="E118:F118"/>
    <mergeCell ref="G118:H118"/>
    <mergeCell ref="I118:J118"/>
    <mergeCell ref="K118:L118"/>
    <mergeCell ref="M118:N118"/>
    <mergeCell ref="O118:P118"/>
    <mergeCell ref="E116:F116"/>
    <mergeCell ref="G116:H116"/>
    <mergeCell ref="I116:J116"/>
    <mergeCell ref="K116:L116"/>
    <mergeCell ref="M116:N116"/>
    <mergeCell ref="O116:P116"/>
    <mergeCell ref="Q118:R118"/>
    <mergeCell ref="S118:T118"/>
    <mergeCell ref="U118:V118"/>
    <mergeCell ref="W118:Y118"/>
    <mergeCell ref="W101:Y101"/>
    <mergeCell ref="A112:A113"/>
    <mergeCell ref="B112:B113"/>
    <mergeCell ref="Q100:R100"/>
    <mergeCell ref="S100:T100"/>
    <mergeCell ref="U100:V100"/>
    <mergeCell ref="W100:Y100"/>
    <mergeCell ref="E101:F101"/>
    <mergeCell ref="G101:H101"/>
    <mergeCell ref="I101:J101"/>
    <mergeCell ref="K101:L101"/>
    <mergeCell ref="M101:N101"/>
    <mergeCell ref="O101:P101"/>
    <mergeCell ref="E100:F100"/>
    <mergeCell ref="G100:H100"/>
    <mergeCell ref="I100:J100"/>
    <mergeCell ref="K100:L100"/>
    <mergeCell ref="M100:N100"/>
    <mergeCell ref="O100:P100"/>
    <mergeCell ref="Q101:R101"/>
    <mergeCell ref="S101:T101"/>
    <mergeCell ref="U101:V101"/>
    <mergeCell ref="W97:Y97"/>
    <mergeCell ref="E99:F99"/>
    <mergeCell ref="G99:H99"/>
    <mergeCell ref="I99:J99"/>
    <mergeCell ref="K99:L99"/>
    <mergeCell ref="M99:N99"/>
    <mergeCell ref="O99:P99"/>
    <mergeCell ref="Q99:R99"/>
    <mergeCell ref="S99:T99"/>
    <mergeCell ref="U99:V99"/>
    <mergeCell ref="W99:Y99"/>
    <mergeCell ref="E97:F97"/>
    <mergeCell ref="G97:H97"/>
    <mergeCell ref="I97:J97"/>
    <mergeCell ref="K97:L97"/>
    <mergeCell ref="M97:N97"/>
    <mergeCell ref="O97:P97"/>
    <mergeCell ref="Q97:R97"/>
    <mergeCell ref="S97:T97"/>
    <mergeCell ref="U97:V97"/>
    <mergeCell ref="W94:Y94"/>
    <mergeCell ref="E95:F95"/>
    <mergeCell ref="G95:H95"/>
    <mergeCell ref="I95:J95"/>
    <mergeCell ref="K95:L95"/>
    <mergeCell ref="M95:N95"/>
    <mergeCell ref="O95:P95"/>
    <mergeCell ref="Q95:R95"/>
    <mergeCell ref="S95:T95"/>
    <mergeCell ref="U95:V95"/>
    <mergeCell ref="W95:Y95"/>
    <mergeCell ref="E94:F94"/>
    <mergeCell ref="G94:H94"/>
    <mergeCell ref="I94:J94"/>
    <mergeCell ref="K94:L94"/>
    <mergeCell ref="M94:N94"/>
    <mergeCell ref="O94:P94"/>
    <mergeCell ref="Q94:R94"/>
    <mergeCell ref="S94:T94"/>
    <mergeCell ref="U94:V94"/>
    <mergeCell ref="Q91:R91"/>
    <mergeCell ref="S91:T91"/>
    <mergeCell ref="U91:V91"/>
    <mergeCell ref="W91:Y91"/>
    <mergeCell ref="E93:F93"/>
    <mergeCell ref="G93:H93"/>
    <mergeCell ref="I93:J93"/>
    <mergeCell ref="K93:L93"/>
    <mergeCell ref="M93:N93"/>
    <mergeCell ref="O93:P93"/>
    <mergeCell ref="E91:F91"/>
    <mergeCell ref="G91:H91"/>
    <mergeCell ref="I91:J91"/>
    <mergeCell ref="K91:L91"/>
    <mergeCell ref="M91:N91"/>
    <mergeCell ref="O91:P91"/>
    <mergeCell ref="Q93:R93"/>
    <mergeCell ref="S93:T93"/>
    <mergeCell ref="U93:V93"/>
    <mergeCell ref="W93:Y93"/>
    <mergeCell ref="W76:Y76"/>
    <mergeCell ref="A87:A88"/>
    <mergeCell ref="B87:B88"/>
    <mergeCell ref="Q75:R75"/>
    <mergeCell ref="S75:T75"/>
    <mergeCell ref="U75:V75"/>
    <mergeCell ref="W75:Y75"/>
    <mergeCell ref="E76:F76"/>
    <mergeCell ref="G76:H76"/>
    <mergeCell ref="I76:J76"/>
    <mergeCell ref="K76:L76"/>
    <mergeCell ref="M76:N76"/>
    <mergeCell ref="O76:P76"/>
    <mergeCell ref="E75:F75"/>
    <mergeCell ref="G75:H75"/>
    <mergeCell ref="I75:J75"/>
    <mergeCell ref="K75:L75"/>
    <mergeCell ref="M75:N75"/>
    <mergeCell ref="O75:P75"/>
    <mergeCell ref="Q76:R76"/>
    <mergeCell ref="S76:T76"/>
    <mergeCell ref="U76:V76"/>
    <mergeCell ref="Q72:R72"/>
    <mergeCell ref="S72:T72"/>
    <mergeCell ref="U72:V72"/>
    <mergeCell ref="W72:Y72"/>
    <mergeCell ref="E74:F74"/>
    <mergeCell ref="G74:H74"/>
    <mergeCell ref="I74:J74"/>
    <mergeCell ref="K74:L74"/>
    <mergeCell ref="M74:N74"/>
    <mergeCell ref="O74:P74"/>
    <mergeCell ref="Q74:R74"/>
    <mergeCell ref="S74:T74"/>
    <mergeCell ref="U74:V74"/>
    <mergeCell ref="W74:Y74"/>
    <mergeCell ref="U70:V70"/>
    <mergeCell ref="W70:Y70"/>
    <mergeCell ref="B62:B63"/>
    <mergeCell ref="A62:A63"/>
    <mergeCell ref="E72:F72"/>
    <mergeCell ref="G72:H72"/>
    <mergeCell ref="I72:J72"/>
    <mergeCell ref="K72:L72"/>
    <mergeCell ref="M72:N72"/>
    <mergeCell ref="O72:P72"/>
    <mergeCell ref="U69:V69"/>
    <mergeCell ref="W69:Y69"/>
    <mergeCell ref="E70:F70"/>
    <mergeCell ref="G70:H70"/>
    <mergeCell ref="I70:J70"/>
    <mergeCell ref="K70:L70"/>
    <mergeCell ref="M70:N70"/>
    <mergeCell ref="O70:P70"/>
    <mergeCell ref="Q70:R70"/>
    <mergeCell ref="S70:T70"/>
    <mergeCell ref="U68:V68"/>
    <mergeCell ref="W68:Y68"/>
    <mergeCell ref="E69:F69"/>
    <mergeCell ref="G69:H69"/>
    <mergeCell ref="E68:F68"/>
    <mergeCell ref="G68:H68"/>
    <mergeCell ref="I68:J68"/>
    <mergeCell ref="K68:L68"/>
    <mergeCell ref="M68:N68"/>
    <mergeCell ref="O68:P68"/>
    <mergeCell ref="Q68:R68"/>
    <mergeCell ref="S68:T68"/>
    <mergeCell ref="I66:J66"/>
    <mergeCell ref="K66:L66"/>
    <mergeCell ref="M66:N66"/>
    <mergeCell ref="O66:P66"/>
    <mergeCell ref="Q66:R66"/>
    <mergeCell ref="S66:T66"/>
    <mergeCell ref="E66:F66"/>
    <mergeCell ref="G66:H66"/>
    <mergeCell ref="U51:V51"/>
    <mergeCell ref="W51:Y51"/>
    <mergeCell ref="Q50:R50"/>
    <mergeCell ref="S50:T50"/>
    <mergeCell ref="U50:V50"/>
    <mergeCell ref="W50:Y50"/>
    <mergeCell ref="I69:J69"/>
    <mergeCell ref="K69:L69"/>
    <mergeCell ref="M69:N69"/>
    <mergeCell ref="O69:P69"/>
    <mergeCell ref="Q69:R69"/>
    <mergeCell ref="S69:T69"/>
    <mergeCell ref="U66:V66"/>
    <mergeCell ref="W66:Y66"/>
    <mergeCell ref="N8:Y23"/>
    <mergeCell ref="A7:Y7"/>
    <mergeCell ref="A8:M23"/>
    <mergeCell ref="Q47:R47"/>
    <mergeCell ref="S47:T47"/>
    <mergeCell ref="U47:V47"/>
    <mergeCell ref="W47:Y47"/>
    <mergeCell ref="E49:F49"/>
    <mergeCell ref="G49:H49"/>
    <mergeCell ref="I49:J49"/>
    <mergeCell ref="K49:L49"/>
    <mergeCell ref="M49:N49"/>
    <mergeCell ref="O49:P49"/>
    <mergeCell ref="E47:F47"/>
    <mergeCell ref="G47:H47"/>
    <mergeCell ref="I47:J47"/>
    <mergeCell ref="K47:L47"/>
    <mergeCell ref="M47:N47"/>
    <mergeCell ref="O47:P47"/>
    <mergeCell ref="Q49:R49"/>
    <mergeCell ref="S49:T49"/>
    <mergeCell ref="U49:V49"/>
    <mergeCell ref="W49:Y49"/>
    <mergeCell ref="A24:Y43"/>
    <mergeCell ref="W122:Y122"/>
    <mergeCell ref="E51:F51"/>
    <mergeCell ref="G51:H51"/>
    <mergeCell ref="I51:J51"/>
    <mergeCell ref="K51:L51"/>
    <mergeCell ref="M51:N51"/>
    <mergeCell ref="E50:F50"/>
    <mergeCell ref="G50:H50"/>
    <mergeCell ref="I50:J50"/>
    <mergeCell ref="K50:L50"/>
    <mergeCell ref="M50:N50"/>
    <mergeCell ref="O50:P50"/>
    <mergeCell ref="O51:P51"/>
    <mergeCell ref="Q51:R51"/>
    <mergeCell ref="E122:F122"/>
    <mergeCell ref="G122:H122"/>
    <mergeCell ref="I122:J122"/>
    <mergeCell ref="K122:L122"/>
    <mergeCell ref="M122:N122"/>
    <mergeCell ref="O122:P122"/>
    <mergeCell ref="Q122:R122"/>
    <mergeCell ref="S122:T122"/>
    <mergeCell ref="U122:V122"/>
    <mergeCell ref="S51:T51"/>
    <mergeCell ref="W124:Y124"/>
    <mergeCell ref="E125:F125"/>
    <mergeCell ref="G125:H125"/>
    <mergeCell ref="I125:J125"/>
    <mergeCell ref="K125:L125"/>
    <mergeCell ref="M125:N125"/>
    <mergeCell ref="O125:P125"/>
    <mergeCell ref="Q125:R125"/>
    <mergeCell ref="S125:T125"/>
    <mergeCell ref="U125:V125"/>
    <mergeCell ref="W125:Y125"/>
    <mergeCell ref="E124:F124"/>
    <mergeCell ref="G124:H124"/>
    <mergeCell ref="I124:J124"/>
    <mergeCell ref="K124:L124"/>
    <mergeCell ref="M124:N124"/>
    <mergeCell ref="O124:P124"/>
    <mergeCell ref="Q124:R124"/>
    <mergeCell ref="S124:T124"/>
    <mergeCell ref="U124:V124"/>
    <mergeCell ref="W126:Y126"/>
    <mergeCell ref="A137:A138"/>
    <mergeCell ref="B137:B138"/>
    <mergeCell ref="E141:F141"/>
    <mergeCell ref="G141:H141"/>
    <mergeCell ref="I141:J141"/>
    <mergeCell ref="K141:L141"/>
    <mergeCell ref="M141:N141"/>
    <mergeCell ref="O141:P141"/>
    <mergeCell ref="Q141:R141"/>
    <mergeCell ref="S141:T141"/>
    <mergeCell ref="U141:V141"/>
    <mergeCell ref="W141:Y141"/>
    <mergeCell ref="E126:F126"/>
    <mergeCell ref="G126:H126"/>
    <mergeCell ref="I126:J126"/>
    <mergeCell ref="K126:L126"/>
    <mergeCell ref="M126:N126"/>
    <mergeCell ref="O126:P126"/>
    <mergeCell ref="Q126:R126"/>
    <mergeCell ref="S126:T126"/>
    <mergeCell ref="U126:V126"/>
    <mergeCell ref="W143:Y143"/>
    <mergeCell ref="E144:F144"/>
    <mergeCell ref="G144:H144"/>
    <mergeCell ref="I144:J144"/>
    <mergeCell ref="K144:L144"/>
    <mergeCell ref="M144:N144"/>
    <mergeCell ref="O144:P144"/>
    <mergeCell ref="Q144:R144"/>
    <mergeCell ref="S144:T144"/>
    <mergeCell ref="U144:V144"/>
    <mergeCell ref="W144:Y144"/>
    <mergeCell ref="E143:F143"/>
    <mergeCell ref="G143:H143"/>
    <mergeCell ref="I143:J143"/>
    <mergeCell ref="K143:L143"/>
    <mergeCell ref="M143:N143"/>
    <mergeCell ref="O143:P143"/>
    <mergeCell ref="Q143:R143"/>
    <mergeCell ref="S143:T143"/>
    <mergeCell ref="U143:V143"/>
    <mergeCell ref="W145:Y145"/>
    <mergeCell ref="E145:F145"/>
    <mergeCell ref="G145:H145"/>
    <mergeCell ref="I145:J145"/>
    <mergeCell ref="K145:L145"/>
    <mergeCell ref="M145:N145"/>
    <mergeCell ref="O145:P145"/>
    <mergeCell ref="Q145:R145"/>
    <mergeCell ref="S145:T145"/>
    <mergeCell ref="U145:V145"/>
  </mergeCells>
  <phoneticPr fontId="18" type="noConversion"/>
  <conditionalFormatting sqref="E51:Y51">
    <cfRule type="cellIs" dxfId="224" priority="3" operator="equal">
      <formula>"Virhe!"</formula>
    </cfRule>
  </conditionalFormatting>
  <conditionalFormatting sqref="E52:Y52">
    <cfRule type="cellIs" dxfId="223" priority="8" operator="equal">
      <formula>"R"</formula>
    </cfRule>
    <cfRule type="cellIs" dxfId="222" priority="9" operator="equal">
      <formula>"AI"</formula>
    </cfRule>
  </conditionalFormatting>
  <conditionalFormatting sqref="E77:Y77">
    <cfRule type="cellIs" dxfId="221" priority="6" operator="equal">
      <formula>"R"</formula>
    </cfRule>
    <cfRule type="cellIs" dxfId="220" priority="7" operator="equal">
      <formula>"AI"</formula>
    </cfRule>
  </conditionalFormatting>
  <conditionalFormatting sqref="E102:Y102">
    <cfRule type="cellIs" dxfId="219" priority="4" operator="equal">
      <formula>"R"</formula>
    </cfRule>
    <cfRule type="cellIs" dxfId="218" priority="5" operator="equal">
      <formula>"AI"</formula>
    </cfRule>
  </conditionalFormatting>
  <conditionalFormatting sqref="E127:Y127">
    <cfRule type="cellIs" dxfId="217" priority="1" operator="equal">
      <formula>"R"</formula>
    </cfRule>
    <cfRule type="cellIs" dxfId="216" priority="2" operator="equal">
      <formula>"AI"</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13</vt:i4>
      </vt:variant>
    </vt:vector>
  </HeadingPairs>
  <TitlesOfParts>
    <vt:vector size="22" baseType="lpstr">
      <vt:lpstr>Sarjataulukko</vt:lpstr>
      <vt:lpstr>Kisakalenteri</vt:lpstr>
      <vt:lpstr>Sarjaranking</vt:lpstr>
      <vt:lpstr>Kisaranking</vt:lpstr>
      <vt:lpstr>KultainenGP</vt:lpstr>
      <vt:lpstr>KupKunk</vt:lpstr>
      <vt:lpstr>Tulokset</vt:lpstr>
      <vt:lpstr>Data</vt:lpstr>
      <vt:lpstr>VO_Algo</vt:lpstr>
      <vt:lpstr>kausi_id_nro</vt:lpstr>
      <vt:lpstr>keilatut</vt:lpstr>
      <vt:lpstr>kilpailukalenteri</vt:lpstr>
      <vt:lpstr>otsikko</vt:lpstr>
      <vt:lpstr>Data!Print_Area</vt:lpstr>
      <vt:lpstr>Kisaranking!Print_Area</vt:lpstr>
      <vt:lpstr>KupKunk!Print_Area</vt:lpstr>
      <vt:lpstr>Sarjaranking!Print_Area</vt:lpstr>
      <vt:lpstr>Sarjataulukko!Print_Area</vt:lpstr>
      <vt:lpstr>Tulokset!Print_Area</vt:lpstr>
      <vt:lpstr>VO_Algo!Print_Area</vt:lpstr>
      <vt:lpstr>sijoituspisteet</vt:lpstr>
      <vt:lpstr>tulossiirtymä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Henri Verho</dc:creator>
  <cp:keywords/>
  <dc:description/>
  <cp:lastModifiedBy>Verho Henri</cp:lastModifiedBy>
  <cp:revision/>
  <cp:lastPrinted>2025-03-20T12:06:37Z</cp:lastPrinted>
  <dcterms:created xsi:type="dcterms:W3CDTF">2016-11-06T12:19:00Z</dcterms:created>
  <dcterms:modified xsi:type="dcterms:W3CDTF">2025-03-20T12:49:27Z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fc6e7d7-c3f0-41d9-b8d6-e23d3245f674_Enabled">
    <vt:lpwstr>true</vt:lpwstr>
  </property>
  <property fmtid="{D5CDD505-2E9C-101B-9397-08002B2CF9AE}" pid="3" name="MSIP_Label_9fc6e7d7-c3f0-41d9-b8d6-e23d3245f674_SetDate">
    <vt:lpwstr>2025-02-03T13:13:51Z</vt:lpwstr>
  </property>
  <property fmtid="{D5CDD505-2E9C-101B-9397-08002B2CF9AE}" pid="4" name="MSIP_Label_9fc6e7d7-c3f0-41d9-b8d6-e23d3245f674_Method">
    <vt:lpwstr>Standard</vt:lpwstr>
  </property>
  <property fmtid="{D5CDD505-2E9C-101B-9397-08002B2CF9AE}" pid="5" name="MSIP_Label_9fc6e7d7-c3f0-41d9-b8d6-e23d3245f674_Name">
    <vt:lpwstr>Internal</vt:lpwstr>
  </property>
  <property fmtid="{D5CDD505-2E9C-101B-9397-08002B2CF9AE}" pid="6" name="MSIP_Label_9fc6e7d7-c3f0-41d9-b8d6-e23d3245f674_SiteId">
    <vt:lpwstr>4b19ee34-32b7-458e-b987-a34fb6431fc5</vt:lpwstr>
  </property>
  <property fmtid="{D5CDD505-2E9C-101B-9397-08002B2CF9AE}" pid="7" name="MSIP_Label_9fc6e7d7-c3f0-41d9-b8d6-e23d3245f674_ActionId">
    <vt:lpwstr>9fd72e5c-e3ba-48a4-a26e-f3201e6e4bfa</vt:lpwstr>
  </property>
  <property fmtid="{D5CDD505-2E9C-101B-9397-08002B2CF9AE}" pid="8" name="MSIP_Label_9fc6e7d7-c3f0-41d9-b8d6-e23d3245f674_ContentBits">
    <vt:lpwstr>0</vt:lpwstr>
  </property>
</Properties>
</file>