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1tony/Documents/Courses/CS 471 - Programming Languages/Program 4/"/>
    </mc:Choice>
  </mc:AlternateContent>
  <xr:revisionPtr revIDLastSave="0" documentId="13_ncr:1_{164B3B87-7AC2-DA42-86B2-47A694E3243C}" xr6:coauthVersionLast="45" xr6:coauthVersionMax="45" xr10:uidLastSave="{00000000-0000-0000-0000-000000000000}"/>
  <bookViews>
    <workbookView xWindow="35200" yWindow="460" windowWidth="31380" windowHeight="18060" xr2:uid="{76856C8D-423D-DC45-AFAE-07C426023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E25" i="1"/>
  <c r="E24" i="1"/>
  <c r="E23" i="1"/>
  <c r="E22" i="1"/>
  <c r="E21" i="1"/>
  <c r="D25" i="1"/>
  <c r="D24" i="1"/>
  <c r="D27" i="1" s="1"/>
  <c r="D23" i="1"/>
  <c r="D22" i="1"/>
  <c r="D21" i="1"/>
  <c r="C25" i="1"/>
  <c r="C24" i="1"/>
  <c r="C23" i="1"/>
  <c r="C22" i="1"/>
  <c r="C21" i="1"/>
  <c r="B25" i="1"/>
  <c r="B24" i="1"/>
  <c r="B23" i="1"/>
  <c r="B22" i="1"/>
  <c r="B21" i="1"/>
  <c r="F16" i="1"/>
  <c r="F15" i="1"/>
  <c r="F14" i="1"/>
  <c r="F13" i="1"/>
  <c r="F12" i="1"/>
  <c r="E16" i="1"/>
  <c r="E15" i="1"/>
  <c r="E14" i="1"/>
  <c r="E13" i="1"/>
  <c r="E12" i="1"/>
  <c r="D16" i="1"/>
  <c r="D15" i="1"/>
  <c r="D14" i="1"/>
  <c r="D13" i="1"/>
  <c r="D12" i="1"/>
  <c r="C16" i="1"/>
  <c r="C15" i="1"/>
  <c r="C14" i="1"/>
  <c r="C13" i="1"/>
  <c r="C12" i="1"/>
  <c r="B16" i="1"/>
  <c r="B15" i="1"/>
  <c r="B14" i="1"/>
  <c r="B13" i="1"/>
  <c r="B12" i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  <c r="C7" i="1"/>
  <c r="C6" i="1"/>
  <c r="C9" i="1" s="1"/>
  <c r="C5" i="1"/>
  <c r="C4" i="1"/>
  <c r="C3" i="1"/>
  <c r="B7" i="1"/>
  <c r="B6" i="1"/>
  <c r="B5" i="1"/>
  <c r="B4" i="1"/>
  <c r="B3" i="1"/>
  <c r="D18" i="1"/>
  <c r="F9" i="1" l="1"/>
  <c r="E9" i="1"/>
  <c r="B8" i="1"/>
  <c r="K3" i="1" s="1"/>
  <c r="D26" i="1"/>
  <c r="J5" i="1" s="1"/>
  <c r="F17" i="1"/>
  <c r="L7" i="1" s="1"/>
  <c r="C17" i="1"/>
  <c r="L4" i="1" s="1"/>
  <c r="B26" i="1"/>
  <c r="J3" i="1" s="1"/>
  <c r="E26" i="1"/>
  <c r="J6" i="1" s="1"/>
  <c r="C26" i="1"/>
  <c r="J4" i="1" s="1"/>
  <c r="D8" i="1"/>
  <c r="K5" i="1" s="1"/>
  <c r="C27" i="1"/>
  <c r="D17" i="1"/>
  <c r="L5" i="1" s="1"/>
  <c r="F27" i="1"/>
  <c r="F8" i="1"/>
  <c r="K7" i="1" s="1"/>
  <c r="E8" i="1"/>
  <c r="K6" i="1" s="1"/>
  <c r="C18" i="1"/>
  <c r="F18" i="1"/>
  <c r="E18" i="1"/>
  <c r="F26" i="1"/>
  <c r="J7" i="1" s="1"/>
  <c r="E27" i="1"/>
  <c r="B27" i="1"/>
  <c r="E17" i="1"/>
  <c r="L6" i="1" s="1"/>
  <c r="B18" i="1"/>
  <c r="B17" i="1"/>
  <c r="L3" i="1" s="1"/>
  <c r="D9" i="1"/>
  <c r="C8" i="1"/>
  <c r="K4" i="1" s="1"/>
  <c r="B9" i="1"/>
</calcChain>
</file>

<file path=xl/sharedStrings.xml><?xml version="1.0" encoding="utf-8"?>
<sst xmlns="http://schemas.openxmlformats.org/spreadsheetml/2006/main" count="29" uniqueCount="13">
  <si>
    <t>Python With Numpy</t>
  </si>
  <si>
    <t>Fortran</t>
  </si>
  <si>
    <t>Python No Numpy</t>
  </si>
  <si>
    <t>AVG</t>
  </si>
  <si>
    <t>STDEV</t>
  </si>
  <si>
    <t>250</t>
  </si>
  <si>
    <t>500</t>
  </si>
  <si>
    <t>1000</t>
  </si>
  <si>
    <t>1500</t>
  </si>
  <si>
    <t>2000</t>
  </si>
  <si>
    <t>All times in Milliseconds</t>
  </si>
  <si>
    <t>Python with Numpy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</si>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</sst>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/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Runtime of Fortran, Python+NUMPY, and Python w/o NUMPY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Fortran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Sheet1!$I$3:$I$7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Sheet1!$J$3:$J$7</c:f>
              <c:numCache>
                <c:formatCode>_(* #,##0.00_);_(* \(#,##0.00\);_(* "-"??_);_(@_)</c:formatCode>
                <c:ptCount val="5"/>
                <c:pt idx="0">
                  <c:v>15.8</c:v>
                </c:pt>
                <c:pt idx="1">
                  <c:v>154</c:v>
                </c:pt>
                <c:pt idx="2">
                  <c:v>1269.5999999999999</c:v>
                </c:pt>
                <c:pt idx="3">
                  <c:v>7054</c:v>
                </c:pt>
                <c:pt idx="4">
                  <c:v>14926.4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3-1A4D-AE0C-14CA75FB5F46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Python with Numpy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Sheet1!$I$3:$I$7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Sheet1!$K$3:$K$7</c:f>
              <c:numCache>
                <c:formatCode>_(* #,##0.00_);_(* \(#,##0.00\);_(* "-"??_);_(@_)</c:formatCode>
                <c:ptCount val="5"/>
                <c:pt idx="0">
                  <c:v>6.8521976470947239</c:v>
                </c:pt>
                <c:pt idx="1">
                  <c:v>42.17181205749506</c:v>
                </c:pt>
                <c:pt idx="2">
                  <c:v>251.11293792724578</c:v>
                </c:pt>
                <c:pt idx="3">
                  <c:v>820.99418640136662</c:v>
                </c:pt>
                <c:pt idx="4">
                  <c:v>1918.8414096832239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3-1A4D-AE0C-14CA75FB5F46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Python No Numpy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Sheet1!$I$3:$I$7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Sheet1!$L$3:$L$7</c:f>
              <c:numCache>
                <c:formatCode>_(* #,##0.00_);_(* \(#,##0.00\);_(* "-"??_);_(@_)</c:formatCode>
                <c:ptCount val="5"/>
                <c:pt idx="0">
                  <c:v>489.48783874511685</c:v>
                </c:pt>
                <c:pt idx="1">
                  <c:v>3926.6748428344677</c:v>
                </c:pt>
                <c:pt idx="2">
                  <c:v>37387.089872360186</c:v>
                </c:pt>
                <c:pt idx="3">
                  <c:v>209591.14394187898</c:v>
                </c:pt>
                <c:pt idx="4">
                  <c:v>570760.90264320339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3-1A4D-AE0C-14CA75FB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536640"/>
        <c:axId val="405064208"/>
        <c:axId val="426484448"/>
      </c:bar3DChart>
      <c:catAx>
        <c:axId val="36753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and</a:t>
                </a:r>
                <a:r>
                  <a:rPr lang="en-US" baseline="0"/>
                  <a:t> Their Corresponding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64208"/>
        <c:crosses val="autoZero"/>
        <c:auto val="1"/>
        <c:lblAlgn val="ctr"/>
        <c:lblOffset val="100"/>
        <c:noMultiLvlLbl val="0"/>
      </c:catAx>
      <c:valAx>
        <c:axId val="405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36640"/>
        <c:crosses val="autoZero"/>
        <c:crossBetween val="between"/>
      </c:valAx>
      <c:serAx>
        <c:axId val="4264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6420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12</xdr:row>
      <xdr:rowOff>38100</xdr:rowOff>
    </xdr:from>
    <xdr:to>
      <xdr:col>19</xdr:col>
      <xdr:colOff>127000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9C120E-7BC0-BD44-B49C-34937E35E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31520-FB41-6642-9FE5-9C91286F103B}" name="Table1" displayName="Table1" ref="A2:F9" headerRowDxfId="27" dataDxfId="26">
  <autoFilter ref="A2:F9" xr:uid="{5A4FE962-9EDD-404F-AE86-B7F37F1928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F511CD8-B004-0948-814D-ED2B875C097B}" name="Python With Numpy" totalsRowLabel="Total" dataDxfId="25" totalsRowDxfId="24"/>
    <tableColumn id="2" xr3:uid="{7D694901-B48B-5946-85B3-879D4412AC32}" name="250" dataDxfId="23" totalsRowDxfId="22" dataCellStyle="Comma"/>
    <tableColumn id="3" xr3:uid="{FDD619C8-7827-3642-9438-698553E74D4C}" name="500" dataDxfId="21" totalsRowDxfId="20" dataCellStyle="Comma"/>
    <tableColumn id="4" xr3:uid="{6E71B564-0153-7148-9555-FFA7BC436DFE}" name="1000" dataDxfId="19" totalsRowDxfId="18" dataCellStyle="Comma"/>
    <tableColumn id="5" xr3:uid="{9CBBF67F-8EB5-2A4B-96B5-ED8B70CEDAA6}" name="1500" dataDxfId="17" totalsRowDxfId="16" dataCellStyle="Comma"/>
    <tableColumn id="6" xr3:uid="{B8E68912-DCAC-5643-A18B-A7C267FFF7E0}" name="2000" totalsRowFunction="sum" dataDxfId="15" totalsRowDxfId="14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5362F-D643-9248-8E91-B0898DF3BFF7}" name="Table2" displayName="Table2" ref="A11:F18" totalsRowShown="0" headerRowDxfId="13" dataDxfId="12">
  <autoFilter ref="A11:F18" xr:uid="{31DABC26-EF70-B642-A7E2-964047EC13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59ABB80-4EA2-CB4A-BEEA-4AD8E093052C}" name="Python No Numpy"/>
    <tableColumn id="2" xr3:uid="{CFA52589-83A3-9E46-94E6-4E6B6ED05F7F}" name="250" dataDxfId="11" dataCellStyle="Comma"/>
    <tableColumn id="3" xr3:uid="{E794E495-3216-FC44-814D-B129A0EF90E9}" name="500" dataDxfId="10" dataCellStyle="Comma"/>
    <tableColumn id="4" xr3:uid="{08B038AF-793D-8D4F-90F1-B36ECB954F6A}" name="1000" dataDxfId="9" dataCellStyle="Comma"/>
    <tableColumn id="5" xr3:uid="{F50CC732-C8D5-BA42-B2C5-795C43F83D38}" name="1500" dataDxfId="8" dataCellStyle="Comma"/>
    <tableColumn id="6" xr3:uid="{114732E6-697E-C040-BDAF-C2DD075CA7CC}" name="2000" dataDxfId="7" dataCellStyle="Comma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AB15A5-8A15-5B4C-B480-0E0DC7E71B11}" name="Table3" displayName="Table3" ref="A20:F27" totalsRowShown="0" headerRowDxfId="6" dataDxfId="5">
  <autoFilter ref="A20:F27" xr:uid="{9AC4B67B-FA83-8347-A9AC-E27897C9FB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82BDDF0-A9DC-9844-9415-DACE6184F9F3}" name="Fortran"/>
    <tableColumn id="2" xr3:uid="{FF478AF0-0254-044B-B7A0-FA139C83EFBB}" name="250" dataDxfId="4" dataCellStyle="Comma"/>
    <tableColumn id="3" xr3:uid="{1464DC06-3D87-6148-9743-67888386DC06}" name="500" dataDxfId="3" dataCellStyle="Comma"/>
    <tableColumn id="4" xr3:uid="{C8E0E1F5-B7B4-3B42-AF27-39D1929ED471}" name="1000" dataDxfId="2" dataCellStyle="Comma"/>
    <tableColumn id="5" xr3:uid="{219A61A4-F2EB-EC46-9786-AB6C18C47CED}" name="1500" dataDxfId="1" dataCellStyle="Comma"/>
    <tableColumn id="6" xr3:uid="{7FB4D9D3-CEBC-C74A-90C2-204DEB85E060}" name="2000" dataDxfId="0" dataCellStyle="Comma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15DEB-01D3-CC41-B348-BBCC46476FBF}" name="Table4" displayName="Table4" ref="J2:L7" totalsRowShown="0" dataCellStyle="Comma">
  <autoFilter ref="J2:L7" xr:uid="{9D380AA9-EAC1-2F40-9322-623B99EAFE55}">
    <filterColumn colId="0" hiddenButton="1"/>
    <filterColumn colId="1" hiddenButton="1"/>
    <filterColumn colId="2" hiddenButton="1"/>
  </autoFilter>
  <tableColumns count="3">
    <tableColumn id="5" xr3:uid="{20BE5FA5-0CFE-8C4C-8F6E-463AE959F909}" name="Fortran" dataCellStyle="Comma"/>
    <tableColumn id="2" xr3:uid="{188B513A-753B-1143-B322-3F3837F8ACDF}" name="Python with Numpy" dataCellStyle="Comma"/>
    <tableColumn id="3" xr3:uid="{13EEDF91-560B-7C40-A1AA-D30C1B7F2655}" name="Python No Numpy" dataCellStyle="Comm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8DD9-42CA-A84E-A005-CFE8A3CCDAEC}">
  <dimension ref="A1:L27"/>
  <sheetViews>
    <sheetView tabSelected="1" workbookViewId="0">
      <selection activeCell="A20" sqref="A20"/>
    </sheetView>
  </sheetViews>
  <sheetFormatPr baseColWidth="10" defaultRowHeight="16" x14ac:dyDescent="0.2"/>
  <cols>
    <col min="1" max="1" width="21.5" bestFit="1" customWidth="1"/>
    <col min="2" max="2" width="8" bestFit="1" customWidth="1"/>
    <col min="3" max="3" width="9.5" bestFit="1" customWidth="1"/>
    <col min="4" max="4" width="10.5" bestFit="1" customWidth="1"/>
    <col min="5" max="6" width="11.5" bestFit="1" customWidth="1"/>
    <col min="11" max="11" width="19.83203125" customWidth="1"/>
    <col min="12" max="12" width="18.5" customWidth="1"/>
  </cols>
  <sheetData>
    <row r="1" spans="1:12" x14ac:dyDescent="0.2">
      <c r="A1" t="s">
        <v>10</v>
      </c>
      <c r="I1" t="s">
        <v>12</v>
      </c>
    </row>
    <row r="2" spans="1:12" x14ac:dyDescent="0.2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J2" t="s">
        <v>1</v>
      </c>
      <c r="K2" t="s">
        <v>11</v>
      </c>
      <c r="L2" t="s">
        <v>2</v>
      </c>
    </row>
    <row r="3" spans="1:12" ht="17" x14ac:dyDescent="0.2">
      <c r="A3" s="1"/>
      <c r="B3" s="7">
        <f xml:space="preserve"> 0.00619697570800781 * 1000</f>
        <v>6.1969757080078098</v>
      </c>
      <c r="C3" s="7">
        <f>1000*0.0411620140075683</f>
        <v>41.162014007568295</v>
      </c>
      <c r="D3" s="7">
        <f>1000*0.248509883880615</f>
        <v>248.50988388061501</v>
      </c>
      <c r="E3" s="7">
        <f>1000*0.819874048233032</f>
        <v>819.874048233032</v>
      </c>
      <c r="F3" s="7">
        <f>1000*1.90480399131774</f>
        <v>1904.8039913177399</v>
      </c>
      <c r="I3">
        <v>250</v>
      </c>
      <c r="J3" s="4">
        <f>B26</f>
        <v>15.8</v>
      </c>
      <c r="K3" s="4">
        <f>B8</f>
        <v>6.8521976470947239</v>
      </c>
      <c r="L3" s="4">
        <f>B17</f>
        <v>489.48783874511685</v>
      </c>
    </row>
    <row r="4" spans="1:12" ht="17" x14ac:dyDescent="0.2">
      <c r="A4" s="1"/>
      <c r="B4" s="7">
        <f>1000 * 0.00629591941833496</f>
        <v>6.29591941833496</v>
      </c>
      <c r="C4" s="7">
        <f>1000*0.0413720607757568</f>
        <v>41.3720607757568</v>
      </c>
      <c r="D4" s="7">
        <f>1000*0.252078056335449</f>
        <v>252.07805633544899</v>
      </c>
      <c r="E4" s="7">
        <f>1000*0.845847129821777</f>
        <v>845.847129821777</v>
      </c>
      <c r="F4" s="7">
        <f>1000*1.92051887512207</f>
        <v>1920.5188751220701</v>
      </c>
      <c r="I4">
        <v>500</v>
      </c>
      <c r="J4" s="4">
        <f>C26</f>
        <v>154</v>
      </c>
      <c r="K4" s="4">
        <f>C8</f>
        <v>42.17181205749506</v>
      </c>
      <c r="L4" s="4">
        <f>C17</f>
        <v>3926.6748428344677</v>
      </c>
    </row>
    <row r="5" spans="1:12" ht="17" x14ac:dyDescent="0.2">
      <c r="A5" s="1"/>
      <c r="B5" s="7">
        <f>1000*0.00797414779663086</f>
        <v>7.9741477966308594</v>
      </c>
      <c r="C5" s="7">
        <f>1000*0.0412609577178955</f>
        <v>41.260957717895501</v>
      </c>
      <c r="D5" s="7">
        <f>1000*0.252377986907959</f>
        <v>252.37798690795898</v>
      </c>
      <c r="E5" s="7">
        <f>1000*0.813076972961425</f>
        <v>813.07697296142499</v>
      </c>
      <c r="F5" s="7">
        <f>1000*1.91384100914001</f>
        <v>1913.8410091400099</v>
      </c>
      <c r="I5">
        <v>1000</v>
      </c>
      <c r="J5" s="4">
        <f>D26</f>
        <v>1269.5999999999999</v>
      </c>
      <c r="K5" s="4">
        <f>D8</f>
        <v>251.11293792724578</v>
      </c>
      <c r="L5" s="4">
        <f>D17</f>
        <v>37387.089872360186</v>
      </c>
    </row>
    <row r="6" spans="1:12" ht="17" x14ac:dyDescent="0.2">
      <c r="A6" s="1"/>
      <c r="B6" s="7">
        <f>1000*0.00667595863342285</f>
        <v>6.6759586334228498</v>
      </c>
      <c r="C6" s="7">
        <f>1000*0.0427231788635253</f>
        <v>42.723178863525298</v>
      </c>
      <c r="D6" s="7">
        <f>1000*0.250013828277587</f>
        <v>250.01382827758701</v>
      </c>
      <c r="E6" s="7">
        <f>1000*0.81451392173767</f>
        <v>814.51392173766999</v>
      </c>
      <c r="F6" s="7">
        <f>1000*1.91390013694763</f>
        <v>1913.90013694763</v>
      </c>
      <c r="I6">
        <v>1500</v>
      </c>
      <c r="J6" s="4">
        <f>E26</f>
        <v>7054</v>
      </c>
      <c r="K6" s="4">
        <f>E8</f>
        <v>820.99418640136662</v>
      </c>
      <c r="L6" s="4">
        <f>E17</f>
        <v>209591.14394187898</v>
      </c>
    </row>
    <row r="7" spans="1:12" ht="17" x14ac:dyDescent="0.2">
      <c r="A7" s="1"/>
      <c r="B7" s="7">
        <f>1000*0.00711798667907714</f>
        <v>7.1179866790771396</v>
      </c>
      <c r="C7" s="7">
        <f>1000*0.0443408489227294</f>
        <v>44.3408489227294</v>
      </c>
      <c r="D7" s="7">
        <f>1000*0.252584934234619</f>
        <v>252.58493423461897</v>
      </c>
      <c r="E7" s="7">
        <f>1000*0.811658859252929</f>
        <v>811.65885925292901</v>
      </c>
      <c r="F7" s="7">
        <f>1000*1.94114303588867</f>
        <v>1941.1430358886701</v>
      </c>
      <c r="I7">
        <v>2000</v>
      </c>
      <c r="J7" s="4">
        <f>F26</f>
        <v>14926.4</v>
      </c>
      <c r="K7" s="4">
        <f>F8</f>
        <v>1918.8414096832239</v>
      </c>
      <c r="L7" s="4">
        <f>F17</f>
        <v>570760.90264320339</v>
      </c>
    </row>
    <row r="8" spans="1:12" ht="17" x14ac:dyDescent="0.2">
      <c r="A8" s="2" t="s">
        <v>3</v>
      </c>
      <c r="B8" s="7">
        <f>AVERAGE(B3:B7)</f>
        <v>6.8521976470947239</v>
      </c>
      <c r="C8" s="7">
        <f t="shared" ref="C8:F8" si="0">AVERAGE(C3:C7)</f>
        <v>42.17181205749506</v>
      </c>
      <c r="D8" s="7">
        <f t="shared" si="0"/>
        <v>251.11293792724578</v>
      </c>
      <c r="E8" s="7">
        <f t="shared" si="0"/>
        <v>820.99418640136662</v>
      </c>
      <c r="F8" s="7">
        <f t="shared" si="0"/>
        <v>1918.8414096832239</v>
      </c>
    </row>
    <row r="9" spans="1:12" ht="17" x14ac:dyDescent="0.2">
      <c r="A9" s="2" t="s">
        <v>4</v>
      </c>
      <c r="B9" s="7">
        <f>STDEV(B3:B7)</f>
        <v>0.7244372634602767</v>
      </c>
      <c r="C9" s="7">
        <f t="shared" ref="C9:F9" si="1">STDEV(C3:C7)</f>
        <v>1.3690942370581027</v>
      </c>
      <c r="D9" s="7">
        <f t="shared" si="1"/>
        <v>1.7806254509322272</v>
      </c>
      <c r="E9" s="7">
        <f t="shared" si="1"/>
        <v>14.236817919638712</v>
      </c>
      <c r="F9" s="7">
        <f t="shared" si="1"/>
        <v>13.662409358470521</v>
      </c>
    </row>
    <row r="10" spans="1:12" ht="17" x14ac:dyDescent="0.2">
      <c r="A10" s="1"/>
      <c r="B10" s="3"/>
      <c r="C10" s="3"/>
      <c r="D10" s="3"/>
      <c r="E10" s="3"/>
      <c r="F10" s="3"/>
    </row>
    <row r="11" spans="1:12" x14ac:dyDescent="0.2">
      <c r="A11" s="2" t="s">
        <v>2</v>
      </c>
      <c r="B11" s="2" t="s">
        <v>5</v>
      </c>
      <c r="C11" s="2" t="s">
        <v>6</v>
      </c>
      <c r="D11" s="2" t="s">
        <v>7</v>
      </c>
      <c r="E11" s="2" t="s">
        <v>8</v>
      </c>
      <c r="F11" s="2" t="s">
        <v>9</v>
      </c>
    </row>
    <row r="12" spans="1:12" x14ac:dyDescent="0.2">
      <c r="B12" s="5">
        <f>1000*0.488554000854492</f>
        <v>488.55400085449202</v>
      </c>
      <c r="C12" s="5">
        <f>1000*3.92863416671752</f>
        <v>3928.6341667175197</v>
      </c>
      <c r="D12" s="5">
        <f>1000*34.1226921081543</f>
        <v>34122.692108154297</v>
      </c>
      <c r="E12" s="5">
        <f>1000*194.762075901031</f>
        <v>194762.075901031</v>
      </c>
      <c r="F12" s="5">
        <f>1000*663.206387996673</f>
        <v>663206.387996673</v>
      </c>
    </row>
    <row r="13" spans="1:12" x14ac:dyDescent="0.2">
      <c r="B13" s="5">
        <f>1000*0.489174127578735</f>
        <v>489.17412757873501</v>
      </c>
      <c r="C13" s="5">
        <f>1000*3.86375308036804</f>
        <v>3863.7530803680402</v>
      </c>
      <c r="D13" s="5">
        <f>1000*37.0167980194091</f>
        <v>37016.7980194091</v>
      </c>
      <c r="E13" s="5">
        <f>1000*205.631850004196</f>
        <v>205631.85000419599</v>
      </c>
      <c r="F13" s="6">
        <f>1000*481.076080083847</f>
        <v>481076.08008384699</v>
      </c>
    </row>
    <row r="14" spans="1:12" x14ac:dyDescent="0.2">
      <c r="B14" s="5">
        <f>1000*0.487781047821044</f>
        <v>487.78104782104396</v>
      </c>
      <c r="C14" s="5">
        <f>1000*3.91881704330444</f>
        <v>3918.8170433044397</v>
      </c>
      <c r="D14" s="5">
        <f>1000*38.7495050430297</f>
        <v>38749.505043029698</v>
      </c>
      <c r="E14" s="5">
        <f>1000*216.648377895355</f>
        <v>216648.37789535499</v>
      </c>
      <c r="F14" s="5">
        <f>1000*517.794545173645</f>
        <v>517794.54517364502</v>
      </c>
    </row>
    <row r="15" spans="1:12" x14ac:dyDescent="0.2">
      <c r="B15" s="5">
        <f>1000*0.486948013305664</f>
        <v>486.94801330566401</v>
      </c>
      <c r="C15" s="5">
        <f>1000*3.94283890724182</f>
        <v>3942.8389072418199</v>
      </c>
      <c r="D15" s="5">
        <f>1000*39.1525790691375</f>
        <v>39152.5790691375</v>
      </c>
      <c r="E15" s="5">
        <f>1000*215.641458034515</f>
        <v>215641.458034515</v>
      </c>
      <c r="F15" s="5">
        <f>1000*522.325989961624</f>
        <v>522325.98996162403</v>
      </c>
    </row>
    <row r="16" spans="1:12" x14ac:dyDescent="0.2">
      <c r="B16" s="5">
        <f>1000*0.494982004165649</f>
        <v>494.98200416564902</v>
      </c>
      <c r="C16" s="5">
        <f>1000*3.97933101654052</f>
        <v>3979.3310165405196</v>
      </c>
      <c r="D16" s="5">
        <f>1000*37.8938751220703</f>
        <v>37893.875122070298</v>
      </c>
      <c r="E16" s="5">
        <f>1000*215.271957874298</f>
        <v>215271.95787429801</v>
      </c>
      <c r="F16" s="5">
        <f>1000*669.401510000228</f>
        <v>669401.51000022795</v>
      </c>
    </row>
    <row r="17" spans="1:6" x14ac:dyDescent="0.2">
      <c r="A17" s="2" t="s">
        <v>3</v>
      </c>
      <c r="B17" s="5">
        <f>AVERAGE(B12:B16)</f>
        <v>489.48783874511685</v>
      </c>
      <c r="C17" s="5">
        <f t="shared" ref="C17:F17" si="2">AVERAGE(C12:C16)</f>
        <v>3926.6748428344677</v>
      </c>
      <c r="D17" s="5">
        <f t="shared" si="2"/>
        <v>37387.089872360186</v>
      </c>
      <c r="E17" s="5">
        <f t="shared" si="2"/>
        <v>209591.14394187898</v>
      </c>
      <c r="F17" s="5">
        <f t="shared" si="2"/>
        <v>570760.90264320339</v>
      </c>
    </row>
    <row r="18" spans="1:6" x14ac:dyDescent="0.2">
      <c r="A18" s="2" t="s">
        <v>4</v>
      </c>
      <c r="B18" s="5">
        <f>STDEV(B12:B16)</f>
        <v>3.1827727727344959</v>
      </c>
      <c r="C18" s="5">
        <f t="shared" ref="C18:E18" si="3">STDEV(C12:C16)</f>
        <v>42.0079806790962</v>
      </c>
      <c r="D18" s="5">
        <f t="shared" si="3"/>
        <v>2001.4599240208345</v>
      </c>
      <c r="E18" s="5">
        <f t="shared" si="3"/>
        <v>9410.8948309058669</v>
      </c>
      <c r="F18" s="5">
        <f>STDEV(F12:F16)</f>
        <v>88700.169630009477</v>
      </c>
    </row>
    <row r="19" spans="1:6" x14ac:dyDescent="0.2">
      <c r="B19" s="1"/>
      <c r="C19" s="1"/>
      <c r="D19" s="1"/>
      <c r="E19" s="1"/>
      <c r="F19" s="1"/>
    </row>
    <row r="20" spans="1:6" x14ac:dyDescent="0.2">
      <c r="A20" s="2" t="s">
        <v>1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</row>
    <row r="21" spans="1:6" x14ac:dyDescent="0.2">
      <c r="B21" s="5">
        <f>1000*0.016</f>
        <v>16</v>
      </c>
      <c r="C21" s="5">
        <f>1000*0.154</f>
        <v>154</v>
      </c>
      <c r="D21" s="5">
        <f>1000*1.266</f>
        <v>1266</v>
      </c>
      <c r="E21" s="5">
        <f>1000*7.026</f>
        <v>7026</v>
      </c>
      <c r="F21" s="5">
        <f>1000*16.719</f>
        <v>16719</v>
      </c>
    </row>
    <row r="22" spans="1:6" x14ac:dyDescent="0.2">
      <c r="B22" s="5">
        <f>1000*0.016</f>
        <v>16</v>
      </c>
      <c r="C22" s="5">
        <f>1000*0.154</f>
        <v>154</v>
      </c>
      <c r="D22" s="5">
        <f>1000*1.276</f>
        <v>1276</v>
      </c>
      <c r="E22" s="5">
        <f>1000*7.04</f>
        <v>7040</v>
      </c>
      <c r="F22" s="5">
        <f>1000*16.68</f>
        <v>16680</v>
      </c>
    </row>
    <row r="23" spans="1:6" x14ac:dyDescent="0.2">
      <c r="B23" s="5">
        <f>1000*0.015</f>
        <v>15</v>
      </c>
      <c r="C23" s="5">
        <f>1000*0.154</f>
        <v>154</v>
      </c>
      <c r="D23" s="5">
        <f>1000*1.272</f>
        <v>1272</v>
      </c>
      <c r="E23" s="5">
        <f>1000*7.033</f>
        <v>7033</v>
      </c>
      <c r="F23" s="5">
        <f>1000*12.632</f>
        <v>12632</v>
      </c>
    </row>
    <row r="24" spans="1:6" x14ac:dyDescent="0.2">
      <c r="B24" s="5">
        <f>1000*0.016</f>
        <v>16</v>
      </c>
      <c r="C24" s="5">
        <f>1000*0.154</f>
        <v>154</v>
      </c>
      <c r="D24" s="5">
        <f>1000*1.269</f>
        <v>1269</v>
      </c>
      <c r="E24" s="5">
        <f>1000*7.07</f>
        <v>7070</v>
      </c>
      <c r="F24" s="5">
        <f>1000*11.808</f>
        <v>11808</v>
      </c>
    </row>
    <row r="25" spans="1:6" x14ac:dyDescent="0.2">
      <c r="B25" s="5">
        <f>1000*0.016</f>
        <v>16</v>
      </c>
      <c r="C25" s="5">
        <f>1000*0.154</f>
        <v>154</v>
      </c>
      <c r="D25" s="5">
        <f>1000*1.265</f>
        <v>1265</v>
      </c>
      <c r="E25" s="5">
        <f>1000*7.101</f>
        <v>7101</v>
      </c>
      <c r="F25" s="5">
        <f>1000*16.793</f>
        <v>16793</v>
      </c>
    </row>
    <row r="26" spans="1:6" x14ac:dyDescent="0.2">
      <c r="A26" s="2" t="s">
        <v>3</v>
      </c>
      <c r="B26" s="6">
        <f>AVERAGE(B21:B25)</f>
        <v>15.8</v>
      </c>
      <c r="C26" s="6">
        <f t="shared" ref="C26:F26" si="4">AVERAGE(C21:C25)</f>
        <v>154</v>
      </c>
      <c r="D26" s="6">
        <f t="shared" si="4"/>
        <v>1269.5999999999999</v>
      </c>
      <c r="E26" s="6">
        <f t="shared" si="4"/>
        <v>7054</v>
      </c>
      <c r="F26" s="6">
        <f t="shared" si="4"/>
        <v>14926.4</v>
      </c>
    </row>
    <row r="27" spans="1:6" x14ac:dyDescent="0.2">
      <c r="A27" s="2" t="s">
        <v>4</v>
      </c>
      <c r="B27" s="6">
        <f>STDEV(B21:B25)</f>
        <v>0.44721359549995793</v>
      </c>
      <c r="C27" s="6">
        <f t="shared" ref="C27:F27" si="5">STDEV(C21:C25)</f>
        <v>0</v>
      </c>
      <c r="D27" s="6">
        <f t="shared" si="5"/>
        <v>4.5055521304275237</v>
      </c>
      <c r="E27" s="6">
        <f t="shared" si="5"/>
        <v>31.168894751017401</v>
      </c>
      <c r="F27" s="6">
        <f t="shared" si="5"/>
        <v>2488.0420615415674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Maldonado</dc:creator>
  <cp:lastModifiedBy>Antonio Maldonado</cp:lastModifiedBy>
  <dcterms:created xsi:type="dcterms:W3CDTF">2020-09-29T02:08:52Z</dcterms:created>
  <dcterms:modified xsi:type="dcterms:W3CDTF">2020-09-29T05:12:08Z</dcterms:modified>
</cp:coreProperties>
</file>