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jpetty_apmm-tab_com/Documents/"/>
    </mc:Choice>
  </mc:AlternateContent>
  <xr:revisionPtr revIDLastSave="0" documentId="8_{9D0FA913-5C99-4E5B-ABFC-43BDA00899D1}" xr6:coauthVersionLast="47" xr6:coauthVersionMax="47" xr10:uidLastSave="{00000000-0000-0000-0000-000000000000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KPIPDLog" sheetId="14" r:id="rId3"/>
    <sheet name="Summary" sheetId="12" r:id="rId4"/>
    <sheet name="List" sheetId="13" r:id="rId5"/>
  </sheets>
  <definedNames>
    <definedName name="_xlnm._FilterDatabase" localSheetId="0" hidden="1">'UW(New)'!$B$19:$AD$31</definedName>
    <definedName name="Cowl_List">List!$K$3:$K$30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11" i="7"/>
  <c r="P12" i="7"/>
  <c r="P13" i="7"/>
  <c r="P14" i="7"/>
  <c r="P8" i="7"/>
  <c r="S22" i="7"/>
  <c r="S21" i="7"/>
  <c r="B3" i="7"/>
  <c r="P53" i="7"/>
  <c r="P54" i="7"/>
  <c r="P10" i="7" s="1"/>
  <c r="P55" i="7"/>
  <c r="P56" i="7"/>
  <c r="P57" i="7"/>
  <c r="P58" i="7"/>
  <c r="P52" i="7"/>
  <c r="K16" i="7"/>
  <c r="K17" i="7"/>
  <c r="K18" i="7"/>
  <c r="K19" i="7"/>
  <c r="K20" i="7"/>
  <c r="K21" i="7"/>
  <c r="K22" i="7"/>
  <c r="K8" i="7"/>
  <c r="K9" i="7"/>
  <c r="M16" i="7" s="1"/>
  <c r="K10" i="7"/>
  <c r="K11" i="7"/>
  <c r="M18" i="7" s="1"/>
  <c r="K12" i="7"/>
  <c r="K13" i="7"/>
  <c r="M20" i="7" s="1"/>
  <c r="K14" i="7"/>
  <c r="M21" i="7" s="1"/>
  <c r="K15" i="7"/>
  <c r="M22" i="7" s="1"/>
  <c r="P49" i="11"/>
  <c r="P43" i="11"/>
  <c r="P44" i="11"/>
  <c r="P45" i="11"/>
  <c r="P46" i="11"/>
  <c r="P47" i="11"/>
  <c r="P48" i="11"/>
  <c r="P42" i="11"/>
  <c r="Z9" i="11"/>
  <c r="Z10" i="11"/>
  <c r="Z11" i="11"/>
  <c r="Z12" i="11"/>
  <c r="Z13" i="11"/>
  <c r="Z8" i="11"/>
  <c r="K8" i="11"/>
  <c r="U8" i="11" s="1"/>
  <c r="K9" i="11"/>
  <c r="U9" i="11" s="1"/>
  <c r="K10" i="11"/>
  <c r="U10" i="11" s="1"/>
  <c r="K11" i="11"/>
  <c r="U11" i="11" s="1"/>
  <c r="K12" i="11"/>
  <c r="U12" i="11" s="1"/>
  <c r="K13" i="11"/>
  <c r="U13" i="11" s="1"/>
  <c r="Y3" i="11"/>
  <c r="L14" i="14" a="1"/>
  <c r="J34" i="14" a="1"/>
  <c r="K8" i="14" a="1"/>
  <c r="N12" i="14" a="1"/>
  <c r="J19" i="14" a="1"/>
  <c r="J30" i="14" a="1"/>
  <c r="L36" i="14" a="1"/>
  <c r="J23" i="14" a="1"/>
  <c r="N8" i="14" a="1"/>
  <c r="M41" i="14" a="1"/>
  <c r="M3" i="14" a="1"/>
  <c r="N4" i="14" a="1"/>
  <c r="L5" i="14" a="1"/>
  <c r="N13" i="14" a="1"/>
  <c r="K34" i="14" a="1"/>
  <c r="N18" i="14" a="1"/>
  <c r="M10" i="14" a="1"/>
  <c r="K33" i="14" a="1"/>
  <c r="L40" i="14" a="1"/>
  <c r="I12" i="14" a="1"/>
  <c r="M36" i="14" a="1"/>
  <c r="N32" i="14" a="1"/>
  <c r="N42" i="14" a="1"/>
  <c r="K18" i="14" a="1"/>
  <c r="M33" i="14" a="1"/>
  <c r="K6" i="14" a="1"/>
  <c r="J26" i="14" a="1"/>
  <c r="J9" i="14" a="1"/>
  <c r="L9" i="14" a="1"/>
  <c r="K9" i="14" a="1"/>
  <c r="J40" i="14" a="1"/>
  <c r="I13" i="14" a="1"/>
  <c r="J6" i="14" a="1"/>
  <c r="I7" i="14" a="1"/>
  <c r="N9" i="14" a="1"/>
  <c r="N23" i="14" a="1"/>
  <c r="L38" i="14" a="1"/>
  <c r="I16" i="14" a="1"/>
  <c r="J28" i="14" a="1"/>
  <c r="K10" i="14" a="1"/>
  <c r="L11" i="14" a="1"/>
  <c r="M32" i="14" a="1"/>
  <c r="M17" i="14" a="1"/>
  <c r="M8" i="14" a="1"/>
  <c r="L29" i="14" a="1"/>
  <c r="L19" i="14" a="1"/>
  <c r="M12" i="14" a="1"/>
  <c r="L8" i="14" a="1"/>
  <c r="N39" i="14" a="1"/>
  <c r="N16" i="14" a="1"/>
  <c r="K25" i="14" a="1"/>
  <c r="L39" i="14" a="1"/>
  <c r="J4" i="14" a="1"/>
  <c r="M28" i="14" a="1"/>
  <c r="N41" i="14" a="1"/>
  <c r="J39" i="14" a="1"/>
  <c r="K26" i="14" a="1"/>
  <c r="J37" i="14" a="1"/>
  <c r="K19" i="14" a="1"/>
  <c r="K17" i="14" a="1"/>
  <c r="I11" i="14" a="1"/>
  <c r="K35" i="14" a="1"/>
  <c r="M19" i="14" a="1"/>
  <c r="I5" i="14" a="1"/>
  <c r="K29" i="14" a="1"/>
  <c r="N33" i="14" a="1"/>
  <c r="M11" i="14" a="1"/>
  <c r="L6" i="14" a="1"/>
  <c r="K4" i="14" a="1"/>
  <c r="K31" i="14" a="1"/>
  <c r="J12" i="14" a="1"/>
  <c r="N26" i="14" a="1"/>
  <c r="J35" i="14" a="1"/>
  <c r="M13" i="14" a="1"/>
  <c r="N5" i="14" a="1"/>
  <c r="L7" i="14" a="1"/>
  <c r="I9" i="14" a="1"/>
  <c r="K38" i="14" a="1"/>
  <c r="M37" i="14" a="1"/>
  <c r="K32" i="14" a="1"/>
  <c r="K11" i="14" a="1"/>
  <c r="J32" i="14" a="1"/>
  <c r="K36" i="14" a="1"/>
  <c r="N34" i="14" a="1"/>
  <c r="M4" i="14" a="1"/>
  <c r="L4" i="14" a="1"/>
  <c r="K7" i="14" a="1"/>
  <c r="K24" i="14" a="1"/>
  <c r="M9" i="14" a="1"/>
  <c r="M26" i="14" a="1"/>
  <c r="N3" i="14" a="1"/>
  <c r="N11" i="14" a="1"/>
  <c r="M23" i="14" a="1"/>
  <c r="K5" i="14" a="1"/>
  <c r="K41" i="14" a="1"/>
  <c r="K27" i="14" a="1"/>
  <c r="N15" i="14" a="1"/>
  <c r="M24" i="14" a="1"/>
  <c r="I14" i="14" a="1"/>
  <c r="N31" i="14" a="1"/>
  <c r="N40" i="14" a="1"/>
  <c r="L15" i="14" a="1"/>
  <c r="K3" i="14" a="1"/>
  <c r="L26" i="14" a="1"/>
  <c r="L28" i="14" a="1"/>
  <c r="L31" i="14" a="1"/>
  <c r="J16" i="14" a="1"/>
  <c r="J10" i="14" a="1"/>
  <c r="M25" i="14" a="1"/>
  <c r="I17" i="14" a="1"/>
  <c r="K12" i="14" a="1"/>
  <c r="K14" i="14" a="1"/>
  <c r="L10" i="14" a="1"/>
  <c r="J41" i="14" a="1"/>
  <c r="N38" i="14" a="1"/>
  <c r="N37" i="14" a="1"/>
  <c r="K13" i="14" a="1"/>
  <c r="K37" i="14" a="1"/>
  <c r="J7" i="14" a="1"/>
  <c r="I15" i="14" a="1"/>
  <c r="L35" i="14" a="1"/>
  <c r="M35" i="14" a="1"/>
  <c r="M27" i="14" a="1"/>
  <c r="M6" i="14" a="1"/>
  <c r="J42" i="14" a="1"/>
  <c r="J13" i="14" a="1"/>
  <c r="J17" i="14" a="1"/>
  <c r="I18" i="14" a="1"/>
  <c r="N28" i="14" a="1"/>
  <c r="L3" i="14" a="1"/>
  <c r="N7" i="14" a="1"/>
  <c r="J33" i="14" a="1"/>
  <c r="J27" i="14" a="1"/>
  <c r="L34" i="14" a="1"/>
  <c r="J24" i="14" a="1"/>
  <c r="M5" i="14" a="1"/>
  <c r="M15" i="14" a="1"/>
  <c r="M42" i="14" a="1"/>
  <c r="J8" i="14" a="1"/>
  <c r="I4" i="14" a="1"/>
  <c r="N24" i="14" a="1"/>
  <c r="I6" i="14" a="1"/>
  <c r="J5" i="14" a="1"/>
  <c r="N14" i="14" a="1"/>
  <c r="M30" i="14" a="1"/>
  <c r="M7" i="14" a="1"/>
  <c r="M40" i="14" a="1"/>
  <c r="N36" i="14" a="1"/>
  <c r="M18" i="14" a="1"/>
  <c r="N19" i="14" a="1"/>
  <c r="K42" i="14" a="1"/>
  <c r="J36" i="14" a="1"/>
  <c r="N6" i="14" a="1"/>
  <c r="N30" i="14" a="1"/>
  <c r="N35" i="14" a="1"/>
  <c r="J25" i="14" a="1"/>
  <c r="K15" i="14" a="1"/>
  <c r="J14" i="14" a="1"/>
  <c r="K23" i="14" a="1"/>
  <c r="J31" i="14" a="1"/>
  <c r="K16" i="14" a="1"/>
  <c r="L23" i="14" a="1"/>
  <c r="M31" i="14" a="1"/>
  <c r="M16" i="14" a="1"/>
  <c r="L32" i="14" a="1"/>
  <c r="L37" i="14" a="1"/>
  <c r="L30" i="14" a="1"/>
  <c r="J3" i="14" a="1"/>
  <c r="N25" i="14" a="1"/>
  <c r="L42" i="14" a="1"/>
  <c r="J29" i="14" a="1"/>
  <c r="J11" i="14" a="1"/>
  <c r="L27" i="14" a="1"/>
  <c r="K28" i="14" a="1"/>
  <c r="N29" i="14" a="1"/>
  <c r="I3" i="14" a="1"/>
  <c r="L25" i="14" a="1"/>
  <c r="M38" i="14" a="1"/>
  <c r="L17" i="14" a="1"/>
  <c r="L33" i="14" a="1"/>
  <c r="N27" i="14" a="1"/>
  <c r="L13" i="14" a="1"/>
  <c r="I10" i="14" a="1"/>
  <c r="J15" i="14" a="1"/>
  <c r="M29" i="14" a="1"/>
  <c r="L24" i="14" a="1"/>
  <c r="N10" i="14" a="1"/>
  <c r="N17" i="14" a="1"/>
  <c r="L41" i="14" a="1"/>
  <c r="L18" i="14" a="1"/>
  <c r="K39" i="14" a="1"/>
  <c r="M39" i="14" a="1"/>
  <c r="L12" i="14" a="1"/>
  <c r="K30" i="14" a="1"/>
  <c r="L16" i="14" a="1"/>
  <c r="J18" i="14" a="1"/>
  <c r="J38" i="14" a="1"/>
  <c r="I8" i="14" a="1"/>
  <c r="M14" i="14" a="1"/>
  <c r="K40" i="14" a="1"/>
  <c r="I19" i="14" a="1"/>
  <c r="M34" i="14" a="1"/>
  <c r="M17" i="7" l="1"/>
  <c r="M19" i="7"/>
  <c r="N3" i="14"/>
  <c r="M3" i="14"/>
  <c r="L3" i="14"/>
  <c r="K3" i="14"/>
  <c r="J3" i="14"/>
  <c r="I3" i="14"/>
  <c r="M41" i="14"/>
  <c r="N41" i="14"/>
  <c r="N38" i="14"/>
  <c r="N35" i="14"/>
  <c r="N32" i="14"/>
  <c r="N29" i="14"/>
  <c r="N26" i="14"/>
  <c r="M35" i="14"/>
  <c r="N40" i="14"/>
  <c r="N37" i="14"/>
  <c r="N34" i="14"/>
  <c r="N31" i="14"/>
  <c r="N28" i="14"/>
  <c r="N25" i="14"/>
  <c r="M32" i="14"/>
  <c r="M29" i="14"/>
  <c r="M25" i="14"/>
  <c r="M38" i="14"/>
  <c r="M26" i="14"/>
  <c r="M40" i="14"/>
  <c r="M37" i="14"/>
  <c r="M34" i="14"/>
  <c r="M31" i="14"/>
  <c r="M28" i="14"/>
  <c r="N27" i="14"/>
  <c r="N42" i="14"/>
  <c r="N39" i="14"/>
  <c r="N36" i="14"/>
  <c r="N33" i="14"/>
  <c r="N30" i="14"/>
  <c r="N24" i="14"/>
  <c r="M42" i="14"/>
  <c r="M39" i="14"/>
  <c r="M36" i="14"/>
  <c r="M33" i="14"/>
  <c r="M30" i="14"/>
  <c r="M27" i="14"/>
  <c r="M24" i="14"/>
  <c r="N23" i="14"/>
  <c r="M23" i="14"/>
  <c r="J29" i="14"/>
  <c r="J41" i="14"/>
  <c r="J35" i="14"/>
  <c r="J40" i="14"/>
  <c r="J34" i="14"/>
  <c r="J28" i="14"/>
  <c r="J27" i="14"/>
  <c r="J39" i="14"/>
  <c r="J26" i="14"/>
  <c r="J33" i="14"/>
  <c r="J38" i="14"/>
  <c r="J32" i="14"/>
  <c r="J37" i="14"/>
  <c r="J31" i="14"/>
  <c r="J25" i="14"/>
  <c r="J42" i="14"/>
  <c r="J36" i="14"/>
  <c r="J30" i="14"/>
  <c r="J24" i="14"/>
  <c r="K28" i="14"/>
  <c r="K35" i="14"/>
  <c r="K27" i="14"/>
  <c r="K32" i="14"/>
  <c r="K25" i="14"/>
  <c r="K29" i="14"/>
  <c r="K34" i="14"/>
  <c r="K39" i="14"/>
  <c r="K33" i="14"/>
  <c r="K38" i="14"/>
  <c r="K26" i="14"/>
  <c r="K37" i="14"/>
  <c r="K31" i="14"/>
  <c r="K41" i="14"/>
  <c r="K40" i="14"/>
  <c r="K42" i="14"/>
  <c r="K36" i="14"/>
  <c r="K30" i="14"/>
  <c r="K24" i="14"/>
  <c r="L37" i="14"/>
  <c r="L41" i="14"/>
  <c r="L35" i="14"/>
  <c r="L29" i="14"/>
  <c r="L33" i="14"/>
  <c r="L34" i="14"/>
  <c r="L28" i="14"/>
  <c r="L39" i="14"/>
  <c r="L27" i="14"/>
  <c r="L40" i="14"/>
  <c r="L38" i="14"/>
  <c r="L32" i="14"/>
  <c r="L26" i="14"/>
  <c r="L31" i="14"/>
  <c r="L25" i="14"/>
  <c r="L42" i="14"/>
  <c r="L36" i="14"/>
  <c r="L30" i="14"/>
  <c r="L24" i="14"/>
  <c r="L23" i="14"/>
  <c r="N16" i="14"/>
  <c r="N15" i="14"/>
  <c r="N9" i="14"/>
  <c r="N10" i="14"/>
  <c r="N8" i="14"/>
  <c r="N14" i="14"/>
  <c r="N19" i="14"/>
  <c r="N13" i="14"/>
  <c r="N7" i="14"/>
  <c r="N6" i="14"/>
  <c r="N18" i="14"/>
  <c r="N12" i="14"/>
  <c r="N5" i="14"/>
  <c r="N17" i="14"/>
  <c r="N11" i="14"/>
  <c r="N4" i="14"/>
  <c r="K23" i="14"/>
  <c r="J23" i="14"/>
  <c r="M9" i="14"/>
  <c r="M8" i="14"/>
  <c r="M6" i="14"/>
  <c r="M15" i="14"/>
  <c r="M14" i="14"/>
  <c r="M19" i="14"/>
  <c r="M13" i="14"/>
  <c r="M7" i="14"/>
  <c r="M18" i="14"/>
  <c r="M12" i="14"/>
  <c r="M17" i="14"/>
  <c r="M11" i="14"/>
  <c r="M5" i="14"/>
  <c r="M16" i="14"/>
  <c r="M10" i="14"/>
  <c r="M4" i="14"/>
  <c r="L11" i="14"/>
  <c r="L15" i="14"/>
  <c r="L9" i="14"/>
  <c r="L14" i="14"/>
  <c r="L8" i="14"/>
  <c r="L19" i="14"/>
  <c r="L13" i="14"/>
  <c r="L7" i="14"/>
  <c r="L18" i="14"/>
  <c r="L12" i="14"/>
  <c r="L6" i="14"/>
  <c r="L5" i="14"/>
  <c r="L17" i="14"/>
  <c r="L16" i="14"/>
  <c r="L10" i="14"/>
  <c r="L4" i="14"/>
  <c r="K17" i="14"/>
  <c r="K15" i="14"/>
  <c r="K9" i="14"/>
  <c r="K8" i="14"/>
  <c r="K11" i="14"/>
  <c r="K7" i="14"/>
  <c r="K14" i="14"/>
  <c r="K19" i="14"/>
  <c r="K13" i="14"/>
  <c r="K18" i="14"/>
  <c r="K12" i="14"/>
  <c r="K6" i="14"/>
  <c r="K5" i="14"/>
  <c r="K16" i="14"/>
  <c r="K10" i="14"/>
  <c r="K4" i="14"/>
  <c r="J7" i="14"/>
  <c r="J9" i="14"/>
  <c r="J8" i="14"/>
  <c r="J19" i="14"/>
  <c r="J6" i="14"/>
  <c r="J5" i="14"/>
  <c r="J15" i="14"/>
  <c r="J14" i="14"/>
  <c r="J13" i="14"/>
  <c r="J18" i="14"/>
  <c r="J12" i="14"/>
  <c r="J17" i="14"/>
  <c r="J11" i="14"/>
  <c r="J16" i="14"/>
  <c r="J10" i="14"/>
  <c r="J4" i="14"/>
  <c r="I11" i="14"/>
  <c r="I15" i="14"/>
  <c r="I9" i="14"/>
  <c r="I14" i="14"/>
  <c r="I19" i="14"/>
  <c r="I13" i="14"/>
  <c r="I7" i="14"/>
  <c r="I8" i="14"/>
  <c r="I18" i="14"/>
  <c r="I12" i="14"/>
  <c r="I6" i="14"/>
  <c r="I5" i="14"/>
  <c r="I17" i="14"/>
  <c r="I16" i="14"/>
  <c r="I10" i="14"/>
  <c r="I4" i="14"/>
  <c r="H15" i="7"/>
  <c r="G15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28" i="7"/>
  <c r="G9" i="14"/>
  <c r="G10" i="14"/>
  <c r="G11" i="14"/>
  <c r="G12" i="14"/>
  <c r="G13" i="14"/>
  <c r="G14" i="14"/>
  <c r="G8" i="14"/>
  <c r="G7" i="14"/>
  <c r="G4" i="14"/>
  <c r="G2" i="14"/>
  <c r="F3" i="14"/>
  <c r="F4" i="14"/>
  <c r="F5" i="14"/>
  <c r="F6" i="14"/>
  <c r="F7" i="14"/>
  <c r="F2" i="14"/>
  <c r="E9" i="14"/>
  <c r="E10" i="14"/>
  <c r="E11" i="14"/>
  <c r="E12" i="14"/>
  <c r="E13" i="14"/>
  <c r="E14" i="14"/>
  <c r="E8" i="14"/>
  <c r="E3" i="14"/>
  <c r="E4" i="14"/>
  <c r="E5" i="14"/>
  <c r="E6" i="14"/>
  <c r="E7" i="14"/>
  <c r="E2" i="14"/>
  <c r="D9" i="14"/>
  <c r="D10" i="14"/>
  <c r="D11" i="14"/>
  <c r="D12" i="14"/>
  <c r="D13" i="14"/>
  <c r="D14" i="14"/>
  <c r="D8" i="14"/>
  <c r="D3" i="14"/>
  <c r="D4" i="14"/>
  <c r="D5" i="14"/>
  <c r="D6" i="14"/>
  <c r="D7" i="14"/>
  <c r="D2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4" i="12"/>
  <c r="P19" i="13" l="1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T15" i="11"/>
  <c r="Z15" i="11"/>
  <c r="U11" i="12" a="1"/>
  <c r="N17" i="12" a="1"/>
  <c r="V12" i="12" a="1"/>
  <c r="U16" i="12" a="1"/>
  <c r="W7" i="12" a="1"/>
  <c r="N13" i="12" a="1"/>
  <c r="L11" i="12" a="1"/>
  <c r="M19" i="12" a="1"/>
  <c r="L10" i="12" a="1"/>
  <c r="U5" i="12" a="1"/>
  <c r="I4" i="12" a="1"/>
  <c r="U15" i="12" a="1"/>
  <c r="M6" i="12" a="1"/>
  <c r="M9" i="12" a="1"/>
  <c r="J12" i="12" a="1"/>
  <c r="W16" i="12" a="1"/>
  <c r="U10" i="12" a="1"/>
  <c r="J5" i="12" a="1"/>
  <c r="K18" i="12" a="1"/>
  <c r="N14" i="12" a="1"/>
  <c r="U18" i="12" a="1"/>
  <c r="I16" i="12" a="1"/>
  <c r="K17" i="12" a="1"/>
  <c r="J19" i="12" a="1"/>
  <c r="T19" i="12" a="1"/>
  <c r="I20" i="12" a="1"/>
  <c r="T13" i="12" a="1"/>
  <c r="U13" i="12" a="1"/>
  <c r="V4" i="12" a="1"/>
  <c r="J10" i="12" a="1"/>
  <c r="U6" i="12" a="1"/>
  <c r="L18" i="12" a="1"/>
  <c r="K21" i="12" a="1"/>
  <c r="T14" i="12" a="1"/>
  <c r="I21" i="12" a="1"/>
  <c r="V21" i="12" a="1"/>
  <c r="S5" i="12" a="1"/>
  <c r="M7" i="12" a="1"/>
  <c r="V8" i="12" a="1"/>
  <c r="L15" i="12" a="1"/>
  <c r="N6" i="12" a="1"/>
  <c r="K13" i="12" a="1"/>
  <c r="N15" i="12" a="1"/>
  <c r="N11" i="12" a="1"/>
  <c r="N8" i="12" a="1"/>
  <c r="K7" i="12" a="1"/>
  <c r="T11" i="12" a="1"/>
  <c r="S12" i="12" a="1"/>
  <c r="K4" i="12" a="1"/>
  <c r="L3" i="12" a="1"/>
  <c r="L4" i="12" a="1"/>
  <c r="T17" i="12" a="1"/>
  <c r="I7" i="12" a="1"/>
  <c r="M13" i="12" a="1"/>
  <c r="S16" i="12" a="1"/>
  <c r="L19" i="12" a="1"/>
  <c r="N5" i="12" a="1"/>
  <c r="I22" i="12" a="1"/>
  <c r="W14" i="12" a="1"/>
  <c r="T10" i="12" a="1"/>
  <c r="M17" i="12" a="1"/>
  <c r="L22" i="12" a="1"/>
  <c r="L12" i="12" a="1"/>
  <c r="V22" i="12" a="1"/>
  <c r="I17" i="12" a="1"/>
  <c r="T9" i="12" a="1"/>
  <c r="K5" i="12" a="1"/>
  <c r="N3" i="12" a="1"/>
  <c r="I12" i="12" a="1"/>
  <c r="S11" i="12" a="1"/>
  <c r="I6" i="12" a="1"/>
  <c r="T8" i="12" a="1"/>
  <c r="S15" i="12" a="1"/>
  <c r="S17" i="12" a="1"/>
  <c r="S18" i="12" a="1"/>
  <c r="T21" i="12" a="1"/>
  <c r="S14" i="12" a="1"/>
  <c r="N10" i="12" a="1"/>
  <c r="T18" i="12" a="1"/>
  <c r="J20" i="12" a="1"/>
  <c r="K9" i="12" a="1"/>
  <c r="K20" i="12" a="1"/>
  <c r="L9" i="12" a="1"/>
  <c r="M10" i="12" a="1"/>
  <c r="J13" i="12" a="1"/>
  <c r="L17" i="12" a="1"/>
  <c r="I8" i="12" a="1"/>
  <c r="U9" i="12" a="1"/>
  <c r="N22" i="12" a="1"/>
  <c r="I3" i="12" a="1"/>
  <c r="V19" i="12" a="1"/>
  <c r="S3" i="12" a="1"/>
  <c r="S10" i="12" a="1"/>
  <c r="W15" i="12" a="1"/>
  <c r="V9" i="12" a="1"/>
  <c r="W12" i="12" a="1"/>
  <c r="S8" i="12" a="1"/>
  <c r="K10" i="12" a="1"/>
  <c r="K11" i="12" a="1"/>
  <c r="V6" i="12" a="1"/>
  <c r="S22" i="12" a="1"/>
  <c r="K3" i="12" a="1"/>
  <c r="N20" i="12" a="1"/>
  <c r="V5" i="12" a="1"/>
  <c r="M14" i="12" a="1"/>
  <c r="V3" i="12" a="1"/>
  <c r="L6" i="12" a="1"/>
  <c r="S13" i="12" a="1"/>
  <c r="V7" i="12" a="1"/>
  <c r="W3" i="12" a="1"/>
  <c r="L20" i="12" a="1"/>
  <c r="J16" i="12" a="1"/>
  <c r="W4" i="12" a="1"/>
  <c r="I18" i="12" a="1"/>
  <c r="U4" i="12" a="1"/>
  <c r="M20" i="12" a="1"/>
  <c r="W13" i="12" a="1"/>
  <c r="S20" i="12" a="1"/>
  <c r="L21" i="12" a="1"/>
  <c r="I13" i="12" a="1"/>
  <c r="K22" i="12" a="1"/>
  <c r="U20" i="12" a="1"/>
  <c r="W22" i="12" a="1"/>
  <c r="I9" i="12" a="1"/>
  <c r="U22" i="12" a="1"/>
  <c r="S6" i="12" a="1"/>
  <c r="W11" i="12" a="1"/>
  <c r="M21" i="12" a="1"/>
  <c r="W21" i="12" a="1"/>
  <c r="J15" i="12" a="1"/>
  <c r="J7" i="12" a="1"/>
  <c r="U3" i="12" a="1"/>
  <c r="W5" i="12" a="1"/>
  <c r="J17" i="12" a="1"/>
  <c r="J22" i="12" a="1"/>
  <c r="J6" i="12" a="1"/>
  <c r="N18" i="12" a="1"/>
  <c r="V16" i="12" a="1"/>
  <c r="K8" i="12" a="1"/>
  <c r="U7" i="12" a="1"/>
  <c r="T15" i="12" a="1"/>
  <c r="V18" i="12" a="1"/>
  <c r="M18" i="12" a="1"/>
  <c r="U19" i="12" a="1"/>
  <c r="M15" i="12" a="1"/>
  <c r="S19" i="12" a="1"/>
  <c r="L13" i="12" a="1"/>
  <c r="N19" i="12" a="1"/>
  <c r="J11" i="12" a="1"/>
  <c r="W9" i="12" a="1"/>
  <c r="I5" i="12" a="1"/>
  <c r="N16" i="12" a="1"/>
  <c r="W18" i="12" a="1"/>
  <c r="N12" i="12" a="1"/>
  <c r="W6" i="12" a="1"/>
  <c r="M5" i="12" a="1"/>
  <c r="T12" i="12" a="1"/>
  <c r="K14" i="12" a="1"/>
  <c r="I19" i="12" a="1"/>
  <c r="U17" i="12" a="1"/>
  <c r="I10" i="12" a="1"/>
  <c r="K19" i="12" a="1"/>
  <c r="T3" i="12" a="1"/>
  <c r="L14" i="12" a="1"/>
  <c r="V14" i="12" a="1"/>
  <c r="W17" i="12" a="1"/>
  <c r="J4" i="12" a="1"/>
  <c r="M11" i="12" a="1"/>
  <c r="I11" i="12" a="1"/>
  <c r="S21" i="12" a="1"/>
  <c r="U12" i="12" a="1"/>
  <c r="M3" i="12" a="1"/>
  <c r="T5" i="12" a="1"/>
  <c r="S7" i="12" a="1"/>
  <c r="V15" i="12" a="1"/>
  <c r="V13" i="12" a="1"/>
  <c r="I14" i="12" a="1"/>
  <c r="K6" i="12" a="1"/>
  <c r="W19" i="12" a="1"/>
  <c r="U21" i="12" a="1"/>
  <c r="I15" i="12" a="1"/>
  <c r="M22" i="12" a="1"/>
  <c r="K15" i="12" a="1"/>
  <c r="W20" i="12" a="1"/>
  <c r="U8" i="12" a="1"/>
  <c r="L16" i="12" a="1"/>
  <c r="N21" i="12" a="1"/>
  <c r="N4" i="12" a="1"/>
  <c r="J18" i="12" a="1"/>
  <c r="T16" i="12" a="1"/>
  <c r="T22" i="12" a="1"/>
  <c r="M4" i="12" a="1"/>
  <c r="M16" i="12" a="1"/>
  <c r="J8" i="12" a="1"/>
  <c r="W8" i="12" a="1"/>
  <c r="T4" i="12" a="1"/>
  <c r="S4" i="12" a="1"/>
  <c r="W10" i="12" a="1"/>
  <c r="V10" i="12" a="1"/>
  <c r="L5" i="12" a="1"/>
  <c r="S9" i="12" a="1"/>
  <c r="M8" i="12" a="1"/>
  <c r="L7" i="12" a="1"/>
  <c r="J3" i="12" a="1"/>
  <c r="J9" i="12" a="1"/>
  <c r="N9" i="12" a="1"/>
  <c r="V11" i="12" a="1"/>
  <c r="J21" i="12" a="1"/>
  <c r="T7" i="12" a="1"/>
  <c r="T20" i="12" a="1"/>
  <c r="J14" i="12" a="1"/>
  <c r="N7" i="12" a="1"/>
  <c r="K16" i="12" a="1"/>
  <c r="L8" i="12" a="1"/>
  <c r="V17" i="12" a="1"/>
  <c r="T6" i="12" a="1"/>
  <c r="V20" i="12" a="1"/>
  <c r="M12" i="12" a="1"/>
  <c r="U14" i="12" a="1"/>
  <c r="K12" i="12" a="1"/>
  <c r="U5" i="12" l="1"/>
  <c r="T18" i="12"/>
  <c r="S20" i="12"/>
  <c r="V18" i="12"/>
  <c r="T10" i="12"/>
  <c r="U18" i="12"/>
  <c r="W5" i="12"/>
  <c r="U15" i="12"/>
  <c r="T17" i="12"/>
  <c r="V16" i="12"/>
  <c r="T7" i="12"/>
  <c r="V13" i="12"/>
  <c r="V10" i="12"/>
  <c r="W21" i="12"/>
  <c r="S6" i="12"/>
  <c r="V7" i="12"/>
  <c r="T9" i="12"/>
  <c r="W10" i="12"/>
  <c r="U12" i="12"/>
  <c r="S14" i="12"/>
  <c r="V15" i="12"/>
  <c r="W18" i="12"/>
  <c r="U20" i="12"/>
  <c r="S22" i="12"/>
  <c r="W3" i="12"/>
  <c r="W19" i="12"/>
  <c r="V5" i="12"/>
  <c r="V21" i="12"/>
  <c r="U7" i="12"/>
  <c r="T20" i="12"/>
  <c r="S3" i="12"/>
  <c r="V4" i="12"/>
  <c r="T6" i="12"/>
  <c r="W7" i="12"/>
  <c r="U9" i="12"/>
  <c r="S11" i="12"/>
  <c r="V12" i="12"/>
  <c r="T14" i="12"/>
  <c r="W15" i="12"/>
  <c r="U17" i="12"/>
  <c r="S19" i="12"/>
  <c r="V20" i="12"/>
  <c r="T22" i="12"/>
  <c r="W11" i="12"/>
  <c r="U10" i="12"/>
  <c r="U4" i="12"/>
  <c r="V17" i="12"/>
  <c r="S7" i="12"/>
  <c r="U13" i="12"/>
  <c r="T16" i="12"/>
  <c r="V8" i="12"/>
  <c r="S12" i="12"/>
  <c r="W13" i="12"/>
  <c r="W20" i="12"/>
  <c r="U21" i="12"/>
  <c r="S4" i="12"/>
  <c r="W16" i="12"/>
  <c r="T4" i="12"/>
  <c r="T12" i="12"/>
  <c r="T3" i="12"/>
  <c r="U6" i="12"/>
  <c r="V9" i="12"/>
  <c r="W12" i="12"/>
  <c r="T19" i="12"/>
  <c r="S5" i="12"/>
  <c r="V6" i="12"/>
  <c r="T8" i="12"/>
  <c r="W9" i="12"/>
  <c r="U11" i="12"/>
  <c r="S13" i="12"/>
  <c r="V14" i="12"/>
  <c r="W17" i="12"/>
  <c r="S21" i="12"/>
  <c r="V22" i="12"/>
  <c r="V3" i="12"/>
  <c r="T5" i="12"/>
  <c r="W6" i="12"/>
  <c r="U8" i="12"/>
  <c r="S10" i="12"/>
  <c r="V11" i="12"/>
  <c r="T13" i="12"/>
  <c r="W14" i="12"/>
  <c r="U16" i="12"/>
  <c r="S18" i="12"/>
  <c r="V19" i="12"/>
  <c r="T21" i="12"/>
  <c r="W22" i="12"/>
  <c r="S15" i="12"/>
  <c r="W8" i="12"/>
  <c r="T15" i="12"/>
  <c r="S9" i="12"/>
  <c r="S17" i="12"/>
  <c r="W4" i="12"/>
  <c r="S8" i="12"/>
  <c r="T11" i="12"/>
  <c r="U14" i="12"/>
  <c r="S16" i="12"/>
  <c r="U22" i="12"/>
  <c r="U3" i="12"/>
  <c r="U19" i="12"/>
  <c r="N21" i="12"/>
  <c r="I3" i="12"/>
  <c r="M13" i="12"/>
  <c r="J19" i="12"/>
  <c r="I22" i="12"/>
  <c r="M5" i="12"/>
  <c r="I15" i="12"/>
  <c r="J15" i="12"/>
  <c r="K11" i="12"/>
  <c r="L3" i="12"/>
  <c r="N12" i="12"/>
  <c r="L15" i="12"/>
  <c r="J22" i="12"/>
  <c r="I19" i="12"/>
  <c r="J3" i="12"/>
  <c r="L16" i="12"/>
  <c r="M4" i="12"/>
  <c r="I14" i="12"/>
  <c r="L11" i="12"/>
  <c r="J14" i="12"/>
  <c r="N16" i="12"/>
  <c r="J18" i="12"/>
  <c r="L19" i="12"/>
  <c r="N20" i="12"/>
  <c r="I21" i="12"/>
  <c r="K4" i="12"/>
  <c r="K20" i="12"/>
  <c r="J7" i="12"/>
  <c r="N17" i="12"/>
  <c r="M8" i="12"/>
  <c r="K19" i="12"/>
  <c r="I9" i="12"/>
  <c r="K22" i="12"/>
  <c r="I11" i="12"/>
  <c r="L4" i="12"/>
  <c r="N13" i="12"/>
  <c r="M16" i="12"/>
  <c r="N4" i="12"/>
  <c r="L6" i="12"/>
  <c r="N11" i="12"/>
  <c r="J13" i="12"/>
  <c r="L14" i="12"/>
  <c r="N15" i="12"/>
  <c r="J17" i="12"/>
  <c r="L18" i="12"/>
  <c r="N19" i="12"/>
  <c r="J21" i="12"/>
  <c r="L22" i="12"/>
  <c r="M21" i="12"/>
  <c r="L8" i="12"/>
  <c r="M19" i="12"/>
  <c r="M9" i="12"/>
  <c r="J11" i="12"/>
  <c r="K3" i="12"/>
  <c r="M12" i="12"/>
  <c r="N8" i="12"/>
  <c r="I5" i="12"/>
  <c r="M11" i="12"/>
  <c r="K18" i="12"/>
  <c r="I4" i="12"/>
  <c r="M6" i="12"/>
  <c r="M10" i="12"/>
  <c r="K13" i="12"/>
  <c r="I16" i="12"/>
  <c r="M18" i="12"/>
  <c r="I20" i="12"/>
  <c r="M22" i="12"/>
  <c r="I7" i="12"/>
  <c r="K12" i="12"/>
  <c r="N5" i="12"/>
  <c r="L12" i="12"/>
  <c r="I6" i="12"/>
  <c r="K15" i="12"/>
  <c r="J10" i="12"/>
  <c r="M3" i="12"/>
  <c r="K10" i="12"/>
  <c r="M15" i="12"/>
  <c r="J5" i="12"/>
  <c r="J9" i="12"/>
  <c r="K5" i="12"/>
  <c r="I8" i="12"/>
  <c r="K9" i="12"/>
  <c r="I12" i="12"/>
  <c r="M14" i="12"/>
  <c r="K17" i="12"/>
  <c r="K21" i="12"/>
  <c r="K16" i="12"/>
  <c r="N9" i="12"/>
  <c r="I10" i="12"/>
  <c r="M20" i="12"/>
  <c r="L7" i="12"/>
  <c r="M7" i="12"/>
  <c r="I13" i="12"/>
  <c r="I17" i="12"/>
  <c r="N7" i="12"/>
  <c r="L5" i="12"/>
  <c r="L9" i="12"/>
  <c r="L13" i="12"/>
  <c r="J16" i="12"/>
  <c r="N18" i="12"/>
  <c r="J20" i="12"/>
  <c r="N22" i="12"/>
  <c r="K8" i="12"/>
  <c r="M17" i="12"/>
  <c r="L20" i="12"/>
  <c r="K7" i="12"/>
  <c r="I18" i="12"/>
  <c r="J6" i="12"/>
  <c r="K6" i="12"/>
  <c r="K14" i="12"/>
  <c r="N3" i="12"/>
  <c r="L10" i="12"/>
  <c r="J4" i="12"/>
  <c r="N6" i="12"/>
  <c r="J8" i="12"/>
  <c r="N10" i="12"/>
  <c r="J12" i="12"/>
  <c r="N14" i="12"/>
  <c r="L17" i="12"/>
  <c r="L21" i="12"/>
  <c r="T14" i="11"/>
  <c r="Z14" i="11"/>
  <c r="M9" i="7" l="1"/>
  <c r="R11" i="7"/>
  <c r="C11" i="14" s="1"/>
  <c r="M8" i="7"/>
  <c r="D15" i="12"/>
  <c r="D14" i="12"/>
  <c r="D10" i="12"/>
  <c r="D11" i="12"/>
  <c r="D12" i="12"/>
  <c r="D13" i="12"/>
  <c r="D9" i="12"/>
  <c r="C15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Y13" i="11"/>
  <c r="C7" i="14" s="1"/>
  <c r="R8" i="7" l="1"/>
  <c r="C8" i="14" s="1"/>
  <c r="Y22" i="12" l="1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F9" i="12"/>
  <c r="S9" i="7"/>
  <c r="F9" i="14" s="1"/>
  <c r="S10" i="7"/>
  <c r="F10" i="14" s="1"/>
  <c r="S11" i="7"/>
  <c r="F11" i="14" s="1"/>
  <c r="S12" i="7"/>
  <c r="F12" i="14" s="1"/>
  <c r="S13" i="7"/>
  <c r="F13" i="14" s="1"/>
  <c r="S14" i="7"/>
  <c r="F14" i="14" s="1"/>
  <c r="S15" i="7"/>
  <c r="S16" i="7"/>
  <c r="S17" i="7"/>
  <c r="S18" i="7"/>
  <c r="S19" i="7"/>
  <c r="S20" i="7"/>
  <c r="S8" i="7"/>
  <c r="F8" i="14" s="1"/>
  <c r="F11" i="12"/>
  <c r="F12" i="12"/>
  <c r="F13" i="12"/>
  <c r="F14" i="12"/>
  <c r="F15" i="12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T8" i="11"/>
  <c r="S9" i="11"/>
  <c r="S10" i="11"/>
  <c r="S11" i="11"/>
  <c r="S12" i="11"/>
  <c r="S13" i="11"/>
  <c r="S8" i="11"/>
  <c r="N10" i="7"/>
  <c r="E12" i="12"/>
  <c r="Y12" i="11"/>
  <c r="F5" i="12"/>
  <c r="F3" i="12"/>
  <c r="C43" i="11"/>
  <c r="C44" i="11"/>
  <c r="C45" i="11"/>
  <c r="C46" i="11"/>
  <c r="C47" i="11"/>
  <c r="C48" i="11"/>
  <c r="C49" i="11"/>
  <c r="C42" i="11"/>
  <c r="D8" i="12"/>
  <c r="D6" i="12"/>
  <c r="D4" i="12"/>
  <c r="D5" i="12"/>
  <c r="D7" i="12"/>
  <c r="D3" i="12"/>
  <c r="B4" i="12"/>
  <c r="B5" i="12"/>
  <c r="B6" i="12"/>
  <c r="B3" i="12"/>
  <c r="N9" i="7"/>
  <c r="M12" i="7"/>
  <c r="R13" i="7"/>
  <c r="M14" i="7"/>
  <c r="F10" i="12"/>
  <c r="T9" i="11"/>
  <c r="Y10" i="11"/>
  <c r="C4" i="14" s="1"/>
  <c r="T10" i="11"/>
  <c r="T11" i="11"/>
  <c r="T12" i="11"/>
  <c r="T13" i="11"/>
  <c r="E8" i="12"/>
  <c r="AA16" i="11"/>
  <c r="AB16" i="11"/>
  <c r="AC16" i="11"/>
  <c r="AD16" i="11"/>
  <c r="R12" i="7"/>
  <c r="N12" i="7"/>
  <c r="R9" i="7"/>
  <c r="M10" i="7"/>
  <c r="R10" i="7"/>
  <c r="R14" i="7"/>
  <c r="N14" i="7"/>
  <c r="M13" i="7"/>
  <c r="N13" i="7"/>
  <c r="Y11" i="11"/>
  <c r="M11" i="7"/>
  <c r="N11" i="7"/>
  <c r="E9" i="12"/>
  <c r="N8" i="7"/>
  <c r="Y9" i="11"/>
  <c r="Y8" i="11"/>
  <c r="E14" i="12" l="1"/>
  <c r="C13" i="14"/>
  <c r="E10" i="12"/>
  <c r="C9" i="14"/>
  <c r="E11" i="12"/>
  <c r="C10" i="14"/>
  <c r="E13" i="12"/>
  <c r="C12" i="14"/>
  <c r="E15" i="12"/>
  <c r="C14" i="14"/>
  <c r="F6" i="12"/>
  <c r="G5" i="14"/>
  <c r="F7" i="12"/>
  <c r="G6" i="14"/>
  <c r="F4" i="12"/>
  <c r="G3" i="14"/>
  <c r="E7" i="12"/>
  <c r="C6" i="14"/>
  <c r="E3" i="12"/>
  <c r="C2" i="14"/>
  <c r="E6" i="12"/>
  <c r="C5" i="14"/>
  <c r="E4" i="12"/>
  <c r="C3" i="14"/>
  <c r="AC17" i="11"/>
  <c r="AA17" i="11"/>
  <c r="F8" i="12"/>
  <c r="Y16" i="11"/>
  <c r="E5" i="12"/>
  <c r="N15" i="7" l="1"/>
  <c r="R15" i="7" l="1"/>
  <c r="M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<sst xmlns="http://schemas.openxmlformats.org/spreadsheetml/2006/main" count="551" uniqueCount="234">
  <si>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</si>
  <si>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</si>
  <si>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</si>
  <si>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</si>
  <si>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</si>
  <si>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</si>
  <si>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</si>
  <si>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</si>
  <si>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</si>
  <si>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</si>
  <si>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</si>
  <si>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</si>
  <si>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</si>
  <si>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</si>
  <si>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</si>
  <si>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</si>
  <si>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</si>
  <si>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</si>
  <si>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</si>
  <si>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</si>
  <si>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</si>
  <si>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</si>
  <si>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</si>
  <si>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</si>
  <si>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</si>
  <si>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</si>
  <si>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</si>
  <si>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</si>
  <si>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</si>
  <si>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</si>
  <si>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</si>
  <si>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</si>
  <si>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</si>
  <si>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</si>
  <si>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</si>
  <si>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</si>
  <si>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</si>
  <si>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</si>
  <si>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</si>
  <si>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</si>
  <si>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</si>
  <si>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</si>
  <si>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</si>
  <si>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</si>
  <si>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</si>
  <si>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</si>
  <si>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</si>
  <si>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</si>
  <si>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</si>
  <si>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</si>
  <si>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</si>
  <si>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</si>
  <si>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</si>
  <si>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</si>
  <si>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</si>
  <si>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</si>
  <si>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</si>
  <si>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</si>
  <si>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</si>
  <si>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</si>
  <si>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</si>
  <si>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</si>
  <si>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</si>
  <si>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</si>
  <si>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</si>
  <si>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</si>
  <si>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</si>
  <si>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</si>
  <si>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</si>
  <si>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</si>
  <si>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</si>
  <si>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</si>
  <si>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</si>
  <si>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</si>
  <si>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</si>
  <si>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</si>
  <si>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</si>
  <si>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</si>
  <si>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</si>
  <si>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</si>
  <si>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</si>
  <si>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</si>
  <si>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</si>
  <si>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</si>
  <si>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</si>
  <si>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</si>
  <si>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</si>
  <si>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</si>
  <si>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</si>
  <si>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</si>
  <si>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</si>
  <si>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</si>
  <si>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</si>
  <si>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</si>
  <si>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</si>
  <si>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</si>
  <si>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</si>
  <si>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</si>
  <si>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</si>
  <si>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</si>
  <si>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</si>
  <si>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</si>
  <si>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</si>
  <si>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</si>
  <si>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</si>
  <si>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</si>
  <si>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</si>
  <si>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</si>
  <si>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</si>
  <si>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</si>
  <si>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</si>
  <si>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</si>
  <si>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</si>
  <si>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</si>
  <si>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</si>
  <si>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</si>
  <si>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</si>
  <si>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</si>
  <si>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</si>
  <si>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</si>
  <si>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</si>
  <si>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</si>
  <si>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</si>
  <si>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</si>
  <si>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</si>
  <si>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</si>
  <si>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</si>
  <si>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</si>
  <si>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</si>
  <si>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</si>
  <si>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</si>
  <si>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</si>
  <si>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</si>
  <si>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</si>
  <si>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</si>
  <si>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</si>
  <si>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</si>
  <si>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</si>
  <si>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</si>
  <si>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</si>
  <si>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</si>
  <si>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</si>
  <si>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</si>
  <si>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</si>
  <si>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</si>
  <si>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</si>
  <si>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</si>
  <si>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</si>
  <si>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</si>
  <si>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</si>
  <si>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</si>
  <si>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</si>
  <si>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</si>
  <si>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</si>
  <si>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</si>
  <si>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</si>
  <si>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</si>
  <si>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</si>
  <si>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</si>
  <si>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</si>
  <si>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</si>
  <si>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</si>
  <si>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</si>
  <si>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</si>
  <si>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</si>
  <si>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</si>
  <si>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</si>
  <si>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</si>
  <si>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</si>
  <si>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</si>
  <si>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</si>
  <si>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</si>
  <si>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</si>
  <si>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</si>
  <si>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</si>
  <si>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</si>
  <si>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</si>
  <si>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</si>
  <si>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</si>
  <si>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</si>
  <si>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</si>
  <si>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</si>
  <si>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</si>
  <si>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</si>
  <si>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</si>
  <si>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</si>
  <si>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</si>
  <si>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</si>
  <si>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</si>
  <si>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</si>
  <si>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</si>
  <si>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</si>
  <si>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</si>
  <si>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</si>
  <si>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</si>
  <si>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2nd</t>
  </si>
  <si>
    <t>Unit Assembly</t>
  </si>
  <si>
    <t xml:space="preserve"> Shift:</t>
  </si>
  <si>
    <t>Shift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</si>
  <si>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</si>
  <si>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</si>
  <si>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</si>
  <si>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</si>
  <si>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</si>
  <si>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</si>
  <si>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</si>
  <si>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</si>
  <si>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</si>
  <si>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</si>
  <si>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OA</t>
  </si>
  <si>
    <t>Build</t>
  </si>
  <si>
    <t>Finish</t>
  </si>
  <si>
    <t>Scrap</t>
  </si>
  <si>
    <t>Area</t>
  </si>
  <si>
    <t xml:space="preserve"> WELD DT Log</t>
  </si>
  <si>
    <t>Process</t>
  </si>
  <si>
    <t>Stop</t>
  </si>
  <si>
    <t>Reason</t>
  </si>
  <si>
    <t>Minutes</t>
  </si>
  <si>
    <t>Assembly DT Log</t>
  </si>
  <si>
    <t>4M</t>
  </si>
  <si>
    <t>&lt;-Input Date here (ONLY)</t>
  </si>
  <si>
    <t>Equipment</t>
  </si>
  <si>
    <t xml:space="preserve">Planned stop </t>
  </si>
  <si>
    <t>Stop Call Wait</t>
  </si>
  <si>
    <t>Nozzle clean/Tip change</t>
  </si>
  <si>
    <t>TMs recovered 177D during lunch</t>
  </si>
  <si>
    <t>Change over to 177D</t>
  </si>
  <si>
    <t>Planned stop</t>
  </si>
  <si>
    <t>Scrap code #3 (2); Scrap code #36 (6)</t>
  </si>
  <si>
    <t>Scrap code #7</t>
  </si>
  <si>
    <t>Scrap code #7 (48069)</t>
  </si>
  <si>
    <t>wire change</t>
  </si>
  <si>
    <t>out of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</si>
</sst>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h:mm;@"/>
    <numFmt numFmtId="167" formatCode="0.00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1"/>
      <color rgb="FFFF0000"/>
      <name val="ＭＳ Ｐゴシック"/>
      <family val="3"/>
      <charset val="128"/>
    </font>
    <font>
      <b/>
      <sz val="12"/>
      <color theme="1"/>
      <name val="ＭＳ Ｐゴシック"/>
    </font>
    <font>
      <sz val="9"/>
      <name val="ＭＳ Ｐゴシック"/>
      <family val="3"/>
      <charset val="128"/>
    </font>
    <font>
      <b/>
      <sz val="18"/>
      <name val="Arial"/>
      <family val="2"/>
    </font>
    <font>
      <b/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9" fillId="2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alignment vertical="center"/>
      <protection locked="0"/>
    </xf>
    <xf numFmtId="20" fontId="5" fillId="3" borderId="4" xfId="0" applyNumberFormat="1" applyFont="1" applyFill="1" applyBorder="1" applyProtection="1">
      <alignment vertical="center"/>
      <protection locked="0"/>
    </xf>
    <xf numFmtId="0" fontId="5" fillId="3" borderId="4" xfId="0" applyFont="1" applyFill="1" applyBorder="1" applyProtection="1">
      <alignment vertical="center"/>
      <protection locked="0"/>
    </xf>
    <xf numFmtId="0" fontId="5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1" fontId="5" fillId="8" borderId="4" xfId="0" applyNumberFormat="1" applyFont="1" applyFill="1" applyBorder="1" applyProtection="1">
      <alignment vertical="center"/>
      <protection locked="0"/>
    </xf>
    <xf numFmtId="0" fontId="2" fillId="3" borderId="11" xfId="0" applyFont="1" applyFill="1" applyBorder="1" applyAlignment="1" applyProtection="1">
      <alignment wrapText="1"/>
      <protection locked="0"/>
    </xf>
    <xf numFmtId="0" fontId="2" fillId="3" borderId="12" xfId="0" applyFont="1" applyFill="1" applyBorder="1" applyAlignment="1" applyProtection="1">
      <alignment wrapText="1"/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1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alignment vertical="center"/>
      <protection locked="0"/>
    </xf>
    <xf numFmtId="1" fontId="5" fillId="0" borderId="4" xfId="0" applyNumberFormat="1" applyFont="1" applyBorder="1">
      <alignment vertical="center"/>
    </xf>
    <xf numFmtId="165" fontId="5" fillId="0" borderId="4" xfId="2" applyNumberFormat="1" applyFont="1" applyBorder="1" applyProtection="1">
      <alignment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5" fillId="0" borderId="4" xfId="0" applyNumberFormat="1" applyFont="1" applyBorder="1" applyProtection="1">
      <alignment vertical="center"/>
      <protection locked="0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Protection="1">
      <alignment vertical="center"/>
      <protection locked="0"/>
    </xf>
    <xf numFmtId="0" fontId="14" fillId="0" borderId="0" xfId="0" applyFont="1">
      <alignment vertical="center"/>
    </xf>
    <xf numFmtId="0" fontId="2" fillId="0" borderId="4" xfId="0" applyFont="1" applyBorder="1">
      <alignment vertical="center"/>
    </xf>
    <xf numFmtId="0" fontId="5" fillId="3" borderId="4" xfId="0" quotePrefix="1" applyFont="1" applyFill="1" applyBorder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4" xfId="0" applyFont="1" applyBorder="1">
      <alignment vertical="center"/>
    </xf>
    <xf numFmtId="0" fontId="5" fillId="3" borderId="4" xfId="0" quotePrefix="1" applyFont="1" applyFill="1" applyBorder="1">
      <alignment vertical="center"/>
    </xf>
    <xf numFmtId="165" fontId="2" fillId="0" borderId="4" xfId="0" applyNumberFormat="1" applyFont="1" applyBorder="1">
      <alignment vertical="center"/>
    </xf>
    <xf numFmtId="12" fontId="5" fillId="8" borderId="4" xfId="0" quotePrefix="1" applyNumberFormat="1" applyFont="1" applyFill="1" applyBorder="1" applyAlignment="1" applyProtection="1">
      <alignment vertical="center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5" fillId="9" borderId="4" xfId="0" applyFont="1" applyFill="1" applyBorder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20" fontId="5" fillId="9" borderId="4" xfId="0" applyNumberFormat="1" applyFont="1" applyFill="1" applyBorder="1" applyProtection="1">
      <alignment vertical="center"/>
      <protection locked="0"/>
    </xf>
    <xf numFmtId="0" fontId="5" fillId="9" borderId="4" xfId="0" applyFont="1" applyFill="1" applyBorder="1">
      <alignment vertical="center"/>
    </xf>
    <xf numFmtId="12" fontId="5" fillId="9" borderId="4" xfId="0" quotePrefix="1" applyNumberFormat="1" applyFont="1" applyFill="1" applyBorder="1" applyAlignment="1" applyProtection="1">
      <alignment vertical="center" wrapText="1"/>
      <protection locked="0"/>
    </xf>
    <xf numFmtId="1" fontId="5" fillId="9" borderId="4" xfId="0" applyNumberFormat="1" applyFont="1" applyFill="1" applyBorder="1">
      <alignment vertical="center"/>
    </xf>
    <xf numFmtId="1" fontId="5" fillId="9" borderId="4" xfId="0" applyNumberFormat="1" applyFont="1" applyFill="1" applyBorder="1" applyProtection="1">
      <alignment vertical="center"/>
      <protection locked="0"/>
    </xf>
    <xf numFmtId="2" fontId="5" fillId="9" borderId="4" xfId="0" applyNumberFormat="1" applyFont="1" applyFill="1" applyBorder="1">
      <alignment vertical="center"/>
    </xf>
    <xf numFmtId="0" fontId="5" fillId="9" borderId="0" xfId="0" applyFont="1" applyFill="1">
      <alignment vertical="center"/>
    </xf>
    <xf numFmtId="165" fontId="5" fillId="9" borderId="25" xfId="2" applyNumberFormat="1" applyFont="1" applyFill="1" applyBorder="1" applyAlignment="1" applyProtection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Protection="1">
      <alignment vertical="center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wrapText="1"/>
      <protection locked="0"/>
    </xf>
    <xf numFmtId="0" fontId="2" fillId="3" borderId="30" xfId="0" applyFont="1" applyFill="1" applyBorder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0" fillId="14" borderId="0" xfId="0" applyFill="1">
      <alignment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2" fontId="2" fillId="6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22" fillId="15" borderId="43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left" vertical="center"/>
    </xf>
    <xf numFmtId="0" fontId="22" fillId="14" borderId="25" xfId="0" applyFont="1" applyFill="1" applyBorder="1" applyAlignment="1">
      <alignment horizontal="center" vertical="center"/>
    </xf>
    <xf numFmtId="0" fontId="22" fillId="14" borderId="25" xfId="0" applyFont="1" applyFill="1" applyBorder="1">
      <alignment vertical="center"/>
    </xf>
    <xf numFmtId="0" fontId="22" fillId="14" borderId="44" xfId="0" applyFont="1" applyFill="1" applyBorder="1">
      <alignment vertical="center"/>
    </xf>
    <xf numFmtId="9" fontId="0" fillId="0" borderId="4" xfId="2" applyFont="1" applyBorder="1">
      <alignment vertical="center"/>
    </xf>
    <xf numFmtId="0" fontId="20" fillId="0" borderId="4" xfId="0" quotePrefix="1" applyFont="1" applyBorder="1" applyAlignment="1" applyProtection="1">
      <alignment horizontal="center" vertical="center" wrapText="1"/>
      <protection locked="0"/>
    </xf>
    <xf numFmtId="0" fontId="23" fillId="14" borderId="45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" fontId="2" fillId="0" borderId="0" xfId="0" applyNumberFormat="1" applyFont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 wrapText="1" shrinkToFit="1"/>
      <protection locked="0"/>
    </xf>
    <xf numFmtId="0" fontId="23" fillId="14" borderId="64" xfId="0" applyFont="1" applyFill="1" applyBorder="1">
      <alignment vertical="center"/>
    </xf>
    <xf numFmtId="0" fontId="23" fillId="14" borderId="65" xfId="0" applyFont="1" applyFill="1" applyBorder="1" applyAlignment="1">
      <alignment horizontal="center" vertical="center"/>
    </xf>
    <xf numFmtId="0" fontId="23" fillId="14" borderId="65" xfId="0" applyFont="1" applyFill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wrapText="1"/>
      <protection locked="0"/>
    </xf>
    <xf numFmtId="0" fontId="24" fillId="14" borderId="0" xfId="0" applyFont="1" applyFill="1">
      <alignment vertical="center"/>
    </xf>
    <xf numFmtId="0" fontId="0" fillId="0" borderId="1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3" fillId="14" borderId="40" xfId="0" applyFont="1" applyFill="1" applyBorder="1">
      <alignment vertical="center"/>
    </xf>
    <xf numFmtId="0" fontId="23" fillId="14" borderId="41" xfId="0" applyFont="1" applyFill="1" applyBorder="1" applyAlignment="1" applyProtection="1">
      <alignment horizontal="center" vertical="center"/>
      <protection locked="0"/>
    </xf>
    <xf numFmtId="0" fontId="23" fillId="14" borderId="41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26" fillId="0" borderId="20" xfId="0" applyFont="1" applyBorder="1">
      <alignment vertical="center"/>
    </xf>
    <xf numFmtId="0" fontId="23" fillId="14" borderId="66" xfId="0" applyFont="1" applyFill="1" applyBorder="1">
      <alignment vertical="center"/>
    </xf>
    <xf numFmtId="0" fontId="26" fillId="0" borderId="67" xfId="0" applyFont="1" applyBorder="1">
      <alignment vertical="center"/>
    </xf>
    <xf numFmtId="0" fontId="26" fillId="0" borderId="68" xfId="0" applyFont="1" applyBorder="1">
      <alignment vertical="center"/>
    </xf>
    <xf numFmtId="0" fontId="26" fillId="0" borderId="64" xfId="0" applyFont="1" applyBorder="1">
      <alignment vertical="center"/>
    </xf>
    <xf numFmtId="0" fontId="26" fillId="0" borderId="65" xfId="0" applyFont="1" applyBorder="1">
      <alignment vertical="center"/>
    </xf>
    <xf numFmtId="0" fontId="26" fillId="0" borderId="45" xfId="0" applyFont="1" applyBorder="1">
      <alignment vertical="center"/>
    </xf>
    <xf numFmtId="0" fontId="23" fillId="14" borderId="42" xfId="0" applyFont="1" applyFill="1" applyBorder="1">
      <alignment vertical="center"/>
    </xf>
    <xf numFmtId="0" fontId="25" fillId="14" borderId="10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167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167" fontId="0" fillId="0" borderId="25" xfId="0" applyNumberFormat="1" applyBorder="1">
      <alignment vertical="center"/>
    </xf>
    <xf numFmtId="1" fontId="0" fillId="0" borderId="25" xfId="0" applyNumberFormat="1" applyBorder="1">
      <alignment vertical="center"/>
    </xf>
    <xf numFmtId="166" fontId="0" fillId="0" borderId="25" xfId="0" applyNumberFormat="1" applyBorder="1">
      <alignment vertical="center"/>
    </xf>
    <xf numFmtId="2" fontId="0" fillId="0" borderId="25" xfId="0" applyNumberFormat="1" applyBorder="1">
      <alignment vertical="center"/>
    </xf>
    <xf numFmtId="1" fontId="0" fillId="0" borderId="26" xfId="0" applyNumberFormat="1" applyBorder="1">
      <alignment vertical="center"/>
    </xf>
    <xf numFmtId="164" fontId="5" fillId="0" borderId="4" xfId="0" applyNumberFormat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0" fontId="5" fillId="11" borderId="4" xfId="0" applyFont="1" applyFill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5" fillId="10" borderId="4" xfId="0" applyNumberFormat="1" applyFont="1" applyFill="1" applyBorder="1">
      <alignment vertical="center"/>
    </xf>
    <xf numFmtId="166" fontId="5" fillId="0" borderId="4" xfId="0" applyNumberFormat="1" applyFont="1" applyBorder="1" applyProtection="1">
      <alignment vertical="center"/>
      <protection locked="0"/>
    </xf>
    <xf numFmtId="166" fontId="5" fillId="3" borderId="4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0" fontId="3" fillId="0" borderId="0" xfId="0" applyNumberFormat="1" applyFont="1" applyAlignment="1">
      <alignment horizontal="center" vertical="center" shrinkToFit="1"/>
    </xf>
    <xf numFmtId="0" fontId="2" fillId="12" borderId="0" xfId="0" applyFont="1" applyFill="1">
      <alignment vertical="center"/>
    </xf>
    <xf numFmtId="0" fontId="3" fillId="0" borderId="0" xfId="0" applyFont="1">
      <alignment vertical="center"/>
    </xf>
    <xf numFmtId="0" fontId="2" fillId="13" borderId="0" xfId="0" applyFont="1" applyFill="1">
      <alignment vertical="center"/>
    </xf>
    <xf numFmtId="20" fontId="2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  <xf numFmtId="0" fontId="2" fillId="3" borderId="34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2" fillId="3" borderId="35" xfId="0" applyFont="1" applyFill="1" applyBorder="1" applyAlignment="1" applyProtection="1">
      <alignment wrapText="1"/>
      <protection locked="0"/>
    </xf>
    <xf numFmtId="0" fontId="7" fillId="0" borderId="36" xfId="0" applyFont="1" applyBorder="1" applyAlignment="1">
      <alignment horizontal="center" vertical="center" wrapText="1"/>
    </xf>
    <xf numFmtId="0" fontId="2" fillId="4" borderId="69" xfId="0" applyFont="1" applyFill="1" applyBorder="1">
      <alignment vertical="center"/>
    </xf>
    <xf numFmtId="0" fontId="2" fillId="4" borderId="71" xfId="0" applyFont="1" applyFill="1" applyBorder="1">
      <alignment vertical="center"/>
    </xf>
    <xf numFmtId="0" fontId="10" fillId="4" borderId="3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164" fontId="5" fillId="0" borderId="17" xfId="0" applyNumberFormat="1" applyFont="1" applyBorder="1">
      <alignment vertical="center"/>
    </xf>
    <xf numFmtId="1" fontId="6" fillId="16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2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5" fillId="16" borderId="4" xfId="0" applyFont="1" applyFill="1" applyBorder="1">
      <alignment vertical="center"/>
    </xf>
    <xf numFmtId="20" fontId="5" fillId="0" borderId="4" xfId="0" applyNumberFormat="1" applyFont="1" applyBorder="1" applyAlignment="1" applyProtection="1">
      <alignment vertical="center" wrapText="1"/>
      <protection locked="0"/>
    </xf>
    <xf numFmtId="1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wrapText="1"/>
      <protection locked="0"/>
    </xf>
    <xf numFmtId="0" fontId="2" fillId="3" borderId="19" xfId="0" applyFont="1" applyFill="1" applyBorder="1" applyAlignment="1" applyProtection="1">
      <alignment wrapText="1"/>
      <protection locked="0"/>
    </xf>
    <xf numFmtId="0" fontId="2" fillId="3" borderId="25" xfId="0" applyFont="1" applyFill="1" applyBorder="1" applyAlignment="1" applyProtection="1">
      <alignment wrapText="1"/>
      <protection locked="0"/>
    </xf>
    <xf numFmtId="0" fontId="2" fillId="3" borderId="26" xfId="0" applyFont="1" applyFill="1" applyBorder="1" applyAlignment="1" applyProtection="1">
      <alignment wrapText="1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7" fillId="0" borderId="5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7" fillId="4" borderId="33" xfId="0" applyFont="1" applyFill="1" applyBorder="1" applyAlignment="1">
      <alignment horizontal="center" vertical="center" textRotation="90"/>
    </xf>
    <xf numFmtId="0" fontId="17" fillId="4" borderId="53" xfId="0" applyFont="1" applyFill="1" applyBorder="1" applyAlignment="1">
      <alignment horizontal="center" vertical="center" textRotation="90"/>
    </xf>
    <xf numFmtId="0" fontId="17" fillId="4" borderId="54" xfId="0" applyFont="1" applyFill="1" applyBorder="1" applyAlignment="1">
      <alignment horizontal="center" vertical="center" textRotation="90"/>
    </xf>
    <xf numFmtId="0" fontId="7" fillId="0" borderId="5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28" fillId="14" borderId="47" xfId="0" applyNumberFormat="1" applyFont="1" applyFill="1" applyBorder="1" applyAlignment="1" applyProtection="1">
      <alignment horizontal="center" vertical="center"/>
      <protection locked="0"/>
    </xf>
    <xf numFmtId="0" fontId="28" fillId="14" borderId="49" xfId="0" applyFont="1" applyFill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14" fontId="18" fillId="14" borderId="47" xfId="0" applyNumberFormat="1" applyFont="1" applyFill="1" applyBorder="1" applyAlignment="1">
      <alignment horizontal="center" vertical="center"/>
    </xf>
    <xf numFmtId="14" fontId="18" fillId="14" borderId="49" xfId="0" applyNumberFormat="1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 textRotation="90"/>
    </xf>
    <xf numFmtId="0" fontId="7" fillId="4" borderId="53" xfId="0" applyFont="1" applyFill="1" applyBorder="1" applyAlignment="1">
      <alignment horizontal="center" vertical="center" textRotation="90"/>
    </xf>
    <xf numFmtId="0" fontId="7" fillId="4" borderId="54" xfId="0" applyFont="1" applyFill="1" applyBorder="1" applyAlignment="1">
      <alignment horizontal="center" vertical="center" textRotation="90"/>
    </xf>
    <xf numFmtId="0" fontId="7" fillId="0" borderId="3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3" fillId="15" borderId="47" xfId="0" applyFont="1" applyFill="1" applyBorder="1" applyAlignment="1">
      <alignment horizontal="center" vertical="center"/>
    </xf>
    <xf numFmtId="0" fontId="23" fillId="15" borderId="48" xfId="0" applyFont="1" applyFill="1" applyBorder="1" applyAlignment="1">
      <alignment horizontal="center" vertical="center"/>
    </xf>
    <xf numFmtId="0" fontId="23" fillId="15" borderId="49" xfId="0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/>
    </xf>
    <xf numFmtId="0" fontId="23" fillId="15" borderId="41" xfId="0" applyFont="1" applyFill="1" applyBorder="1" applyAlignment="1">
      <alignment horizontal="center" vertical="center"/>
    </xf>
    <xf numFmtId="0" fontId="23" fillId="15" borderId="42" xfId="0" applyFont="1" applyFill="1" applyBorder="1" applyAlignment="1">
      <alignment horizontal="center" vertical="center"/>
    </xf>
  </cellXfs>
  <cellStyles count="5">
    <cellStyle name="Normal" xfId="0" builtinId="0"/>
    <cellStyle name="Note 2" xfId="1" xr:uid="{2A306949-7FCF-4586-AEED-D40C4DD59858}"/>
    <cellStyle name="Percent" xfId="2" builtinId="5"/>
    <cellStyle name="Percent 2" xfId="3" xr:uid="{07318918-C3EE-4D6D-8619-82BC906BF8AF}"/>
    <cellStyle name="パーセント 2" xfId="4" xr:uid="{C751DC1B-7C6C-4C69-B9DC-9D178D2AC876}"/>
  </cellStyles>
  <dxfs count="11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144679</xdr:colOff>
      <xdr:row>2</xdr:row>
      <xdr:rowOff>202430</xdr:rowOff>
    </xdr:from>
    <xdr:to>
      <xdr:col>41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4C9F-5975-4E69-9814-9C052B9A7153}" name="OATable" displayName="OATable" ref="A1:G14" totalsRowShown="0" headerRowDxfId="10" headerRowBorderDxfId="9" tableBorderDxfId="8" totalsRowBorderDxfId="7">
  <autoFilter ref="A1:G14" xr:uid="{558F4C9F-5975-4E69-9814-9C052B9A7153}"/>
  <tableColumns count="7">
    <tableColumn id="1" xr3:uid="{314790C9-EC1E-498D-9A80-F0BD713EBEC7}" name="Area" dataDxfId="6"/>
    <tableColumn id="2" xr3:uid="{C9E2BA1E-0608-4A79-B7E1-3F13E6E92DD8}" name="Part" dataDxfId="5"/>
    <tableColumn id="3" xr3:uid="{C37C56B3-B51D-43B7-B315-097F879B7E53}" name="OA" dataDxfId="4">
      <calculatedColumnFormula>'UA(New)'!R2</calculatedColumnFormula>
    </tableColumn>
    <tableColumn id="4" xr3:uid="{7484F761-8D0F-4F7E-A2FA-D663356EA75E}" name="Build" dataDxfId="3">
      <calculatedColumnFormula>'UA(New)'!H2</calculatedColumnFormula>
    </tableColumn>
    <tableColumn id="5" xr3:uid="{5D3EE409-5DC1-410B-B157-B44EF1627D25}" name="Finish" dataDxfId="2">
      <calculatedColumnFormula>'UA(New)'!J2</calculatedColumnFormula>
    </tableColumn>
    <tableColumn id="6" xr3:uid="{2C2CAED8-BF95-4746-B2AA-25E2BFDDA213}" name="DPV" dataDxfId="1">
      <calculatedColumnFormula>'UA(New)'!S2</calculatedColumnFormula>
    </tableColumn>
    <tableColumn id="7" xr3:uid="{7251B5E8-FD23-45BD-B2FB-2054DA0B3893}" name="Scrap" dataDxfId="0">
      <calculatedColumnFormula>'UA(New)'!P2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D57"/>
  <sheetViews>
    <sheetView tabSelected="1" zoomScale="73" zoomScaleNormal="73" workbookViewId="0">
      <selection activeCell="J14" sqref="J14"/>
    </sheetView>
  </sheetViews>
  <sheetFormatPr defaultColWidth="9" defaultRowHeight="14.25" outlineLevelRow="1"/>
  <cols>
    <col min="1" max="1" width="5.625" style="8" customWidth="1"/>
    <col min="2" max="2" width="10.75" style="21" customWidth="1"/>
    <col min="3" max="4" width="10.75" style="8" customWidth="1"/>
    <col min="5" max="10" width="10" style="8" customWidth="1"/>
    <col min="11" max="11" width="15.75" style="8" bestFit="1" customWidth="1"/>
    <col min="12" max="30" width="10" style="8" customWidth="1"/>
    <col min="31" max="16384" width="9" style="8"/>
  </cols>
  <sheetData>
    <row r="2" spans="2:30" ht="29.25" customHeight="1" thickBot="1">
      <c r="B2" s="77" t="s">
        <v>0</v>
      </c>
      <c r="N2" s="101"/>
    </row>
    <row r="3" spans="2:30" ht="29.25" customHeight="1" thickBot="1">
      <c r="B3" s="262">
        <v>45758</v>
      </c>
      <c r="C3" s="263"/>
      <c r="E3" s="205" t="s">
        <v>221</v>
      </c>
      <c r="F3" s="205"/>
      <c r="G3" s="205"/>
      <c r="H3" s="205"/>
      <c r="M3" s="8" t="s">
        <v>92</v>
      </c>
      <c r="Y3" s="8">
        <f>IF(J8 &gt; 0.361111, 10, 0)</f>
        <v>0</v>
      </c>
      <c r="Z3" s="164"/>
    </row>
    <row r="4" spans="2:30" ht="29.25" customHeight="1">
      <c r="B4" s="60" t="s">
        <v>193</v>
      </c>
      <c r="C4" s="36"/>
      <c r="D4" s="36"/>
      <c r="E4" s="98" t="s">
        <v>194</v>
      </c>
      <c r="F4" s="159" t="s">
        <v>195</v>
      </c>
      <c r="H4" s="8" t="s">
        <v>84</v>
      </c>
    </row>
    <row r="5" spans="2:30" ht="15" customHeight="1">
      <c r="B5" s="160"/>
      <c r="C5" s="36"/>
      <c r="D5" s="36"/>
      <c r="E5" s="36"/>
      <c r="F5" s="36"/>
    </row>
    <row r="6" spans="2:30" ht="21" customHeight="1">
      <c r="B6" s="252" t="s">
        <v>1</v>
      </c>
      <c r="C6" s="252" t="s">
        <v>2</v>
      </c>
      <c r="D6" s="252"/>
      <c r="E6" s="252"/>
      <c r="F6" s="253" t="s">
        <v>3</v>
      </c>
      <c r="G6" s="252" t="s">
        <v>4</v>
      </c>
      <c r="H6" s="252"/>
      <c r="I6" s="253" t="s">
        <v>5</v>
      </c>
      <c r="J6" s="253" t="s">
        <v>100</v>
      </c>
      <c r="K6" s="253" t="s">
        <v>7</v>
      </c>
      <c r="L6" s="253" t="s">
        <v>115</v>
      </c>
      <c r="M6" s="253" t="s">
        <v>51</v>
      </c>
      <c r="N6" s="261" t="s">
        <v>52</v>
      </c>
      <c r="O6" s="259"/>
      <c r="P6" s="259"/>
      <c r="Q6" s="259"/>
      <c r="R6" s="259"/>
      <c r="S6" s="260"/>
      <c r="T6" s="257" t="s">
        <v>58</v>
      </c>
      <c r="U6" s="257" t="s">
        <v>59</v>
      </c>
      <c r="V6" s="258" t="s">
        <v>9</v>
      </c>
      <c r="W6" s="259"/>
      <c r="X6" s="260"/>
      <c r="Y6" s="252" t="s">
        <v>10</v>
      </c>
      <c r="Z6" s="269" t="s">
        <v>11</v>
      </c>
      <c r="AA6" s="270" t="s">
        <v>35</v>
      </c>
      <c r="AB6" s="271"/>
      <c r="AC6" s="234" t="s">
        <v>15</v>
      </c>
      <c r="AD6" s="235"/>
    </row>
    <row r="7" spans="2:30" ht="28.5">
      <c r="B7" s="252"/>
      <c r="C7" s="252"/>
      <c r="D7" s="252"/>
      <c r="E7" s="252"/>
      <c r="F7" s="253"/>
      <c r="G7" s="112" t="s">
        <v>12</v>
      </c>
      <c r="H7" s="113" t="s">
        <v>77</v>
      </c>
      <c r="I7" s="253"/>
      <c r="J7" s="253"/>
      <c r="K7" s="253"/>
      <c r="L7" s="253"/>
      <c r="M7" s="253"/>
      <c r="N7" s="150" t="s">
        <v>53</v>
      </c>
      <c r="O7" s="147" t="s">
        <v>54</v>
      </c>
      <c r="P7" s="147" t="s">
        <v>55</v>
      </c>
      <c r="Q7" s="147" t="s">
        <v>56</v>
      </c>
      <c r="R7" s="147" t="s">
        <v>57</v>
      </c>
      <c r="S7" s="147" t="s">
        <v>50</v>
      </c>
      <c r="T7" s="257"/>
      <c r="U7" s="257"/>
      <c r="V7" s="147" t="s">
        <v>86</v>
      </c>
      <c r="W7" s="113" t="s">
        <v>84</v>
      </c>
      <c r="X7" s="113" t="s">
        <v>14</v>
      </c>
      <c r="Y7" s="252"/>
      <c r="Z7" s="269"/>
      <c r="AA7" s="148" t="s">
        <v>33</v>
      </c>
      <c r="AB7" s="113" t="s">
        <v>34</v>
      </c>
      <c r="AC7" s="113" t="s">
        <v>33</v>
      </c>
      <c r="AD7" s="149" t="s">
        <v>34</v>
      </c>
    </row>
    <row r="8" spans="2:30" ht="33" customHeight="1">
      <c r="B8" s="112">
        <v>1</v>
      </c>
      <c r="C8" s="254" t="s">
        <v>93</v>
      </c>
      <c r="D8" s="255"/>
      <c r="E8" s="256"/>
      <c r="F8" s="141">
        <v>3.48</v>
      </c>
      <c r="G8" s="50">
        <v>60</v>
      </c>
      <c r="H8" s="50">
        <v>60</v>
      </c>
      <c r="I8" s="162">
        <v>0.77777777777777779</v>
      </c>
      <c r="J8" s="163">
        <v>4.1666666666666664E-2</v>
      </c>
      <c r="K8" s="56">
        <f t="shared" ref="K8:K12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325</v>
      </c>
      <c r="L8" s="59">
        <v>45</v>
      </c>
      <c r="M8" s="29"/>
      <c r="N8" s="16"/>
      <c r="O8" s="16"/>
      <c r="P8" s="16"/>
      <c r="Q8" s="16"/>
      <c r="R8" s="16"/>
      <c r="S8" s="29">
        <f t="shared" ref="S8:S13" si="1">SUM(N8:R8)</f>
        <v>0</v>
      </c>
      <c r="T8" s="161">
        <f t="shared" ref="T8:T15" si="2">IF(((H8*F8/0.95-445)&lt;0),0,H8*F8/0.95-445)/60</f>
        <v>0</v>
      </c>
      <c r="U8" s="161">
        <f t="shared" ref="U8:U12" si="3">IFERROR(IF((K8-445)/60&lt;0,0,(K8-445)/60),0)</f>
        <v>0</v>
      </c>
      <c r="V8" s="5"/>
      <c r="W8" s="146"/>
      <c r="X8" s="51"/>
      <c r="Y8" s="30">
        <f t="shared" ref="Y8:Y12" si="4">IFERROR(IF((F8/((K8-L8)/H8))&gt;1,1,F8/((K8-L8)/H8)),0)</f>
        <v>0.74571428571428566</v>
      </c>
      <c r="Z8" s="112">
        <f>IFERROR(((W8+X8)*1000000)/H8,0)</f>
        <v>0</v>
      </c>
      <c r="AA8" s="2">
        <v>3</v>
      </c>
      <c r="AB8" s="5"/>
      <c r="AC8" s="5"/>
      <c r="AD8" s="7"/>
    </row>
    <row r="9" spans="2:30" ht="33" customHeight="1">
      <c r="B9" s="112">
        <v>2</v>
      </c>
      <c r="C9" s="254" t="s">
        <v>190</v>
      </c>
      <c r="D9" s="255"/>
      <c r="E9" s="256"/>
      <c r="F9" s="141">
        <v>1.2</v>
      </c>
      <c r="G9" s="50">
        <v>360</v>
      </c>
      <c r="H9" s="50">
        <v>360</v>
      </c>
      <c r="I9" s="162">
        <v>0.77777777777777779</v>
      </c>
      <c r="J9" s="163">
        <v>0.14166666666666666</v>
      </c>
      <c r="K9" s="56">
        <f t="shared" si="0"/>
        <v>459</v>
      </c>
      <c r="L9" s="59">
        <v>24</v>
      </c>
      <c r="M9" s="29"/>
      <c r="N9" s="16"/>
      <c r="O9" s="16"/>
      <c r="P9" s="16"/>
      <c r="Q9" s="16"/>
      <c r="R9" s="16"/>
      <c r="S9" s="29">
        <f t="shared" si="1"/>
        <v>0</v>
      </c>
      <c r="T9" s="161">
        <f t="shared" si="2"/>
        <v>0.1622807017543863</v>
      </c>
      <c r="U9" s="161">
        <f t="shared" si="3"/>
        <v>0.23333333333333334</v>
      </c>
      <c r="V9" s="5"/>
      <c r="W9" s="146"/>
      <c r="X9" s="4"/>
      <c r="Y9" s="30">
        <f t="shared" si="4"/>
        <v>0.99310344827586206</v>
      </c>
      <c r="Z9" s="112">
        <f t="shared" ref="Z9:Z13" si="5">IFERROR(((W9+X9)*1000000)/H9,0)</f>
        <v>0</v>
      </c>
      <c r="AA9" s="2">
        <v>2</v>
      </c>
      <c r="AB9" s="5"/>
      <c r="AC9" s="5"/>
      <c r="AD9" s="7"/>
    </row>
    <row r="10" spans="2:30" ht="33" customHeight="1">
      <c r="B10" s="112">
        <v>3</v>
      </c>
      <c r="C10" s="254" t="s">
        <v>94</v>
      </c>
      <c r="D10" s="255"/>
      <c r="E10" s="256"/>
      <c r="F10" s="141">
        <v>1.2</v>
      </c>
      <c r="G10" s="50">
        <v>384</v>
      </c>
      <c r="H10" s="50">
        <v>384</v>
      </c>
      <c r="I10" s="162">
        <v>0.77777777777777779</v>
      </c>
      <c r="J10" s="163">
        <v>0.14027777777777778</v>
      </c>
      <c r="K10" s="56">
        <f t="shared" si="0"/>
        <v>457</v>
      </c>
      <c r="L10" s="59"/>
      <c r="M10" s="29"/>
      <c r="N10" s="16"/>
      <c r="O10" s="16"/>
      <c r="P10" s="16"/>
      <c r="Q10" s="16"/>
      <c r="R10" s="16"/>
      <c r="S10" s="29">
        <f t="shared" si="1"/>
        <v>0</v>
      </c>
      <c r="T10" s="161">
        <f t="shared" si="2"/>
        <v>0.66754385964912233</v>
      </c>
      <c r="U10" s="161">
        <f t="shared" si="3"/>
        <v>0.2</v>
      </c>
      <c r="V10" s="5"/>
      <c r="W10" s="146"/>
      <c r="X10" s="4"/>
      <c r="Y10" s="30">
        <f t="shared" si="4"/>
        <v>1</v>
      </c>
      <c r="Z10" s="112">
        <f t="shared" si="5"/>
        <v>0</v>
      </c>
      <c r="AA10" s="62">
        <v>1</v>
      </c>
      <c r="AB10" s="5"/>
      <c r="AC10" s="5"/>
      <c r="AD10" s="7"/>
    </row>
    <row r="11" spans="2:30" ht="33" customHeight="1">
      <c r="B11" s="112">
        <v>4</v>
      </c>
      <c r="C11" s="254" t="s">
        <v>85</v>
      </c>
      <c r="D11" s="255"/>
      <c r="E11" s="256"/>
      <c r="F11" s="141">
        <v>1.2</v>
      </c>
      <c r="G11" s="50">
        <v>360</v>
      </c>
      <c r="H11" s="50">
        <v>360</v>
      </c>
      <c r="I11" s="162">
        <v>0.77777777777777779</v>
      </c>
      <c r="J11" s="163">
        <v>0.16319444444444445</v>
      </c>
      <c r="K11" s="56">
        <f t="shared" si="0"/>
        <v>480</v>
      </c>
      <c r="L11" s="59">
        <v>24</v>
      </c>
      <c r="M11" s="29"/>
      <c r="N11" s="16">
        <v>15</v>
      </c>
      <c r="O11" s="16"/>
      <c r="P11" s="16"/>
      <c r="Q11" s="16"/>
      <c r="R11" s="16"/>
      <c r="S11" s="29">
        <f t="shared" si="1"/>
        <v>15</v>
      </c>
      <c r="T11" s="161">
        <f t="shared" si="2"/>
        <v>0.1622807017543863</v>
      </c>
      <c r="U11" s="161">
        <f t="shared" si="3"/>
        <v>0.58333333333333337</v>
      </c>
      <c r="V11" s="5"/>
      <c r="W11" s="146"/>
      <c r="X11" s="4"/>
      <c r="Y11" s="30">
        <f t="shared" si="4"/>
        <v>0.94736842105263164</v>
      </c>
      <c r="Z11" s="112">
        <f t="shared" si="5"/>
        <v>0</v>
      </c>
      <c r="AA11" s="62">
        <v>2</v>
      </c>
      <c r="AB11" s="5"/>
      <c r="AC11" s="5"/>
      <c r="AD11" s="7"/>
    </row>
    <row r="12" spans="2:30" ht="33" customHeight="1">
      <c r="B12" s="112">
        <v>5</v>
      </c>
      <c r="C12" s="254" t="s">
        <v>114</v>
      </c>
      <c r="D12" s="255"/>
      <c r="E12" s="256"/>
      <c r="F12" s="141">
        <v>1.2</v>
      </c>
      <c r="G12" s="50">
        <v>264</v>
      </c>
      <c r="H12" s="50">
        <v>264</v>
      </c>
      <c r="I12" s="162">
        <v>0.77777777777777779</v>
      </c>
      <c r="J12" s="163">
        <v>1.0381944444444444</v>
      </c>
      <c r="K12" s="56">
        <f t="shared" si="0"/>
        <v>320</v>
      </c>
      <c r="L12" s="59"/>
      <c r="M12" s="29"/>
      <c r="N12" s="16"/>
      <c r="O12" s="16"/>
      <c r="P12" s="16"/>
      <c r="Q12" s="16"/>
      <c r="R12" s="16"/>
      <c r="S12" s="29">
        <f t="shared" si="1"/>
        <v>0</v>
      </c>
      <c r="T12" s="161">
        <f t="shared" si="2"/>
        <v>0</v>
      </c>
      <c r="U12" s="161">
        <f t="shared" si="3"/>
        <v>0</v>
      </c>
      <c r="V12" s="5"/>
      <c r="W12" s="146"/>
      <c r="X12" s="4"/>
      <c r="Y12" s="30">
        <f t="shared" si="4"/>
        <v>0.99</v>
      </c>
      <c r="Z12" s="112">
        <f t="shared" si="5"/>
        <v>0</v>
      </c>
      <c r="AA12" s="5">
        <v>1</v>
      </c>
      <c r="AB12" s="5"/>
      <c r="AC12" s="5"/>
      <c r="AD12" s="10"/>
    </row>
    <row r="13" spans="2:30" ht="33" customHeight="1">
      <c r="B13" s="142">
        <v>6</v>
      </c>
      <c r="C13" s="254" t="s">
        <v>99</v>
      </c>
      <c r="D13" s="255"/>
      <c r="E13" s="256"/>
      <c r="F13" s="141">
        <v>1.25</v>
      </c>
      <c r="G13" s="50">
        <v>369</v>
      </c>
      <c r="H13" s="50">
        <v>369</v>
      </c>
      <c r="I13" s="162">
        <v>0.77777777777777779</v>
      </c>
      <c r="J13" s="163">
        <v>0.16527777777777777</v>
      </c>
      <c r="K13" s="56">
        <f>IF(J13="","",IF((HOUR((J13+24)-I13)*60 + MINUTE((J13+24)-I13))&lt;=120, (HOUR((J13+24)-I13)*60 + MINUTE((J13+24)-I13)),IF((HOUR((J13+24)-I13)*60 + MINUTE((J13+24)-I13))&lt;=240, (HOUR((J13+24)-I13)*60 + MINUTE((J13+24)-I13))-10,IF((HOUR((J13+24)-I13)*60 + MINUTE((J13+24)-I13))&lt;=405, (HOUR((J13+24)-I13)*60 + MINUTE((J13+24)-I13))-55,IF((HOUR((J13+24)-I13)*60 + MINUTE((J13+24)-I13))&lt;=525, (HOUR((J13+24)-I13)*60 + MINUTE((J13+24)-I13))-65,(HOUR((J13+24)-I13)*60 + MINUTE((J13+24)-I13))-75)))))</f>
        <v>483</v>
      </c>
      <c r="L13" s="59">
        <v>40</v>
      </c>
      <c r="M13" s="29"/>
      <c r="N13" s="16"/>
      <c r="O13" s="16"/>
      <c r="P13" s="16"/>
      <c r="Q13" s="16"/>
      <c r="R13" s="16"/>
      <c r="S13" s="29">
        <f t="shared" si="1"/>
        <v>0</v>
      </c>
      <c r="T13" s="161">
        <f t="shared" si="2"/>
        <v>0.67543859649122828</v>
      </c>
      <c r="U13" s="161">
        <f>IFERROR(IF((K13-445)/60&lt;0,0,(K13-445)/60),0)</f>
        <v>0.6333333333333333</v>
      </c>
      <c r="V13" s="5"/>
      <c r="W13" s="146"/>
      <c r="X13" s="4"/>
      <c r="Y13" s="30">
        <f>IFERROR(IF((F13/((K13-L13)/H13))&gt;1,1,F13/((K13-L13)/H13)),0)</f>
        <v>1</v>
      </c>
      <c r="Z13" s="112">
        <f t="shared" si="5"/>
        <v>0</v>
      </c>
      <c r="AA13" s="5">
        <v>6</v>
      </c>
      <c r="AB13" s="5"/>
      <c r="AC13" s="5"/>
      <c r="AD13" s="10"/>
    </row>
    <row r="14" spans="2:30" ht="33" customHeight="1">
      <c r="B14" s="264"/>
      <c r="C14" s="254" t="s">
        <v>95</v>
      </c>
      <c r="D14" s="255"/>
      <c r="E14" s="256"/>
      <c r="F14" s="141">
        <v>1.25</v>
      </c>
      <c r="G14" s="50">
        <v>270</v>
      </c>
      <c r="H14" s="50">
        <v>270</v>
      </c>
      <c r="I14" s="65"/>
      <c r="J14" s="65"/>
      <c r="K14" s="66"/>
      <c r="L14" s="67" t="s">
        <v>84</v>
      </c>
      <c r="M14" s="68"/>
      <c r="N14" s="69"/>
      <c r="O14" s="69"/>
      <c r="P14" s="69"/>
      <c r="Q14" s="69"/>
      <c r="R14" s="69"/>
      <c r="S14" s="69"/>
      <c r="T14" s="70">
        <f t="shared" si="2"/>
        <v>0</v>
      </c>
      <c r="U14" s="70"/>
      <c r="V14" s="71"/>
      <c r="W14" s="63"/>
      <c r="X14" s="63"/>
      <c r="Y14" s="72"/>
      <c r="Z14" s="73">
        <f t="shared" ref="Z14:Z15" si="6">((W14+X14)*1000000)/H14</f>
        <v>0</v>
      </c>
      <c r="AA14" s="63"/>
      <c r="AB14" s="63"/>
      <c r="AC14" s="74"/>
      <c r="AD14" s="74"/>
    </row>
    <row r="15" spans="2:30" ht="33" customHeight="1">
      <c r="B15" s="265"/>
      <c r="C15" s="254" t="s">
        <v>96</v>
      </c>
      <c r="D15" s="255"/>
      <c r="E15" s="256"/>
      <c r="F15" s="141">
        <v>1.25</v>
      </c>
      <c r="G15" s="50">
        <v>99</v>
      </c>
      <c r="H15" s="50">
        <v>99</v>
      </c>
      <c r="I15" s="65"/>
      <c r="J15" s="65"/>
      <c r="K15" s="66"/>
      <c r="L15" s="67"/>
      <c r="M15" s="68"/>
      <c r="N15" s="69"/>
      <c r="O15" s="69"/>
      <c r="P15" s="69"/>
      <c r="Q15" s="69"/>
      <c r="R15" s="69"/>
      <c r="S15" s="69"/>
      <c r="T15" s="70">
        <f t="shared" si="2"/>
        <v>0</v>
      </c>
      <c r="U15" s="70"/>
      <c r="V15" s="71"/>
      <c r="W15" s="63"/>
      <c r="X15" s="63"/>
      <c r="Y15" s="72"/>
      <c r="Z15" s="73">
        <f t="shared" si="6"/>
        <v>0</v>
      </c>
      <c r="AA15" s="63"/>
      <c r="AB15" s="63"/>
      <c r="AC15" s="74"/>
      <c r="AD15" s="74"/>
    </row>
    <row r="16" spans="2:30" ht="28.5" customHeight="1">
      <c r="B16" s="160"/>
      <c r="C16" s="36"/>
      <c r="D16" s="36"/>
      <c r="E16" s="36"/>
      <c r="F16" s="143" t="s">
        <v>16</v>
      </c>
      <c r="G16" s="143" t="s">
        <v>17</v>
      </c>
      <c r="H16" s="143"/>
      <c r="I16" s="143" t="s">
        <v>19</v>
      </c>
      <c r="J16" s="143"/>
      <c r="K16" s="144" t="s">
        <v>21</v>
      </c>
      <c r="L16" s="144" t="s">
        <v>22</v>
      </c>
      <c r="M16" s="144" t="s">
        <v>23</v>
      </c>
      <c r="N16" s="144"/>
      <c r="O16" s="144"/>
      <c r="P16" s="144"/>
      <c r="Q16" s="144"/>
      <c r="R16" s="144"/>
      <c r="S16" s="144"/>
      <c r="T16" s="144"/>
      <c r="U16" s="144" t="s">
        <v>24</v>
      </c>
      <c r="V16" s="56"/>
      <c r="W16" s="144"/>
      <c r="X16" s="144" t="s">
        <v>25</v>
      </c>
      <c r="Y16" s="145">
        <f>SUM(Y8:Y13)/COUNT(Y8:Y13)</f>
        <v>0.94603102584046328</v>
      </c>
      <c r="Z16" s="144" t="s">
        <v>27</v>
      </c>
      <c r="AA16" s="53">
        <f>SUM(AA8:AA15)</f>
        <v>15</v>
      </c>
      <c r="AB16" s="53">
        <f>SUM(AB8:AB15)</f>
        <v>0</v>
      </c>
      <c r="AC16" s="53">
        <f>SUM(AC8:AC15)</f>
        <v>0</v>
      </c>
      <c r="AD16" s="53">
        <f>SUM(AD8:AD15)</f>
        <v>0</v>
      </c>
    </row>
    <row r="17" spans="2:30" ht="28.5" customHeight="1">
      <c r="B17" s="160"/>
      <c r="C17" s="36"/>
      <c r="D17" s="36"/>
      <c r="E17" s="36"/>
      <c r="F17" s="165"/>
      <c r="G17" s="165"/>
      <c r="H17" s="165"/>
      <c r="I17" s="165"/>
      <c r="J17" s="165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99"/>
      <c r="W17" s="166"/>
      <c r="X17" s="166"/>
      <c r="Y17" s="167"/>
      <c r="Z17" s="166" t="s">
        <v>91</v>
      </c>
      <c r="AA17" s="168">
        <f>SUM(AA16,AB16)</f>
        <v>15</v>
      </c>
      <c r="AB17" s="169" t="s">
        <v>91</v>
      </c>
      <c r="AC17" s="170">
        <f>SUM(AC16,AD16)</f>
        <v>0</v>
      </c>
      <c r="AD17" s="36"/>
    </row>
    <row r="18" spans="2:30">
      <c r="B18" s="160"/>
      <c r="C18" s="36"/>
      <c r="D18" s="171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 spans="2:30" ht="29.25" customHeight="1">
      <c r="B19" s="172" t="s">
        <v>28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266" t="s">
        <v>36</v>
      </c>
      <c r="AA19" s="266"/>
      <c r="AB19" s="36"/>
      <c r="AC19" s="36"/>
      <c r="AD19" s="36"/>
    </row>
    <row r="20" spans="2:30" ht="25.5" customHeight="1">
      <c r="B20" s="151" t="s">
        <v>78</v>
      </c>
      <c r="C20" s="151" t="s">
        <v>157</v>
      </c>
      <c r="D20" s="110" t="s">
        <v>125</v>
      </c>
      <c r="E20" s="268" t="s">
        <v>82</v>
      </c>
      <c r="F20" s="268"/>
      <c r="G20" s="268"/>
      <c r="H20" s="268"/>
      <c r="I20" s="268"/>
      <c r="J20" s="151" t="s">
        <v>81</v>
      </c>
      <c r="K20" s="151" t="s">
        <v>40</v>
      </c>
      <c r="L20" s="267" t="s">
        <v>79</v>
      </c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50" t="s">
        <v>80</v>
      </c>
      <c r="X20" s="250"/>
      <c r="Y20" s="251"/>
      <c r="Z20" s="112" t="s">
        <v>37</v>
      </c>
      <c r="AA20" s="112" t="s">
        <v>38</v>
      </c>
      <c r="AB20" s="269" t="s">
        <v>60</v>
      </c>
      <c r="AC20" s="269"/>
      <c r="AD20" s="112" t="s">
        <v>39</v>
      </c>
    </row>
    <row r="21" spans="2:30" ht="47.25" customHeight="1">
      <c r="B21" s="82" t="s">
        <v>102</v>
      </c>
      <c r="C21" s="64" t="s">
        <v>189</v>
      </c>
      <c r="D21" s="88" t="s">
        <v>222</v>
      </c>
      <c r="E21" s="206" t="s">
        <v>223</v>
      </c>
      <c r="F21" s="206"/>
      <c r="G21" s="206"/>
      <c r="H21" s="206"/>
      <c r="I21" s="206"/>
      <c r="J21" s="82">
        <v>24</v>
      </c>
      <c r="K21" s="152"/>
      <c r="L21" s="207" t="s">
        <v>225</v>
      </c>
      <c r="M21" s="208"/>
      <c r="N21" s="208"/>
      <c r="O21" s="208"/>
      <c r="P21" s="208"/>
      <c r="Q21" s="208"/>
      <c r="R21" s="208"/>
      <c r="S21" s="208"/>
      <c r="T21" s="208"/>
      <c r="U21" s="208"/>
      <c r="V21" s="209"/>
      <c r="W21" s="208" t="s">
        <v>224</v>
      </c>
      <c r="X21" s="208"/>
      <c r="Y21" s="209"/>
      <c r="Z21" s="22" t="s">
        <v>65</v>
      </c>
      <c r="AA21" s="22"/>
      <c r="AB21" s="210"/>
      <c r="AC21" s="210"/>
      <c r="AD21" s="10"/>
    </row>
    <row r="22" spans="2:30" ht="47.25" customHeight="1">
      <c r="B22" s="82" t="s">
        <v>103</v>
      </c>
      <c r="C22" s="64" t="s">
        <v>189</v>
      </c>
      <c r="D22" s="88" t="s">
        <v>57</v>
      </c>
      <c r="E22" s="206" t="s">
        <v>223</v>
      </c>
      <c r="F22" s="206"/>
      <c r="G22" s="206"/>
      <c r="H22" s="206"/>
      <c r="I22" s="206"/>
      <c r="J22" s="82">
        <v>45</v>
      </c>
      <c r="K22" s="152"/>
      <c r="L22" s="207" t="s">
        <v>226</v>
      </c>
      <c r="M22" s="208"/>
      <c r="N22" s="208"/>
      <c r="O22" s="208"/>
      <c r="P22" s="208"/>
      <c r="Q22" s="208"/>
      <c r="R22" s="208"/>
      <c r="S22" s="208"/>
      <c r="T22" s="208"/>
      <c r="U22" s="208"/>
      <c r="V22" s="209"/>
      <c r="W22" s="208" t="s">
        <v>224</v>
      </c>
      <c r="X22" s="208"/>
      <c r="Y22" s="209"/>
      <c r="Z22" s="22" t="s">
        <v>65</v>
      </c>
      <c r="AA22" s="22"/>
      <c r="AB22" s="210"/>
      <c r="AC22" s="210"/>
      <c r="AD22" s="10"/>
    </row>
    <row r="23" spans="2:30" ht="40.15" customHeight="1">
      <c r="B23" s="82" t="s">
        <v>102</v>
      </c>
      <c r="C23" s="64" t="s">
        <v>179</v>
      </c>
      <c r="D23" s="88"/>
      <c r="E23" s="206" t="s">
        <v>232</v>
      </c>
      <c r="F23" s="206"/>
      <c r="G23" s="206"/>
      <c r="H23" s="206"/>
      <c r="I23" s="206"/>
      <c r="J23" s="82">
        <v>15</v>
      </c>
      <c r="K23" s="152"/>
      <c r="L23" s="207" t="s">
        <v>233</v>
      </c>
      <c r="M23" s="208"/>
      <c r="N23" s="208"/>
      <c r="O23" s="208"/>
      <c r="P23" s="208"/>
      <c r="Q23" s="208"/>
      <c r="R23" s="208"/>
      <c r="S23" s="208"/>
      <c r="T23" s="208"/>
      <c r="U23" s="208"/>
      <c r="V23" s="209"/>
      <c r="W23" s="208" t="s">
        <v>224</v>
      </c>
      <c r="X23" s="208"/>
      <c r="Y23" s="209"/>
      <c r="Z23" s="22" t="s">
        <v>65</v>
      </c>
      <c r="AA23" s="22" t="s">
        <v>65</v>
      </c>
      <c r="AB23" s="210"/>
      <c r="AC23" s="210"/>
      <c r="AD23" s="10"/>
    </row>
    <row r="24" spans="2:30" ht="40.15" customHeight="1">
      <c r="B24" s="82"/>
      <c r="C24" s="64"/>
      <c r="D24" s="88"/>
      <c r="E24" s="206"/>
      <c r="F24" s="206"/>
      <c r="G24" s="206"/>
      <c r="H24" s="206"/>
      <c r="I24" s="206"/>
      <c r="J24" s="82"/>
      <c r="K24" s="152"/>
      <c r="L24" s="207"/>
      <c r="M24" s="208"/>
      <c r="N24" s="208"/>
      <c r="O24" s="208"/>
      <c r="P24" s="208"/>
      <c r="Q24" s="208"/>
      <c r="R24" s="208"/>
      <c r="S24" s="208"/>
      <c r="T24" s="208"/>
      <c r="U24" s="208"/>
      <c r="V24" s="209"/>
      <c r="W24" s="208"/>
      <c r="X24" s="208"/>
      <c r="Y24" s="209"/>
      <c r="Z24" s="22"/>
      <c r="AA24" s="22"/>
      <c r="AB24" s="212"/>
      <c r="AC24" s="212"/>
      <c r="AD24" s="10"/>
    </row>
    <row r="25" spans="2:30" ht="40.15" customHeight="1">
      <c r="B25" s="82" t="s">
        <v>187</v>
      </c>
      <c r="C25" s="64" t="s">
        <v>189</v>
      </c>
      <c r="D25" s="88" t="s">
        <v>222</v>
      </c>
      <c r="E25" s="206" t="s">
        <v>227</v>
      </c>
      <c r="F25" s="206"/>
      <c r="G25" s="206"/>
      <c r="H25" s="206"/>
      <c r="I25" s="206"/>
      <c r="J25" s="82">
        <v>15</v>
      </c>
      <c r="K25" s="152"/>
      <c r="L25" s="207"/>
      <c r="M25" s="208"/>
      <c r="N25" s="208"/>
      <c r="O25" s="208"/>
      <c r="P25" s="208"/>
      <c r="Q25" s="208"/>
      <c r="R25" s="208"/>
      <c r="S25" s="208"/>
      <c r="T25" s="208"/>
      <c r="U25" s="208"/>
      <c r="V25" s="209"/>
      <c r="W25" s="208"/>
      <c r="X25" s="208"/>
      <c r="Y25" s="209"/>
      <c r="Z25" s="22" t="s">
        <v>65</v>
      </c>
      <c r="AA25" s="22"/>
      <c r="AB25" s="212"/>
      <c r="AC25" s="212"/>
      <c r="AD25" s="10"/>
    </row>
    <row r="26" spans="2:30" ht="40.15" customHeight="1">
      <c r="B26" s="82"/>
      <c r="C26" s="64"/>
      <c r="D26" s="88"/>
      <c r="E26" s="206"/>
      <c r="F26" s="206"/>
      <c r="G26" s="206"/>
      <c r="H26" s="206"/>
      <c r="I26" s="206"/>
      <c r="J26" s="82"/>
      <c r="K26" s="152"/>
      <c r="L26" s="207"/>
      <c r="M26" s="208"/>
      <c r="N26" s="208"/>
      <c r="O26" s="208"/>
      <c r="P26" s="208"/>
      <c r="Q26" s="208"/>
      <c r="R26" s="208"/>
      <c r="S26" s="208"/>
      <c r="T26" s="208"/>
      <c r="U26" s="208"/>
      <c r="V26" s="209"/>
      <c r="W26" s="208"/>
      <c r="X26" s="208"/>
      <c r="Y26" s="209"/>
      <c r="Z26" s="22"/>
      <c r="AA26" s="22"/>
      <c r="AB26" s="210"/>
      <c r="AC26" s="210"/>
      <c r="AD26" s="10"/>
    </row>
    <row r="27" spans="2:30" ht="40.15" customHeight="1">
      <c r="B27" s="82"/>
      <c r="C27" s="64"/>
      <c r="D27" s="88"/>
      <c r="E27" s="206"/>
      <c r="F27" s="206"/>
      <c r="G27" s="206"/>
      <c r="H27" s="206"/>
      <c r="I27" s="206"/>
      <c r="J27" s="82"/>
      <c r="K27" s="152"/>
      <c r="L27" s="207"/>
      <c r="M27" s="208"/>
      <c r="N27" s="208"/>
      <c r="O27" s="208"/>
      <c r="P27" s="208"/>
      <c r="Q27" s="208"/>
      <c r="R27" s="208"/>
      <c r="S27" s="208"/>
      <c r="T27" s="208"/>
      <c r="U27" s="208"/>
      <c r="V27" s="209"/>
      <c r="W27" s="208"/>
      <c r="X27" s="208"/>
      <c r="Y27" s="209"/>
      <c r="Z27" s="22"/>
      <c r="AA27" s="22"/>
      <c r="AB27" s="212"/>
      <c r="AC27" s="212"/>
      <c r="AD27" s="10"/>
    </row>
    <row r="28" spans="2:30" ht="40.15" customHeight="1">
      <c r="B28" s="82" t="s">
        <v>188</v>
      </c>
      <c r="C28" s="64" t="s">
        <v>189</v>
      </c>
      <c r="D28" s="88" t="s">
        <v>222</v>
      </c>
      <c r="E28" s="206" t="s">
        <v>223</v>
      </c>
      <c r="F28" s="206"/>
      <c r="G28" s="206"/>
      <c r="H28" s="206"/>
      <c r="I28" s="206"/>
      <c r="J28" s="82">
        <v>24</v>
      </c>
      <c r="K28" s="152"/>
      <c r="L28" s="207" t="s">
        <v>225</v>
      </c>
      <c r="M28" s="208"/>
      <c r="N28" s="208"/>
      <c r="O28" s="208"/>
      <c r="P28" s="208"/>
      <c r="Q28" s="208"/>
      <c r="R28" s="208"/>
      <c r="S28" s="208"/>
      <c r="T28" s="208"/>
      <c r="U28" s="208"/>
      <c r="V28" s="209"/>
      <c r="W28" s="208" t="s">
        <v>224</v>
      </c>
      <c r="X28" s="208"/>
      <c r="Y28" s="209"/>
      <c r="Z28" s="22" t="s">
        <v>65</v>
      </c>
      <c r="AA28" s="22"/>
      <c r="AB28" s="212"/>
      <c r="AC28" s="212"/>
      <c r="AD28" s="10"/>
    </row>
    <row r="29" spans="2:30" ht="40.15" customHeight="1" outlineLevel="1">
      <c r="B29" s="82"/>
      <c r="C29" s="64"/>
      <c r="D29" s="88"/>
      <c r="E29" s="206"/>
      <c r="F29" s="206"/>
      <c r="G29" s="206"/>
      <c r="H29" s="206"/>
      <c r="I29" s="206"/>
      <c r="J29" s="82"/>
      <c r="K29" s="152"/>
      <c r="L29" s="207"/>
      <c r="M29" s="208"/>
      <c r="N29" s="208"/>
      <c r="O29" s="208"/>
      <c r="P29" s="208"/>
      <c r="Q29" s="208"/>
      <c r="R29" s="208"/>
      <c r="S29" s="208"/>
      <c r="T29" s="208"/>
      <c r="U29" s="208"/>
      <c r="V29" s="209"/>
      <c r="W29" s="208"/>
      <c r="X29" s="208"/>
      <c r="Y29" s="209"/>
      <c r="Z29" s="22" t="s">
        <v>65</v>
      </c>
      <c r="AA29" s="22"/>
      <c r="AB29" s="211"/>
      <c r="AC29" s="211"/>
      <c r="AD29" s="10"/>
    </row>
    <row r="30" spans="2:30" ht="40.15" customHeight="1" outlineLevel="1">
      <c r="B30" s="82" t="s">
        <v>101</v>
      </c>
      <c r="C30" s="64" t="s">
        <v>189</v>
      </c>
      <c r="D30" s="88" t="s">
        <v>222</v>
      </c>
      <c r="E30" s="206" t="s">
        <v>228</v>
      </c>
      <c r="F30" s="206"/>
      <c r="G30" s="206"/>
      <c r="H30" s="206"/>
      <c r="I30" s="206"/>
      <c r="J30" s="82">
        <v>24</v>
      </c>
      <c r="K30" s="152"/>
      <c r="L30" s="207" t="s">
        <v>225</v>
      </c>
      <c r="M30" s="208"/>
      <c r="N30" s="208"/>
      <c r="O30" s="208"/>
      <c r="P30" s="208"/>
      <c r="Q30" s="208"/>
      <c r="R30" s="208"/>
      <c r="S30" s="208"/>
      <c r="T30" s="208"/>
      <c r="U30" s="208"/>
      <c r="V30" s="209"/>
      <c r="W30" s="208" t="s">
        <v>224</v>
      </c>
      <c r="X30" s="208"/>
      <c r="Y30" s="209"/>
      <c r="Z30" s="22" t="s">
        <v>65</v>
      </c>
      <c r="AA30" s="22"/>
      <c r="AB30" s="211"/>
      <c r="AC30" s="211"/>
      <c r="AD30" s="10"/>
    </row>
    <row r="31" spans="2:30" ht="40.15" customHeight="1" outlineLevel="1">
      <c r="B31" s="82"/>
      <c r="C31" s="64"/>
      <c r="D31" s="88"/>
      <c r="E31" s="206"/>
      <c r="F31" s="206"/>
      <c r="G31" s="206"/>
      <c r="H31" s="206"/>
      <c r="I31" s="206"/>
      <c r="J31" s="82"/>
      <c r="K31" s="53"/>
      <c r="L31" s="207"/>
      <c r="M31" s="208"/>
      <c r="N31" s="208"/>
      <c r="O31" s="208"/>
      <c r="P31" s="208"/>
      <c r="Q31" s="208"/>
      <c r="R31" s="208"/>
      <c r="S31" s="208"/>
      <c r="T31" s="208"/>
      <c r="U31" s="208"/>
      <c r="V31" s="209"/>
      <c r="W31" s="208"/>
      <c r="X31" s="208"/>
      <c r="Y31" s="209"/>
      <c r="Z31" s="22"/>
      <c r="AA31" s="22"/>
      <c r="AB31" s="211"/>
      <c r="AC31" s="211"/>
      <c r="AD31" s="10"/>
    </row>
    <row r="32" spans="2:30" ht="40.15" customHeight="1" outlineLevel="1">
      <c r="B32" s="96"/>
      <c r="C32" s="64"/>
      <c r="D32" s="88"/>
      <c r="E32" s="206"/>
      <c r="F32" s="206"/>
      <c r="G32" s="206"/>
      <c r="H32" s="206"/>
      <c r="I32" s="206"/>
      <c r="J32" s="82"/>
      <c r="K32" s="53"/>
      <c r="L32" s="207"/>
      <c r="M32" s="208"/>
      <c r="N32" s="208"/>
      <c r="O32" s="208"/>
      <c r="P32" s="208"/>
      <c r="Q32" s="208"/>
      <c r="R32" s="208"/>
      <c r="S32" s="208"/>
      <c r="T32" s="208"/>
      <c r="U32" s="208"/>
      <c r="V32" s="209"/>
      <c r="W32" s="208"/>
      <c r="X32" s="208"/>
      <c r="Y32" s="209"/>
      <c r="Z32" s="22"/>
      <c r="AA32" s="22"/>
      <c r="AB32" s="228"/>
      <c r="AC32" s="229"/>
      <c r="AD32" s="10"/>
    </row>
    <row r="33" spans="2:30" ht="44.25" customHeight="1" outlineLevel="1">
      <c r="B33" s="82"/>
      <c r="C33" s="64"/>
      <c r="D33" s="88"/>
      <c r="E33" s="206"/>
      <c r="F33" s="206"/>
      <c r="G33" s="206"/>
      <c r="H33" s="206"/>
      <c r="I33" s="206"/>
      <c r="J33" s="82"/>
      <c r="K33" s="53"/>
      <c r="L33" s="207"/>
      <c r="M33" s="208"/>
      <c r="N33" s="208"/>
      <c r="O33" s="208"/>
      <c r="P33" s="208"/>
      <c r="Q33" s="208"/>
      <c r="R33" s="208"/>
      <c r="S33" s="208"/>
      <c r="T33" s="208"/>
      <c r="U33" s="208"/>
      <c r="V33" s="209"/>
      <c r="W33" s="208"/>
      <c r="X33" s="208"/>
      <c r="Y33" s="209"/>
      <c r="Z33" s="22"/>
      <c r="AA33" s="22"/>
      <c r="AB33" s="211"/>
      <c r="AC33" s="211"/>
      <c r="AD33" s="10"/>
    </row>
    <row r="34" spans="2:30" ht="40.15" customHeight="1" outlineLevel="1">
      <c r="B34" s="82"/>
      <c r="C34" s="64"/>
      <c r="D34" s="88"/>
      <c r="E34" s="206"/>
      <c r="F34" s="206"/>
      <c r="G34" s="206"/>
      <c r="H34" s="206"/>
      <c r="I34" s="206"/>
      <c r="J34" s="82"/>
      <c r="K34" s="53"/>
      <c r="L34" s="207"/>
      <c r="M34" s="208"/>
      <c r="N34" s="208"/>
      <c r="O34" s="208"/>
      <c r="P34" s="208"/>
      <c r="Q34" s="208"/>
      <c r="R34" s="208"/>
      <c r="S34" s="208"/>
      <c r="T34" s="208"/>
      <c r="U34" s="208"/>
      <c r="V34" s="209"/>
      <c r="W34" s="226"/>
      <c r="X34" s="226"/>
      <c r="Y34" s="227"/>
      <c r="Z34" s="22"/>
      <c r="AA34" s="22"/>
      <c r="AB34" s="228"/>
      <c r="AC34" s="229"/>
      <c r="AD34" s="10"/>
    </row>
    <row r="35" spans="2:30" ht="40.15" customHeight="1" outlineLevel="1">
      <c r="B35" s="82"/>
      <c r="C35" s="64"/>
      <c r="D35" s="88"/>
      <c r="E35" s="206"/>
      <c r="F35" s="206"/>
      <c r="G35" s="206"/>
      <c r="H35" s="206"/>
      <c r="I35" s="206"/>
      <c r="J35" s="82"/>
      <c r="K35" s="53"/>
      <c r="L35" s="207"/>
      <c r="M35" s="208"/>
      <c r="N35" s="208"/>
      <c r="O35" s="208"/>
      <c r="P35" s="208"/>
      <c r="Q35" s="208"/>
      <c r="R35" s="208"/>
      <c r="S35" s="208"/>
      <c r="T35" s="208"/>
      <c r="U35" s="208"/>
      <c r="V35" s="209"/>
      <c r="W35" s="226"/>
      <c r="X35" s="226"/>
      <c r="Y35" s="227"/>
      <c r="Z35" s="22"/>
      <c r="AA35" s="22"/>
      <c r="AB35" s="211"/>
      <c r="AC35" s="211"/>
      <c r="AD35" s="10"/>
    </row>
    <row r="36" spans="2:30" ht="40.15" customHeight="1" outlineLevel="1">
      <c r="B36" s="82"/>
      <c r="C36" s="64"/>
      <c r="D36" s="88"/>
      <c r="E36" s="206"/>
      <c r="F36" s="206"/>
      <c r="G36" s="206"/>
      <c r="H36" s="206"/>
      <c r="I36" s="206"/>
      <c r="J36" s="82"/>
      <c r="K36" s="53"/>
      <c r="L36" s="207"/>
      <c r="M36" s="208"/>
      <c r="N36" s="208"/>
      <c r="O36" s="208"/>
      <c r="P36" s="208"/>
      <c r="Q36" s="208"/>
      <c r="R36" s="208"/>
      <c r="S36" s="208"/>
      <c r="T36" s="208"/>
      <c r="U36" s="208"/>
      <c r="V36" s="209"/>
      <c r="W36" s="226"/>
      <c r="X36" s="226"/>
      <c r="Y36" s="227"/>
      <c r="Z36" s="22"/>
      <c r="AA36" s="22"/>
      <c r="AB36" s="211"/>
      <c r="AC36" s="211"/>
      <c r="AD36" s="10"/>
    </row>
    <row r="37" spans="2:30" ht="40.15" customHeight="1" outlineLevel="1">
      <c r="B37" s="82"/>
      <c r="C37" s="64"/>
      <c r="D37" s="88"/>
      <c r="E37" s="206"/>
      <c r="F37" s="206"/>
      <c r="G37" s="206"/>
      <c r="H37" s="206"/>
      <c r="I37" s="206"/>
      <c r="J37" s="82"/>
      <c r="K37" s="53"/>
      <c r="L37" s="207"/>
      <c r="M37" s="208"/>
      <c r="N37" s="208"/>
      <c r="O37" s="208"/>
      <c r="P37" s="208"/>
      <c r="Q37" s="208"/>
      <c r="R37" s="208"/>
      <c r="S37" s="208"/>
      <c r="T37" s="208"/>
      <c r="U37" s="208"/>
      <c r="V37" s="209"/>
      <c r="W37" s="226"/>
      <c r="X37" s="226"/>
      <c r="Y37" s="227"/>
      <c r="Z37" s="22"/>
      <c r="AA37" s="22"/>
      <c r="AB37" s="211"/>
      <c r="AC37" s="211"/>
      <c r="AD37" s="10"/>
    </row>
    <row r="38" spans="2:30" ht="30.75" customHeight="1">
      <c r="B38" s="180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75"/>
      <c r="Q38" s="75"/>
      <c r="R38" s="75"/>
      <c r="S38" s="75"/>
      <c r="T38" s="75"/>
      <c r="U38" s="75"/>
      <c r="V38" s="75"/>
      <c r="W38" s="76"/>
      <c r="X38" s="76"/>
      <c r="Y38" s="76"/>
      <c r="Z38" s="61"/>
      <c r="AA38" s="61"/>
      <c r="AB38" s="61"/>
      <c r="AC38" s="61"/>
    </row>
    <row r="39" spans="2:30" ht="16.5" thickBot="1">
      <c r="B39" s="180"/>
      <c r="C39" s="153" t="s">
        <v>69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</row>
    <row r="40" spans="2:30" ht="30.75" customHeight="1" thickBot="1">
      <c r="B40" s="180"/>
      <c r="C40" s="224" t="s">
        <v>41</v>
      </c>
      <c r="D40" s="225"/>
      <c r="E40" s="154">
        <v>1</v>
      </c>
      <c r="F40" s="154">
        <v>2</v>
      </c>
      <c r="G40" s="154">
        <v>3</v>
      </c>
      <c r="H40" s="154">
        <v>4</v>
      </c>
      <c r="I40" s="154">
        <v>5</v>
      </c>
      <c r="J40" s="154">
        <v>6</v>
      </c>
      <c r="K40" s="154">
        <v>7</v>
      </c>
      <c r="L40" s="154">
        <v>8</v>
      </c>
      <c r="M40" s="154">
        <v>9</v>
      </c>
      <c r="N40" s="154">
        <v>10</v>
      </c>
      <c r="O40" s="155">
        <v>11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 spans="2:30" ht="39" thickBot="1">
      <c r="B41" s="180"/>
      <c r="C41" s="219" t="s">
        <v>42</v>
      </c>
      <c r="D41" s="220"/>
      <c r="E41" s="156" t="s">
        <v>118</v>
      </c>
      <c r="F41" s="157" t="s">
        <v>43</v>
      </c>
      <c r="G41" s="157" t="s">
        <v>44</v>
      </c>
      <c r="H41" s="158" t="s">
        <v>45</v>
      </c>
      <c r="I41" s="157" t="s">
        <v>46</v>
      </c>
      <c r="J41" s="157" t="s">
        <v>47</v>
      </c>
      <c r="K41" s="157" t="s">
        <v>48</v>
      </c>
      <c r="L41" s="158" t="s">
        <v>116</v>
      </c>
      <c r="M41" s="157" t="s">
        <v>117</v>
      </c>
      <c r="N41" s="157" t="s">
        <v>119</v>
      </c>
      <c r="O41" s="176" t="s">
        <v>74</v>
      </c>
      <c r="P41" s="179" t="s">
        <v>50</v>
      </c>
      <c r="Q41" s="217" t="s">
        <v>70</v>
      </c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8"/>
    </row>
    <row r="42" spans="2:30" ht="32.25" customHeight="1">
      <c r="B42" s="236" t="s">
        <v>120</v>
      </c>
      <c r="C42" s="239" t="str">
        <f t="shared" ref="C42:C49" si="7">C8</f>
        <v>Rr Sus 51206</v>
      </c>
      <c r="D42" s="240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73"/>
      <c r="P42" s="178">
        <f>SUM(E42:O42)</f>
        <v>0</v>
      </c>
      <c r="Q42" s="241"/>
      <c r="R42" s="242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  <c r="AC42" s="242"/>
      <c r="AD42" s="243"/>
    </row>
    <row r="43" spans="2:30" ht="32.25" customHeight="1">
      <c r="B43" s="237"/>
      <c r="C43" s="232" t="str">
        <f t="shared" si="7"/>
        <v>Fr sus 51201</v>
      </c>
      <c r="D43" s="23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74"/>
      <c r="P43" s="177">
        <f t="shared" ref="P43:P49" si="8">SUM(E43:O43)</f>
        <v>0</v>
      </c>
      <c r="Q43" s="247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9"/>
    </row>
    <row r="44" spans="2:30" ht="31.5" customHeight="1">
      <c r="B44" s="237"/>
      <c r="C44" s="232" t="str">
        <f t="shared" si="7"/>
        <v>OA Cowl 55701</v>
      </c>
      <c r="D44" s="233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74"/>
      <c r="P44" s="177">
        <f t="shared" si="8"/>
        <v>0</v>
      </c>
      <c r="Q44" s="247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9"/>
    </row>
    <row r="45" spans="2:30" ht="31.5" customHeight="1">
      <c r="B45" s="237"/>
      <c r="C45" s="232" t="str">
        <f t="shared" si="7"/>
        <v>Fr lwr arm 48068/9</v>
      </c>
      <c r="D45" s="233"/>
      <c r="E45" s="20"/>
      <c r="F45" s="19"/>
      <c r="G45" s="19"/>
      <c r="H45" s="19"/>
      <c r="I45" s="19"/>
      <c r="J45" s="19"/>
      <c r="K45" s="19">
        <v>2</v>
      </c>
      <c r="L45" s="19"/>
      <c r="M45" s="19"/>
      <c r="N45" s="19"/>
      <c r="O45" s="174"/>
      <c r="P45" s="177">
        <f t="shared" si="8"/>
        <v>2</v>
      </c>
      <c r="Q45" s="247" t="s">
        <v>231</v>
      </c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9"/>
    </row>
    <row r="46" spans="2:30" ht="31.5" customHeight="1">
      <c r="B46" s="237"/>
      <c r="C46" s="232" t="str">
        <f t="shared" si="7"/>
        <v>Rear arm 48730</v>
      </c>
      <c r="D46" s="233"/>
      <c r="E46" s="20"/>
      <c r="F46" s="19"/>
      <c r="G46" s="19"/>
      <c r="H46" s="19"/>
      <c r="I46" s="19"/>
      <c r="J46" s="19"/>
      <c r="K46" s="19">
        <v>3</v>
      </c>
      <c r="L46" s="19"/>
      <c r="M46" s="19"/>
      <c r="N46" s="19"/>
      <c r="O46" s="174"/>
      <c r="P46" s="177">
        <f t="shared" si="8"/>
        <v>3</v>
      </c>
      <c r="Q46" s="244" t="s">
        <v>230</v>
      </c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6"/>
    </row>
    <row r="47" spans="2:30" ht="31.5" customHeight="1">
      <c r="B47" s="237"/>
      <c r="C47" s="232" t="str">
        <f t="shared" si="7"/>
        <v>Rear Beam 42110</v>
      </c>
      <c r="D47" s="233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74"/>
      <c r="P47" s="177">
        <f t="shared" si="8"/>
        <v>0</v>
      </c>
      <c r="Q47" s="247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9"/>
    </row>
    <row r="48" spans="2:30" ht="31.5" customHeight="1">
      <c r="B48" s="237"/>
      <c r="C48" s="232" t="str">
        <f t="shared" si="7"/>
        <v>Rear Beam 42110 177D</v>
      </c>
      <c r="D48" s="233"/>
      <c r="E48" s="20"/>
      <c r="F48" s="19"/>
      <c r="G48" s="19"/>
      <c r="H48" s="19"/>
      <c r="I48" s="19"/>
      <c r="J48" s="19"/>
      <c r="K48" s="19">
        <v>1</v>
      </c>
      <c r="L48" s="19"/>
      <c r="M48" s="19"/>
      <c r="N48" s="19"/>
      <c r="O48" s="174"/>
      <c r="P48" s="177">
        <f t="shared" si="8"/>
        <v>1</v>
      </c>
      <c r="Q48" s="247" t="s">
        <v>230</v>
      </c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9"/>
    </row>
    <row r="49" spans="2:30" ht="31.5" customHeight="1" thickBot="1">
      <c r="B49" s="238"/>
      <c r="C49" s="230" t="str">
        <f t="shared" si="7"/>
        <v>Rear Beam 42110 890B</v>
      </c>
      <c r="D49" s="231"/>
      <c r="E49" s="78"/>
      <c r="F49" s="79"/>
      <c r="G49" s="79"/>
      <c r="H49" s="79"/>
      <c r="I49" s="106"/>
      <c r="J49" s="79"/>
      <c r="K49" s="106"/>
      <c r="L49" s="79"/>
      <c r="M49" s="79"/>
      <c r="N49" s="79"/>
      <c r="O49" s="175"/>
      <c r="P49" s="177">
        <f t="shared" si="8"/>
        <v>0</v>
      </c>
      <c r="Q49" s="221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3"/>
    </row>
    <row r="51" spans="2:30" ht="21" customHeight="1">
      <c r="B51" s="9"/>
      <c r="C51" s="213" t="s">
        <v>29</v>
      </c>
      <c r="D51" s="213"/>
      <c r="E51" s="213"/>
      <c r="F51" s="213"/>
      <c r="G51" s="213" t="s">
        <v>30</v>
      </c>
      <c r="H51" s="213"/>
      <c r="I51" s="213"/>
      <c r="L51" s="214" t="s">
        <v>31</v>
      </c>
      <c r="M51" s="215"/>
      <c r="N51" s="215"/>
      <c r="O51" s="215"/>
      <c r="P51" s="215"/>
      <c r="Q51" s="215"/>
      <c r="R51" s="215"/>
      <c r="S51" s="215"/>
      <c r="T51" s="215"/>
      <c r="U51" s="215"/>
      <c r="V51" s="216"/>
      <c r="W51" s="25"/>
      <c r="X51" s="25"/>
      <c r="Y51" s="25"/>
      <c r="Z51" s="25"/>
      <c r="AA51" s="26"/>
    </row>
    <row r="52" spans="2:30" ht="21" customHeight="1">
      <c r="B52" s="9"/>
      <c r="C52" s="213"/>
      <c r="D52" s="213"/>
      <c r="E52" s="213"/>
      <c r="F52" s="213"/>
      <c r="G52" s="213"/>
      <c r="H52" s="213"/>
      <c r="I52" s="213"/>
      <c r="L52" s="11"/>
      <c r="AA52" s="12"/>
    </row>
    <row r="53" spans="2:30" ht="21" customHeight="1">
      <c r="B53" s="9"/>
      <c r="C53" s="213"/>
      <c r="D53" s="213"/>
      <c r="E53" s="213"/>
      <c r="F53" s="213"/>
      <c r="G53" s="213"/>
      <c r="H53" s="213"/>
      <c r="I53" s="213"/>
      <c r="L53" s="11"/>
      <c r="AA53" s="12"/>
    </row>
    <row r="54" spans="2:30" ht="9" customHeight="1">
      <c r="L54" s="11"/>
      <c r="AA54" s="12"/>
    </row>
    <row r="55" spans="2:30" ht="21" customHeight="1">
      <c r="B55" s="27" t="s">
        <v>32</v>
      </c>
      <c r="C55" s="28"/>
      <c r="D55" s="23"/>
      <c r="E55" s="23"/>
      <c r="F55" s="24"/>
      <c r="L55" s="11"/>
      <c r="AA55" s="12"/>
    </row>
    <row r="56" spans="2:30" ht="21" customHeight="1">
      <c r="B56" s="9"/>
      <c r="C56" s="213"/>
      <c r="D56" s="213"/>
      <c r="E56" s="213"/>
      <c r="F56" s="213"/>
      <c r="L56" s="11"/>
      <c r="AA56" s="12"/>
    </row>
    <row r="57" spans="2:30" ht="21" customHeight="1">
      <c r="B57" s="9"/>
      <c r="C57" s="213"/>
      <c r="D57" s="213"/>
      <c r="E57" s="213"/>
      <c r="F57" s="213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</row>
  </sheetData>
  <sheetProtection algorithmName="SHA-512" hashValue="qC1BWlGfqFCs09UD5wGU4ggj8J7YOkT6wsGbKd55Za3oLhJSdqRR3WAwNv/tVtaAHm4YBv4LvzvIy+wrq2lKSw==" saltValue="bzmWpnQCqnaPpdUeuJum8w==" spinCount="100000" sheet="1" objects="1" scenarios="1" selectLockedCells="1"/>
  <mergeCells count="130">
    <mergeCell ref="L26:V26"/>
    <mergeCell ref="W26:Y26"/>
    <mergeCell ref="AB26:AC26"/>
    <mergeCell ref="AB27:AC27"/>
    <mergeCell ref="B3:C3"/>
    <mergeCell ref="W23:Y23"/>
    <mergeCell ref="AB23:AC23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Z6:Z7"/>
    <mergeCell ref="AA6:AB6"/>
    <mergeCell ref="E23:I23"/>
    <mergeCell ref="AB20:AC20"/>
    <mergeCell ref="L21:V21"/>
    <mergeCell ref="W21:Y21"/>
    <mergeCell ref="AB21:AC21"/>
    <mergeCell ref="L23:V23"/>
    <mergeCell ref="W20:Y20"/>
    <mergeCell ref="Y6:Y7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C49:D49"/>
    <mergeCell ref="C45:D45"/>
    <mergeCell ref="AC6:AD6"/>
    <mergeCell ref="E30:I30"/>
    <mergeCell ref="L30:V30"/>
    <mergeCell ref="W30:Y30"/>
    <mergeCell ref="AB30:AC30"/>
    <mergeCell ref="W34:Y34"/>
    <mergeCell ref="B42:B49"/>
    <mergeCell ref="C42:D42"/>
    <mergeCell ref="C43:D43"/>
    <mergeCell ref="C44:D44"/>
    <mergeCell ref="Q42:AD42"/>
    <mergeCell ref="C47:D47"/>
    <mergeCell ref="C48:D48"/>
    <mergeCell ref="Q46:AD46"/>
    <mergeCell ref="Q45:AD45"/>
    <mergeCell ref="Q44:AD44"/>
    <mergeCell ref="Q43:AD43"/>
    <mergeCell ref="Q47:AD47"/>
    <mergeCell ref="Q48:AD48"/>
    <mergeCell ref="C46:D46"/>
    <mergeCell ref="AB34:AC34"/>
    <mergeCell ref="E26:I26"/>
    <mergeCell ref="L37:V37"/>
    <mergeCell ref="W37:Y37"/>
    <mergeCell ref="AB37:AC37"/>
    <mergeCell ref="L31:V31"/>
    <mergeCell ref="W31:Y31"/>
    <mergeCell ref="AB31:AC31"/>
    <mergeCell ref="L35:V35"/>
    <mergeCell ref="W35:Y35"/>
    <mergeCell ref="AB35:AC35"/>
    <mergeCell ref="W36:Y36"/>
    <mergeCell ref="AB36:AC36"/>
    <mergeCell ref="W32:Y32"/>
    <mergeCell ref="AB32:AC32"/>
    <mergeCell ref="L33:V33"/>
    <mergeCell ref="L36:V36"/>
    <mergeCell ref="C57:F57"/>
    <mergeCell ref="C53:F53"/>
    <mergeCell ref="G53:I53"/>
    <mergeCell ref="L34:V34"/>
    <mergeCell ref="E31:I31"/>
    <mergeCell ref="C51:F51"/>
    <mergeCell ref="G51:I51"/>
    <mergeCell ref="L51:V51"/>
    <mergeCell ref="C52:F52"/>
    <mergeCell ref="E34:I34"/>
    <mergeCell ref="E37:I37"/>
    <mergeCell ref="G52:I52"/>
    <mergeCell ref="L32:V32"/>
    <mergeCell ref="Q41:AD41"/>
    <mergeCell ref="W33:Y33"/>
    <mergeCell ref="AB33:AC33"/>
    <mergeCell ref="E32:I32"/>
    <mergeCell ref="E33:I33"/>
    <mergeCell ref="C41:D41"/>
    <mergeCell ref="Q49:AD49"/>
    <mergeCell ref="C40:D40"/>
    <mergeCell ref="E35:I35"/>
    <mergeCell ref="E36:I36"/>
    <mergeCell ref="C56:F56"/>
    <mergeCell ref="E3:H3"/>
    <mergeCell ref="E22:I22"/>
    <mergeCell ref="L22:V22"/>
    <mergeCell ref="W22:Y22"/>
    <mergeCell ref="AB22:AC22"/>
    <mergeCell ref="E29:I29"/>
    <mergeCell ref="L29:V29"/>
    <mergeCell ref="W29:Y29"/>
    <mergeCell ref="AB29:AC29"/>
    <mergeCell ref="E24:I24"/>
    <mergeCell ref="L24:V24"/>
    <mergeCell ref="W24:Y24"/>
    <mergeCell ref="AB24:AC24"/>
    <mergeCell ref="E28:I28"/>
    <mergeCell ref="L28:V28"/>
    <mergeCell ref="W28:Y28"/>
    <mergeCell ref="AB28:AC28"/>
    <mergeCell ref="E27:I27"/>
    <mergeCell ref="L27:V27"/>
    <mergeCell ref="W27:Y27"/>
    <mergeCell ref="E25:I25"/>
    <mergeCell ref="L25:V25"/>
    <mergeCell ref="W25:Y25"/>
    <mergeCell ref="AB25:AC25"/>
  </mergeCells>
  <dataValidations count="3">
    <dataValidation type="list" allowBlank="1" showInputMessage="1" showErrorMessage="1" sqref="D21:D37" xr:uid="{91430B33-F83E-4B84-9D0E-CC0716E63866}">
      <formula1>"Equipment, Quality, Man, Other,Planned stop,ED issue"</formula1>
    </dataValidation>
    <dataValidation type="list" allowBlank="1" showInputMessage="1" showErrorMessage="1" sqref="B21:B37" xr:uid="{E62979EB-A66F-4BE3-83E1-DAE9A2DE305A}">
      <formula1>UW_List</formula1>
    </dataValidation>
    <dataValidation type="list" allowBlank="1" showInputMessage="1" showErrorMessage="1" sqref="C21:C37" xr:uid="{E4AFBE9C-4A65-4237-A752-147A89CF6989}">
      <formula1>INDIRECT(B21&amp;"_List")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1:X66"/>
  <sheetViews>
    <sheetView topLeftCell="A2" zoomScale="70" zoomScaleNormal="70" workbookViewId="0">
      <selection activeCell="J15" sqref="J15"/>
    </sheetView>
  </sheetViews>
  <sheetFormatPr defaultRowHeight="13.5" outlineLevelRow="1"/>
  <cols>
    <col min="1" max="1" width="5.625" customWidth="1"/>
    <col min="2" max="2" width="10" style="33" customWidth="1"/>
    <col min="3" max="4" width="18.25" customWidth="1"/>
    <col min="5" max="24" width="10" customWidth="1"/>
  </cols>
  <sheetData>
    <row r="1" spans="2:24" ht="14.25" thickBot="1"/>
    <row r="2" spans="2:24" ht="29.25" customHeight="1" thickBot="1">
      <c r="B2" s="272" t="s">
        <v>0</v>
      </c>
      <c r="C2" s="273"/>
      <c r="D2" s="36"/>
      <c r="E2" s="36"/>
    </row>
    <row r="3" spans="2:24" ht="29.25" customHeight="1" thickBot="1">
      <c r="B3" s="274">
        <f>'UW(New)'!B3</f>
        <v>45758</v>
      </c>
      <c r="C3" s="275"/>
      <c r="E3" s="31"/>
      <c r="F3" s="32"/>
    </row>
    <row r="4" spans="2:24" ht="29.25" customHeight="1">
      <c r="B4" s="60" t="s">
        <v>196</v>
      </c>
      <c r="C4" s="52"/>
      <c r="D4" s="36"/>
      <c r="E4" s="98" t="s">
        <v>197</v>
      </c>
      <c r="F4" s="60" t="s">
        <v>195</v>
      </c>
    </row>
    <row r="5" spans="2:24" ht="15" customHeight="1"/>
    <row r="6" spans="2:24" ht="21" customHeight="1">
      <c r="B6" s="252" t="s">
        <v>1</v>
      </c>
      <c r="C6" s="252" t="s">
        <v>2</v>
      </c>
      <c r="D6" s="252"/>
      <c r="E6" s="252"/>
      <c r="F6" s="253" t="s">
        <v>3</v>
      </c>
      <c r="G6" s="252" t="s">
        <v>4</v>
      </c>
      <c r="H6" s="252"/>
      <c r="I6" s="253" t="s">
        <v>5</v>
      </c>
      <c r="J6" s="253" t="s">
        <v>6</v>
      </c>
      <c r="K6" s="253" t="s">
        <v>7</v>
      </c>
      <c r="L6" s="253" t="s">
        <v>8</v>
      </c>
      <c r="M6" s="253" t="s">
        <v>61</v>
      </c>
      <c r="N6" s="282" t="s">
        <v>32</v>
      </c>
      <c r="O6" s="253" t="s">
        <v>62</v>
      </c>
      <c r="P6" s="252" t="s">
        <v>9</v>
      </c>
      <c r="Q6" s="252"/>
      <c r="R6" s="252" t="s">
        <v>10</v>
      </c>
      <c r="S6" s="269" t="s">
        <v>11</v>
      </c>
      <c r="T6" s="270" t="s">
        <v>35</v>
      </c>
      <c r="U6" s="271"/>
      <c r="V6" s="234" t="s">
        <v>15</v>
      </c>
      <c r="W6" s="235"/>
      <c r="X6" s="80"/>
    </row>
    <row r="7" spans="2:24" ht="28.5">
      <c r="B7" s="252"/>
      <c r="C7" s="252"/>
      <c r="D7" s="252"/>
      <c r="E7" s="252"/>
      <c r="F7" s="253"/>
      <c r="G7" s="112" t="s">
        <v>12</v>
      </c>
      <c r="H7" s="113" t="s">
        <v>83</v>
      </c>
      <c r="I7" s="253"/>
      <c r="J7" s="253"/>
      <c r="K7" s="253"/>
      <c r="L7" s="253"/>
      <c r="M7" s="253"/>
      <c r="N7" s="282"/>
      <c r="O7" s="253"/>
      <c r="P7" s="113" t="s">
        <v>13</v>
      </c>
      <c r="Q7" s="113" t="s">
        <v>14</v>
      </c>
      <c r="R7" s="252"/>
      <c r="S7" s="269"/>
      <c r="T7" s="148" t="s">
        <v>33</v>
      </c>
      <c r="U7" s="113" t="s">
        <v>34</v>
      </c>
      <c r="V7" s="113" t="s">
        <v>33</v>
      </c>
      <c r="W7" s="149" t="s">
        <v>34</v>
      </c>
      <c r="X7" s="80"/>
    </row>
    <row r="8" spans="2:24" ht="25.5" customHeight="1">
      <c r="B8" s="112">
        <v>1</v>
      </c>
      <c r="C8" s="254" t="s">
        <v>93</v>
      </c>
      <c r="D8" s="255"/>
      <c r="E8" s="256"/>
      <c r="F8" s="141">
        <v>3.48</v>
      </c>
      <c r="G8" s="1">
        <v>60</v>
      </c>
      <c r="H8" s="1">
        <v>60</v>
      </c>
      <c r="I8" s="49">
        <v>0.77777777777777779</v>
      </c>
      <c r="J8" s="3">
        <v>7.4305555555555555E-2</v>
      </c>
      <c r="K8" s="56">
        <f t="shared" ref="K8:K14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362</v>
      </c>
      <c r="L8" s="54"/>
      <c r="M8" s="53">
        <f>IFERROR(IF(K1+SUM(K8:L8)+SUM(K8:L8)="","",((K8-(F8*G8))-L8)),0)</f>
        <v>153.19999999999999</v>
      </c>
      <c r="N8" s="83">
        <f>IFERROR(IF((K8-450)/60&lt;0,0,K8-450)/60,0)</f>
        <v>0</v>
      </c>
      <c r="O8" s="189"/>
      <c r="P8" s="195">
        <f>P52</f>
        <v>0</v>
      </c>
      <c r="Q8" s="4"/>
      <c r="R8" s="58">
        <f>IFERROR(IF((F8/((K8-L8)/H8))&gt;1,1,F8/((K8-L8)/H8)),0)</f>
        <v>0.57679558011049725</v>
      </c>
      <c r="S8" s="53">
        <f>IFERROR(((P8+Q8)*1000000)/H8,0)</f>
        <v>0</v>
      </c>
      <c r="T8" s="2"/>
      <c r="U8" s="5"/>
      <c r="V8" s="6"/>
      <c r="W8" s="7"/>
      <c r="X8" s="35"/>
    </row>
    <row r="9" spans="2:24" ht="25.5" customHeight="1">
      <c r="B9" s="112">
        <v>2</v>
      </c>
      <c r="C9" s="254" t="s">
        <v>85</v>
      </c>
      <c r="D9" s="255"/>
      <c r="E9" s="256"/>
      <c r="F9" s="141">
        <v>1.2</v>
      </c>
      <c r="G9" s="1">
        <v>360</v>
      </c>
      <c r="H9" s="1">
        <v>460</v>
      </c>
      <c r="I9" s="49">
        <v>0.77777777777777779</v>
      </c>
      <c r="J9" s="3">
        <v>0.13541666666666666</v>
      </c>
      <c r="K9" s="56">
        <f t="shared" si="0"/>
        <v>450</v>
      </c>
      <c r="L9" s="54"/>
      <c r="M9" s="53">
        <f>IFERROR(IF(K2+SUM(K9:L9)+SUM(K9:L9)="","",((K9-(F9*G9))-L9)),0)</f>
        <v>18</v>
      </c>
      <c r="N9" s="83">
        <f t="shared" ref="N9:N15" si="1">IFERROR(IF((K9-450)/60&lt;0,0,K9-450)/60,0)</f>
        <v>0</v>
      </c>
      <c r="O9" s="189"/>
      <c r="P9" s="195">
        <f t="shared" ref="P9:P14" si="2">P53</f>
        <v>0</v>
      </c>
      <c r="Q9" s="4"/>
      <c r="R9" s="58">
        <f t="shared" ref="R9:R15" si="3">IFERROR(IF((F9/((K9-L9)/H9))&gt;1,1,F9/((K9-L9)/H9)),0)</f>
        <v>1</v>
      </c>
      <c r="S9" s="53">
        <f t="shared" ref="S9:S22" si="4">IFERROR(((P9+Q9)*1000000)/H9,0)</f>
        <v>0</v>
      </c>
      <c r="T9" s="5"/>
      <c r="U9" s="5"/>
      <c r="V9" s="5"/>
      <c r="W9" s="42"/>
      <c r="X9" s="35"/>
    </row>
    <row r="10" spans="2:24" ht="25.5" customHeight="1">
      <c r="B10" s="112">
        <v>3</v>
      </c>
      <c r="C10" s="254" t="s">
        <v>94</v>
      </c>
      <c r="D10" s="255"/>
      <c r="E10" s="256"/>
      <c r="F10" s="141">
        <v>1.2</v>
      </c>
      <c r="G10" s="1">
        <v>384</v>
      </c>
      <c r="H10" s="1">
        <v>384</v>
      </c>
      <c r="I10" s="49">
        <v>0.77777777777777779</v>
      </c>
      <c r="J10" s="3">
        <v>0.14166666666666666</v>
      </c>
      <c r="K10" s="56">
        <f t="shared" si="0"/>
        <v>459</v>
      </c>
      <c r="L10" s="54"/>
      <c r="M10" s="53">
        <f t="shared" ref="M10:M22" si="5">IFERROR(IF(K3+SUM(K10:L10)+SUM(K10:L10)="","",((K10-(F10*G10))-L10)),0)</f>
        <v>-1.7999999999999545</v>
      </c>
      <c r="N10" s="83">
        <f t="shared" si="1"/>
        <v>0.15</v>
      </c>
      <c r="O10" s="189"/>
      <c r="P10" s="195">
        <f t="shared" si="2"/>
        <v>8</v>
      </c>
      <c r="Q10" s="4"/>
      <c r="R10" s="58">
        <f t="shared" si="3"/>
        <v>1</v>
      </c>
      <c r="S10" s="53">
        <f t="shared" si="4"/>
        <v>20833.333333333332</v>
      </c>
      <c r="T10" s="5"/>
      <c r="U10" s="5"/>
      <c r="V10" s="56"/>
      <c r="W10" s="53"/>
      <c r="X10" s="36"/>
    </row>
    <row r="11" spans="2:24" ht="25.5" customHeight="1">
      <c r="B11" s="112">
        <v>4</v>
      </c>
      <c r="C11" s="254" t="s">
        <v>114</v>
      </c>
      <c r="D11" s="255"/>
      <c r="E11" s="256"/>
      <c r="F11" s="141">
        <v>1.2</v>
      </c>
      <c r="G11" s="1">
        <v>528</v>
      </c>
      <c r="H11" s="1">
        <v>528</v>
      </c>
      <c r="I11" s="49">
        <v>0.77777777777777779</v>
      </c>
      <c r="J11" s="3">
        <v>0.10625</v>
      </c>
      <c r="K11" s="56">
        <f t="shared" si="0"/>
        <v>408</v>
      </c>
      <c r="L11" s="54"/>
      <c r="M11" s="53">
        <f>IFERROR(IF(K4+SUM(K11:L11)+SUM(K11:L11)="","",((K11-(F11*G11))-L11)),0)</f>
        <v>-225.60000000000002</v>
      </c>
      <c r="N11" s="83">
        <f t="shared" si="1"/>
        <v>0</v>
      </c>
      <c r="O11" s="189"/>
      <c r="P11" s="195">
        <f t="shared" si="2"/>
        <v>0</v>
      </c>
      <c r="Q11" s="4"/>
      <c r="R11" s="58">
        <f t="shared" si="3"/>
        <v>1</v>
      </c>
      <c r="S11" s="53">
        <f t="shared" si="4"/>
        <v>0</v>
      </c>
      <c r="T11" s="7"/>
      <c r="U11" s="55"/>
      <c r="V11" s="53"/>
      <c r="W11" s="53"/>
      <c r="X11" s="99"/>
    </row>
    <row r="12" spans="2:24" ht="25.5" customHeight="1">
      <c r="B12" s="112">
        <v>5</v>
      </c>
      <c r="C12" s="276" t="s">
        <v>190</v>
      </c>
      <c r="D12" s="277"/>
      <c r="E12" s="278"/>
      <c r="F12" s="141">
        <v>1.2</v>
      </c>
      <c r="G12" s="1">
        <v>360</v>
      </c>
      <c r="H12" s="1">
        <v>360</v>
      </c>
      <c r="I12" s="49">
        <v>0.77777777777777779</v>
      </c>
      <c r="J12" s="3">
        <v>0.15347222222222223</v>
      </c>
      <c r="K12" s="56">
        <f t="shared" si="0"/>
        <v>466</v>
      </c>
      <c r="L12" s="54"/>
      <c r="M12" s="53">
        <f t="shared" si="5"/>
        <v>34</v>
      </c>
      <c r="N12" s="83">
        <f t="shared" si="1"/>
        <v>0.26666666666666666</v>
      </c>
      <c r="O12" s="189"/>
      <c r="P12" s="195">
        <f t="shared" si="2"/>
        <v>0</v>
      </c>
      <c r="Q12" s="4"/>
      <c r="R12" s="58">
        <f t="shared" si="3"/>
        <v>0.92703862660944203</v>
      </c>
      <c r="S12" s="53">
        <f t="shared" si="4"/>
        <v>0</v>
      </c>
      <c r="T12" s="56"/>
      <c r="U12" s="56"/>
      <c r="V12" s="53"/>
      <c r="W12" s="53"/>
      <c r="X12" s="36"/>
    </row>
    <row r="13" spans="2:24" ht="25.15" customHeight="1">
      <c r="B13" s="112">
        <v>6</v>
      </c>
      <c r="C13" s="276" t="s">
        <v>95</v>
      </c>
      <c r="D13" s="277"/>
      <c r="E13" s="278"/>
      <c r="F13" s="141">
        <v>1.25</v>
      </c>
      <c r="G13" s="1">
        <v>270</v>
      </c>
      <c r="H13" s="1">
        <v>162</v>
      </c>
      <c r="I13" s="49">
        <v>4.1666666666666666E-3</v>
      </c>
      <c r="J13" s="3">
        <v>0.13125000000000001</v>
      </c>
      <c r="K13" s="56">
        <f t="shared" si="0"/>
        <v>173</v>
      </c>
      <c r="L13" s="54"/>
      <c r="M13" s="53">
        <f t="shared" si="5"/>
        <v>0</v>
      </c>
      <c r="N13" s="83">
        <f t="shared" si="1"/>
        <v>0</v>
      </c>
      <c r="O13" s="189"/>
      <c r="P13" s="195">
        <f t="shared" si="2"/>
        <v>0</v>
      </c>
      <c r="Q13" s="4"/>
      <c r="R13" s="58">
        <f t="shared" si="3"/>
        <v>1</v>
      </c>
      <c r="S13" s="53">
        <f t="shared" si="4"/>
        <v>0</v>
      </c>
      <c r="T13" s="56"/>
      <c r="U13" s="56"/>
      <c r="V13" s="56"/>
      <c r="W13" s="53"/>
      <c r="X13" s="36"/>
    </row>
    <row r="14" spans="2:24" ht="25.5" customHeight="1" thickBot="1">
      <c r="B14" s="112">
        <v>7</v>
      </c>
      <c r="C14" s="276" t="s">
        <v>96</v>
      </c>
      <c r="D14" s="277"/>
      <c r="E14" s="278"/>
      <c r="F14" s="141">
        <v>1.25</v>
      </c>
      <c r="G14" s="1">
        <v>99</v>
      </c>
      <c r="H14" s="1">
        <v>207</v>
      </c>
      <c r="I14" s="49">
        <v>0.77777777777777779</v>
      </c>
      <c r="J14" s="3">
        <v>1.0041666666666667</v>
      </c>
      <c r="K14" s="56">
        <f t="shared" si="0"/>
        <v>271</v>
      </c>
      <c r="L14" s="54"/>
      <c r="M14" s="53">
        <f t="shared" si="5"/>
        <v>147.25</v>
      </c>
      <c r="N14" s="83">
        <f t="shared" si="1"/>
        <v>0</v>
      </c>
      <c r="O14" s="189"/>
      <c r="P14" s="195">
        <f t="shared" si="2"/>
        <v>0</v>
      </c>
      <c r="Q14" s="4"/>
      <c r="R14" s="58">
        <f t="shared" si="3"/>
        <v>0.95479704797047971</v>
      </c>
      <c r="S14" s="53">
        <f t="shared" si="4"/>
        <v>0</v>
      </c>
      <c r="T14" s="56"/>
      <c r="U14" s="56"/>
      <c r="V14" s="53"/>
      <c r="W14" s="53"/>
      <c r="X14" s="36"/>
    </row>
    <row r="15" spans="2:24" ht="25.5" customHeight="1">
      <c r="B15" s="182">
        <v>9</v>
      </c>
      <c r="C15" s="279" t="s">
        <v>63</v>
      </c>
      <c r="D15" s="280"/>
      <c r="E15" s="281"/>
      <c r="F15" s="186">
        <v>4.7</v>
      </c>
      <c r="G15" s="187">
        <f>SUM(G16:G22)</f>
        <v>159</v>
      </c>
      <c r="H15" s="187">
        <f>SUM(H16:H22)</f>
        <v>0</v>
      </c>
      <c r="I15" s="196"/>
      <c r="J15" s="3"/>
      <c r="K15" s="56">
        <f>IF(J15="",0,IF((HOUR((J15+24)-I15)*60 + MINUTE((J15+24)-I15))&lt;=120, (HOUR((J15+24)-I15)*60 + MINUTE((J15+24)-I15)),IF((HOUR((J15+24)-I15)*60 + MINUTE((J15+24)-I15))&lt;=240, (HOUR((J15+24)-I15)*60 + MINUTE((J15+24)-I15))-10,IF((HOUR((J15+24)-I15)*60 + MINUTE((J15+24)-I15))&lt;=405, (HOUR((J15+24)-I15)*60 + MINUTE((J15+24)-I15))-55,IF((HOUR((J15+24)-I15)*60 + MINUTE((J15+24)-I15))&lt;=525, (HOUR((J15+24)-I15)*60 + MINUTE((J15+24)-I15))-65,(HOUR((J15+24)-I15)*60 + MINUTE((J15+24)-I15))-75)))))</f>
        <v>0</v>
      </c>
      <c r="L15" s="54"/>
      <c r="M15" s="53">
        <f t="shared" si="5"/>
        <v>-747.30000000000007</v>
      </c>
      <c r="N15" s="83">
        <f t="shared" si="1"/>
        <v>0</v>
      </c>
      <c r="O15" s="189"/>
      <c r="P15" s="4"/>
      <c r="Q15" s="4"/>
      <c r="R15" s="58">
        <f t="shared" si="3"/>
        <v>0</v>
      </c>
      <c r="S15" s="53">
        <f t="shared" si="4"/>
        <v>0</v>
      </c>
      <c r="T15" s="56"/>
      <c r="U15" s="56"/>
      <c r="V15" s="53"/>
      <c r="W15" s="53"/>
      <c r="X15" s="36"/>
    </row>
    <row r="16" spans="2:24" ht="25.5" customHeight="1">
      <c r="B16" s="182"/>
      <c r="C16" s="291" t="s">
        <v>87</v>
      </c>
      <c r="D16" s="292"/>
      <c r="E16" s="293"/>
      <c r="F16" s="186"/>
      <c r="G16" s="1">
        <v>9</v>
      </c>
      <c r="H16" s="1"/>
      <c r="I16" s="49"/>
      <c r="J16" s="3"/>
      <c r="K16" s="56">
        <f t="shared" ref="K16:K22" si="6">IF(J16="",0,IF((HOUR((J16+24)-I16)*60 + MINUTE((J16+24)-I16))&lt;=120, (HOUR((J16+24)-I16)*60 + MINUTE((J16+24)-I16)),IF((HOUR((J16+24)-I16)*60 + MINUTE((J16+24)-I16))&lt;=240, (HOUR((J16+24)-I16)*60 + MINUTE((J16+24)-I16))-10,IF((HOUR((J16+24)-I16)*60 + MINUTE((J16+24)-I16))&lt;=405, (HOUR((J16+24)-I16)*60 + MINUTE((J16+24)-I16))-55,IF((HOUR((J16+24)-I16)*60 + MINUTE((J16+24)-I16))&lt;=525, (HOUR((J16+24)-I16)*60 + MINUTE((J16+24)-I16))-65,(HOUR((J16+24)-I16)*60 + MINUTE((J16+24)-I16))-75)))))</f>
        <v>0</v>
      </c>
      <c r="L16" s="57"/>
      <c r="M16" s="53">
        <f t="shared" si="5"/>
        <v>0</v>
      </c>
      <c r="N16" s="83"/>
      <c r="O16" s="56"/>
      <c r="P16" s="4"/>
      <c r="Q16" s="4"/>
      <c r="R16" s="58"/>
      <c r="S16" s="53">
        <f t="shared" si="4"/>
        <v>0</v>
      </c>
      <c r="T16" s="56"/>
      <c r="U16" s="56"/>
      <c r="V16" s="53"/>
      <c r="W16" s="53"/>
      <c r="X16" s="36"/>
    </row>
    <row r="17" spans="2:24" ht="25.5" customHeight="1">
      <c r="B17" s="182"/>
      <c r="C17" s="291" t="s">
        <v>90</v>
      </c>
      <c r="D17" s="292"/>
      <c r="E17" s="293"/>
      <c r="F17" s="186"/>
      <c r="G17" s="197">
        <v>9</v>
      </c>
      <c r="H17" s="197"/>
      <c r="I17" s="49"/>
      <c r="J17" s="3"/>
      <c r="K17" s="56">
        <f t="shared" si="6"/>
        <v>0</v>
      </c>
      <c r="L17" s="57"/>
      <c r="M17" s="53">
        <f t="shared" si="5"/>
        <v>0</v>
      </c>
      <c r="N17" s="83"/>
      <c r="O17" s="56"/>
      <c r="P17" s="4"/>
      <c r="Q17" s="4"/>
      <c r="R17" s="58"/>
      <c r="S17" s="53">
        <f t="shared" si="4"/>
        <v>0</v>
      </c>
      <c r="T17" s="56"/>
      <c r="U17" s="56"/>
      <c r="V17" s="53"/>
      <c r="W17" s="53"/>
      <c r="X17" s="36"/>
    </row>
    <row r="18" spans="2:24" ht="25.5" customHeight="1">
      <c r="B18" s="182"/>
      <c r="C18" s="291" t="s">
        <v>64</v>
      </c>
      <c r="D18" s="292"/>
      <c r="E18" s="293"/>
      <c r="F18" s="186"/>
      <c r="G18" s="197">
        <v>14</v>
      </c>
      <c r="H18" s="197"/>
      <c r="I18" s="49"/>
      <c r="J18" s="3"/>
      <c r="K18" s="56">
        <f t="shared" si="6"/>
        <v>0</v>
      </c>
      <c r="L18" s="57"/>
      <c r="M18" s="53">
        <f t="shared" si="5"/>
        <v>0</v>
      </c>
      <c r="N18" s="83"/>
      <c r="O18" s="56"/>
      <c r="P18" s="4"/>
      <c r="Q18" s="4"/>
      <c r="R18" s="58"/>
      <c r="S18" s="53">
        <f t="shared" si="4"/>
        <v>0</v>
      </c>
      <c r="T18" s="56"/>
      <c r="U18" s="56"/>
      <c r="V18" s="53"/>
      <c r="W18" s="53"/>
      <c r="X18" s="36"/>
    </row>
    <row r="19" spans="2:24" ht="25.5" customHeight="1">
      <c r="B19" s="182"/>
      <c r="C19" s="183"/>
      <c r="D19" s="184" t="s">
        <v>89</v>
      </c>
      <c r="E19" s="185"/>
      <c r="F19" s="186"/>
      <c r="G19" s="197">
        <v>12</v>
      </c>
      <c r="H19" s="197"/>
      <c r="I19" s="49"/>
      <c r="J19" s="3"/>
      <c r="K19" s="56">
        <f t="shared" si="6"/>
        <v>0</v>
      </c>
      <c r="L19" s="57"/>
      <c r="M19" s="53">
        <f t="shared" si="5"/>
        <v>0</v>
      </c>
      <c r="N19" s="83"/>
      <c r="O19" s="56"/>
      <c r="P19" s="4"/>
      <c r="Q19" s="4"/>
      <c r="R19" s="58"/>
      <c r="S19" s="53">
        <f t="shared" si="4"/>
        <v>0</v>
      </c>
      <c r="T19" s="56"/>
      <c r="U19" s="56"/>
      <c r="V19" s="53"/>
      <c r="W19" s="53"/>
      <c r="X19" s="36"/>
    </row>
    <row r="20" spans="2:24" ht="25.5" customHeight="1" thickBot="1">
      <c r="B20" s="182"/>
      <c r="C20" s="283" t="s">
        <v>88</v>
      </c>
      <c r="D20" s="284"/>
      <c r="E20" s="285"/>
      <c r="F20" s="186"/>
      <c r="G20" s="197">
        <v>57</v>
      </c>
      <c r="H20" s="197"/>
      <c r="I20" s="49"/>
      <c r="J20" s="3"/>
      <c r="K20" s="56">
        <f t="shared" si="6"/>
        <v>0</v>
      </c>
      <c r="L20" s="57"/>
      <c r="M20" s="53">
        <f t="shared" si="5"/>
        <v>0</v>
      </c>
      <c r="N20" s="83"/>
      <c r="O20" s="56"/>
      <c r="P20" s="4"/>
      <c r="Q20" s="4"/>
      <c r="R20" s="58"/>
      <c r="S20" s="53">
        <f t="shared" si="4"/>
        <v>0</v>
      </c>
      <c r="T20" s="56"/>
      <c r="U20" s="56"/>
      <c r="V20" s="53"/>
      <c r="W20" s="53"/>
      <c r="X20" s="36"/>
    </row>
    <row r="21" spans="2:24" ht="25.5" customHeight="1" thickBot="1">
      <c r="B21" s="112">
        <v>8</v>
      </c>
      <c r="C21" s="283" t="s">
        <v>97</v>
      </c>
      <c r="D21" s="284"/>
      <c r="E21" s="285"/>
      <c r="F21" s="141"/>
      <c r="G21" s="1">
        <v>12</v>
      </c>
      <c r="H21" s="1"/>
      <c r="I21" s="49"/>
      <c r="J21" s="3"/>
      <c r="K21" s="56">
        <f t="shared" si="6"/>
        <v>0</v>
      </c>
      <c r="L21" s="57"/>
      <c r="M21" s="53">
        <f t="shared" si="5"/>
        <v>0</v>
      </c>
      <c r="N21" s="83"/>
      <c r="O21" s="56"/>
      <c r="P21" s="4"/>
      <c r="Q21" s="4"/>
      <c r="R21" s="58"/>
      <c r="S21" s="53">
        <f t="shared" si="4"/>
        <v>0</v>
      </c>
      <c r="T21" s="56"/>
      <c r="U21" s="56"/>
      <c r="V21" s="53"/>
      <c r="W21" s="53"/>
      <c r="X21" s="36"/>
    </row>
    <row r="22" spans="2:24" ht="25.5" customHeight="1" thickBot="1">
      <c r="B22" s="112">
        <v>9</v>
      </c>
      <c r="C22" s="283" t="s">
        <v>98</v>
      </c>
      <c r="D22" s="284"/>
      <c r="E22" s="285"/>
      <c r="F22" s="141"/>
      <c r="G22" s="1">
        <v>46</v>
      </c>
      <c r="H22" s="1"/>
      <c r="I22" s="49"/>
      <c r="J22" s="3"/>
      <c r="K22" s="56">
        <f t="shared" si="6"/>
        <v>0</v>
      </c>
      <c r="L22" s="57"/>
      <c r="M22" s="53">
        <f t="shared" si="5"/>
        <v>0</v>
      </c>
      <c r="N22" s="83"/>
      <c r="O22" s="56"/>
      <c r="P22" s="4"/>
      <c r="Q22" s="4"/>
      <c r="R22" s="58"/>
      <c r="S22" s="53">
        <f t="shared" si="4"/>
        <v>0</v>
      </c>
      <c r="T22" s="56"/>
      <c r="U22" s="56"/>
      <c r="V22" s="53"/>
      <c r="W22" s="53"/>
      <c r="X22" s="36"/>
    </row>
    <row r="23" spans="2:24" ht="25.5" customHeight="1">
      <c r="B23" s="112">
        <v>10</v>
      </c>
      <c r="C23" s="286"/>
      <c r="D23" s="287"/>
      <c r="E23" s="288"/>
      <c r="F23" s="53"/>
      <c r="G23" s="198"/>
      <c r="H23" s="4"/>
      <c r="I23" s="5"/>
      <c r="J23" s="188"/>
      <c r="K23" s="56"/>
      <c r="L23" s="188"/>
      <c r="M23" s="56" t="str">
        <f>IF(K23="","",((K23-(F23*G23))-L23))</f>
        <v/>
      </c>
      <c r="N23" s="83"/>
      <c r="O23" s="56"/>
      <c r="P23" s="4"/>
      <c r="Q23" s="4"/>
      <c r="R23" s="58"/>
      <c r="S23" s="53"/>
      <c r="T23" s="56"/>
      <c r="U23" s="56"/>
      <c r="V23" s="53"/>
      <c r="W23" s="53"/>
      <c r="X23" s="36"/>
    </row>
    <row r="24" spans="2:24" ht="28.5" customHeight="1">
      <c r="B24" s="160"/>
      <c r="C24" s="36"/>
      <c r="D24" s="36"/>
      <c r="E24" s="36"/>
      <c r="F24" s="143" t="s">
        <v>16</v>
      </c>
      <c r="G24" s="143" t="s">
        <v>17</v>
      </c>
      <c r="H24" s="143" t="s">
        <v>18</v>
      </c>
      <c r="I24" s="143" t="s">
        <v>19</v>
      </c>
      <c r="J24" s="143" t="s">
        <v>20</v>
      </c>
      <c r="K24" s="144" t="s">
        <v>21</v>
      </c>
      <c r="L24" s="144" t="s">
        <v>65</v>
      </c>
      <c r="M24" s="144" t="s">
        <v>23</v>
      </c>
      <c r="N24" s="144" t="s">
        <v>24</v>
      </c>
      <c r="O24" s="144" t="s">
        <v>66</v>
      </c>
      <c r="P24" s="144" t="s">
        <v>67</v>
      </c>
      <c r="Q24" s="144" t="s">
        <v>25</v>
      </c>
      <c r="R24" s="144" t="s">
        <v>26</v>
      </c>
      <c r="S24" s="144" t="s">
        <v>27</v>
      </c>
      <c r="T24" s="53"/>
      <c r="U24" s="36"/>
      <c r="V24" s="36"/>
      <c r="W24" s="36"/>
      <c r="X24" s="36"/>
    </row>
    <row r="25" spans="2:24" ht="14.25">
      <c r="B25" s="160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2:24" ht="29.25" customHeight="1">
      <c r="B26" s="160"/>
      <c r="C26" s="190" t="s">
        <v>28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266" t="s">
        <v>36</v>
      </c>
      <c r="T26" s="266"/>
      <c r="U26" s="36"/>
      <c r="V26" s="36"/>
      <c r="W26" s="36"/>
      <c r="X26" s="36"/>
    </row>
    <row r="27" spans="2:24" ht="25.5" customHeight="1">
      <c r="B27" s="109" t="s">
        <v>78</v>
      </c>
      <c r="C27" s="294" t="s">
        <v>82</v>
      </c>
      <c r="D27" s="295"/>
      <c r="E27" s="295"/>
      <c r="F27" s="295"/>
      <c r="G27" s="295"/>
      <c r="H27" s="295"/>
      <c r="I27" s="110" t="s">
        <v>125</v>
      </c>
      <c r="J27" s="109" t="s">
        <v>81</v>
      </c>
      <c r="K27" s="111" t="s">
        <v>40</v>
      </c>
      <c r="L27" s="289" t="s">
        <v>79</v>
      </c>
      <c r="M27" s="289"/>
      <c r="N27" s="289"/>
      <c r="O27" s="289"/>
      <c r="P27" s="289" t="s">
        <v>80</v>
      </c>
      <c r="Q27" s="290"/>
      <c r="R27" s="290"/>
      <c r="S27" s="112" t="s">
        <v>37</v>
      </c>
      <c r="T27" s="53" t="s">
        <v>38</v>
      </c>
      <c r="U27" s="269" t="s">
        <v>68</v>
      </c>
      <c r="V27" s="269"/>
      <c r="W27" s="112" t="s">
        <v>39</v>
      </c>
    </row>
    <row r="28" spans="2:24" ht="40.15" customHeight="1">
      <c r="B28" s="102"/>
      <c r="C28" s="296"/>
      <c r="D28" s="297"/>
      <c r="E28" s="297"/>
      <c r="F28" s="297"/>
      <c r="G28" s="297"/>
      <c r="H28" s="297"/>
      <c r="I28" s="88"/>
      <c r="J28" s="199"/>
      <c r="K28" s="112">
        <f>J28/4.3</f>
        <v>0</v>
      </c>
      <c r="L28" s="296"/>
      <c r="M28" s="297"/>
      <c r="N28" s="297"/>
      <c r="O28" s="298"/>
      <c r="P28" s="207"/>
      <c r="Q28" s="208"/>
      <c r="R28" s="209"/>
      <c r="S28" s="22"/>
      <c r="T28" s="22"/>
      <c r="U28" s="296"/>
      <c r="V28" s="298"/>
      <c r="W28" s="10"/>
    </row>
    <row r="29" spans="2:24" ht="40.15" customHeight="1">
      <c r="B29" s="102"/>
      <c r="C29" s="296"/>
      <c r="D29" s="297"/>
      <c r="E29" s="297"/>
      <c r="F29" s="297"/>
      <c r="G29" s="297"/>
      <c r="H29" s="297"/>
      <c r="I29" s="88"/>
      <c r="J29" s="199"/>
      <c r="K29" s="112">
        <f t="shared" ref="K29:K47" si="7">J29/4.3</f>
        <v>0</v>
      </c>
      <c r="L29" s="296"/>
      <c r="M29" s="297"/>
      <c r="N29" s="297"/>
      <c r="O29" s="298"/>
      <c r="P29" s="207"/>
      <c r="Q29" s="208"/>
      <c r="R29" s="209"/>
      <c r="S29" s="22"/>
      <c r="T29" s="22"/>
      <c r="U29" s="296"/>
      <c r="V29" s="298"/>
      <c r="W29" s="10"/>
    </row>
    <row r="30" spans="2:24" ht="40.15" customHeight="1">
      <c r="B30" s="102"/>
      <c r="C30" s="296"/>
      <c r="D30" s="297"/>
      <c r="E30" s="297"/>
      <c r="F30" s="297"/>
      <c r="G30" s="297"/>
      <c r="H30" s="297"/>
      <c r="I30" s="88"/>
      <c r="J30" s="199"/>
      <c r="K30" s="112">
        <f t="shared" si="7"/>
        <v>0</v>
      </c>
      <c r="L30" s="296"/>
      <c r="M30" s="297"/>
      <c r="N30" s="297"/>
      <c r="O30" s="298"/>
      <c r="P30" s="207"/>
      <c r="Q30" s="208"/>
      <c r="R30" s="209"/>
      <c r="S30" s="22"/>
      <c r="T30" s="22"/>
      <c r="U30" s="296"/>
      <c r="V30" s="298"/>
      <c r="W30" s="10"/>
    </row>
    <row r="31" spans="2:24" ht="40.15" customHeight="1">
      <c r="B31" s="102"/>
      <c r="C31" s="296"/>
      <c r="D31" s="297"/>
      <c r="E31" s="297"/>
      <c r="F31" s="297"/>
      <c r="G31" s="297"/>
      <c r="H31" s="297"/>
      <c r="I31" s="88"/>
      <c r="J31" s="199"/>
      <c r="K31" s="112">
        <f t="shared" si="7"/>
        <v>0</v>
      </c>
      <c r="L31" s="296"/>
      <c r="M31" s="297"/>
      <c r="N31" s="297"/>
      <c r="O31" s="298"/>
      <c r="P31" s="296"/>
      <c r="Q31" s="297"/>
      <c r="R31" s="298"/>
      <c r="S31" s="22"/>
      <c r="T31" s="22"/>
      <c r="U31" s="296"/>
      <c r="V31" s="298"/>
      <c r="W31" s="10"/>
    </row>
    <row r="32" spans="2:24" ht="40.15" customHeight="1">
      <c r="B32" s="102"/>
      <c r="C32" s="296"/>
      <c r="D32" s="297"/>
      <c r="E32" s="297"/>
      <c r="F32" s="297"/>
      <c r="G32" s="297"/>
      <c r="H32" s="297"/>
      <c r="I32" s="88"/>
      <c r="J32" s="199"/>
      <c r="K32" s="112">
        <f t="shared" si="7"/>
        <v>0</v>
      </c>
      <c r="L32" s="296"/>
      <c r="M32" s="297"/>
      <c r="N32" s="297"/>
      <c r="O32" s="298"/>
      <c r="P32" s="296"/>
      <c r="Q32" s="297"/>
      <c r="R32" s="298"/>
      <c r="S32" s="22"/>
      <c r="T32" s="22"/>
      <c r="U32" s="296"/>
      <c r="V32" s="298"/>
      <c r="W32" s="10"/>
    </row>
    <row r="33" spans="2:23" ht="40.15" customHeight="1">
      <c r="B33" s="102"/>
      <c r="C33" s="296"/>
      <c r="D33" s="297"/>
      <c r="E33" s="297"/>
      <c r="F33" s="297"/>
      <c r="G33" s="297"/>
      <c r="H33" s="297"/>
      <c r="I33" s="88"/>
      <c r="J33" s="200"/>
      <c r="K33" s="112">
        <f t="shared" si="7"/>
        <v>0</v>
      </c>
      <c r="L33" s="299"/>
      <c r="M33" s="226"/>
      <c r="N33" s="226"/>
      <c r="O33" s="227"/>
      <c r="P33" s="299"/>
      <c r="Q33" s="226"/>
      <c r="R33" s="227"/>
      <c r="S33" s="9"/>
      <c r="T33" s="9"/>
      <c r="U33" s="299"/>
      <c r="V33" s="227"/>
      <c r="W33" s="10"/>
    </row>
    <row r="34" spans="2:23" ht="40.15" customHeight="1">
      <c r="B34" s="102"/>
      <c r="C34" s="296"/>
      <c r="D34" s="297"/>
      <c r="E34" s="297"/>
      <c r="F34" s="297"/>
      <c r="G34" s="297"/>
      <c r="H34" s="297"/>
      <c r="I34" s="88"/>
      <c r="J34" s="200"/>
      <c r="K34" s="112">
        <f t="shared" si="7"/>
        <v>0</v>
      </c>
      <c r="L34" s="299"/>
      <c r="M34" s="226"/>
      <c r="N34" s="226"/>
      <c r="O34" s="227"/>
      <c r="P34" s="299"/>
      <c r="Q34" s="226"/>
      <c r="R34" s="227"/>
      <c r="S34" s="9"/>
      <c r="T34" s="9"/>
      <c r="U34" s="299"/>
      <c r="V34" s="227"/>
      <c r="W34" s="10"/>
    </row>
    <row r="35" spans="2:23" ht="40.15" customHeight="1">
      <c r="B35" s="102"/>
      <c r="C35" s="296"/>
      <c r="D35" s="297"/>
      <c r="E35" s="297"/>
      <c r="F35" s="297"/>
      <c r="G35" s="297"/>
      <c r="H35" s="297"/>
      <c r="I35" s="88"/>
      <c r="J35" s="200"/>
      <c r="K35" s="112">
        <f t="shared" si="7"/>
        <v>0</v>
      </c>
      <c r="L35" s="299"/>
      <c r="M35" s="226"/>
      <c r="N35" s="226"/>
      <c r="O35" s="227"/>
      <c r="P35" s="299"/>
      <c r="Q35" s="226"/>
      <c r="R35" s="227"/>
      <c r="S35" s="9"/>
      <c r="T35" s="9"/>
      <c r="U35" s="299"/>
      <c r="V35" s="227"/>
      <c r="W35" s="10"/>
    </row>
    <row r="36" spans="2:23" ht="40.15" customHeight="1">
      <c r="B36" s="102"/>
      <c r="C36" s="296"/>
      <c r="D36" s="297"/>
      <c r="E36" s="297"/>
      <c r="F36" s="297"/>
      <c r="G36" s="297"/>
      <c r="H36" s="297"/>
      <c r="I36" s="88"/>
      <c r="J36" s="200"/>
      <c r="K36" s="112">
        <f t="shared" si="7"/>
        <v>0</v>
      </c>
      <c r="L36" s="301"/>
      <c r="M36" s="302"/>
      <c r="N36" s="302"/>
      <c r="O36" s="244"/>
      <c r="P36" s="213"/>
      <c r="Q36" s="213"/>
      <c r="R36" s="213"/>
      <c r="S36" s="9"/>
      <c r="T36" s="9"/>
      <c r="U36" s="299"/>
      <c r="V36" s="227"/>
      <c r="W36" s="10"/>
    </row>
    <row r="37" spans="2:23" ht="40.15" customHeight="1">
      <c r="B37" s="102"/>
      <c r="C37" s="296"/>
      <c r="D37" s="297"/>
      <c r="E37" s="297"/>
      <c r="F37" s="297"/>
      <c r="G37" s="297"/>
      <c r="H37" s="297"/>
      <c r="I37" s="88"/>
      <c r="J37" s="199"/>
      <c r="K37" s="112">
        <f t="shared" si="7"/>
        <v>0</v>
      </c>
      <c r="L37" s="296"/>
      <c r="M37" s="297"/>
      <c r="N37" s="297"/>
      <c r="O37" s="298"/>
      <c r="P37" s="207"/>
      <c r="Q37" s="208"/>
      <c r="R37" s="209"/>
      <c r="S37" s="22"/>
      <c r="T37" s="22"/>
      <c r="U37" s="296"/>
      <c r="V37" s="298"/>
      <c r="W37" s="10"/>
    </row>
    <row r="38" spans="2:23" ht="40.15" customHeight="1" outlineLevel="1">
      <c r="B38" s="82"/>
      <c r="C38" s="296"/>
      <c r="D38" s="297"/>
      <c r="E38" s="297"/>
      <c r="F38" s="297"/>
      <c r="G38" s="297"/>
      <c r="H38" s="297"/>
      <c r="I38" s="88"/>
      <c r="J38" s="199"/>
      <c r="K38" s="112">
        <f t="shared" si="7"/>
        <v>0</v>
      </c>
      <c r="L38" s="296"/>
      <c r="M38" s="297"/>
      <c r="N38" s="297"/>
      <c r="O38" s="298"/>
      <c r="P38" s="296"/>
      <c r="Q38" s="297"/>
      <c r="R38" s="298"/>
      <c r="S38" s="22"/>
      <c r="T38" s="22"/>
      <c r="U38" s="296"/>
      <c r="V38" s="298"/>
      <c r="W38" s="10"/>
    </row>
    <row r="39" spans="2:23" ht="40.15" customHeight="1" outlineLevel="1">
      <c r="B39" s="82"/>
      <c r="C39" s="296"/>
      <c r="D39" s="297"/>
      <c r="E39" s="297"/>
      <c r="F39" s="297"/>
      <c r="G39" s="297"/>
      <c r="H39" s="297"/>
      <c r="I39" s="88"/>
      <c r="J39" s="200"/>
      <c r="K39" s="112">
        <f t="shared" si="7"/>
        <v>0</v>
      </c>
      <c r="L39" s="299"/>
      <c r="M39" s="226"/>
      <c r="N39" s="226"/>
      <c r="O39" s="227"/>
      <c r="P39" s="299"/>
      <c r="Q39" s="226"/>
      <c r="R39" s="227"/>
      <c r="S39" s="9"/>
      <c r="T39" s="9"/>
      <c r="U39" s="299"/>
      <c r="V39" s="227"/>
      <c r="W39" s="10"/>
    </row>
    <row r="40" spans="2:23" ht="40.15" customHeight="1" outlineLevel="1">
      <c r="B40" s="82"/>
      <c r="C40" s="296"/>
      <c r="D40" s="297"/>
      <c r="E40" s="297"/>
      <c r="F40" s="297"/>
      <c r="G40" s="297"/>
      <c r="H40" s="297"/>
      <c r="I40" s="88"/>
      <c r="J40" s="200"/>
      <c r="K40" s="112">
        <f t="shared" si="7"/>
        <v>0</v>
      </c>
      <c r="L40" s="299"/>
      <c r="M40" s="226"/>
      <c r="N40" s="226"/>
      <c r="O40" s="227"/>
      <c r="P40" s="299"/>
      <c r="Q40" s="226"/>
      <c r="R40" s="227"/>
      <c r="S40" s="9"/>
      <c r="T40" s="9"/>
      <c r="U40" s="299"/>
      <c r="V40" s="227"/>
      <c r="W40" s="10"/>
    </row>
    <row r="41" spans="2:23" ht="40.15" customHeight="1" outlineLevel="1">
      <c r="B41" s="82"/>
      <c r="C41" s="296"/>
      <c r="D41" s="297"/>
      <c r="E41" s="297"/>
      <c r="F41" s="297"/>
      <c r="G41" s="297"/>
      <c r="H41" s="297"/>
      <c r="I41" s="88"/>
      <c r="J41" s="200"/>
      <c r="K41" s="112">
        <f t="shared" si="7"/>
        <v>0</v>
      </c>
      <c r="L41" s="299"/>
      <c r="M41" s="226"/>
      <c r="N41" s="226"/>
      <c r="O41" s="227"/>
      <c r="P41" s="299"/>
      <c r="Q41" s="226"/>
      <c r="R41" s="227"/>
      <c r="S41" s="9"/>
      <c r="T41" s="9"/>
      <c r="U41" s="299"/>
      <c r="V41" s="227"/>
      <c r="W41" s="10"/>
    </row>
    <row r="42" spans="2:23" ht="40.15" customHeight="1" outlineLevel="1">
      <c r="B42" s="82"/>
      <c r="C42" s="296"/>
      <c r="D42" s="297"/>
      <c r="E42" s="297"/>
      <c r="F42" s="297"/>
      <c r="G42" s="297"/>
      <c r="H42" s="297"/>
      <c r="I42" s="88"/>
      <c r="J42" s="200"/>
      <c r="K42" s="112">
        <f t="shared" si="7"/>
        <v>0</v>
      </c>
      <c r="L42" s="301"/>
      <c r="M42" s="302"/>
      <c r="N42" s="302"/>
      <c r="O42" s="244"/>
      <c r="P42" s="213"/>
      <c r="Q42" s="213"/>
      <c r="R42" s="213"/>
      <c r="S42" s="9"/>
      <c r="T42" s="9"/>
      <c r="U42" s="299"/>
      <c r="V42" s="227"/>
      <c r="W42" s="10"/>
    </row>
    <row r="43" spans="2:23" ht="40.15" customHeight="1" outlineLevel="1">
      <c r="B43" s="82"/>
      <c r="C43" s="296"/>
      <c r="D43" s="297"/>
      <c r="E43" s="297"/>
      <c r="F43" s="297"/>
      <c r="G43" s="297"/>
      <c r="H43" s="297"/>
      <c r="I43" s="88"/>
      <c r="J43" s="199"/>
      <c r="K43" s="112">
        <f t="shared" si="7"/>
        <v>0</v>
      </c>
      <c r="L43" s="296"/>
      <c r="M43" s="297"/>
      <c r="N43" s="297"/>
      <c r="O43" s="298"/>
      <c r="P43" s="296"/>
      <c r="Q43" s="297"/>
      <c r="R43" s="298"/>
      <c r="S43" s="22"/>
      <c r="T43" s="22"/>
      <c r="U43" s="296"/>
      <c r="V43" s="298"/>
      <c r="W43" s="10"/>
    </row>
    <row r="44" spans="2:23" ht="40.15" customHeight="1" outlineLevel="1">
      <c r="B44" s="82"/>
      <c r="C44" s="296"/>
      <c r="D44" s="297"/>
      <c r="E44" s="297"/>
      <c r="F44" s="297"/>
      <c r="G44" s="297"/>
      <c r="H44" s="297"/>
      <c r="I44" s="88"/>
      <c r="J44" s="200"/>
      <c r="K44" s="112">
        <f t="shared" si="7"/>
        <v>0</v>
      </c>
      <c r="L44" s="299"/>
      <c r="M44" s="226"/>
      <c r="N44" s="226"/>
      <c r="O44" s="227"/>
      <c r="P44" s="299"/>
      <c r="Q44" s="226"/>
      <c r="R44" s="227"/>
      <c r="S44" s="9"/>
      <c r="T44" s="9"/>
      <c r="U44" s="299"/>
      <c r="V44" s="227"/>
      <c r="W44" s="10"/>
    </row>
    <row r="45" spans="2:23" ht="40.15" customHeight="1" outlineLevel="1">
      <c r="B45" s="82"/>
      <c r="C45" s="296"/>
      <c r="D45" s="297"/>
      <c r="E45" s="297"/>
      <c r="F45" s="297"/>
      <c r="G45" s="297"/>
      <c r="H45" s="297"/>
      <c r="I45" s="88"/>
      <c r="J45" s="200"/>
      <c r="K45" s="112">
        <f t="shared" si="7"/>
        <v>0</v>
      </c>
      <c r="L45" s="299"/>
      <c r="M45" s="226"/>
      <c r="N45" s="226"/>
      <c r="O45" s="227"/>
      <c r="P45" s="299"/>
      <c r="Q45" s="226"/>
      <c r="R45" s="227"/>
      <c r="S45" s="9"/>
      <c r="T45" s="9"/>
      <c r="U45" s="299"/>
      <c r="V45" s="227"/>
      <c r="W45" s="10"/>
    </row>
    <row r="46" spans="2:23" ht="40.15" customHeight="1" outlineLevel="1">
      <c r="B46" s="82"/>
      <c r="C46" s="296"/>
      <c r="D46" s="297"/>
      <c r="E46" s="297"/>
      <c r="F46" s="297"/>
      <c r="G46" s="297"/>
      <c r="H46" s="297"/>
      <c r="I46" s="88"/>
      <c r="J46" s="200"/>
      <c r="K46" s="112">
        <f t="shared" si="7"/>
        <v>0</v>
      </c>
      <c r="L46" s="299"/>
      <c r="M46" s="226"/>
      <c r="N46" s="226"/>
      <c r="O46" s="227"/>
      <c r="P46" s="299"/>
      <c r="Q46" s="226"/>
      <c r="R46" s="227"/>
      <c r="S46" s="9"/>
      <c r="T46" s="9"/>
      <c r="U46" s="299"/>
      <c r="V46" s="227"/>
      <c r="W46" s="10"/>
    </row>
    <row r="47" spans="2:23" ht="40.15" customHeight="1" outlineLevel="1">
      <c r="B47" s="82"/>
      <c r="C47" s="296"/>
      <c r="D47" s="297"/>
      <c r="E47" s="297"/>
      <c r="F47" s="297"/>
      <c r="G47" s="297"/>
      <c r="H47" s="297"/>
      <c r="I47" s="88"/>
      <c r="J47" s="200"/>
      <c r="K47" s="112">
        <f t="shared" si="7"/>
        <v>0</v>
      </c>
      <c r="L47" s="301"/>
      <c r="M47" s="302"/>
      <c r="N47" s="302"/>
      <c r="O47" s="244"/>
      <c r="P47" s="213"/>
      <c r="Q47" s="213"/>
      <c r="R47" s="213"/>
      <c r="S47" s="9"/>
      <c r="T47" s="9"/>
      <c r="U47" s="299"/>
      <c r="V47" s="227"/>
      <c r="W47" s="10"/>
    </row>
    <row r="48" spans="2:23" ht="29.25" customHeight="1"/>
    <row r="49" spans="2:23" ht="16.5" thickBot="1">
      <c r="C49" s="153" t="s">
        <v>69</v>
      </c>
    </row>
    <row r="50" spans="2:23" s="36" customFormat="1" ht="25.5" customHeight="1" thickBot="1">
      <c r="C50" s="224" t="s">
        <v>41</v>
      </c>
      <c r="D50" s="225"/>
      <c r="E50" s="154">
        <v>1</v>
      </c>
      <c r="F50" s="154">
        <v>2</v>
      </c>
      <c r="G50" s="154">
        <v>3</v>
      </c>
      <c r="H50" s="154">
        <v>4</v>
      </c>
      <c r="I50" s="154">
        <v>5</v>
      </c>
      <c r="J50" s="154">
        <v>6</v>
      </c>
      <c r="K50" s="154">
        <v>7</v>
      </c>
      <c r="L50" s="154">
        <v>8</v>
      </c>
      <c r="M50" s="154">
        <v>9</v>
      </c>
      <c r="N50" s="154">
        <v>10</v>
      </c>
      <c r="O50" s="155">
        <v>11</v>
      </c>
      <c r="P50"/>
      <c r="Q50"/>
      <c r="R50"/>
      <c r="S50"/>
      <c r="T50"/>
      <c r="U50"/>
      <c r="V50"/>
    </row>
    <row r="51" spans="2:23" s="36" customFormat="1" ht="40.5" customHeight="1" thickBot="1">
      <c r="C51" s="219" t="s">
        <v>42</v>
      </c>
      <c r="D51" s="220"/>
      <c r="E51" s="156" t="s">
        <v>71</v>
      </c>
      <c r="F51" s="157" t="s">
        <v>43</v>
      </c>
      <c r="G51" s="157" t="s">
        <v>44</v>
      </c>
      <c r="H51" s="158" t="s">
        <v>45</v>
      </c>
      <c r="I51" s="157" t="s">
        <v>46</v>
      </c>
      <c r="J51" s="157" t="s">
        <v>47</v>
      </c>
      <c r="K51" s="157" t="s">
        <v>48</v>
      </c>
      <c r="L51" s="158" t="s">
        <v>72</v>
      </c>
      <c r="M51" s="157" t="s">
        <v>49</v>
      </c>
      <c r="N51" s="157" t="s">
        <v>73</v>
      </c>
      <c r="O51" s="176" t="s">
        <v>74</v>
      </c>
      <c r="P51" s="191" t="s">
        <v>50</v>
      </c>
      <c r="Q51" s="319" t="s">
        <v>70</v>
      </c>
      <c r="R51" s="320"/>
      <c r="S51" s="320"/>
      <c r="T51" s="320"/>
      <c r="U51" s="320"/>
      <c r="V51" s="320"/>
      <c r="W51" s="321"/>
    </row>
    <row r="52" spans="2:23" s="36" customFormat="1" ht="30" customHeight="1">
      <c r="B52" s="307" t="s">
        <v>75</v>
      </c>
      <c r="C52" s="310" t="str">
        <f>C8</f>
        <v>Rr Sus 51206</v>
      </c>
      <c r="D52" s="311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73"/>
      <c r="P52" s="192">
        <f>SUM(E52:O52)</f>
        <v>0</v>
      </c>
      <c r="Q52" s="313"/>
      <c r="R52" s="314"/>
      <c r="S52" s="314"/>
      <c r="T52" s="314"/>
      <c r="U52" s="314"/>
      <c r="V52" s="314"/>
      <c r="W52" s="315"/>
    </row>
    <row r="53" spans="2:23" s="36" customFormat="1" ht="30" customHeight="1">
      <c r="B53" s="308"/>
      <c r="C53" s="303" t="str">
        <f t="shared" ref="C53:C58" si="8">C9</f>
        <v>Fr lwr arm 48068/9</v>
      </c>
      <c r="D53" s="304"/>
      <c r="E53" s="201"/>
      <c r="F53" s="19"/>
      <c r="G53" s="19"/>
      <c r="H53" s="19"/>
      <c r="I53" s="19"/>
      <c r="J53" s="19"/>
      <c r="K53" s="19"/>
      <c r="L53" s="19"/>
      <c r="M53" s="19"/>
      <c r="N53" s="19"/>
      <c r="O53" s="174"/>
      <c r="P53" s="193">
        <f t="shared" ref="P53:P58" si="9">SUM(E53:O53)</f>
        <v>0</v>
      </c>
      <c r="Q53" s="216"/>
      <c r="R53" s="213"/>
      <c r="S53" s="213"/>
      <c r="T53" s="213"/>
      <c r="U53" s="213"/>
      <c r="V53" s="213"/>
      <c r="W53" s="312"/>
    </row>
    <row r="54" spans="2:23" s="36" customFormat="1" ht="30" customHeight="1">
      <c r="B54" s="308"/>
      <c r="C54" s="303" t="str">
        <f t="shared" si="8"/>
        <v>OA Cowl 55701</v>
      </c>
      <c r="D54" s="304"/>
      <c r="E54" s="201"/>
      <c r="F54" s="19"/>
      <c r="G54" s="19">
        <v>2</v>
      </c>
      <c r="H54" s="19"/>
      <c r="I54" s="19"/>
      <c r="J54" s="19"/>
      <c r="K54" s="19"/>
      <c r="L54" s="19"/>
      <c r="M54" s="19"/>
      <c r="N54" s="19"/>
      <c r="O54" s="174">
        <v>6</v>
      </c>
      <c r="P54" s="193">
        <f t="shared" si="9"/>
        <v>8</v>
      </c>
      <c r="Q54" s="216" t="s">
        <v>229</v>
      </c>
      <c r="R54" s="213"/>
      <c r="S54" s="213"/>
      <c r="T54" s="213"/>
      <c r="U54" s="213"/>
      <c r="V54" s="213"/>
      <c r="W54" s="312"/>
    </row>
    <row r="55" spans="2:23" s="36" customFormat="1" ht="30" customHeight="1">
      <c r="B55" s="308"/>
      <c r="C55" s="303" t="str">
        <f t="shared" si="8"/>
        <v>Rear arm 48730</v>
      </c>
      <c r="D55" s="304"/>
      <c r="E55" s="202"/>
      <c r="F55" s="203"/>
      <c r="G55" s="203"/>
      <c r="H55" s="203"/>
      <c r="I55" s="203"/>
      <c r="J55" s="203"/>
      <c r="K55" s="203"/>
      <c r="L55" s="203"/>
      <c r="M55" s="203"/>
      <c r="N55" s="203"/>
      <c r="O55" s="204"/>
      <c r="P55" s="193">
        <f t="shared" si="9"/>
        <v>0</v>
      </c>
      <c r="Q55" s="216"/>
      <c r="R55" s="213"/>
      <c r="S55" s="213"/>
      <c r="T55" s="213"/>
      <c r="U55" s="213"/>
      <c r="V55" s="213"/>
      <c r="W55" s="312"/>
    </row>
    <row r="56" spans="2:23" s="36" customFormat="1" ht="30" customHeight="1">
      <c r="B56" s="308"/>
      <c r="C56" s="303" t="str">
        <f t="shared" si="8"/>
        <v>Fr sus 51201</v>
      </c>
      <c r="D56" s="304"/>
      <c r="E56" s="202"/>
      <c r="F56" s="203"/>
      <c r="G56" s="203"/>
      <c r="H56" s="203"/>
      <c r="I56" s="203"/>
      <c r="J56" s="203"/>
      <c r="K56" s="203"/>
      <c r="L56" s="203"/>
      <c r="M56" s="203"/>
      <c r="N56" s="203"/>
      <c r="O56" s="204"/>
      <c r="P56" s="193">
        <f t="shared" si="9"/>
        <v>0</v>
      </c>
      <c r="Q56" s="216"/>
      <c r="R56" s="213"/>
      <c r="S56" s="213"/>
      <c r="T56" s="213"/>
      <c r="U56" s="213"/>
      <c r="V56" s="213"/>
      <c r="W56" s="312"/>
    </row>
    <row r="57" spans="2:23" s="36" customFormat="1" ht="30" customHeight="1">
      <c r="B57" s="308"/>
      <c r="C57" s="303" t="str">
        <f t="shared" si="8"/>
        <v>Rear Beam 42110 177D</v>
      </c>
      <c r="D57" s="304"/>
      <c r="E57" s="202"/>
      <c r="F57" s="203"/>
      <c r="G57" s="203"/>
      <c r="H57" s="203"/>
      <c r="I57" s="203"/>
      <c r="J57" s="203"/>
      <c r="K57" s="203"/>
      <c r="L57" s="203"/>
      <c r="M57" s="203"/>
      <c r="N57" s="203"/>
      <c r="O57" s="204"/>
      <c r="P57" s="193">
        <f t="shared" si="9"/>
        <v>0</v>
      </c>
      <c r="Q57" s="216"/>
      <c r="R57" s="213"/>
      <c r="S57" s="213"/>
      <c r="T57" s="213"/>
      <c r="U57" s="213"/>
      <c r="V57" s="213"/>
      <c r="W57" s="312"/>
    </row>
    <row r="58" spans="2:23" s="36" customFormat="1" ht="30" customHeight="1" thickBot="1">
      <c r="B58" s="309"/>
      <c r="C58" s="305" t="str">
        <f t="shared" si="8"/>
        <v>Rear Beam 42110 890B</v>
      </c>
      <c r="D58" s="306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175"/>
      <c r="P58" s="194">
        <f t="shared" si="9"/>
        <v>0</v>
      </c>
      <c r="Q58" s="322"/>
      <c r="R58" s="323"/>
      <c r="S58" s="323"/>
      <c r="T58" s="323"/>
      <c r="U58" s="323"/>
      <c r="V58" s="323"/>
      <c r="W58" s="324"/>
    </row>
    <row r="60" spans="2:23" ht="21" customHeight="1">
      <c r="B60" s="34"/>
      <c r="C60" s="290" t="s">
        <v>29</v>
      </c>
      <c r="D60" s="290"/>
      <c r="E60" s="290"/>
      <c r="F60" s="290"/>
      <c r="G60" s="290" t="s">
        <v>30</v>
      </c>
      <c r="H60" s="290"/>
      <c r="I60" s="290"/>
      <c r="L60" s="316" t="s">
        <v>31</v>
      </c>
      <c r="M60" s="317"/>
      <c r="N60" s="317"/>
      <c r="O60" s="318"/>
      <c r="P60" s="39"/>
      <c r="Q60" s="39"/>
      <c r="R60" s="39"/>
      <c r="S60" s="39"/>
      <c r="T60" s="40"/>
    </row>
    <row r="61" spans="2:23" ht="21" customHeight="1">
      <c r="B61" s="34" t="s">
        <v>76</v>
      </c>
      <c r="C61" s="300"/>
      <c r="D61" s="300"/>
      <c r="E61" s="300"/>
      <c r="F61" s="300"/>
      <c r="G61" s="300"/>
      <c r="H61" s="300"/>
      <c r="I61" s="300"/>
      <c r="L61" s="41"/>
      <c r="M61" s="42"/>
      <c r="N61" s="42"/>
      <c r="P61" s="42"/>
      <c r="Q61" s="42"/>
      <c r="R61" s="42"/>
      <c r="S61" s="42"/>
      <c r="T61" s="43"/>
    </row>
    <row r="62" spans="2:23" ht="21" customHeight="1">
      <c r="B62" s="34"/>
      <c r="C62" s="300"/>
      <c r="D62" s="300"/>
      <c r="E62" s="300"/>
      <c r="F62" s="300"/>
      <c r="G62" s="300"/>
      <c r="H62" s="300"/>
      <c r="I62" s="300"/>
      <c r="L62" s="41"/>
      <c r="M62" s="42"/>
      <c r="N62" s="42"/>
      <c r="O62" s="42"/>
      <c r="P62" s="42"/>
      <c r="Q62" s="42"/>
      <c r="R62" s="42"/>
      <c r="S62" s="42"/>
      <c r="T62" s="43"/>
    </row>
    <row r="63" spans="2:23" ht="9" customHeight="1">
      <c r="L63" s="41"/>
      <c r="M63" s="42"/>
      <c r="N63" s="42"/>
      <c r="O63" s="42"/>
      <c r="P63" s="42"/>
      <c r="Q63" s="42"/>
      <c r="R63" s="42"/>
      <c r="S63" s="42"/>
      <c r="T63" s="43"/>
    </row>
    <row r="64" spans="2:23" ht="21" customHeight="1">
      <c r="B64" s="44" t="s">
        <v>32</v>
      </c>
      <c r="C64" s="45"/>
      <c r="D64" s="37"/>
      <c r="E64" s="37"/>
      <c r="F64" s="38"/>
      <c r="L64" s="41"/>
      <c r="M64" s="42"/>
      <c r="N64" s="42"/>
      <c r="O64" s="42"/>
      <c r="P64" s="42"/>
      <c r="Q64" s="42"/>
      <c r="R64" s="42"/>
      <c r="S64" s="42"/>
      <c r="T64" s="43"/>
    </row>
    <row r="65" spans="2:20" ht="21" customHeight="1">
      <c r="B65" s="34" t="s">
        <v>76</v>
      </c>
      <c r="C65" s="300"/>
      <c r="D65" s="300"/>
      <c r="E65" s="300"/>
      <c r="F65" s="300"/>
      <c r="L65" s="41"/>
      <c r="M65" s="42"/>
      <c r="N65" s="42"/>
      <c r="O65" s="42"/>
      <c r="P65" s="42"/>
      <c r="Q65" s="42"/>
      <c r="R65" s="42"/>
      <c r="S65" s="42"/>
      <c r="T65" s="43"/>
    </row>
    <row r="66" spans="2:20" ht="21" customHeight="1">
      <c r="B66" s="34"/>
      <c r="C66" s="300"/>
      <c r="D66" s="300"/>
      <c r="E66" s="300"/>
      <c r="F66" s="300"/>
      <c r="L66" s="46"/>
      <c r="M66" s="47"/>
      <c r="N66" s="47"/>
      <c r="O66" s="47"/>
      <c r="P66" s="47"/>
      <c r="Q66" s="47"/>
      <c r="R66" s="47"/>
      <c r="S66" s="47"/>
      <c r="T66" s="48"/>
    </row>
  </sheetData>
  <sheetProtection algorithmName="SHA-512" hashValue="vb+xigheCvLzahHdZid8iT3nbDIFOWcKf5MPmgU3Yk+tStGRNiJ2tgXCkd2Nb30ae/0q8/ARhDVGhXbwhR9ATg==" saltValue="wnhOMbH7vSRMdU0rQTjBLQ==" spinCount="100000" sheet="1" objects="1" scenarios="1" selectLockedCells="1"/>
  <mergeCells count="145"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P6:Q6"/>
    <mergeCell ref="R6:R7"/>
    <mergeCell ref="T6:U6"/>
    <mergeCell ref="L6:L7"/>
    <mergeCell ref="V6:W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B2:C2"/>
    <mergeCell ref="B3:C3"/>
    <mergeCell ref="C10:E10"/>
    <mergeCell ref="C11:E11"/>
    <mergeCell ref="C12:E12"/>
    <mergeCell ref="C15:E15"/>
    <mergeCell ref="C8:E8"/>
    <mergeCell ref="C9:E9"/>
    <mergeCell ref="B6:B7"/>
    <mergeCell ref="C6:E7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9FB3A249-82D1-45F5-84FD-0EB099525E59}">
      <formula1>"Equipment, Quality, Man,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7CB-85CB-486F-9E5B-BC45C21DD1B3}">
  <dimension ref="A1:N64"/>
  <sheetViews>
    <sheetView workbookViewId="0">
      <selection activeCell="E23" sqref="E23"/>
    </sheetView>
  </sheetViews>
  <sheetFormatPr defaultRowHeight="13.5"/>
  <cols>
    <col min="1" max="1" width="10.375" bestFit="1" customWidth="1"/>
    <col min="2" max="2" width="15.125" bestFit="1" customWidth="1"/>
    <col min="3" max="3" width="12" bestFit="1" customWidth="1"/>
    <col min="4" max="4" width="10.5" bestFit="1" customWidth="1"/>
    <col min="5" max="5" width="11.75" bestFit="1" customWidth="1"/>
    <col min="6" max="6" width="10" bestFit="1" customWidth="1"/>
    <col min="7" max="7" width="11.875" customWidth="1"/>
    <col min="8" max="8" width="11" bestFit="1" customWidth="1"/>
    <col min="11" max="11" width="22.5" bestFit="1" customWidth="1"/>
    <col min="12" max="12" width="41.125" bestFit="1" customWidth="1"/>
  </cols>
  <sheetData>
    <row r="1" spans="1:14" ht="15" thickBot="1">
      <c r="A1" s="126" t="s">
        <v>213</v>
      </c>
      <c r="B1" s="127" t="s">
        <v>192</v>
      </c>
      <c r="C1" s="127" t="s">
        <v>209</v>
      </c>
      <c r="D1" s="127" t="s">
        <v>210</v>
      </c>
      <c r="E1" s="127" t="s">
        <v>211</v>
      </c>
      <c r="F1" s="127" t="s">
        <v>86</v>
      </c>
      <c r="G1" s="128" t="s">
        <v>212</v>
      </c>
      <c r="I1" s="325" t="s">
        <v>214</v>
      </c>
      <c r="J1" s="326"/>
      <c r="K1" s="326"/>
      <c r="L1" s="326"/>
      <c r="M1" s="326"/>
      <c r="N1" s="327"/>
    </row>
    <row r="2" spans="1:14" ht="14.25" thickBot="1">
      <c r="A2" s="108" t="s">
        <v>123</v>
      </c>
      <c r="B2" s="84" t="str">
        <f>TRIM(LEFT('UW(New)'!C8,LEN('UW(New)'!C8)-6))</f>
        <v>Rr Sus</v>
      </c>
      <c r="C2" s="129">
        <f>'UW(New)'!Y8</f>
        <v>0.74571428571428566</v>
      </c>
      <c r="D2" s="130">
        <f>'UW(New)'!H8</f>
        <v>60</v>
      </c>
      <c r="E2" s="131">
        <f>'UW(New)'!J8</f>
        <v>4.1666666666666664E-2</v>
      </c>
      <c r="F2" s="132">
        <f>'UW(New)'!V8</f>
        <v>0</v>
      </c>
      <c r="G2" s="133">
        <f>'UW(New)'!P42</f>
        <v>0</v>
      </c>
      <c r="I2" s="114" t="s">
        <v>215</v>
      </c>
      <c r="J2" s="115" t="s">
        <v>157</v>
      </c>
      <c r="K2" s="119" t="s">
        <v>216</v>
      </c>
      <c r="L2" s="119" t="s">
        <v>217</v>
      </c>
      <c r="M2" s="116" t="s">
        <v>218</v>
      </c>
      <c r="N2" s="117" t="s">
        <v>220</v>
      </c>
    </row>
    <row r="3" spans="1:14">
      <c r="A3" s="108" t="s">
        <v>123</v>
      </c>
      <c r="B3" s="84" t="str">
        <f>TRIM(LEFT('UW(New)'!C9,LEN('UW(New)'!C9)-6))</f>
        <v>Fr sus</v>
      </c>
      <c r="C3" s="129">
        <f>'UW(New)'!Y9</f>
        <v>0.99310344827586206</v>
      </c>
      <c r="D3" s="130">
        <f>'UW(New)'!H9</f>
        <v>360</v>
      </c>
      <c r="E3" s="131">
        <f>'UW(New)'!J9</f>
        <v>0.14166666666666666</v>
      </c>
      <c r="F3" s="132">
        <f>'UW(New)'!V9</f>
        <v>0</v>
      </c>
      <c r="G3" s="133">
        <f>'UW(New)'!P43</f>
        <v>0</v>
      </c>
      <c r="I3" s="120" t="str" cm="1">
        <f t="array" aca="1" ref="I3" ca="1">TRIM(IF(INDIRECT("'UW(New)'!B"&amp;A38)=0,"",INDIRECT("'UW(New)'!B"&amp;A38)))</f>
        <v>FLA</v>
      </c>
      <c r="J3" s="118" t="str" cm="1">
        <f t="array" aca="1" ref="J3" ca="1">TRIM(IF(INDIRECT("'UW(New)'!C"&amp;A38)=0,"",INDIRECT("'UW(New)'!C"&amp;A38)))</f>
        <v>ALL</v>
      </c>
      <c r="K3" s="118" t="str" cm="1">
        <f t="array" aca="1" ref="K3" ca="1">TRIM(IF(INDIRECT("'UW(New)'!E"&amp;A38)=0,"",INDIRECT("'UW(New)'!E"&amp;A38)))</f>
        <v>Planned stop</v>
      </c>
      <c r="L3" s="118" t="str" cm="1">
        <f t="array" aca="1" ref="L3" ca="1">TRIM(IF(INDIRECT("'UW(New)'!l"&amp;A38)=0,"",INDIRECT("'UW(New)'!l"&amp;A38)))</f>
        <v>Nozzle clean/Tip change</v>
      </c>
      <c r="M3" s="118" t="str" cm="1">
        <f t="array" aca="1" ref="M3" ca="1">TRIM(IF(INDIRECT("'UW(New)'!J"&amp;A38)=0,"",INDIRECT("'UW(New)'!J"&amp;A38)))</f>
        <v>24</v>
      </c>
      <c r="N3" s="121" t="str" cm="1">
        <f t="array" aca="1" ref="N3" ca="1">TRIM(IF(INDIRECT("'UW(New)'!D"&amp;A38)=0,"",INDIRECT("'UW(New)'!D"&amp;A38)))</f>
        <v>Equipment</v>
      </c>
    </row>
    <row r="4" spans="1:14">
      <c r="A4" s="108" t="s">
        <v>123</v>
      </c>
      <c r="B4" s="84" t="str">
        <f>TRIM(LEFT('UW(New)'!C10,LEN('UW(New)'!C10)-6))</f>
        <v>OA Cowl</v>
      </c>
      <c r="C4" s="129">
        <f>'UW(New)'!Y10</f>
        <v>1</v>
      </c>
      <c r="D4" s="130">
        <f>'UW(New)'!H10</f>
        <v>384</v>
      </c>
      <c r="E4" s="131">
        <f>'UW(New)'!J10</f>
        <v>0.14027777777777778</v>
      </c>
      <c r="F4" s="132">
        <f>'UW(New)'!V10</f>
        <v>0</v>
      </c>
      <c r="G4" s="133">
        <f>'UW(New)'!P44</f>
        <v>0</v>
      </c>
      <c r="I4" s="120" t="str" cm="1">
        <f t="array" aca="1" ref="I4" ca="1">TRIM(IF(INDIRECT("'UW(New)'!B"&amp;A39)=0,"",INDIRECT("'UW(New)'!B"&amp;A39)))</f>
        <v>RS</v>
      </c>
      <c r="J4" s="118" t="str" cm="1">
        <f t="array" aca="1" ref="J4" ca="1">TRIM(IF(INDIRECT("'UW(New)'!C"&amp;A39)=0,"",INDIRECT("'UW(New)'!C"&amp;A39)))</f>
        <v>ALL</v>
      </c>
      <c r="K4" s="118" t="str" cm="1">
        <f t="array" aca="1" ref="K4" ca="1">TRIM(IF(INDIRECT("'UW(New)'!E"&amp;A39)=0,"",INDIRECT("'UW(New)'!E"&amp;A39)))</f>
        <v>Planned stop</v>
      </c>
      <c r="L4" s="118" t="str" cm="1">
        <f t="array" aca="1" ref="L4" ca="1">TRIM(IF(INDIRECT("'UW(New)'!l"&amp;A39)=0,"",INDIRECT("'UW(New)'!l"&amp;A39)))</f>
        <v>TMs recovered 177D during lunch</v>
      </c>
      <c r="M4" s="118" t="str" cm="1">
        <f t="array" aca="1" ref="M4" ca="1">TRIM(IF(INDIRECT("'UW(New)'!J"&amp;A39)=0,"",INDIRECT("'UW(New)'!J"&amp;A39)))</f>
        <v>45</v>
      </c>
      <c r="N4" s="121" t="str" cm="1">
        <f t="array" aca="1" ref="N4" ca="1">TRIM(IF(INDIRECT("'UW(New)'!D"&amp;A39)=0,"",INDIRECT("'UW(New)'!D"&amp;A39)))</f>
        <v>Other</v>
      </c>
    </row>
    <row r="5" spans="1:14">
      <c r="A5" s="108" t="s">
        <v>123</v>
      </c>
      <c r="B5" s="84" t="str">
        <f>TRIM(LEFT('UW(New)'!C11,LEN('UW(New)'!C11)-8))</f>
        <v>Fr lwr arm</v>
      </c>
      <c r="C5" s="129">
        <f>'UW(New)'!Y11</f>
        <v>0.94736842105263164</v>
      </c>
      <c r="D5" s="130">
        <f>'UW(New)'!H11</f>
        <v>360</v>
      </c>
      <c r="E5" s="131">
        <f>'UW(New)'!J11</f>
        <v>0.16319444444444445</v>
      </c>
      <c r="F5" s="132">
        <f>'UW(New)'!V11</f>
        <v>0</v>
      </c>
      <c r="G5" s="133">
        <f>'UW(New)'!P45</f>
        <v>2</v>
      </c>
      <c r="I5" s="120" t="str" cm="1">
        <f t="array" aca="1" ref="I5" ca="1">TRIM(IF(INDIRECT("'UW(New)'!B"&amp;A40)=0,"",INDIRECT("'UW(New)'!B"&amp;A40)))</f>
        <v>FLA</v>
      </c>
      <c r="J5" s="118" t="str" cm="1">
        <f t="array" aca="1" ref="J5" ca="1">TRIM(IF(INDIRECT("'UW(New)'!C"&amp;A40)=0,"",INDIRECT("'UW(New)'!C"&amp;A40)))</f>
        <v>LH 2ST</v>
      </c>
      <c r="K5" s="118" t="str" cm="1">
        <f t="array" aca="1" ref="K5" ca="1">TRIM(IF(INDIRECT("'UW(New)'!E"&amp;A40)=0,"",INDIRECT("'UW(New)'!E"&amp;A40)))</f>
        <v>wire change</v>
      </c>
      <c r="L5" s="118" t="str" cm="1">
        <f t="array" aca="1" ref="L5" ca="1">TRIM(IF(INDIRECT("'UW(New)'!l"&amp;A40)=0,"",INDIRECT("'UW(New)'!l"&amp;A40)))</f>
        <v>out of wire</v>
      </c>
      <c r="M5" s="118" t="str" cm="1">
        <f t="array" aca="1" ref="M5" ca="1">TRIM(IF(INDIRECT("'UW(New)'!J"&amp;A40)=0,"",INDIRECT("'UW(New)'!J"&amp;A40)))</f>
        <v>15</v>
      </c>
      <c r="N5" s="121" t="str" cm="1">
        <f t="array" aca="1" ref="N5" ca="1">TRIM(IF(INDIRECT("'UW(New)'!D"&amp;A40)=0,"",INDIRECT("'UW(New)'!D"&amp;A40)))</f>
        <v/>
      </c>
    </row>
    <row r="6" spans="1:14">
      <c r="A6" s="108" t="s">
        <v>123</v>
      </c>
      <c r="B6" s="84" t="str">
        <f>TRIM(LEFT('UW(New)'!C12,LEN('UW(New)'!C12)-6))</f>
        <v>Rear arm</v>
      </c>
      <c r="C6" s="129">
        <f>'UW(New)'!Y12</f>
        <v>0.99</v>
      </c>
      <c r="D6" s="130">
        <f>'UW(New)'!H12</f>
        <v>264</v>
      </c>
      <c r="E6" s="131">
        <f>'UW(New)'!J12</f>
        <v>1.0381944444444444</v>
      </c>
      <c r="F6" s="132">
        <f>'UW(New)'!V12</f>
        <v>0</v>
      </c>
      <c r="G6" s="133">
        <f>'UW(New)'!P46</f>
        <v>3</v>
      </c>
      <c r="I6" s="120" t="str" cm="1">
        <f t="array" aca="1" ref="I6" ca="1">TRIM(IF(INDIRECT("'UW(New)'!B"&amp;A41)=0,"",INDIRECT("'UW(New)'!B"&amp;A41)))</f>
        <v/>
      </c>
      <c r="J6" s="118" t="str" cm="1">
        <f t="array" aca="1" ref="J6" ca="1">TRIM(IF(INDIRECT("'UW(New)'!C"&amp;A41)=0,"",INDIRECT("'UW(New)'!C"&amp;A41)))</f>
        <v/>
      </c>
      <c r="K6" s="118" t="str" cm="1">
        <f t="array" aca="1" ref="K6" ca="1">TRIM(IF(INDIRECT("'UW(New)'!E"&amp;A41)=0,"",INDIRECT("'UW(New)'!E"&amp;A41)))</f>
        <v/>
      </c>
      <c r="L6" s="118" t="str" cm="1">
        <f t="array" aca="1" ref="L6" ca="1">TRIM(IF(INDIRECT("'UW(New)'!l"&amp;A41)=0,"",INDIRECT("'UW(New)'!l"&amp;A41)))</f>
        <v/>
      </c>
      <c r="M6" s="118" t="str" cm="1">
        <f t="array" aca="1" ref="M6" ca="1">TRIM(IF(INDIRECT("'UW(New)'!J"&amp;A41)=0,"",INDIRECT("'UW(New)'!J"&amp;A41)))</f>
        <v/>
      </c>
      <c r="N6" s="121" t="str" cm="1">
        <f t="array" aca="1" ref="N6" ca="1">TRIM(IF(INDIRECT("'UW(New)'!D"&amp;A41)=0,"",INDIRECT("'UW(New)'!D"&amp;A41)))</f>
        <v/>
      </c>
    </row>
    <row r="7" spans="1:14">
      <c r="A7" s="108" t="s">
        <v>123</v>
      </c>
      <c r="B7" s="84" t="str">
        <f>TRIM(LEFT('UW(New)'!C13,LEN('UW(New)'!C13)-6))</f>
        <v>Rear Beam</v>
      </c>
      <c r="C7" s="129">
        <f>'UW(New)'!Y13</f>
        <v>1</v>
      </c>
      <c r="D7" s="130">
        <f>'UW(New)'!H13</f>
        <v>369</v>
      </c>
      <c r="E7" s="131">
        <f>'UW(New)'!J13</f>
        <v>0.16527777777777777</v>
      </c>
      <c r="F7" s="132">
        <f>'UW(New)'!V13</f>
        <v>0</v>
      </c>
      <c r="G7" s="133">
        <f>SUM('UW(New)'!P48,'UW(New)'!P49)</f>
        <v>1</v>
      </c>
      <c r="I7" s="120" t="str" cm="1">
        <f t="array" aca="1" ref="I7" ca="1">TRIM(IF(INDIRECT("'UW(New)'!B"&amp;A42)=0,"",INDIRECT("'UW(New)'!B"&amp;A42)))</f>
        <v>Rr_Beam_890B</v>
      </c>
      <c r="J7" s="118" t="str" cm="1">
        <f t="array" aca="1" ref="J7" ca="1">TRIM(IF(INDIRECT("'UW(New)'!C"&amp;A42)=0,"",INDIRECT("'UW(New)'!C"&amp;A42)))</f>
        <v>ALL</v>
      </c>
      <c r="K7" s="118" t="str" cm="1">
        <f t="array" aca="1" ref="K7" ca="1">TRIM(IF(INDIRECT("'UW(New)'!E"&amp;A42)=0,"",INDIRECT("'UW(New)'!E"&amp;A42)))</f>
        <v>Change over to 177D</v>
      </c>
      <c r="L7" s="118" t="str" cm="1">
        <f t="array" aca="1" ref="L7" ca="1">TRIM(IF(INDIRECT("'UW(New)'!l"&amp;A42)=0,"",INDIRECT("'UW(New)'!l"&amp;A42)))</f>
        <v/>
      </c>
      <c r="M7" s="118" t="str" cm="1">
        <f t="array" aca="1" ref="M7" ca="1">TRIM(IF(INDIRECT("'UW(New)'!J"&amp;A42)=0,"",INDIRECT("'UW(New)'!J"&amp;A42)))</f>
        <v>15</v>
      </c>
      <c r="N7" s="121" t="str" cm="1">
        <f t="array" aca="1" ref="N7" ca="1">TRIM(IF(INDIRECT("'UW(New)'!D"&amp;A42)=0,"",INDIRECT("'UW(New)'!D"&amp;A42)))</f>
        <v>Equipment</v>
      </c>
    </row>
    <row r="8" spans="1:14">
      <c r="A8" s="108" t="s">
        <v>124</v>
      </c>
      <c r="B8" s="84" t="str">
        <f>TRIM(LEFT('UA(New)'!C8,LEN('UA(New)'!C8)-6))</f>
        <v>Rr Sus</v>
      </c>
      <c r="C8" s="129">
        <f>'UA(New)'!R8</f>
        <v>0.57679558011049725</v>
      </c>
      <c r="D8" s="130">
        <f>'UA(New)'!H8</f>
        <v>60</v>
      </c>
      <c r="E8" s="131">
        <f>'UA(New)'!J8</f>
        <v>7.4305555555555555E-2</v>
      </c>
      <c r="F8" s="132">
        <f>'UA(New)'!S8</f>
        <v>0</v>
      </c>
      <c r="G8" s="133">
        <f>'UA(New)'!P8</f>
        <v>0</v>
      </c>
      <c r="I8" s="120" t="str" cm="1">
        <f t="array" aca="1" ref="I8" ca="1">TRIM(IF(INDIRECT("'UW(New)'!B"&amp;A43)=0,"",INDIRECT("'UW(New)'!B"&amp;A43)))</f>
        <v/>
      </c>
      <c r="J8" s="118" t="str" cm="1">
        <f t="array" aca="1" ref="J8" ca="1">TRIM(IF(INDIRECT("'UW(New)'!C"&amp;A43)=0,"",INDIRECT("'UW(New)'!C"&amp;A43)))</f>
        <v/>
      </c>
      <c r="K8" s="118" t="str" cm="1">
        <f t="array" aca="1" ref="K8" ca="1">TRIM(IF(INDIRECT("'UW(New)'!E"&amp;A43)=0,"",INDIRECT("'UW(New)'!E"&amp;A43)))</f>
        <v/>
      </c>
      <c r="L8" s="118" t="str" cm="1">
        <f t="array" aca="1" ref="L8" ca="1">TRIM(IF(INDIRECT("'UW(New)'!l"&amp;A43)=0,"",INDIRECT("'UW(New)'!l"&amp;A43)))</f>
        <v/>
      </c>
      <c r="M8" s="118" t="str" cm="1">
        <f t="array" aca="1" ref="M8" ca="1">TRIM(IF(INDIRECT("'UW(New)'!J"&amp;A43)=0,"",INDIRECT("'UW(New)'!J"&amp;A43)))</f>
        <v/>
      </c>
      <c r="N8" s="121" t="str" cm="1">
        <f t="array" aca="1" ref="N8" ca="1">TRIM(IF(INDIRECT("'UW(New)'!D"&amp;A43)=0,"",INDIRECT("'UW(New)'!D"&amp;A43)))</f>
        <v/>
      </c>
    </row>
    <row r="9" spans="1:14">
      <c r="A9" s="108" t="s">
        <v>124</v>
      </c>
      <c r="B9" s="84" t="str">
        <f>TRIM(LEFT('UA(New)'!C9,LEN('UA(New)'!C9)-7))</f>
        <v>Fr lwr arm</v>
      </c>
      <c r="C9" s="129">
        <f>'UA(New)'!R9</f>
        <v>1</v>
      </c>
      <c r="D9" s="130">
        <f>'UA(New)'!H9</f>
        <v>460</v>
      </c>
      <c r="E9" s="131">
        <f>'UA(New)'!J9</f>
        <v>0.13541666666666666</v>
      </c>
      <c r="F9" s="132">
        <f>'UA(New)'!S9</f>
        <v>0</v>
      </c>
      <c r="G9" s="133">
        <f>'UA(New)'!P9</f>
        <v>0</v>
      </c>
      <c r="I9" s="120" t="str" cm="1">
        <f t="array" aca="1" ref="I9" ca="1">TRIM(IF(INDIRECT("'UW(New)'!B"&amp;A44)=0,"",INDIRECT("'UW(New)'!B"&amp;A44)))</f>
        <v/>
      </c>
      <c r="J9" s="118" t="str" cm="1">
        <f t="array" aca="1" ref="J9" ca="1">TRIM(IF(INDIRECT("'UW(New)'!C"&amp;A44)=0,"",INDIRECT("'UW(New)'!C"&amp;A44)))</f>
        <v/>
      </c>
      <c r="K9" s="118" t="str" cm="1">
        <f t="array" aca="1" ref="K9" ca="1">TRIM(IF(INDIRECT("'UW(New)'!E"&amp;A44)=0,"",INDIRECT("'UW(New)'!E"&amp;A44)))</f>
        <v/>
      </c>
      <c r="L9" s="118" t="str" cm="1">
        <f t="array" aca="1" ref="L9" ca="1">TRIM(IF(INDIRECT("'UW(New)'!l"&amp;A44)=0,"",INDIRECT("'UW(New)'!l"&amp;A44)))</f>
        <v/>
      </c>
      <c r="M9" s="118" t="str" cm="1">
        <f t="array" aca="1" ref="M9" ca="1">TRIM(IF(INDIRECT("'UW(New)'!J"&amp;A44)=0,"",INDIRECT("'UW(New)'!J"&amp;A44)))</f>
        <v/>
      </c>
      <c r="N9" s="121" t="str" cm="1">
        <f t="array" aca="1" ref="N9" ca="1">TRIM(IF(INDIRECT("'UW(New)'!D"&amp;A44)=0,"",INDIRECT("'UW(New)'!D"&amp;A44)))</f>
        <v/>
      </c>
    </row>
    <row r="10" spans="1:14">
      <c r="A10" s="108" t="s">
        <v>124</v>
      </c>
      <c r="B10" s="84" t="str">
        <f>TRIM(LEFT('UA(New)'!C10,LEN('UA(New)'!C10)-6))</f>
        <v>OA Cowl</v>
      </c>
      <c r="C10" s="129">
        <f>'UA(New)'!R10</f>
        <v>1</v>
      </c>
      <c r="D10" s="130">
        <f>'UA(New)'!H10</f>
        <v>384</v>
      </c>
      <c r="E10" s="131">
        <f>'UA(New)'!J10</f>
        <v>0.14166666666666666</v>
      </c>
      <c r="F10" s="132">
        <f>'UA(New)'!S10</f>
        <v>20833.333333333332</v>
      </c>
      <c r="G10" s="133">
        <f>'UA(New)'!P10</f>
        <v>8</v>
      </c>
      <c r="I10" s="120" t="str" cm="1">
        <f t="array" aca="1" ref="I10" ca="1">TRIM(IF(INDIRECT("'UW(New)'!B"&amp;A45)=0,"",INDIRECT("'UW(New)'!B"&amp;A45)))</f>
        <v>Rr_Beam_ALL</v>
      </c>
      <c r="J10" s="118" t="str" cm="1">
        <f t="array" aca="1" ref="J10" ca="1">TRIM(IF(INDIRECT("'UW(New)'!C"&amp;A45)=0,"",INDIRECT("'UW(New)'!C"&amp;A45)))</f>
        <v>ALL</v>
      </c>
      <c r="K10" s="118" t="str" cm="1">
        <f t="array" aca="1" ref="K10" ca="1">TRIM(IF(INDIRECT("'UW(New)'!E"&amp;A45)=0,"",INDIRECT("'UW(New)'!E"&amp;A45)))</f>
        <v>Planned stop</v>
      </c>
      <c r="L10" s="118" t="str" cm="1">
        <f t="array" aca="1" ref="L10" ca="1">TRIM(IF(INDIRECT("'UW(New)'!l"&amp;A45)=0,"",INDIRECT("'UW(New)'!l"&amp;A45)))</f>
        <v>Nozzle clean/Tip change</v>
      </c>
      <c r="M10" s="118" t="str" cm="1">
        <f t="array" aca="1" ref="M10" ca="1">TRIM(IF(INDIRECT("'UW(New)'!J"&amp;A45)=0,"",INDIRECT("'UW(New)'!J"&amp;A45)))</f>
        <v>24</v>
      </c>
      <c r="N10" s="121" t="str" cm="1">
        <f t="array" aca="1" ref="N10" ca="1">TRIM(IF(INDIRECT("'UW(New)'!D"&amp;A45)=0,"",INDIRECT("'UW(New)'!D"&amp;A45)))</f>
        <v>Equipment</v>
      </c>
    </row>
    <row r="11" spans="1:14">
      <c r="A11" s="108" t="s">
        <v>124</v>
      </c>
      <c r="B11" s="84" t="str">
        <f>TRIM(LEFT('UA(New)'!C11,LEN('UA(New)'!C11)-6))</f>
        <v>Rear arm</v>
      </c>
      <c r="C11" s="129">
        <f>'UA(New)'!R11</f>
        <v>1</v>
      </c>
      <c r="D11" s="130">
        <f>'UA(New)'!H11</f>
        <v>528</v>
      </c>
      <c r="E11" s="131">
        <f>'UA(New)'!J11</f>
        <v>0.10625</v>
      </c>
      <c r="F11" s="132">
        <f>'UA(New)'!S11</f>
        <v>0</v>
      </c>
      <c r="G11" s="133">
        <f>'UA(New)'!P11</f>
        <v>0</v>
      </c>
      <c r="I11" s="120" t="str" cm="1">
        <f t="array" aca="1" ref="I11" ca="1">TRIM(IF(INDIRECT("'UW(New)'!B"&amp;A46)=0,"",INDIRECT("'UW(New)'!B"&amp;A46)))</f>
        <v/>
      </c>
      <c r="J11" s="118" t="str" cm="1">
        <f t="array" aca="1" ref="J11" ca="1">TRIM(IF(INDIRECT("'UW(New)'!C"&amp;A46)=0,"",INDIRECT("'UW(New)'!C"&amp;A46)))</f>
        <v/>
      </c>
      <c r="K11" s="118" t="str" cm="1">
        <f t="array" aca="1" ref="K11" ca="1">TRIM(IF(INDIRECT("'UW(New)'!E"&amp;A46)=0,"",INDIRECT("'UW(New)'!E"&amp;A46)))</f>
        <v/>
      </c>
      <c r="L11" s="118" t="str" cm="1">
        <f t="array" aca="1" ref="L11" ca="1">TRIM(IF(INDIRECT("'UW(New)'!l"&amp;A46)=0,"",INDIRECT("'UW(New)'!l"&amp;A46)))</f>
        <v/>
      </c>
      <c r="M11" s="118" t="str" cm="1">
        <f t="array" aca="1" ref="M11" ca="1">TRIM(IF(INDIRECT("'UW(New)'!J"&amp;A46)=0,"",INDIRECT("'UW(New)'!J"&amp;A46)))</f>
        <v/>
      </c>
      <c r="N11" s="121" t="str" cm="1">
        <f t="array" aca="1" ref="N11" ca="1">TRIM(IF(INDIRECT("'UW(New)'!D"&amp;A46)=0,"",INDIRECT("'UW(New)'!D"&amp;A46)))</f>
        <v/>
      </c>
    </row>
    <row r="12" spans="1:14">
      <c r="A12" s="108" t="s">
        <v>124</v>
      </c>
      <c r="B12" s="84" t="str">
        <f>TRIM(LEFT('UA(New)'!C12,LEN('UA(New)'!C12)-6))</f>
        <v>Fr sus</v>
      </c>
      <c r="C12" s="129">
        <f>'UA(New)'!R12</f>
        <v>0.92703862660944203</v>
      </c>
      <c r="D12" s="130">
        <f>'UA(New)'!H12</f>
        <v>360</v>
      </c>
      <c r="E12" s="131">
        <f>'UA(New)'!J12</f>
        <v>0.15347222222222223</v>
      </c>
      <c r="F12" s="132">
        <f>'UA(New)'!S12</f>
        <v>0</v>
      </c>
      <c r="G12" s="133">
        <f>'UA(New)'!P12</f>
        <v>0</v>
      </c>
      <c r="I12" s="120" t="str" cm="1">
        <f t="array" aca="1" ref="I12" ca="1">TRIM(IF(INDIRECT("'UW(New)'!B"&amp;A47)=0,"",INDIRECT("'UW(New)'!B"&amp;A47)))</f>
        <v>FS</v>
      </c>
      <c r="J12" s="118" t="str" cm="1">
        <f t="array" aca="1" ref="J12" ca="1">TRIM(IF(INDIRECT("'UW(New)'!C"&amp;A47)=0,"",INDIRECT("'UW(New)'!C"&amp;A47)))</f>
        <v>ALL</v>
      </c>
      <c r="K12" s="118" t="str" cm="1">
        <f t="array" aca="1" ref="K12" ca="1">TRIM(IF(INDIRECT("'UW(New)'!E"&amp;A47)=0,"",INDIRECT("'UW(New)'!E"&amp;A47)))</f>
        <v>Planned stop</v>
      </c>
      <c r="L12" s="118" t="str" cm="1">
        <f t="array" aca="1" ref="L12" ca="1">TRIM(IF(INDIRECT("'UW(New)'!l"&amp;A47)=0,"",INDIRECT("'UW(New)'!l"&amp;A47)))</f>
        <v>Nozzle clean/Tip change</v>
      </c>
      <c r="M12" s="118" t="str" cm="1">
        <f t="array" aca="1" ref="M12" ca="1">TRIM(IF(INDIRECT("'UW(New)'!J"&amp;A47)=0,"",INDIRECT("'UW(New)'!J"&amp;A47)))</f>
        <v>24</v>
      </c>
      <c r="N12" s="121" t="str" cm="1">
        <f t="array" aca="1" ref="N12" ca="1">TRIM(IF(INDIRECT("'UW(New)'!D"&amp;A47)=0,"",INDIRECT("'UW(New)'!D"&amp;A47)))</f>
        <v>Equipment</v>
      </c>
    </row>
    <row r="13" spans="1:14">
      <c r="A13" s="108" t="s">
        <v>124</v>
      </c>
      <c r="B13" s="84" t="str">
        <f>TRIM(LEFT('UA(New)'!C13,LEN('UA(New)'!C13)-11)&amp;RIGHT('UA(New)'!C13,5))</f>
        <v>Rear Beam 177D</v>
      </c>
      <c r="C13" s="129">
        <f>'UA(New)'!R13</f>
        <v>1</v>
      </c>
      <c r="D13" s="130">
        <f>'UA(New)'!H13</f>
        <v>162</v>
      </c>
      <c r="E13" s="131">
        <f>'UA(New)'!J13</f>
        <v>0.13125000000000001</v>
      </c>
      <c r="F13" s="132">
        <f>'UA(New)'!S13</f>
        <v>0</v>
      </c>
      <c r="G13" s="133">
        <f>'UA(New)'!P13</f>
        <v>0</v>
      </c>
      <c r="I13" s="120" t="str" cm="1">
        <f t="array" aca="1" ref="I13" ca="1">TRIM(IF(INDIRECT("'UW(New)'!B"&amp;A48)=0,"",INDIRECT("'UW(New)'!B"&amp;A48)))</f>
        <v/>
      </c>
      <c r="J13" s="118" t="str" cm="1">
        <f t="array" aca="1" ref="J13" ca="1">TRIM(IF(INDIRECT("'UW(New)'!C"&amp;A48)=0,"",INDIRECT("'UW(New)'!C"&amp;A48)))</f>
        <v/>
      </c>
      <c r="K13" s="118" t="str" cm="1">
        <f t="array" aca="1" ref="K13" ca="1">TRIM(IF(INDIRECT("'UW(New)'!E"&amp;A48)=0,"",INDIRECT("'UW(New)'!E"&amp;A48)))</f>
        <v/>
      </c>
      <c r="L13" s="118" t="str" cm="1">
        <f t="array" aca="1" ref="L13" ca="1">TRIM(IF(INDIRECT("'UW(New)'!l"&amp;A48)=0,"",INDIRECT("'UW(New)'!l"&amp;A48)))</f>
        <v/>
      </c>
      <c r="M13" s="118" t="str" cm="1">
        <f t="array" aca="1" ref="M13" ca="1">TRIM(IF(INDIRECT("'UW(New)'!J"&amp;A48)=0,"",INDIRECT("'UW(New)'!J"&amp;A48)))</f>
        <v/>
      </c>
      <c r="N13" s="121" t="str" cm="1">
        <f t="array" aca="1" ref="N13" ca="1">TRIM(IF(INDIRECT("'UW(New)'!D"&amp;A48)=0,"",INDIRECT("'UW(New)'!D"&amp;A48)))</f>
        <v/>
      </c>
    </row>
    <row r="14" spans="1:14">
      <c r="A14" s="134" t="s">
        <v>124</v>
      </c>
      <c r="B14" s="135" t="str">
        <f>TRIM(LEFT('UA(New)'!C14,LEN('UA(New)'!C14)-11)&amp;RIGHT('UA(New)'!C14,5))</f>
        <v>Rear Beam 890B</v>
      </c>
      <c r="C14" s="136">
        <f>'UA(New)'!R14</f>
        <v>0.95479704797047971</v>
      </c>
      <c r="D14" s="137">
        <f>'UA(New)'!H14</f>
        <v>207</v>
      </c>
      <c r="E14" s="138">
        <f>'UA(New)'!J14</f>
        <v>1.0041666666666667</v>
      </c>
      <c r="F14" s="139">
        <f>'UA(New)'!S14</f>
        <v>0</v>
      </c>
      <c r="G14" s="140">
        <f>'UA(New)'!P14</f>
        <v>0</v>
      </c>
      <c r="I14" s="120" t="str" cm="1">
        <f t="array" aca="1" ref="I14" ca="1">TRIM(IF(INDIRECT("'UW(New)'!B"&amp;A49)=0,"",INDIRECT("'UW(New)'!B"&amp;A49)))</f>
        <v/>
      </c>
      <c r="J14" s="118" t="str" cm="1">
        <f t="array" aca="1" ref="J14" ca="1">TRIM(IF(INDIRECT("'UW(New)'!C"&amp;A49)=0,"",INDIRECT("'UW(New)'!C"&amp;A49)))</f>
        <v/>
      </c>
      <c r="K14" s="118" t="str" cm="1">
        <f t="array" aca="1" ref="K14" ca="1">TRIM(IF(INDIRECT("'UW(New)'!E"&amp;A49)=0,"",INDIRECT("'UW(New)'!E"&amp;A49)))</f>
        <v/>
      </c>
      <c r="L14" s="118" t="str" cm="1">
        <f t="array" aca="1" ref="L14" ca="1">TRIM(IF(INDIRECT("'UW(New)'!l"&amp;A49)=0,"",INDIRECT("'UW(New)'!l"&amp;A49)))</f>
        <v/>
      </c>
      <c r="M14" s="118" t="str" cm="1">
        <f t="array" aca="1" ref="M14" ca="1">TRIM(IF(INDIRECT("'UW(New)'!J"&amp;A49)=0,"",INDIRECT("'UW(New)'!J"&amp;A49)))</f>
        <v/>
      </c>
      <c r="N14" s="121" t="str" cm="1">
        <f t="array" aca="1" ref="N14" ca="1">TRIM(IF(INDIRECT("'UW(New)'!D"&amp;A49)=0,"",INDIRECT("'UW(New)'!D"&amp;A49)))</f>
        <v/>
      </c>
    </row>
    <row r="15" spans="1:14">
      <c r="I15" s="120" t="str" cm="1">
        <f t="array" aca="1" ref="I15" ca="1">TRIM(IF(INDIRECT("'UW(New)'!B"&amp;A50)=0,"",INDIRECT("'UW(New)'!B"&amp;A50)))</f>
        <v/>
      </c>
      <c r="J15" s="118" t="str" cm="1">
        <f t="array" aca="1" ref="J15" ca="1">TRIM(IF(INDIRECT("'UW(New)'!C"&amp;A50)=0,"",INDIRECT("'UW(New)'!C"&amp;A50)))</f>
        <v/>
      </c>
      <c r="K15" s="118" t="str" cm="1">
        <f t="array" aca="1" ref="K15" ca="1">TRIM(IF(INDIRECT("'UW(New)'!E"&amp;A50)=0,"",INDIRECT("'UW(New)'!E"&amp;A50)))</f>
        <v/>
      </c>
      <c r="L15" s="118" t="str" cm="1">
        <f t="array" aca="1" ref="L15" ca="1">TRIM(IF(INDIRECT("'UW(New)'!l"&amp;A50)=0,"",INDIRECT("'UW(New)'!l"&amp;A50)))</f>
        <v/>
      </c>
      <c r="M15" s="118" t="str" cm="1">
        <f t="array" aca="1" ref="M15" ca="1">TRIM(IF(INDIRECT("'UW(New)'!J"&amp;A50)=0,"",INDIRECT("'UW(New)'!J"&amp;A50)))</f>
        <v/>
      </c>
      <c r="N15" s="121" t="str" cm="1">
        <f t="array" aca="1" ref="N15" ca="1">TRIM(IF(INDIRECT("'UW(New)'!D"&amp;A50)=0,"",INDIRECT("'UW(New)'!D"&amp;A50)))</f>
        <v/>
      </c>
    </row>
    <row r="16" spans="1:14">
      <c r="I16" s="120" t="str" cm="1">
        <f t="array" aca="1" ref="I16" ca="1">TRIM(IF(INDIRECT("'UW(New)'!B"&amp;A51)=0,"",INDIRECT("'UW(New)'!B"&amp;A51)))</f>
        <v/>
      </c>
      <c r="J16" s="118" t="str" cm="1">
        <f t="array" aca="1" ref="J16" ca="1">TRIM(IF(INDIRECT("'UW(New)'!C"&amp;A51)=0,"",INDIRECT("'UW(New)'!C"&amp;A51)))</f>
        <v/>
      </c>
      <c r="K16" s="118" t="str" cm="1">
        <f t="array" aca="1" ref="K16" ca="1">TRIM(IF(INDIRECT("'UW(New)'!E"&amp;A51)=0,"",INDIRECT("'UW(New)'!E"&amp;A51)))</f>
        <v/>
      </c>
      <c r="L16" s="118" t="str" cm="1">
        <f t="array" aca="1" ref="L16" ca="1">TRIM(IF(INDIRECT("'UW(New)'!l"&amp;A51)=0,"",INDIRECT("'UW(New)'!l"&amp;A51)))</f>
        <v/>
      </c>
      <c r="M16" s="118" t="str" cm="1">
        <f t="array" aca="1" ref="M16" ca="1">TRIM(IF(INDIRECT("'UW(New)'!J"&amp;A51)=0,"",INDIRECT("'UW(New)'!J"&amp;A51)))</f>
        <v/>
      </c>
      <c r="N16" s="121" t="str" cm="1">
        <f t="array" aca="1" ref="N16" ca="1">TRIM(IF(INDIRECT("'UW(New)'!D"&amp;A51)=0,"",INDIRECT("'UW(New)'!D"&amp;A51)))</f>
        <v/>
      </c>
    </row>
    <row r="17" spans="9:14">
      <c r="I17" s="120" t="str" cm="1">
        <f t="array" aca="1" ref="I17" ca="1">TRIM(IF(INDIRECT("'UW(New)'!B"&amp;A52)=0,"",INDIRECT("'UW(New)'!B"&amp;A52)))</f>
        <v/>
      </c>
      <c r="J17" s="118" t="str" cm="1">
        <f t="array" aca="1" ref="J17" ca="1">TRIM(IF(INDIRECT("'UW(New)'!C"&amp;A52)=0,"",INDIRECT("'UW(New)'!C"&amp;A52)))</f>
        <v/>
      </c>
      <c r="K17" s="118" t="str" cm="1">
        <f t="array" aca="1" ref="K17" ca="1">TRIM(IF(INDIRECT("'UW(New)'!E"&amp;A52)=0,"",INDIRECT("'UW(New)'!E"&amp;A52)))</f>
        <v/>
      </c>
      <c r="L17" s="118" t="str" cm="1">
        <f t="array" aca="1" ref="L17" ca="1">TRIM(IF(INDIRECT("'UW(New)'!l"&amp;A52)=0,"",INDIRECT("'UW(New)'!l"&amp;A52)))</f>
        <v/>
      </c>
      <c r="M17" s="118" t="str" cm="1">
        <f t="array" aca="1" ref="M17" ca="1">TRIM(IF(INDIRECT("'UW(New)'!J"&amp;A52)=0,"",INDIRECT("'UW(New)'!J"&amp;A52)))</f>
        <v/>
      </c>
      <c r="N17" s="121" t="str" cm="1">
        <f t="array" aca="1" ref="N17" ca="1">TRIM(IF(INDIRECT("'UW(New)'!D"&amp;A52)=0,"",INDIRECT("'UW(New)'!D"&amp;A52)))</f>
        <v/>
      </c>
    </row>
    <row r="18" spans="9:14">
      <c r="I18" s="120" t="str" cm="1">
        <f t="array" aca="1" ref="I18" ca="1">TRIM(IF(INDIRECT("'UW(New)'!B"&amp;A53)=0,"",INDIRECT("'UW(New)'!B"&amp;A53)))</f>
        <v/>
      </c>
      <c r="J18" s="118" t="str" cm="1">
        <f t="array" aca="1" ref="J18" ca="1">TRIM(IF(INDIRECT("'UW(New)'!C"&amp;A53)=0,"",INDIRECT("'UW(New)'!C"&amp;A53)))</f>
        <v/>
      </c>
      <c r="K18" s="118" t="str" cm="1">
        <f t="array" aca="1" ref="K18" ca="1">TRIM(IF(INDIRECT("'UW(New)'!E"&amp;A53)=0,"",INDIRECT("'UW(New)'!E"&amp;A53)))</f>
        <v/>
      </c>
      <c r="L18" s="118" t="str" cm="1">
        <f t="array" aca="1" ref="L18" ca="1">TRIM(IF(INDIRECT("'UW(New)'!l"&amp;A53)=0,"",INDIRECT("'UW(New)'!l"&amp;A53)))</f>
        <v/>
      </c>
      <c r="M18" s="118" t="str" cm="1">
        <f t="array" aca="1" ref="M18" ca="1">TRIM(IF(INDIRECT("'UW(New)'!J"&amp;A53)=0,"",INDIRECT("'UW(New)'!J"&amp;A53)))</f>
        <v/>
      </c>
      <c r="N18" s="121" t="str" cm="1">
        <f t="array" aca="1" ref="N18" ca="1">TRIM(IF(INDIRECT("'UW(New)'!D"&amp;A53)=0,"",INDIRECT("'UW(New)'!D"&amp;A53)))</f>
        <v/>
      </c>
    </row>
    <row r="19" spans="9:14" ht="14.25" thickBot="1">
      <c r="I19" s="122" t="str" cm="1">
        <f t="array" aca="1" ref="I19" ca="1">TRIM(IF(INDIRECT("'UW(New)'!B"&amp;A54)=0,"",INDIRECT("'UW(New)'!B"&amp;A54)))</f>
        <v/>
      </c>
      <c r="J19" s="123" t="str" cm="1">
        <f t="array" aca="1" ref="J19" ca="1">TRIM(IF(INDIRECT("'UW(New)'!C"&amp;A54)=0,"",INDIRECT("'UW(New)'!C"&amp;A54)))</f>
        <v/>
      </c>
      <c r="K19" s="123" t="str" cm="1">
        <f t="array" aca="1" ref="K19" ca="1">TRIM(IF(INDIRECT("'UW(New)'!E"&amp;A54)=0,"",INDIRECT("'UW(New)'!E"&amp;A54)))</f>
        <v/>
      </c>
      <c r="L19" s="123" t="str" cm="1">
        <f t="array" aca="1" ref="L19" ca="1">TRIM(IF(INDIRECT("'UW(New)'!l"&amp;A54)=0,"",INDIRECT("'UW(New)'!l"&amp;A54)))</f>
        <v/>
      </c>
      <c r="M19" s="123" t="str" cm="1">
        <f t="array" aca="1" ref="M19" ca="1">TRIM(IF(INDIRECT("'UW(New)'!J"&amp;A54)=0,"",INDIRECT("'UW(New)'!J"&amp;A54)))</f>
        <v/>
      </c>
      <c r="N19" s="124" t="str" cm="1">
        <f t="array" aca="1" ref="N19" ca="1">TRIM(IF(INDIRECT("'UW(New)'!D"&amp;A54)=0,"",INDIRECT("'UW(New)'!D"&amp;A54)))</f>
        <v/>
      </c>
    </row>
    <row r="20" spans="9:14" ht="14.25" thickBot="1"/>
    <row r="21" spans="9:14" ht="14.25" thickBot="1">
      <c r="J21" s="325" t="s">
        <v>219</v>
      </c>
      <c r="K21" s="326"/>
      <c r="L21" s="326"/>
      <c r="M21" s="326"/>
      <c r="N21" s="327"/>
    </row>
    <row r="22" spans="9:14" ht="14.25" thickBot="1">
      <c r="J22" s="114" t="s">
        <v>215</v>
      </c>
      <c r="K22" s="115" t="s">
        <v>216</v>
      </c>
      <c r="L22" s="115" t="s">
        <v>217</v>
      </c>
      <c r="M22" s="119" t="s">
        <v>218</v>
      </c>
      <c r="N22" s="125" t="s">
        <v>220</v>
      </c>
    </row>
    <row r="23" spans="9:14">
      <c r="J23" s="120" t="str" cm="1">
        <f t="array" aca="1" ref="J23" ca="1">TRIM(IF(INDIRECT("'UA(New)'!B"&amp;A45)=0,"",INDIRECT("'UA(New)'!B"&amp;A45)))</f>
        <v/>
      </c>
      <c r="K23" s="118" t="str" cm="1">
        <f t="array" aca="1" ref="K23" ca="1">TRIM(IF(INDIRECT("'UA(New)'!C"&amp;A45)=0,"",INDIRECT("'UA(New)'!C"&amp;A45)))</f>
        <v/>
      </c>
      <c r="L23" s="118" t="str" cm="1">
        <f t="array" aca="1" ref="L23" ca="1">TRIM(IF(INDIRECT("'UA(New)'!L"&amp;A45)=0,"",INDIRECT("'UA(New)'!L"&amp;A45)))</f>
        <v/>
      </c>
      <c r="M23" s="118" t="str" cm="1">
        <f t="array" aca="1" ref="M23" ca="1">TRIM(IF(INDIRECT("'UA(New)'!J"&amp;A45)=0,"",INDIRECT("'UA(New)'!J"&amp;A45)))</f>
        <v/>
      </c>
      <c r="N23" s="121" t="str" cm="1">
        <f t="array" aca="1" ref="N23" ca="1">TRIM(IF(INDIRECT("'UA(New)'!I"&amp;A45)=0,"",INDIRECT("'UA(New)'!I"&amp;A45)))</f>
        <v/>
      </c>
    </row>
    <row r="24" spans="9:14">
      <c r="J24" s="120" t="str" cm="1">
        <f t="array" aca="1" ref="J24" ca="1">TRIM(IF(INDIRECT("'UA(New)'!B"&amp;A46)=0,"",INDIRECT("'UA(New)'!B"&amp;A46)))</f>
        <v/>
      </c>
      <c r="K24" s="118" t="str" cm="1">
        <f t="array" aca="1" ref="K24" ca="1">TRIM(IF(INDIRECT("'UA(New)'!C"&amp;A46)=0,"",INDIRECT("'UA(New)'!C"&amp;A46)))</f>
        <v/>
      </c>
      <c r="L24" s="118" t="str" cm="1">
        <f t="array" aca="1" ref="L24" ca="1">TRIM(IF(INDIRECT("'UA(New)'!L"&amp;A46)=0,"",INDIRECT("'UA(New)'!L"&amp;A46)))</f>
        <v/>
      </c>
      <c r="M24" s="118" t="str" cm="1">
        <f t="array" aca="1" ref="M24" ca="1">TRIM(IF(INDIRECT("'UA(New)'!J"&amp;A46)=0,"",INDIRECT("'UA(New)'!J"&amp;A46)))</f>
        <v/>
      </c>
      <c r="N24" s="121" t="str" cm="1">
        <f t="array" aca="1" ref="N24" ca="1">TRIM(IF(INDIRECT("'UA(New)'!I"&amp;A46)=0,"",INDIRECT("'UA(New)'!I"&amp;A46)))</f>
        <v/>
      </c>
    </row>
    <row r="25" spans="9:14">
      <c r="J25" s="120" t="str" cm="1">
        <f t="array" aca="1" ref="J25" ca="1">TRIM(IF(INDIRECT("'UA(New)'!B"&amp;A47)=0,"",INDIRECT("'UA(New)'!B"&amp;A47)))</f>
        <v/>
      </c>
      <c r="K25" s="118" t="str" cm="1">
        <f t="array" aca="1" ref="K25" ca="1">TRIM(IF(INDIRECT("'UA(New)'!C"&amp;A47)=0,"",INDIRECT("'UA(New)'!C"&amp;A47)))</f>
        <v/>
      </c>
      <c r="L25" s="118" t="str" cm="1">
        <f t="array" aca="1" ref="L25" ca="1">TRIM(IF(INDIRECT("'UA(New)'!L"&amp;A47)=0,"",INDIRECT("'UA(New)'!L"&amp;A47)))</f>
        <v/>
      </c>
      <c r="M25" s="118" t="str" cm="1">
        <f t="array" aca="1" ref="M25" ca="1">TRIM(IF(INDIRECT("'UA(New)'!J"&amp;A47)=0,"",INDIRECT("'UA(New)'!J"&amp;A47)))</f>
        <v/>
      </c>
      <c r="N25" s="121" t="str" cm="1">
        <f t="array" aca="1" ref="N25" ca="1">TRIM(IF(INDIRECT("'UA(New)'!I"&amp;A47)=0,"",INDIRECT("'UA(New)'!I"&amp;A47)))</f>
        <v/>
      </c>
    </row>
    <row r="26" spans="9:14">
      <c r="J26" s="120" t="str" cm="1">
        <f t="array" aca="1" ref="J26" ca="1">TRIM(IF(INDIRECT("'UA(New)'!B"&amp;A48)=0,"",INDIRECT("'UA(New)'!B"&amp;A48)))</f>
        <v/>
      </c>
      <c r="K26" s="118" t="str" cm="1">
        <f t="array" aca="1" ref="K26" ca="1">TRIM(IF(INDIRECT("'UA(New)'!C"&amp;A48)=0,"",INDIRECT("'UA(New)'!C"&amp;A48)))</f>
        <v/>
      </c>
      <c r="L26" s="118" t="str" cm="1">
        <f t="array" aca="1" ref="L26" ca="1">TRIM(IF(INDIRECT("'UA(New)'!L"&amp;A48)=0,"",INDIRECT("'UA(New)'!L"&amp;A48)))</f>
        <v/>
      </c>
      <c r="M26" s="118" t="str" cm="1">
        <f t="array" aca="1" ref="M26" ca="1">TRIM(IF(INDIRECT("'UA(New)'!J"&amp;A48)=0,"",INDIRECT("'UA(New)'!J"&amp;A48)))</f>
        <v/>
      </c>
      <c r="N26" s="121" t="str" cm="1">
        <f t="array" aca="1" ref="N26" ca="1">TRIM(IF(INDIRECT("'UA(New)'!I"&amp;A48)=0,"",INDIRECT("'UA(New)'!I"&amp;A48)))</f>
        <v/>
      </c>
    </row>
    <row r="27" spans="9:14">
      <c r="J27" s="120" t="str" cm="1">
        <f t="array" aca="1" ref="J27" ca="1">TRIM(IF(INDIRECT("'UA(New)'!B"&amp;A49)=0,"",INDIRECT("'UA(New)'!B"&amp;A49)))</f>
        <v/>
      </c>
      <c r="K27" s="118" t="str" cm="1">
        <f t="array" aca="1" ref="K27" ca="1">TRIM(IF(INDIRECT("'UA(New)'!C"&amp;A49)=0,"",INDIRECT("'UA(New)'!C"&amp;A49)))</f>
        <v/>
      </c>
      <c r="L27" s="118" t="str" cm="1">
        <f t="array" aca="1" ref="L27" ca="1">TRIM(IF(INDIRECT("'UA(New)'!L"&amp;A49)=0,"",INDIRECT("'UA(New)'!L"&amp;A49)))</f>
        <v/>
      </c>
      <c r="M27" s="118" t="str" cm="1">
        <f t="array" aca="1" ref="M27" ca="1">TRIM(IF(INDIRECT("'UA(New)'!J"&amp;A49)=0,"",INDIRECT("'UA(New)'!J"&amp;A49)))</f>
        <v/>
      </c>
      <c r="N27" s="121" t="str" cm="1">
        <f t="array" aca="1" ref="N27" ca="1">TRIM(IF(INDIRECT("'UA(New)'!I"&amp;A49)=0,"",INDIRECT("'UA(New)'!I"&amp;A49)))</f>
        <v/>
      </c>
    </row>
    <row r="28" spans="9:14">
      <c r="J28" s="120" t="str" cm="1">
        <f t="array" aca="1" ref="J28" ca="1">TRIM(IF(INDIRECT("'UA(New)'!B"&amp;A50)=0,"",INDIRECT("'UA(New)'!B"&amp;A50)))</f>
        <v/>
      </c>
      <c r="K28" s="118" t="str" cm="1">
        <f t="array" aca="1" ref="K28" ca="1">TRIM(IF(INDIRECT("'UA(New)'!C"&amp;A50)=0,"",INDIRECT("'UA(New)'!C"&amp;A50)))</f>
        <v/>
      </c>
      <c r="L28" s="118" t="str" cm="1">
        <f t="array" aca="1" ref="L28" ca="1">TRIM(IF(INDIRECT("'UA(New)'!L"&amp;A50)=0,"",INDIRECT("'UA(New)'!L"&amp;A50)))</f>
        <v/>
      </c>
      <c r="M28" s="118" t="str" cm="1">
        <f t="array" aca="1" ref="M28" ca="1">TRIM(IF(INDIRECT("'UA(New)'!J"&amp;A50)=0,"",INDIRECT("'UA(New)'!J"&amp;A50)))</f>
        <v/>
      </c>
      <c r="N28" s="121" t="str" cm="1">
        <f t="array" aca="1" ref="N28" ca="1">TRIM(IF(INDIRECT("'UA(New)'!I"&amp;A50)=0,"",INDIRECT("'UA(New)'!I"&amp;A50)))</f>
        <v/>
      </c>
    </row>
    <row r="29" spans="9:14">
      <c r="J29" s="120" t="str" cm="1">
        <f t="array" aca="1" ref="J29" ca="1">TRIM(IF(INDIRECT("'UA(New)'!B"&amp;A51)=0,"",INDIRECT("'UA(New)'!B"&amp;A51)))</f>
        <v/>
      </c>
      <c r="K29" s="118" t="str" cm="1">
        <f t="array" aca="1" ref="K29" ca="1">TRIM(IF(INDIRECT("'UA(New)'!C"&amp;A51)=0,"",INDIRECT("'UA(New)'!C"&amp;A51)))</f>
        <v/>
      </c>
      <c r="L29" s="118" t="str" cm="1">
        <f t="array" aca="1" ref="L29" ca="1">TRIM(IF(INDIRECT("'UA(New)'!L"&amp;A51)=0,"",INDIRECT("'UA(New)'!L"&amp;A51)))</f>
        <v/>
      </c>
      <c r="M29" s="118" t="str" cm="1">
        <f t="array" aca="1" ref="M29" ca="1">TRIM(IF(INDIRECT("'UA(New)'!J"&amp;A51)=0,"",INDIRECT("'UA(New)'!J"&amp;A51)))</f>
        <v/>
      </c>
      <c r="N29" s="121" t="str" cm="1">
        <f t="array" aca="1" ref="N29" ca="1">TRIM(IF(INDIRECT("'UA(New)'!I"&amp;A51)=0,"",INDIRECT("'UA(New)'!I"&amp;A51)))</f>
        <v/>
      </c>
    </row>
    <row r="30" spans="9:14">
      <c r="J30" s="120" t="str" cm="1">
        <f t="array" aca="1" ref="J30" ca="1">TRIM(IF(INDIRECT("'UA(New)'!B"&amp;A52)=0,"",INDIRECT("'UA(New)'!B"&amp;A52)))</f>
        <v/>
      </c>
      <c r="K30" s="118" t="str" cm="1">
        <f t="array" aca="1" ref="K30" ca="1">TRIM(IF(INDIRECT("'UA(New)'!C"&amp;A52)=0,"",INDIRECT("'UA(New)'!C"&amp;A52)))</f>
        <v/>
      </c>
      <c r="L30" s="118" t="str" cm="1">
        <f t="array" aca="1" ref="L30" ca="1">TRIM(IF(INDIRECT("'UA(New)'!L"&amp;A52)=0,"",INDIRECT("'UA(New)'!L"&amp;A52)))</f>
        <v/>
      </c>
      <c r="M30" s="118" t="str" cm="1">
        <f t="array" aca="1" ref="M30" ca="1">TRIM(IF(INDIRECT("'UA(New)'!J"&amp;A52)=0,"",INDIRECT("'UA(New)'!J"&amp;A52)))</f>
        <v/>
      </c>
      <c r="N30" s="121" t="str" cm="1">
        <f t="array" aca="1" ref="N30" ca="1">TRIM(IF(INDIRECT("'UA(New)'!I"&amp;A52)=0,"",INDIRECT("'UA(New)'!I"&amp;A52)))</f>
        <v/>
      </c>
    </row>
    <row r="31" spans="9:14">
      <c r="J31" s="120" t="str" cm="1">
        <f t="array" aca="1" ref="J31" ca="1">TRIM(IF(INDIRECT("'UA(New)'!B"&amp;A53)=0,"",INDIRECT("'UA(New)'!B"&amp;A53)))</f>
        <v/>
      </c>
      <c r="K31" s="118" t="str" cm="1">
        <f t="array" aca="1" ref="K31" ca="1">TRIM(IF(INDIRECT("'UA(New)'!C"&amp;A53)=0,"",INDIRECT("'UA(New)'!C"&amp;A53)))</f>
        <v/>
      </c>
      <c r="L31" s="118" t="str" cm="1">
        <f t="array" aca="1" ref="L31" ca="1">TRIM(IF(INDIRECT("'UA(New)'!L"&amp;A53)=0,"",INDIRECT("'UA(New)'!L"&amp;A53)))</f>
        <v/>
      </c>
      <c r="M31" s="118" t="str" cm="1">
        <f t="array" aca="1" ref="M31" ca="1">TRIM(IF(INDIRECT("'UA(New)'!J"&amp;A53)=0,"",INDIRECT("'UA(New)'!J"&amp;A53)))</f>
        <v/>
      </c>
      <c r="N31" s="121" t="str" cm="1">
        <f t="array" aca="1" ref="N31" ca="1">TRIM(IF(INDIRECT("'UA(New)'!I"&amp;A53)=0,"",INDIRECT("'UA(New)'!I"&amp;A53)))</f>
        <v/>
      </c>
    </row>
    <row r="32" spans="9:14">
      <c r="J32" s="120" t="str" cm="1">
        <f t="array" aca="1" ref="J32" ca="1">TRIM(IF(INDIRECT("'UA(New)'!B"&amp;A54)=0,"",INDIRECT("'UA(New)'!B"&amp;A54)))</f>
        <v/>
      </c>
      <c r="K32" s="118" t="str" cm="1">
        <f t="array" aca="1" ref="K32" ca="1">TRIM(IF(INDIRECT("'UA(New)'!C"&amp;A54)=0,"",INDIRECT("'UA(New)'!C"&amp;A54)))</f>
        <v/>
      </c>
      <c r="L32" s="118" t="str" cm="1">
        <f t="array" aca="1" ref="L32" ca="1">TRIM(IF(INDIRECT("'UA(New)'!L"&amp;A54)=0,"",INDIRECT("'UA(New)'!L"&amp;A54)))</f>
        <v/>
      </c>
      <c r="M32" s="118" t="str" cm="1">
        <f t="array" aca="1" ref="M32" ca="1">TRIM(IF(INDIRECT("'UA(New)'!J"&amp;A54)=0,"",INDIRECT("'UA(New)'!J"&amp;A54)))</f>
        <v/>
      </c>
      <c r="N32" s="121" t="str" cm="1">
        <f t="array" aca="1" ref="N32" ca="1">TRIM(IF(INDIRECT("'UA(New)'!I"&amp;A54)=0,"",INDIRECT("'UA(New)'!I"&amp;A54)))</f>
        <v/>
      </c>
    </row>
    <row r="33" spans="1:14">
      <c r="J33" s="120" t="str" cm="1">
        <f t="array" aca="1" ref="J33" ca="1">TRIM(IF(INDIRECT("'UA(New)'!B"&amp;A55)=0,"",INDIRECT("'UA(New)'!B"&amp;A55)))</f>
        <v/>
      </c>
      <c r="K33" s="118" t="str" cm="1">
        <f t="array" aca="1" ref="K33" ca="1">TRIM(IF(INDIRECT("'UA(New)'!C"&amp;A55)=0,"",INDIRECT("'UA(New)'!C"&amp;A55)))</f>
        <v/>
      </c>
      <c r="L33" s="118" t="str" cm="1">
        <f t="array" aca="1" ref="L33" ca="1">TRIM(IF(INDIRECT("'UA(New)'!L"&amp;A55)=0,"",INDIRECT("'UA(New)'!L"&amp;A55)))</f>
        <v/>
      </c>
      <c r="M33" s="118" t="str" cm="1">
        <f t="array" aca="1" ref="M33" ca="1">TRIM(IF(INDIRECT("'UA(New)'!J"&amp;A55)=0,"",INDIRECT("'UA(New)'!J"&amp;A55)))</f>
        <v/>
      </c>
      <c r="N33" s="121" t="str" cm="1">
        <f t="array" aca="1" ref="N33" ca="1">TRIM(IF(INDIRECT("'UA(New)'!I"&amp;A55)=0,"",INDIRECT("'UA(New)'!I"&amp;A55)))</f>
        <v/>
      </c>
    </row>
    <row r="34" spans="1:14">
      <c r="J34" s="120" t="str" cm="1">
        <f t="array" aca="1" ref="J34" ca="1">TRIM(IF(INDIRECT("'UA(New)'!B"&amp;A56)=0,"",INDIRECT("'UA(New)'!B"&amp;A56)))</f>
        <v/>
      </c>
      <c r="K34" s="118" t="str" cm="1">
        <f t="array" aca="1" ref="K34" ca="1">TRIM(IF(INDIRECT("'UA(New)'!C"&amp;A56)=0,"",INDIRECT("'UA(New)'!C"&amp;A56)))</f>
        <v/>
      </c>
      <c r="L34" s="118" t="str" cm="1">
        <f t="array" aca="1" ref="L34" ca="1">TRIM(IF(INDIRECT("'UA(New)'!L"&amp;A56)=0,"",INDIRECT("'UA(New)'!L"&amp;A56)))</f>
        <v/>
      </c>
      <c r="M34" s="118" t="str" cm="1">
        <f t="array" aca="1" ref="M34" ca="1">TRIM(IF(INDIRECT("'UA(New)'!J"&amp;A56)=0,"",INDIRECT("'UA(New)'!J"&amp;A56)))</f>
        <v/>
      </c>
      <c r="N34" s="121" t="str" cm="1">
        <f t="array" aca="1" ref="N34" ca="1">TRIM(IF(INDIRECT("'UA(New)'!I"&amp;A56)=0,"",INDIRECT("'UA(New)'!I"&amp;A56)))</f>
        <v/>
      </c>
    </row>
    <row r="35" spans="1:14">
      <c r="J35" s="120" t="str" cm="1">
        <f t="array" aca="1" ref="J35" ca="1">TRIM(IF(INDIRECT("'UA(New)'!B"&amp;A57)=0,"",INDIRECT("'UA(New)'!B"&amp;A57)))</f>
        <v/>
      </c>
      <c r="K35" s="118" t="str" cm="1">
        <f t="array" aca="1" ref="K35" ca="1">TRIM(IF(INDIRECT("'UA(New)'!C"&amp;A57)=0,"",INDIRECT("'UA(New)'!C"&amp;A57)))</f>
        <v/>
      </c>
      <c r="L35" s="118" t="str" cm="1">
        <f t="array" aca="1" ref="L35" ca="1">TRIM(IF(INDIRECT("'UA(New)'!L"&amp;A57)=0,"",INDIRECT("'UA(New)'!L"&amp;A57)))</f>
        <v/>
      </c>
      <c r="M35" s="118" t="str" cm="1">
        <f t="array" aca="1" ref="M35" ca="1">TRIM(IF(INDIRECT("'UA(New)'!J"&amp;A57)=0,"",INDIRECT("'UA(New)'!J"&amp;A57)))</f>
        <v/>
      </c>
      <c r="N35" s="121" t="str" cm="1">
        <f t="array" aca="1" ref="N35" ca="1">TRIM(IF(INDIRECT("'UA(New)'!I"&amp;A57)=0,"",INDIRECT("'UA(New)'!I"&amp;A57)))</f>
        <v/>
      </c>
    </row>
    <row r="36" spans="1:14">
      <c r="J36" s="120" t="str" cm="1">
        <f t="array" aca="1" ref="J36" ca="1">TRIM(IF(INDIRECT("'UA(New)'!B"&amp;A58)=0,"",INDIRECT("'UA(New)'!B"&amp;A58)))</f>
        <v/>
      </c>
      <c r="K36" s="118" t="str" cm="1">
        <f t="array" aca="1" ref="K36" ca="1">TRIM(IF(INDIRECT("'UA(New)'!C"&amp;A58)=0,"",INDIRECT("'UA(New)'!C"&amp;A58)))</f>
        <v/>
      </c>
      <c r="L36" s="118" t="str" cm="1">
        <f t="array" aca="1" ref="L36" ca="1">TRIM(IF(INDIRECT("'UA(New)'!L"&amp;A58)=0,"",INDIRECT("'UA(New)'!L"&amp;A58)))</f>
        <v/>
      </c>
      <c r="M36" s="118" t="str" cm="1">
        <f t="array" aca="1" ref="M36" ca="1">TRIM(IF(INDIRECT("'UA(New)'!J"&amp;A58)=0,"",INDIRECT("'UA(New)'!J"&amp;A58)))</f>
        <v/>
      </c>
      <c r="N36" s="121" t="str" cm="1">
        <f t="array" aca="1" ref="N36" ca="1">TRIM(IF(INDIRECT("'UA(New)'!I"&amp;A58)=0,"",INDIRECT("'UA(New)'!I"&amp;A58)))</f>
        <v/>
      </c>
    </row>
    <row r="37" spans="1:14">
      <c r="J37" s="120" t="str" cm="1">
        <f t="array" aca="1" ref="J37" ca="1">TRIM(IF(INDIRECT("'UA(New)'!B"&amp;A59)=0,"",INDIRECT("'UA(New)'!B"&amp;A59)))</f>
        <v/>
      </c>
      <c r="K37" s="118" t="str" cm="1">
        <f t="array" aca="1" ref="K37" ca="1">TRIM(IF(INDIRECT("'UA(New)'!C"&amp;A59)=0,"",INDIRECT("'UA(New)'!C"&amp;A59)))</f>
        <v/>
      </c>
      <c r="L37" s="118" t="str" cm="1">
        <f t="array" aca="1" ref="L37" ca="1">TRIM(IF(INDIRECT("'UA(New)'!L"&amp;A59)=0,"",INDIRECT("'UA(New)'!L"&amp;A59)))</f>
        <v/>
      </c>
      <c r="M37" s="118" t="str" cm="1">
        <f t="array" aca="1" ref="M37" ca="1">TRIM(IF(INDIRECT("'UA(New)'!J"&amp;A59)=0,"",INDIRECT("'UA(New)'!J"&amp;A59)))</f>
        <v/>
      </c>
      <c r="N37" s="121" t="str" cm="1">
        <f t="array" aca="1" ref="N37" ca="1">TRIM(IF(INDIRECT("'UA(New)'!I"&amp;A59)=0,"",INDIRECT("'UA(New)'!I"&amp;A59)))</f>
        <v/>
      </c>
    </row>
    <row r="38" spans="1:14">
      <c r="A38">
        <v>21</v>
      </c>
      <c r="J38" s="120" t="str" cm="1">
        <f t="array" aca="1" ref="J38" ca="1">TRIM(IF(INDIRECT("'UA(New)'!B"&amp;A60)=0,"",INDIRECT("'UA(New)'!B"&amp;A60)))</f>
        <v/>
      </c>
      <c r="K38" s="118" t="str" cm="1">
        <f t="array" aca="1" ref="K38" ca="1">TRIM(IF(INDIRECT("'UA(New)'!C"&amp;A60)=0,"",INDIRECT("'UA(New)'!C"&amp;A60)))</f>
        <v/>
      </c>
      <c r="L38" s="118" t="str" cm="1">
        <f t="array" aca="1" ref="L38" ca="1">TRIM(IF(INDIRECT("'UA(New)'!L"&amp;A60)=0,"",INDIRECT("'UA(New)'!L"&amp;A60)))</f>
        <v/>
      </c>
      <c r="M38" s="118" t="str" cm="1">
        <f t="array" aca="1" ref="M38" ca="1">TRIM(IF(INDIRECT("'UA(New)'!J"&amp;A60)=0,"",INDIRECT("'UA(New)'!J"&amp;A60)))</f>
        <v/>
      </c>
      <c r="N38" s="121" t="str" cm="1">
        <f t="array" aca="1" ref="N38" ca="1">TRIM(IF(INDIRECT("'UA(New)'!I"&amp;A60)=0,"",INDIRECT("'UA(New)'!I"&amp;A60)))</f>
        <v/>
      </c>
    </row>
    <row r="39" spans="1:14">
      <c r="A39">
        <v>22</v>
      </c>
      <c r="J39" s="120" t="str" cm="1">
        <f t="array" aca="1" ref="J39" ca="1">TRIM(IF(INDIRECT("'UA(New)'!B"&amp;A61)=0,"",INDIRECT("'UA(New)'!B"&amp;A61)))</f>
        <v/>
      </c>
      <c r="K39" s="118" t="str" cm="1">
        <f t="array" aca="1" ref="K39" ca="1">TRIM(IF(INDIRECT("'UA(New)'!C"&amp;A61)=0,"",INDIRECT("'UA(New)'!C"&amp;A61)))</f>
        <v/>
      </c>
      <c r="L39" s="118" t="str" cm="1">
        <f t="array" aca="1" ref="L39" ca="1">TRIM(IF(INDIRECT("'UA(New)'!L"&amp;A61)=0,"",INDIRECT("'UA(New)'!L"&amp;A61)))</f>
        <v/>
      </c>
      <c r="M39" s="118" t="str" cm="1">
        <f t="array" aca="1" ref="M39" ca="1">TRIM(IF(INDIRECT("'UA(New)'!J"&amp;A61)=0,"",INDIRECT("'UA(New)'!J"&amp;A61)))</f>
        <v/>
      </c>
      <c r="N39" s="121" t="str" cm="1">
        <f t="array" aca="1" ref="N39" ca="1">TRIM(IF(INDIRECT("'UA(New)'!I"&amp;A61)=0,"",INDIRECT("'UA(New)'!I"&amp;A61)))</f>
        <v/>
      </c>
    </row>
    <row r="40" spans="1:14">
      <c r="A40">
        <v>23</v>
      </c>
      <c r="J40" s="120" t="str" cm="1">
        <f t="array" aca="1" ref="J40" ca="1">TRIM(IF(INDIRECT("'UA(New)'!B"&amp;A62)=0,"",INDIRECT("'UA(New)'!B"&amp;A62)))</f>
        <v/>
      </c>
      <c r="K40" s="118" t="str" cm="1">
        <f t="array" aca="1" ref="K40" ca="1">TRIM(IF(INDIRECT("'UA(New)'!C"&amp;A62)=0,"",INDIRECT("'UA(New)'!C"&amp;A62)))</f>
        <v/>
      </c>
      <c r="L40" s="118" t="str" cm="1">
        <f t="array" aca="1" ref="L40" ca="1">TRIM(IF(INDIRECT("'UA(New)'!L"&amp;A62)=0,"",INDIRECT("'UA(New)'!L"&amp;A62)))</f>
        <v/>
      </c>
      <c r="M40" s="118" t="str" cm="1">
        <f t="array" aca="1" ref="M40" ca="1">TRIM(IF(INDIRECT("'UA(New)'!J"&amp;A62)=0,"",INDIRECT("'UA(New)'!J"&amp;A62)))</f>
        <v/>
      </c>
      <c r="N40" s="121" t="str" cm="1">
        <f t="array" aca="1" ref="N40" ca="1">TRIM(IF(INDIRECT("'UA(New)'!I"&amp;A62)=0,"",INDIRECT("'UA(New)'!I"&amp;A62)))</f>
        <v/>
      </c>
    </row>
    <row r="41" spans="1:14">
      <c r="A41">
        <v>24</v>
      </c>
      <c r="J41" s="120" t="str" cm="1">
        <f t="array" aca="1" ref="J41" ca="1">TRIM(IF(INDIRECT("'UA(New)'!B"&amp;A63)=0,"",INDIRECT("'UA(New)'!B"&amp;A63)))</f>
        <v/>
      </c>
      <c r="K41" s="118" t="str" cm="1">
        <f t="array" aca="1" ref="K41" ca="1">TRIM(IF(INDIRECT("'UA(New)'!C"&amp;A63)=0,"",INDIRECT("'UA(New)'!C"&amp;A63)))</f>
        <v/>
      </c>
      <c r="L41" s="118" t="str" cm="1">
        <f t="array" aca="1" ref="L41" ca="1">TRIM(IF(INDIRECT("'UA(New)'!L"&amp;A63)=0,"",INDIRECT("'UA(New)'!L"&amp;A63)))</f>
        <v/>
      </c>
      <c r="M41" s="118" t="str" cm="1">
        <f t="array" aca="1" ref="M41" ca="1">TRIM(IF(INDIRECT("'UA(New)'!J"&amp;A63)=0,"",INDIRECT("'UA(New)'!J"&amp;A63)))</f>
        <v/>
      </c>
      <c r="N41" s="121" t="str" cm="1">
        <f t="array" aca="1" ref="N41" ca="1">TRIM(IF(INDIRECT("'UA(New)'!I"&amp;A63)=0,"",INDIRECT("'UA(New)'!I"&amp;A63)))</f>
        <v/>
      </c>
    </row>
    <row r="42" spans="1:14" ht="14.25" thickBot="1">
      <c r="A42">
        <v>25</v>
      </c>
      <c r="J42" s="122" t="str" cm="1">
        <f t="array" aca="1" ref="J42" ca="1">TRIM(IF(INDIRECT("'UA(New)'!B"&amp;A64)=0,"",INDIRECT("'UA(New)'!B"&amp;A64)))</f>
        <v/>
      </c>
      <c r="K42" s="123" t="str" cm="1">
        <f t="array" aca="1" ref="K42" ca="1">TRIM(IF(INDIRECT("'UA(New)'!C"&amp;A64)=0,"",INDIRECT("'UA(New)'!C"&amp;A64)))</f>
        <v/>
      </c>
      <c r="L42" s="123" t="str" cm="1">
        <f t="array" aca="1" ref="L42" ca="1">TRIM(IF(INDIRECT("'UA(New)'!L"&amp;A64)=0,"",INDIRECT("'UA(New)'!L"&amp;A64)))</f>
        <v/>
      </c>
      <c r="M42" s="123" t="str" cm="1">
        <f t="array" aca="1" ref="M42" ca="1">TRIM(IF(INDIRECT("'UA(New)'!J"&amp;A64)=0,"",INDIRECT("'UA(New)'!J"&amp;A64)))</f>
        <v/>
      </c>
      <c r="N42" s="124" t="str" cm="1">
        <f t="array" aca="1" ref="N42" ca="1">TRIM(IF(INDIRECT("'UA(New)'!I"&amp;A64)=0,"",INDIRECT("'UA(New)'!I"&amp;A64)))</f>
        <v/>
      </c>
    </row>
    <row r="43" spans="1:14">
      <c r="A43">
        <v>26</v>
      </c>
    </row>
    <row r="44" spans="1:14">
      <c r="A44">
        <v>27</v>
      </c>
    </row>
    <row r="45" spans="1:14">
      <c r="A45">
        <v>28</v>
      </c>
    </row>
    <row r="46" spans="1:14">
      <c r="A46">
        <v>29</v>
      </c>
    </row>
    <row r="47" spans="1:14">
      <c r="A47">
        <v>30</v>
      </c>
    </row>
    <row r="48" spans="1:14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I1:N1"/>
    <mergeCell ref="J21:N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workbookViewId="0">
      <selection activeCell="E8" sqref="E8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1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25" t="s">
        <v>104</v>
      </c>
      <c r="B1" s="326"/>
      <c r="C1" s="326"/>
      <c r="D1" s="326"/>
      <c r="E1" s="326"/>
      <c r="F1" s="327"/>
      <c r="H1" s="325" t="s">
        <v>105</v>
      </c>
      <c r="I1" s="326"/>
      <c r="J1" s="326"/>
      <c r="K1" s="326"/>
      <c r="L1" s="326"/>
      <c r="M1" s="326"/>
      <c r="N1" s="326"/>
      <c r="O1" s="326"/>
      <c r="P1" s="327"/>
      <c r="R1" s="328" t="s">
        <v>105</v>
      </c>
      <c r="S1" s="329"/>
      <c r="T1" s="329"/>
      <c r="U1" s="329"/>
      <c r="V1" s="329"/>
      <c r="W1" s="329"/>
      <c r="X1" s="329"/>
      <c r="Y1" s="330"/>
    </row>
    <row r="2" spans="1:25" ht="14.25" thickBot="1">
      <c r="A2" s="89" t="s">
        <v>106</v>
      </c>
      <c r="B2" s="90" t="s">
        <v>107</v>
      </c>
      <c r="C2" s="91" t="s">
        <v>108</v>
      </c>
      <c r="D2" s="92" t="s">
        <v>109</v>
      </c>
      <c r="E2" s="93" t="s">
        <v>10</v>
      </c>
      <c r="F2" s="94" t="s">
        <v>9</v>
      </c>
      <c r="H2" s="103" t="s">
        <v>106</v>
      </c>
      <c r="I2" s="105" t="s">
        <v>192</v>
      </c>
      <c r="J2" s="105" t="s">
        <v>191</v>
      </c>
      <c r="K2" s="104" t="s">
        <v>111</v>
      </c>
      <c r="L2" s="104" t="s">
        <v>82</v>
      </c>
      <c r="M2" s="104" t="s">
        <v>79</v>
      </c>
      <c r="N2" s="104" t="s">
        <v>112</v>
      </c>
      <c r="O2" s="104" t="s">
        <v>113</v>
      </c>
      <c r="P2" s="97" t="s">
        <v>198</v>
      </c>
      <c r="R2" s="103" t="s">
        <v>106</v>
      </c>
      <c r="S2" s="104" t="s">
        <v>110</v>
      </c>
      <c r="T2" s="104" t="s">
        <v>111</v>
      </c>
      <c r="U2" s="104" t="s">
        <v>82</v>
      </c>
      <c r="V2" s="104" t="s">
        <v>79</v>
      </c>
      <c r="W2" s="104" t="s">
        <v>112</v>
      </c>
      <c r="X2" s="104" t="s">
        <v>113</v>
      </c>
      <c r="Y2" s="97" t="s">
        <v>198</v>
      </c>
    </row>
    <row r="3" spans="1:25">
      <c r="A3" s="84" t="s">
        <v>123</v>
      </c>
      <c r="B3" s="84">
        <f>'UW(New)'!B8</f>
        <v>1</v>
      </c>
      <c r="C3" s="84" t="str">
        <f>LEFT('UW(New)'!C8,LEN('UW(New)'!C8)-6)</f>
        <v>Rr Sus</v>
      </c>
      <c r="D3" s="84" t="str">
        <f>RIGHT('UW(New)'!C8,5)</f>
        <v>51206</v>
      </c>
      <c r="E3" s="95">
        <f>'UW(New)'!Y8</f>
        <v>0.74571428571428566</v>
      </c>
      <c r="F3" s="84">
        <f>'UW(New)'!P42</f>
        <v>0</v>
      </c>
      <c r="H3" s="85" t="s">
        <v>123</v>
      </c>
      <c r="I3" s="85" t="str" cm="1">
        <f t="array" aca="1" ref="I3" ca="1">INDIRECT("'UW(New)'!B" &amp; I24)</f>
        <v>FLA</v>
      </c>
      <c r="J3" s="85" t="str" cm="1">
        <f t="array" aca="1" ref="J3" ca="1">INDIRECT("'UW(New)'!C" &amp; J24)</f>
        <v>ALL</v>
      </c>
      <c r="K3" s="85" t="str" cm="1">
        <f t="array" aca="1" ref="K3" ca="1">INDIRECT("'UW(New)'!D" &amp; K24)</f>
        <v>Equipment</v>
      </c>
      <c r="L3" s="85" t="str" cm="1">
        <f t="array" aca="1" ref="L3" ca="1">INDIRECT("'UW(New)'!E" &amp; L24)</f>
        <v xml:space="preserve">Planned stop </v>
      </c>
      <c r="M3" s="85" t="str" cm="1">
        <f t="array" aca="1" ref="M3" ca="1">INDIRECT("'UW(New)'!L" &amp; M24)</f>
        <v>Nozzle clean/Tip change</v>
      </c>
      <c r="N3" s="85" cm="1">
        <f t="array" aca="1" ref="N3" ca="1">INDIRECT("'UW(New)'!J" &amp; N24)</f>
        <v>24</v>
      </c>
      <c r="O3" s="87">
        <f>'UW(New)'!$B$3</f>
        <v>45758</v>
      </c>
      <c r="P3" s="87" t="str">
        <f>'UW(New)'!$F$4</f>
        <v>2nd</v>
      </c>
      <c r="R3" s="85" t="s">
        <v>124</v>
      </c>
      <c r="S3" s="85" cm="1">
        <f t="array" aca="1" ref="S3" ca="1">INDIRECT("'UA(New)'!B" &amp; S24)</f>
        <v>0</v>
      </c>
      <c r="T3" s="85" cm="1">
        <f t="array" aca="1" ref="T3" ca="1">INDIRECT("'UA(New)'!I" &amp; T24)</f>
        <v>0</v>
      </c>
      <c r="U3" s="85" cm="1">
        <f t="array" aca="1" ref="U3" ca="1">INDIRECT("'UA(New)'!C" &amp; U24)</f>
        <v>0</v>
      </c>
      <c r="V3" s="85" cm="1">
        <f t="array" aca="1" ref="V3" ca="1">INDIRECT("'UA(New)'!L" &amp; V24)</f>
        <v>0</v>
      </c>
      <c r="W3" s="85" cm="1">
        <f t="array" aca="1" ref="W3" ca="1">INDIRECT("'UA(New)'!J" &amp; W24)</f>
        <v>0</v>
      </c>
      <c r="X3" s="87">
        <f>'UW(New)'!$B$3</f>
        <v>45758</v>
      </c>
      <c r="Y3" s="87" t="str">
        <f>'UW(New)'!$F$4</f>
        <v>2nd</v>
      </c>
    </row>
    <row r="4" spans="1:25">
      <c r="A4" s="84" t="s">
        <v>123</v>
      </c>
      <c r="B4" s="84">
        <f>'UW(New)'!B9</f>
        <v>2</v>
      </c>
      <c r="C4" s="84" t="str">
        <f>LEFT('UW(New)'!C9,LEN('UW(New)'!C9)-6)</f>
        <v>Fr sus</v>
      </c>
      <c r="D4" s="84" t="str">
        <f>RIGHT('UW(New)'!C9,5)</f>
        <v>51201</v>
      </c>
      <c r="E4" s="95">
        <f>'UW(New)'!Y9</f>
        <v>0.99310344827586206</v>
      </c>
      <c r="F4" s="84">
        <f>'UW(New)'!P43</f>
        <v>0</v>
      </c>
      <c r="H4" s="84" t="s">
        <v>123</v>
      </c>
      <c r="I4" s="84" t="str" cm="1">
        <f t="array" aca="1" ref="I4" ca="1">INDIRECT("'UW(New)'!B" &amp; I25)</f>
        <v>RS</v>
      </c>
      <c r="J4" s="84" t="str" cm="1">
        <f t="array" aca="1" ref="J4" ca="1">INDIRECT("'UW(New)'!C" &amp; J25)</f>
        <v>ALL</v>
      </c>
      <c r="K4" s="84" t="str" cm="1">
        <f t="array" aca="1" ref="K4" ca="1">INDIRECT("'UW(New)'!D" &amp; K25)</f>
        <v>Other</v>
      </c>
      <c r="L4" s="84" t="str" cm="1">
        <f t="array" aca="1" ref="L4" ca="1">INDIRECT("'UW(New)'!E" &amp; L25)</f>
        <v xml:space="preserve">Planned stop </v>
      </c>
      <c r="M4" s="84" t="str" cm="1">
        <f t="array" aca="1" ref="M4" ca="1">INDIRECT("'UW(New)'!L" &amp; M25)</f>
        <v>TMs recovered 177D during lunch</v>
      </c>
      <c r="N4" s="84" cm="1">
        <f t="array" aca="1" ref="N4" ca="1">INDIRECT("'UW(New)'!J" &amp; N25)</f>
        <v>45</v>
      </c>
      <c r="O4" s="86">
        <f>'UW(New)'!$B$3</f>
        <v>45758</v>
      </c>
      <c r="P4" s="87" t="str">
        <f>'UW(New)'!$F$4</f>
        <v>2nd</v>
      </c>
      <c r="R4" s="84" t="s">
        <v>124</v>
      </c>
      <c r="S4" s="84" cm="1">
        <f t="array" aca="1" ref="S4" ca="1">INDIRECT("'UA(New)'!B" &amp; S25)</f>
        <v>0</v>
      </c>
      <c r="T4" s="84" cm="1">
        <f t="array" aca="1" ref="T4" ca="1">INDIRECT("'UA(New)'!I" &amp; T25)</f>
        <v>0</v>
      </c>
      <c r="U4" s="84" cm="1">
        <f t="array" aca="1" ref="U4" ca="1">INDIRECT("'UA(New)'!C" &amp; U25)</f>
        <v>0</v>
      </c>
      <c r="V4" s="84" cm="1">
        <f t="array" aca="1" ref="V4" ca="1">INDIRECT("'UA(New)'!L" &amp; V25)</f>
        <v>0</v>
      </c>
      <c r="W4" s="84" cm="1">
        <f t="array" aca="1" ref="W4" ca="1">INDIRECT("'UA(New)'!J" &amp; W25)</f>
        <v>0</v>
      </c>
      <c r="X4" s="86">
        <f>'UW(New)'!$B$3</f>
        <v>45758</v>
      </c>
      <c r="Y4" s="87" t="str">
        <f>'UW(New)'!$F$4</f>
        <v>2nd</v>
      </c>
    </row>
    <row r="5" spans="1:25">
      <c r="A5" s="84" t="s">
        <v>123</v>
      </c>
      <c r="B5" s="84">
        <f>'UW(New)'!B10</f>
        <v>3</v>
      </c>
      <c r="C5" s="84" t="str">
        <f>LEFT('UW(New)'!C10,LEN('UW(New)'!C10)-6)</f>
        <v>OA Cowl</v>
      </c>
      <c r="D5" s="84" t="str">
        <f>RIGHT('UW(New)'!C10,5)</f>
        <v>55701</v>
      </c>
      <c r="E5" s="95">
        <f>'UW(New)'!Y10</f>
        <v>1</v>
      </c>
      <c r="F5" s="84">
        <f>'UW(New)'!P44</f>
        <v>0</v>
      </c>
      <c r="H5" s="84" t="s">
        <v>123</v>
      </c>
      <c r="I5" s="84" t="str" cm="1">
        <f t="array" aca="1" ref="I5" ca="1">INDIRECT("'UW(New)'!B" &amp; I26)</f>
        <v>FLA</v>
      </c>
      <c r="J5" s="84" t="str" cm="1">
        <f t="array" aca="1" ref="J5" ca="1">INDIRECT("'UW(New)'!C" &amp; J26)</f>
        <v>LH 2ST</v>
      </c>
      <c r="K5" s="84" cm="1">
        <f t="array" aca="1" ref="K5" ca="1">INDIRECT("'UW(New)'!D" &amp; K26)</f>
        <v>0</v>
      </c>
      <c r="L5" s="84" t="str" cm="1">
        <f t="array" aca="1" ref="L5" ca="1">INDIRECT("'UW(New)'!E" &amp; L26)</f>
        <v>wire change</v>
      </c>
      <c r="M5" s="84" t="str" cm="1">
        <f t="array" aca="1" ref="M5" ca="1">INDIRECT("'UW(New)'!L" &amp; M26)</f>
        <v>out of wire</v>
      </c>
      <c r="N5" s="84" cm="1">
        <f t="array" aca="1" ref="N5" ca="1">INDIRECT("'UW(New)'!J" &amp; N26)</f>
        <v>15</v>
      </c>
      <c r="O5" s="86">
        <f>'UW(New)'!$B$3</f>
        <v>45758</v>
      </c>
      <c r="P5" s="87" t="str">
        <f>'UW(New)'!$F$4</f>
        <v>2nd</v>
      </c>
      <c r="R5" s="84" t="s">
        <v>124</v>
      </c>
      <c r="S5" s="84" cm="1">
        <f t="array" aca="1" ref="S5" ca="1">INDIRECT("'UA(New)'!B" &amp; S26)</f>
        <v>0</v>
      </c>
      <c r="T5" s="84" cm="1">
        <f t="array" aca="1" ref="T5" ca="1">INDIRECT("'UA(New)'!I" &amp; T26)</f>
        <v>0</v>
      </c>
      <c r="U5" s="84" cm="1">
        <f t="array" aca="1" ref="U5" ca="1">INDIRECT("'UA(New)'!C" &amp; U26)</f>
        <v>0</v>
      </c>
      <c r="V5" s="84" cm="1">
        <f t="array" aca="1" ref="V5" ca="1">INDIRECT("'UA(New)'!L" &amp; V26)</f>
        <v>0</v>
      </c>
      <c r="W5" s="84" cm="1">
        <f t="array" aca="1" ref="W5" ca="1">INDIRECT("'UA(New)'!J" &amp; W26)</f>
        <v>0</v>
      </c>
      <c r="X5" s="86">
        <f>'UW(New)'!$B$3</f>
        <v>45758</v>
      </c>
      <c r="Y5" s="87" t="str">
        <f>'UW(New)'!$F$4</f>
        <v>2nd</v>
      </c>
    </row>
    <row r="6" spans="1:25">
      <c r="A6" s="84" t="s">
        <v>123</v>
      </c>
      <c r="B6" s="84">
        <f>'UW(New)'!B11</f>
        <v>4</v>
      </c>
      <c r="C6" s="84" t="str">
        <f>LEFT('UW(New)'!C11,LEN('UW(New)'!C11)-7)</f>
        <v xml:space="preserve">Fr lwr arm </v>
      </c>
      <c r="D6" s="84" t="str">
        <f>RIGHT('UW(New)'!C11,7)</f>
        <v>48068/9</v>
      </c>
      <c r="E6" s="95">
        <f>'UW(New)'!Y11</f>
        <v>0.94736842105263164</v>
      </c>
      <c r="F6" s="84">
        <f>'UW(New)'!P45</f>
        <v>2</v>
      </c>
      <c r="H6" s="84" t="s">
        <v>123</v>
      </c>
      <c r="I6" s="84" cm="1">
        <f t="array" aca="1" ref="I6" ca="1">INDIRECT("'UW(New)'!B" &amp; I27)</f>
        <v>0</v>
      </c>
      <c r="J6" s="84" cm="1">
        <f t="array" aca="1" ref="J6" ca="1">INDIRECT("'UW(New)'!C" &amp; J27)</f>
        <v>0</v>
      </c>
      <c r="K6" s="84" cm="1">
        <f t="array" aca="1" ref="K6" ca="1">INDIRECT("'UW(New)'!D" &amp; K27)</f>
        <v>0</v>
      </c>
      <c r="L6" s="84" cm="1">
        <f t="array" aca="1" ref="L6" ca="1">INDIRECT("'UW(New)'!E" &amp; L27)</f>
        <v>0</v>
      </c>
      <c r="M6" s="84" cm="1">
        <f t="array" aca="1" ref="M6" ca="1">INDIRECT("'UW(New)'!L" &amp; M27)</f>
        <v>0</v>
      </c>
      <c r="N6" s="84" cm="1">
        <f t="array" aca="1" ref="N6" ca="1">INDIRECT("'UW(New)'!J" &amp; N27)</f>
        <v>0</v>
      </c>
      <c r="O6" s="86">
        <f>'UW(New)'!$B$3</f>
        <v>45758</v>
      </c>
      <c r="P6" s="87" t="str">
        <f>'UW(New)'!$F$4</f>
        <v>2nd</v>
      </c>
      <c r="R6" s="84" t="s">
        <v>124</v>
      </c>
      <c r="S6" s="84" cm="1">
        <f t="array" aca="1" ref="S6" ca="1">INDIRECT("'UA(New)'!B" &amp; S27)</f>
        <v>0</v>
      </c>
      <c r="T6" s="84" cm="1">
        <f t="array" aca="1" ref="T6" ca="1">INDIRECT("'UA(New)'!I" &amp; T27)</f>
        <v>0</v>
      </c>
      <c r="U6" s="84" cm="1">
        <f t="array" aca="1" ref="U6" ca="1">INDIRECT("'UA(New)'!C" &amp; U27)</f>
        <v>0</v>
      </c>
      <c r="V6" s="84" cm="1">
        <f t="array" aca="1" ref="V6" ca="1">INDIRECT("'UA(New)'!L" &amp; V27)</f>
        <v>0</v>
      </c>
      <c r="W6" s="84" cm="1">
        <f t="array" aca="1" ref="W6" ca="1">INDIRECT("'UA(New)'!J" &amp; W27)</f>
        <v>0</v>
      </c>
      <c r="X6" s="86">
        <f>'UW(New)'!$B$3</f>
        <v>45758</v>
      </c>
      <c r="Y6" s="87" t="str">
        <f>'UW(New)'!$F$4</f>
        <v>2nd</v>
      </c>
    </row>
    <row r="7" spans="1:25">
      <c r="A7" s="84" t="s">
        <v>123</v>
      </c>
      <c r="B7" s="84">
        <f>'UW(New)'!B12</f>
        <v>5</v>
      </c>
      <c r="C7" s="84" t="str">
        <f>LEFT('UW(New)'!C12,LEN('UW(New)'!C12)-6)</f>
        <v>Rear arm</v>
      </c>
      <c r="D7" s="84" t="str">
        <f>RIGHT('UW(New)'!C12,5)</f>
        <v>48730</v>
      </c>
      <c r="E7" s="95">
        <f>'UW(New)'!Y12</f>
        <v>0.99</v>
      </c>
      <c r="F7" s="84">
        <f>'UW(New)'!P46</f>
        <v>3</v>
      </c>
      <c r="H7" s="84" t="s">
        <v>123</v>
      </c>
      <c r="I7" s="84" t="str" cm="1">
        <f t="array" aca="1" ref="I7" ca="1">INDIRECT("'UW(New)'!B" &amp; I28)</f>
        <v>Rr_Beam_890B</v>
      </c>
      <c r="J7" s="84" t="str" cm="1">
        <f t="array" aca="1" ref="J7" ca="1">INDIRECT("'UW(New)'!C" &amp; J28)</f>
        <v>ALL</v>
      </c>
      <c r="K7" s="84" t="str" cm="1">
        <f t="array" aca="1" ref="K7" ca="1">INDIRECT("'UW(New)'!D" &amp; K28)</f>
        <v>Equipment</v>
      </c>
      <c r="L7" s="84" t="str" cm="1">
        <f t="array" aca="1" ref="L7" ca="1">INDIRECT("'UW(New)'!E" &amp; L28)</f>
        <v>Change over to 177D</v>
      </c>
      <c r="M7" s="84" cm="1">
        <f t="array" aca="1" ref="M7" ca="1">INDIRECT("'UW(New)'!L" &amp; M28)</f>
        <v>0</v>
      </c>
      <c r="N7" s="84" cm="1">
        <f t="array" aca="1" ref="N7" ca="1">INDIRECT("'UW(New)'!J" &amp; N28)</f>
        <v>15</v>
      </c>
      <c r="O7" s="86">
        <f>'UW(New)'!$B$3</f>
        <v>45758</v>
      </c>
      <c r="P7" s="87" t="str">
        <f>'UW(New)'!$F$4</f>
        <v>2nd</v>
      </c>
      <c r="R7" s="84" t="s">
        <v>124</v>
      </c>
      <c r="S7" s="84" cm="1">
        <f t="array" aca="1" ref="S7" ca="1">INDIRECT("'UA(New)'!B" &amp; S28)</f>
        <v>0</v>
      </c>
      <c r="T7" s="84" cm="1">
        <f t="array" aca="1" ref="T7" ca="1">INDIRECT("'UA(New)'!I" &amp; T28)</f>
        <v>0</v>
      </c>
      <c r="U7" s="84" cm="1">
        <f t="array" aca="1" ref="U7" ca="1">INDIRECT("'UA(New)'!C" &amp; U28)</f>
        <v>0</v>
      </c>
      <c r="V7" s="84" cm="1">
        <f t="array" aca="1" ref="V7" ca="1">INDIRECT("'UA(New)'!L" &amp; V28)</f>
        <v>0</v>
      </c>
      <c r="W7" s="84" cm="1">
        <f t="array" aca="1" ref="W7" ca="1">INDIRECT("'UA(New)'!J" &amp; W28)</f>
        <v>0</v>
      </c>
      <c r="X7" s="86">
        <f>'UW(New)'!$B$3</f>
        <v>45758</v>
      </c>
      <c r="Y7" s="87" t="str">
        <f>'UW(New)'!$F$4</f>
        <v>2nd</v>
      </c>
    </row>
    <row r="8" spans="1:25">
      <c r="A8" s="84" t="s">
        <v>123</v>
      </c>
      <c r="B8" s="84">
        <f>'UW(New)'!B13</f>
        <v>6</v>
      </c>
      <c r="C8" s="84" t="str">
        <f>LEFT('UW(New)'!C13,LEN('UW(New)'!C13)-6)</f>
        <v>Rear Beam</v>
      </c>
      <c r="D8" s="84" t="str">
        <f>RIGHT('UW(New)'!C13,5)</f>
        <v>42110</v>
      </c>
      <c r="E8" s="95">
        <f>'UW(New)'!Y13</f>
        <v>1</v>
      </c>
      <c r="F8" s="84">
        <f>SUM('UW(New)'!P47:P49)</f>
        <v>1</v>
      </c>
      <c r="H8" s="84" t="s">
        <v>123</v>
      </c>
      <c r="I8" s="84" cm="1">
        <f t="array" aca="1" ref="I8" ca="1">INDIRECT("'UW(New)'!B" &amp; I29)</f>
        <v>0</v>
      </c>
      <c r="J8" s="84" cm="1">
        <f t="array" aca="1" ref="J8" ca="1">INDIRECT("'UW(New)'!C" &amp; J29)</f>
        <v>0</v>
      </c>
      <c r="K8" s="84" cm="1">
        <f t="array" aca="1" ref="K8" ca="1">INDIRECT("'UW(New)'!D" &amp; K29)</f>
        <v>0</v>
      </c>
      <c r="L8" s="84" cm="1">
        <f t="array" aca="1" ref="L8" ca="1">INDIRECT("'UW(New)'!E" &amp; L29)</f>
        <v>0</v>
      </c>
      <c r="M8" s="84" cm="1">
        <f t="array" aca="1" ref="M8" ca="1">INDIRECT("'UW(New)'!L" &amp; M29)</f>
        <v>0</v>
      </c>
      <c r="N8" s="84" cm="1">
        <f t="array" aca="1" ref="N8" ca="1">INDIRECT("'UW(New)'!J" &amp; N29)</f>
        <v>0</v>
      </c>
      <c r="O8" s="86">
        <f>'UW(New)'!$B$3</f>
        <v>45758</v>
      </c>
      <c r="P8" s="87" t="str">
        <f>'UW(New)'!$F$4</f>
        <v>2nd</v>
      </c>
      <c r="R8" s="84" t="s">
        <v>124</v>
      </c>
      <c r="S8" s="84" cm="1">
        <f t="array" aca="1" ref="S8" ca="1">INDIRECT("'UA(New)'!B" &amp; S29)</f>
        <v>0</v>
      </c>
      <c r="T8" s="84" cm="1">
        <f t="array" aca="1" ref="T8" ca="1">INDIRECT("'UA(New)'!I" &amp; T29)</f>
        <v>0</v>
      </c>
      <c r="U8" s="84" cm="1">
        <f t="array" aca="1" ref="U8" ca="1">INDIRECT("'UA(New)'!C" &amp; U29)</f>
        <v>0</v>
      </c>
      <c r="V8" s="84" cm="1">
        <f t="array" aca="1" ref="V8" ca="1">INDIRECT("'UA(New)'!L" &amp; V29)</f>
        <v>0</v>
      </c>
      <c r="W8" s="84" cm="1">
        <f t="array" aca="1" ref="W8" ca="1">INDIRECT("'UA(New)'!J" &amp; W29)</f>
        <v>0</v>
      </c>
      <c r="X8" s="86">
        <f>'UW(New)'!$B$3</f>
        <v>45758</v>
      </c>
      <c r="Y8" s="87" t="str">
        <f>'UW(New)'!$F$4</f>
        <v>2nd</v>
      </c>
    </row>
    <row r="9" spans="1:25">
      <c r="A9" s="84" t="s">
        <v>124</v>
      </c>
      <c r="B9" s="84">
        <f>'UA(New)'!B8</f>
        <v>1</v>
      </c>
      <c r="C9" s="84" t="str">
        <f>LEFT('UA(New)'!C8,LEN('UA(New)'!C8)-6)</f>
        <v>Rr Sus</v>
      </c>
      <c r="D9" s="84" t="str">
        <f>RIGHT('UA(New)'!C8,5)</f>
        <v>51206</v>
      </c>
      <c r="E9" s="95">
        <f>'UA(New)'!R8</f>
        <v>0.57679558011049725</v>
      </c>
      <c r="F9" s="84">
        <f>'UA(New)'!P52</f>
        <v>0</v>
      </c>
      <c r="H9" s="84" t="s">
        <v>123</v>
      </c>
      <c r="I9" s="84" cm="1">
        <f t="array" aca="1" ref="I9" ca="1">INDIRECT("'UW(New)'!B" &amp; I30)</f>
        <v>0</v>
      </c>
      <c r="J9" s="84" cm="1">
        <f t="array" aca="1" ref="J9" ca="1">INDIRECT("'UW(New)'!C" &amp; J30)</f>
        <v>0</v>
      </c>
      <c r="K9" s="84" cm="1">
        <f t="array" aca="1" ref="K9" ca="1">INDIRECT("'UW(New)'!D" &amp; K30)</f>
        <v>0</v>
      </c>
      <c r="L9" s="84" cm="1">
        <f t="array" aca="1" ref="L9" ca="1">INDIRECT("'UW(New)'!E" &amp; L30)</f>
        <v>0</v>
      </c>
      <c r="M9" s="84" cm="1">
        <f t="array" aca="1" ref="M9" ca="1">INDIRECT("'UW(New)'!L" &amp; M30)</f>
        <v>0</v>
      </c>
      <c r="N9" s="84" cm="1">
        <f t="array" aca="1" ref="N9" ca="1">INDIRECT("'UW(New)'!J" &amp; N30)</f>
        <v>0</v>
      </c>
      <c r="O9" s="86">
        <f>'UW(New)'!$B$3</f>
        <v>45758</v>
      </c>
      <c r="P9" s="87" t="str">
        <f>'UW(New)'!$F$4</f>
        <v>2nd</v>
      </c>
      <c r="R9" s="84" t="s">
        <v>124</v>
      </c>
      <c r="S9" s="84" cm="1">
        <f t="array" aca="1" ref="S9" ca="1">INDIRECT("'UA(New)'!B" &amp; S30)</f>
        <v>0</v>
      </c>
      <c r="T9" s="84" cm="1">
        <f t="array" aca="1" ref="T9" ca="1">INDIRECT("'UA(New)'!I" &amp; T30)</f>
        <v>0</v>
      </c>
      <c r="U9" s="84" cm="1">
        <f t="array" aca="1" ref="U9" ca="1">INDIRECT("'UA(New)'!C" &amp; U30)</f>
        <v>0</v>
      </c>
      <c r="V9" s="84" cm="1">
        <f t="array" aca="1" ref="V9" ca="1">INDIRECT("'UA(New)'!L" &amp; V30)</f>
        <v>0</v>
      </c>
      <c r="W9" s="84" cm="1">
        <f t="array" aca="1" ref="W9" ca="1">INDIRECT("'UA(New)'!J" &amp; W30)</f>
        <v>0</v>
      </c>
      <c r="X9" s="86">
        <f>'UW(New)'!$B$3</f>
        <v>45758</v>
      </c>
      <c r="Y9" s="87" t="str">
        <f>'UW(New)'!$F$4</f>
        <v>2nd</v>
      </c>
    </row>
    <row r="10" spans="1:25">
      <c r="A10" s="84" t="s">
        <v>124</v>
      </c>
      <c r="B10" s="84">
        <f>'UA(New)'!B9</f>
        <v>2</v>
      </c>
      <c r="C10" s="84" t="str">
        <f>LEFT('UA(New)'!C9,LEN('UA(New)'!C9)-8)</f>
        <v>Fr lwr arm</v>
      </c>
      <c r="D10" s="84" t="str">
        <f>RIGHT('UA(New)'!C9,7)</f>
        <v>48068/9</v>
      </c>
      <c r="E10" s="95">
        <f>'UA(New)'!R9</f>
        <v>1</v>
      </c>
      <c r="F10" s="84">
        <f>'UA(New)'!P53</f>
        <v>0</v>
      </c>
      <c r="H10" s="84" t="s">
        <v>123</v>
      </c>
      <c r="I10" s="84" t="str" cm="1">
        <f t="array" aca="1" ref="I10" ca="1">INDIRECT("'UW(New)'!B" &amp; I31)</f>
        <v>Rr_Beam_ALL</v>
      </c>
      <c r="J10" s="84" t="str" cm="1">
        <f t="array" aca="1" ref="J10" ca="1">INDIRECT("'UW(New)'!C" &amp; J31)</f>
        <v>ALL</v>
      </c>
      <c r="K10" s="84" t="str" cm="1">
        <f t="array" aca="1" ref="K10" ca="1">INDIRECT("'UW(New)'!D" &amp; K31)</f>
        <v>Equipment</v>
      </c>
      <c r="L10" s="84" t="str" cm="1">
        <f t="array" aca="1" ref="L10" ca="1">INDIRECT("'UW(New)'!E" &amp; L31)</f>
        <v xml:space="preserve">Planned stop </v>
      </c>
      <c r="M10" s="84" t="str" cm="1">
        <f t="array" aca="1" ref="M10" ca="1">INDIRECT("'UW(New)'!L" &amp; M31)</f>
        <v>Nozzle clean/Tip change</v>
      </c>
      <c r="N10" s="84" cm="1">
        <f t="array" aca="1" ref="N10" ca="1">INDIRECT("'UW(New)'!J" &amp; N31)</f>
        <v>24</v>
      </c>
      <c r="O10" s="86">
        <f>'UW(New)'!$B$3</f>
        <v>45758</v>
      </c>
      <c r="P10" s="87" t="str">
        <f>'UW(New)'!$F$4</f>
        <v>2nd</v>
      </c>
      <c r="R10" s="84" t="s">
        <v>124</v>
      </c>
      <c r="S10" s="84" cm="1">
        <f t="array" aca="1" ref="S10" ca="1">INDIRECT("'UA(New)'!B" &amp; S31)</f>
        <v>0</v>
      </c>
      <c r="T10" s="84" cm="1">
        <f t="array" aca="1" ref="T10" ca="1">INDIRECT("'UA(New)'!I" &amp; T31)</f>
        <v>0</v>
      </c>
      <c r="U10" s="84" cm="1">
        <f t="array" aca="1" ref="U10" ca="1">INDIRECT("'UA(New)'!C" &amp; U31)</f>
        <v>0</v>
      </c>
      <c r="V10" s="84" cm="1">
        <f t="array" aca="1" ref="V10" ca="1">INDIRECT("'UA(New)'!L" &amp; V31)</f>
        <v>0</v>
      </c>
      <c r="W10" s="84" cm="1">
        <f t="array" aca="1" ref="W10" ca="1">INDIRECT("'UA(New)'!J" &amp; W31)</f>
        <v>0</v>
      </c>
      <c r="X10" s="86">
        <f>'UW(New)'!$B$3</f>
        <v>45758</v>
      </c>
      <c r="Y10" s="87" t="str">
        <f>'UW(New)'!$F$4</f>
        <v>2nd</v>
      </c>
    </row>
    <row r="11" spans="1:25">
      <c r="A11" s="84" t="s">
        <v>124</v>
      </c>
      <c r="B11" s="84">
        <f>'UA(New)'!B10</f>
        <v>3</v>
      </c>
      <c r="C11" s="84" t="str">
        <f>LEFT('UA(New)'!C10,LEN('UA(New)'!C10)-6)</f>
        <v>OA Cowl</v>
      </c>
      <c r="D11" s="84" t="str">
        <f>RIGHT('UA(New)'!C10,5)</f>
        <v>55701</v>
      </c>
      <c r="E11" s="95">
        <f>'UA(New)'!R10</f>
        <v>1</v>
      </c>
      <c r="F11" s="84">
        <f>'UA(New)'!P54</f>
        <v>8</v>
      </c>
      <c r="H11" s="84" t="s">
        <v>123</v>
      </c>
      <c r="I11" s="84" cm="1">
        <f t="array" aca="1" ref="I11" ca="1">INDIRECT("'UW(New)'!B" &amp; I32)</f>
        <v>0</v>
      </c>
      <c r="J11" s="84" cm="1">
        <f t="array" aca="1" ref="J11" ca="1">INDIRECT("'UW(New)'!C" &amp; J32)</f>
        <v>0</v>
      </c>
      <c r="K11" s="84" cm="1">
        <f t="array" aca="1" ref="K11" ca="1">INDIRECT("'UW(New)'!D" &amp; K32)</f>
        <v>0</v>
      </c>
      <c r="L11" s="84" cm="1">
        <f t="array" aca="1" ref="L11" ca="1">INDIRECT("'UW(New)'!E" &amp; L32)</f>
        <v>0</v>
      </c>
      <c r="M11" s="84" cm="1">
        <f t="array" aca="1" ref="M11" ca="1">INDIRECT("'UW(New)'!L" &amp; M32)</f>
        <v>0</v>
      </c>
      <c r="N11" s="84" cm="1">
        <f t="array" aca="1" ref="N11" ca="1">INDIRECT("'UW(New)'!J" &amp; N32)</f>
        <v>0</v>
      </c>
      <c r="O11" s="86">
        <f>'UW(New)'!$B$3</f>
        <v>45758</v>
      </c>
      <c r="P11" s="87" t="str">
        <f>'UW(New)'!$F$4</f>
        <v>2nd</v>
      </c>
      <c r="R11" s="84" t="s">
        <v>124</v>
      </c>
      <c r="S11" s="84" cm="1">
        <f t="array" aca="1" ref="S11" ca="1">INDIRECT("'UA(New)'!B" &amp; S32)</f>
        <v>0</v>
      </c>
      <c r="T11" s="84" cm="1">
        <f t="array" aca="1" ref="T11" ca="1">INDIRECT("'UA(New)'!I" &amp; T32)</f>
        <v>0</v>
      </c>
      <c r="U11" s="84" cm="1">
        <f t="array" aca="1" ref="U11" ca="1">INDIRECT("'UA(New)'!C" &amp; U32)</f>
        <v>0</v>
      </c>
      <c r="V11" s="84" cm="1">
        <f t="array" aca="1" ref="V11" ca="1">INDIRECT("'UA(New)'!L" &amp; V32)</f>
        <v>0</v>
      </c>
      <c r="W11" s="84" cm="1">
        <f t="array" aca="1" ref="W11" ca="1">INDIRECT("'UA(New)'!J" &amp; W32)</f>
        <v>0</v>
      </c>
      <c r="X11" s="86">
        <f>'UW(New)'!$B$3</f>
        <v>45758</v>
      </c>
      <c r="Y11" s="87" t="str">
        <f>'UW(New)'!$F$4</f>
        <v>2nd</v>
      </c>
    </row>
    <row r="12" spans="1:25">
      <c r="A12" s="84" t="s">
        <v>124</v>
      </c>
      <c r="B12" s="84">
        <f>'UA(New)'!B11</f>
        <v>4</v>
      </c>
      <c r="C12" s="84" t="str">
        <f>LEFT('UA(New)'!C11,LEN('UA(New)'!C11)-6)</f>
        <v>Rear arm</v>
      </c>
      <c r="D12" s="84" t="str">
        <f>RIGHT('UA(New)'!C11,5)</f>
        <v>48730</v>
      </c>
      <c r="E12" s="95">
        <f>'UA(New)'!R11</f>
        <v>1</v>
      </c>
      <c r="F12" s="84">
        <f>'UA(New)'!P55</f>
        <v>0</v>
      </c>
      <c r="H12" s="84" t="s">
        <v>123</v>
      </c>
      <c r="I12" s="84" t="str" cm="1">
        <f t="array" aca="1" ref="I12" ca="1">INDIRECT("'UW(New)'!B" &amp; I33)</f>
        <v>FS</v>
      </c>
      <c r="J12" s="84" t="str" cm="1">
        <f t="array" aca="1" ref="J12" ca="1">INDIRECT("'UW(New)'!C" &amp; J33)</f>
        <v>ALL</v>
      </c>
      <c r="K12" s="84" t="str" cm="1">
        <f t="array" aca="1" ref="K12" ca="1">INDIRECT("'UW(New)'!D" &amp; K33)</f>
        <v>Equipment</v>
      </c>
      <c r="L12" s="84" t="str" cm="1">
        <f t="array" aca="1" ref="L12" ca="1">INDIRECT("'UW(New)'!E" &amp; L33)</f>
        <v>Planned stop</v>
      </c>
      <c r="M12" s="84" t="str" cm="1">
        <f t="array" aca="1" ref="M12" ca="1">INDIRECT("'UW(New)'!L" &amp; M33)</f>
        <v>Nozzle clean/Tip change</v>
      </c>
      <c r="N12" s="84" cm="1">
        <f t="array" aca="1" ref="N12" ca="1">INDIRECT("'UW(New)'!J" &amp; N33)</f>
        <v>24</v>
      </c>
      <c r="O12" s="86">
        <f>'UW(New)'!$B$3</f>
        <v>45758</v>
      </c>
      <c r="P12" s="87" t="str">
        <f>'UW(New)'!$F$4</f>
        <v>2nd</v>
      </c>
      <c r="R12" s="84" t="s">
        <v>124</v>
      </c>
      <c r="S12" s="84" cm="1">
        <f t="array" aca="1" ref="S12" ca="1">INDIRECT("'UA(New)'!B" &amp; S33)</f>
        <v>0</v>
      </c>
      <c r="T12" s="84" cm="1">
        <f t="array" aca="1" ref="T12" ca="1">INDIRECT("'UA(New)'!I" &amp; T33)</f>
        <v>0</v>
      </c>
      <c r="U12" s="84" cm="1">
        <f t="array" aca="1" ref="U12" ca="1">INDIRECT("'UA(New)'!C" &amp; U33)</f>
        <v>0</v>
      </c>
      <c r="V12" s="84" cm="1">
        <f t="array" aca="1" ref="V12" ca="1">INDIRECT("'UA(New)'!L" &amp; V33)</f>
        <v>0</v>
      </c>
      <c r="W12" s="84" cm="1">
        <f t="array" aca="1" ref="W12" ca="1">INDIRECT("'UA(New)'!J" &amp; W33)</f>
        <v>0</v>
      </c>
      <c r="X12" s="86">
        <f>'UW(New)'!$B$3</f>
        <v>45758</v>
      </c>
      <c r="Y12" s="87" t="str">
        <f>'UW(New)'!$F$4</f>
        <v>2nd</v>
      </c>
    </row>
    <row r="13" spans="1:25">
      <c r="A13" s="84" t="s">
        <v>124</v>
      </c>
      <c r="B13" s="84">
        <f>'UA(New)'!B12</f>
        <v>5</v>
      </c>
      <c r="C13" s="84" t="str">
        <f>LEFT('UA(New)'!C12,LEN('UA(New)'!C12)-6)</f>
        <v>Fr sus</v>
      </c>
      <c r="D13" s="84" t="str">
        <f>RIGHT('UA(New)'!C12,5)</f>
        <v>51201</v>
      </c>
      <c r="E13" s="95">
        <f>'UA(New)'!R12</f>
        <v>0.92703862660944203</v>
      </c>
      <c r="F13" s="84">
        <f>'UA(New)'!P56</f>
        <v>0</v>
      </c>
      <c r="H13" s="84" t="s">
        <v>123</v>
      </c>
      <c r="I13" s="84" cm="1">
        <f t="array" aca="1" ref="I13" ca="1">INDIRECT("'UW(New)'!B" &amp; I34)</f>
        <v>0</v>
      </c>
      <c r="J13" s="84" cm="1">
        <f t="array" aca="1" ref="J13" ca="1">INDIRECT("'UW(New)'!C" &amp; J34)</f>
        <v>0</v>
      </c>
      <c r="K13" s="84" cm="1">
        <f t="array" aca="1" ref="K13" ca="1">INDIRECT("'UW(New)'!D" &amp; K34)</f>
        <v>0</v>
      </c>
      <c r="L13" s="84" cm="1">
        <f t="array" aca="1" ref="L13" ca="1">INDIRECT("'UW(New)'!E" &amp; L34)</f>
        <v>0</v>
      </c>
      <c r="M13" s="84" cm="1">
        <f t="array" aca="1" ref="M13" ca="1">INDIRECT("'UW(New)'!L" &amp; M34)</f>
        <v>0</v>
      </c>
      <c r="N13" s="84" cm="1">
        <f t="array" aca="1" ref="N13" ca="1">INDIRECT("'UW(New)'!J" &amp; N34)</f>
        <v>0</v>
      </c>
      <c r="O13" s="86">
        <f>'UW(New)'!$B$3</f>
        <v>45758</v>
      </c>
      <c r="P13" s="87" t="str">
        <f>'UW(New)'!$F$4</f>
        <v>2nd</v>
      </c>
      <c r="R13" s="84" t="s">
        <v>124</v>
      </c>
      <c r="S13" s="84" cm="1">
        <f t="array" aca="1" ref="S13" ca="1">INDIRECT("'UA(New)'!B" &amp; S34)</f>
        <v>0</v>
      </c>
      <c r="T13" s="84" cm="1">
        <f t="array" aca="1" ref="T13" ca="1">INDIRECT("'UA(New)'!I" &amp; T34)</f>
        <v>0</v>
      </c>
      <c r="U13" s="84" cm="1">
        <f t="array" aca="1" ref="U13" ca="1">INDIRECT("'UA(New)'!C" &amp; U34)</f>
        <v>0</v>
      </c>
      <c r="V13" s="84" cm="1">
        <f t="array" aca="1" ref="V13" ca="1">INDIRECT("'UA(New)'!L" &amp; V34)</f>
        <v>0</v>
      </c>
      <c r="W13" s="84" cm="1">
        <f t="array" aca="1" ref="W13" ca="1">INDIRECT("'UA(New)'!J" &amp; W34)</f>
        <v>0</v>
      </c>
      <c r="X13" s="86">
        <f>'UW(New)'!$B$3</f>
        <v>45758</v>
      </c>
      <c r="Y13" s="87" t="str">
        <f>'UW(New)'!$F$4</f>
        <v>2nd</v>
      </c>
    </row>
    <row r="14" spans="1:25">
      <c r="A14" s="84" t="s">
        <v>124</v>
      </c>
      <c r="B14" s="84">
        <f>'UA(New)'!B13</f>
        <v>6</v>
      </c>
      <c r="C14" s="84" t="str">
        <f>LEFT('UA(New)'!C13,LEN('UA(New)'!C13)-11)&amp;RIGHT('UA(New)'!C13,5)</f>
        <v>Rear Beam 177D</v>
      </c>
      <c r="D14" s="84" t="str">
        <f>RIGHT('UA(New)'!C13,10)</f>
        <v>42110 177D</v>
      </c>
      <c r="E14" s="95">
        <f>'UA(New)'!R13</f>
        <v>1</v>
      </c>
      <c r="F14" s="84">
        <f>'UA(New)'!P57</f>
        <v>0</v>
      </c>
      <c r="H14" s="84" t="s">
        <v>123</v>
      </c>
      <c r="I14" s="84" cm="1">
        <f t="array" aca="1" ref="I14" ca="1">INDIRECT("'UW(New)'!B" &amp; I35)</f>
        <v>0</v>
      </c>
      <c r="J14" s="84" cm="1">
        <f t="array" aca="1" ref="J14" ca="1">INDIRECT("'UW(New)'!C" &amp; J35)</f>
        <v>0</v>
      </c>
      <c r="K14" s="84" cm="1">
        <f t="array" aca="1" ref="K14" ca="1">INDIRECT("'UW(New)'!D" &amp; K35)</f>
        <v>0</v>
      </c>
      <c r="L14" s="84" cm="1">
        <f t="array" aca="1" ref="L14" ca="1">INDIRECT("'UW(New)'!E" &amp; L35)</f>
        <v>0</v>
      </c>
      <c r="M14" s="84" cm="1">
        <f t="array" aca="1" ref="M14" ca="1">INDIRECT("'UW(New)'!L" &amp; M35)</f>
        <v>0</v>
      </c>
      <c r="N14" s="84" cm="1">
        <f t="array" aca="1" ref="N14" ca="1">INDIRECT("'UW(New)'!J" &amp; N35)</f>
        <v>0</v>
      </c>
      <c r="O14" s="86">
        <f>'UW(New)'!$B$3</f>
        <v>45758</v>
      </c>
      <c r="P14" s="87" t="str">
        <f>'UW(New)'!$F$4</f>
        <v>2nd</v>
      </c>
      <c r="R14" s="84" t="s">
        <v>124</v>
      </c>
      <c r="S14" s="84" cm="1">
        <f t="array" aca="1" ref="S14" ca="1">INDIRECT("'UA(New)'!B" &amp; S35)</f>
        <v>0</v>
      </c>
      <c r="T14" s="84" cm="1">
        <f t="array" aca="1" ref="T14" ca="1">INDIRECT("'UA(New)'!I" &amp; T35)</f>
        <v>0</v>
      </c>
      <c r="U14" s="84" cm="1">
        <f t="array" aca="1" ref="U14" ca="1">INDIRECT("'UA(New)'!C" &amp; U35)</f>
        <v>0</v>
      </c>
      <c r="V14" s="84" cm="1">
        <f t="array" aca="1" ref="V14" ca="1">INDIRECT("'UA(New)'!L" &amp; V35)</f>
        <v>0</v>
      </c>
      <c r="W14" s="84" cm="1">
        <f t="array" aca="1" ref="W14" ca="1">INDIRECT("'UA(New)'!J" &amp; W35)</f>
        <v>0</v>
      </c>
      <c r="X14" s="86">
        <f>'UW(New)'!$B$3</f>
        <v>45758</v>
      </c>
      <c r="Y14" s="87" t="str">
        <f>'UW(New)'!$F$4</f>
        <v>2nd</v>
      </c>
    </row>
    <row r="15" spans="1:25">
      <c r="A15" s="84" t="s">
        <v>124</v>
      </c>
      <c r="B15" s="84">
        <f>'UA(New)'!B14</f>
        <v>7</v>
      </c>
      <c r="C15" s="84" t="str">
        <f>LEFT('UA(New)'!C14,LEN('UA(New)'!C14)-11)&amp;RIGHT('UA(New)'!C14,5)</f>
        <v>Rear Beam 890B</v>
      </c>
      <c r="D15" s="84" t="str">
        <f>RIGHT('UA(New)'!C14,10)</f>
        <v>42110 890B</v>
      </c>
      <c r="E15" s="95">
        <f>'UA(New)'!R14</f>
        <v>0.95479704797047971</v>
      </c>
      <c r="F15" s="84">
        <f>'UA(New)'!P58</f>
        <v>0</v>
      </c>
      <c r="H15" s="84" t="s">
        <v>123</v>
      </c>
      <c r="I15" s="84" cm="1">
        <f t="array" aca="1" ref="I15" ca="1">INDIRECT("'UW(New)'!B" &amp; I36)</f>
        <v>0</v>
      </c>
      <c r="J15" s="84" cm="1">
        <f t="array" aca="1" ref="J15" ca="1">INDIRECT("'UW(New)'!C" &amp; J36)</f>
        <v>0</v>
      </c>
      <c r="K15" s="84" cm="1">
        <f t="array" aca="1" ref="K15" ca="1">INDIRECT("'UW(New)'!D" &amp; K36)</f>
        <v>0</v>
      </c>
      <c r="L15" s="84" cm="1">
        <f t="array" aca="1" ref="L15" ca="1">INDIRECT("'UW(New)'!E" &amp; L36)</f>
        <v>0</v>
      </c>
      <c r="M15" s="84" cm="1">
        <f t="array" aca="1" ref="M15" ca="1">INDIRECT("'UW(New)'!L" &amp; M36)</f>
        <v>0</v>
      </c>
      <c r="N15" s="84" cm="1">
        <f t="array" aca="1" ref="N15" ca="1">INDIRECT("'UW(New)'!J" &amp; N36)</f>
        <v>0</v>
      </c>
      <c r="O15" s="86">
        <f>'UW(New)'!$B$3</f>
        <v>45758</v>
      </c>
      <c r="P15" s="87" t="str">
        <f>'UW(New)'!$F$4</f>
        <v>2nd</v>
      </c>
      <c r="R15" s="84" t="s">
        <v>124</v>
      </c>
      <c r="S15" s="84" cm="1">
        <f t="array" aca="1" ref="S15" ca="1">INDIRECT("'UA(New)'!B" &amp; S36)</f>
        <v>0</v>
      </c>
      <c r="T15" s="84" cm="1">
        <f t="array" aca="1" ref="T15" ca="1">INDIRECT("'UA(New)'!I" &amp; T36)</f>
        <v>0</v>
      </c>
      <c r="U15" s="84" cm="1">
        <f t="array" aca="1" ref="U15" ca="1">INDIRECT("'UA(New)'!C" &amp; U36)</f>
        <v>0</v>
      </c>
      <c r="V15" s="84" cm="1">
        <f t="array" aca="1" ref="V15" ca="1">INDIRECT("'UA(New)'!L" &amp; V36)</f>
        <v>0</v>
      </c>
      <c r="W15" s="84" cm="1">
        <f t="array" aca="1" ref="W15" ca="1">INDIRECT("'UA(New)'!J" &amp; W36)</f>
        <v>0</v>
      </c>
      <c r="X15" s="86">
        <f>'UW(New)'!$B$3</f>
        <v>45758</v>
      </c>
      <c r="Y15" s="87" t="str">
        <f>'UW(New)'!$F$4</f>
        <v>2nd</v>
      </c>
    </row>
    <row r="16" spans="1:25">
      <c r="H16" s="84" t="s">
        <v>123</v>
      </c>
      <c r="I16" s="84" cm="1">
        <f t="array" aca="1" ref="I16" ca="1">INDIRECT("'UW(New)'!B" &amp; I37)</f>
        <v>0</v>
      </c>
      <c r="J16" s="84" cm="1">
        <f t="array" aca="1" ref="J16" ca="1">INDIRECT("'UW(New)'!C" &amp; J37)</f>
        <v>0</v>
      </c>
      <c r="K16" s="84" cm="1">
        <f t="array" aca="1" ref="K16" ca="1">INDIRECT("'UW(New)'!D" &amp; K37)</f>
        <v>0</v>
      </c>
      <c r="L16" s="84" cm="1">
        <f t="array" aca="1" ref="L16" ca="1">INDIRECT("'UW(New)'!E" &amp; L37)</f>
        <v>0</v>
      </c>
      <c r="M16" s="84" cm="1">
        <f t="array" aca="1" ref="M16" ca="1">INDIRECT("'UW(New)'!L" &amp; M37)</f>
        <v>0</v>
      </c>
      <c r="N16" s="84" cm="1">
        <f t="array" aca="1" ref="N16" ca="1">INDIRECT("'UW(New)'!J" &amp; N37)</f>
        <v>0</v>
      </c>
      <c r="O16" s="86">
        <f>'UW(New)'!$B$3</f>
        <v>45758</v>
      </c>
      <c r="P16" s="87" t="str">
        <f>'UW(New)'!$F$4</f>
        <v>2nd</v>
      </c>
      <c r="R16" s="84" t="s">
        <v>124</v>
      </c>
      <c r="S16" s="84" cm="1">
        <f t="array" aca="1" ref="S16" ca="1">INDIRECT("'UA(New)'!B" &amp; S37)</f>
        <v>0</v>
      </c>
      <c r="T16" s="84" cm="1">
        <f t="array" aca="1" ref="T16" ca="1">INDIRECT("'UA(New)'!I" &amp; T37)</f>
        <v>0</v>
      </c>
      <c r="U16" s="84" cm="1">
        <f t="array" aca="1" ref="U16" ca="1">INDIRECT("'UA(New)'!C" &amp; U37)</f>
        <v>0</v>
      </c>
      <c r="V16" s="84" cm="1">
        <f t="array" aca="1" ref="V16" ca="1">INDIRECT("'UA(New)'!L" &amp; V37)</f>
        <v>0</v>
      </c>
      <c r="W16" s="84" cm="1">
        <f t="array" aca="1" ref="W16" ca="1">INDIRECT("'UA(New)'!J" &amp; W37)</f>
        <v>0</v>
      </c>
      <c r="X16" s="86">
        <f>'UW(New)'!$B$3</f>
        <v>45758</v>
      </c>
      <c r="Y16" s="87" t="str">
        <f>'UW(New)'!$F$4</f>
        <v>2nd</v>
      </c>
    </row>
    <row r="17" spans="8:25">
      <c r="H17" s="84" t="s">
        <v>123</v>
      </c>
      <c r="I17" s="84" cm="1">
        <f t="array" aca="1" ref="I17" ca="1">INDIRECT("'UW(New)'!B" &amp; I38)</f>
        <v>0</v>
      </c>
      <c r="J17" s="84" cm="1">
        <f t="array" aca="1" ref="J17" ca="1">INDIRECT("'UW(New)'!C" &amp; J38)</f>
        <v>0</v>
      </c>
      <c r="K17" s="84" cm="1">
        <f t="array" aca="1" ref="K17" ca="1">INDIRECT("'UW(New)'!D" &amp; K38)</f>
        <v>0</v>
      </c>
      <c r="L17" s="84" cm="1">
        <f t="array" aca="1" ref="L17" ca="1">INDIRECT("'UW(New)'!E" &amp; L38)</f>
        <v>0</v>
      </c>
      <c r="M17" s="84" cm="1">
        <f t="array" aca="1" ref="M17" ca="1">INDIRECT("'UW(New)'!L" &amp; M38)</f>
        <v>0</v>
      </c>
      <c r="N17" s="84" cm="1">
        <f t="array" aca="1" ref="N17" ca="1">INDIRECT("'UW(New)'!J" &amp; N38)</f>
        <v>0</v>
      </c>
      <c r="O17" s="86">
        <f>'UW(New)'!$B$3</f>
        <v>45758</v>
      </c>
      <c r="P17" s="87" t="str">
        <f>'UW(New)'!$F$4</f>
        <v>2nd</v>
      </c>
      <c r="R17" s="84" t="s">
        <v>124</v>
      </c>
      <c r="S17" s="84" cm="1">
        <f t="array" aca="1" ref="S17" ca="1">INDIRECT("'UA(New)'!B" &amp; S38)</f>
        <v>0</v>
      </c>
      <c r="T17" s="84" cm="1">
        <f t="array" aca="1" ref="T17" ca="1">INDIRECT("'UA(New)'!I" &amp; T38)</f>
        <v>0</v>
      </c>
      <c r="U17" s="84" cm="1">
        <f t="array" aca="1" ref="U17" ca="1">INDIRECT("'UA(New)'!C" &amp; U38)</f>
        <v>0</v>
      </c>
      <c r="V17" s="84" cm="1">
        <f t="array" aca="1" ref="V17" ca="1">INDIRECT("'UA(New)'!L" &amp; V38)</f>
        <v>0</v>
      </c>
      <c r="W17" s="84" cm="1">
        <f t="array" aca="1" ref="W17" ca="1">INDIRECT("'UA(New)'!J" &amp; W38)</f>
        <v>0</v>
      </c>
      <c r="X17" s="86">
        <f>'UW(New)'!$B$3</f>
        <v>45758</v>
      </c>
      <c r="Y17" s="87" t="str">
        <f>'UW(New)'!$F$4</f>
        <v>2nd</v>
      </c>
    </row>
    <row r="18" spans="8:25">
      <c r="H18" s="84" t="s">
        <v>123</v>
      </c>
      <c r="I18" s="84" cm="1">
        <f t="array" aca="1" ref="I18" ca="1">INDIRECT("'UW(New)'!B" &amp; I39)</f>
        <v>0</v>
      </c>
      <c r="J18" s="84" cm="1">
        <f t="array" aca="1" ref="J18" ca="1">INDIRECT("'UW(New)'!C" &amp; J39)</f>
        <v>0</v>
      </c>
      <c r="K18" s="84" cm="1">
        <f t="array" aca="1" ref="K18" ca="1">INDIRECT("'UW(New)'!D" &amp; K39)</f>
        <v>0</v>
      </c>
      <c r="L18" s="84" cm="1">
        <f t="array" aca="1" ref="L18" ca="1">INDIRECT("'UW(New)'!E" &amp; L39)</f>
        <v>0</v>
      </c>
      <c r="M18" s="84" cm="1">
        <f t="array" aca="1" ref="M18" ca="1">INDIRECT("'UW(New)'!L" &amp; M39)</f>
        <v>0</v>
      </c>
      <c r="N18" s="84" cm="1">
        <f t="array" aca="1" ref="N18" ca="1">INDIRECT("'UW(New)'!J" &amp; N39)</f>
        <v>0</v>
      </c>
      <c r="O18" s="86">
        <f>'UW(New)'!$B$3</f>
        <v>45758</v>
      </c>
      <c r="P18" s="87" t="str">
        <f>'UW(New)'!$F$4</f>
        <v>2nd</v>
      </c>
      <c r="R18" s="84" t="s">
        <v>124</v>
      </c>
      <c r="S18" s="84" cm="1">
        <f t="array" aca="1" ref="S18" ca="1">INDIRECT("'UA(New)'!B" &amp; S39)</f>
        <v>0</v>
      </c>
      <c r="T18" s="84" cm="1">
        <f t="array" aca="1" ref="T18" ca="1">INDIRECT("'UA(New)'!I" &amp; T39)</f>
        <v>0</v>
      </c>
      <c r="U18" s="84" cm="1">
        <f t="array" aca="1" ref="U18" ca="1">INDIRECT("'UA(New)'!C" &amp; U39)</f>
        <v>0</v>
      </c>
      <c r="V18" s="84" cm="1">
        <f t="array" aca="1" ref="V18" ca="1">INDIRECT("'UA(New)'!L" &amp; V39)</f>
        <v>0</v>
      </c>
      <c r="W18" s="84" cm="1">
        <f t="array" aca="1" ref="W18" ca="1">INDIRECT("'UA(New)'!J" &amp; W39)</f>
        <v>0</v>
      </c>
      <c r="X18" s="86">
        <f>'UW(New)'!$B$3</f>
        <v>45758</v>
      </c>
      <c r="Y18" s="87" t="str">
        <f>'UW(New)'!$F$4</f>
        <v>2nd</v>
      </c>
    </row>
    <row r="19" spans="8:25">
      <c r="H19" s="84" t="s">
        <v>123</v>
      </c>
      <c r="I19" s="84" cm="1">
        <f t="array" aca="1" ref="I19" ca="1">INDIRECT("'UW(New)'!B" &amp; I40)</f>
        <v>0</v>
      </c>
      <c r="J19" s="84" cm="1">
        <f t="array" aca="1" ref="J19" ca="1">INDIRECT("'UW(New)'!C" &amp; J40)</f>
        <v>0</v>
      </c>
      <c r="K19" s="84" cm="1">
        <f t="array" aca="1" ref="K19" ca="1">INDIRECT("'UW(New)'!D" &amp; K40)</f>
        <v>0</v>
      </c>
      <c r="L19" s="84" cm="1">
        <f t="array" aca="1" ref="L19" ca="1">INDIRECT("'UW(New)'!E" &amp; L40)</f>
        <v>0</v>
      </c>
      <c r="M19" s="84" cm="1">
        <f t="array" aca="1" ref="M19" ca="1">INDIRECT("'UW(New)'!L" &amp; M40)</f>
        <v>0</v>
      </c>
      <c r="N19" s="84" cm="1">
        <f t="array" aca="1" ref="N19" ca="1">INDIRECT("'UW(New)'!J" &amp; N40)</f>
        <v>0</v>
      </c>
      <c r="O19" s="86">
        <f>'UW(New)'!$B$3</f>
        <v>45758</v>
      </c>
      <c r="P19" s="87" t="str">
        <f>'UW(New)'!$F$4</f>
        <v>2nd</v>
      </c>
      <c r="R19" s="84" t="s">
        <v>124</v>
      </c>
      <c r="S19" s="84" cm="1">
        <f t="array" aca="1" ref="S19" ca="1">INDIRECT("'UA(New)'!B" &amp; S40)</f>
        <v>0</v>
      </c>
      <c r="T19" s="84" cm="1">
        <f t="array" aca="1" ref="T19" ca="1">INDIRECT("'UA(New)'!I" &amp; T40)</f>
        <v>0</v>
      </c>
      <c r="U19" s="84" cm="1">
        <f t="array" aca="1" ref="U19" ca="1">INDIRECT("'UA(New)'!C" &amp; U40)</f>
        <v>0</v>
      </c>
      <c r="V19" s="84" cm="1">
        <f t="array" aca="1" ref="V19" ca="1">INDIRECT("'UA(New)'!L" &amp; V40)</f>
        <v>0</v>
      </c>
      <c r="W19" s="84" cm="1">
        <f t="array" aca="1" ref="W19" ca="1">INDIRECT("'UA(New)'!J" &amp; W40)</f>
        <v>0</v>
      </c>
      <c r="X19" s="86">
        <f>'UW(New)'!$B$3</f>
        <v>45758</v>
      </c>
      <c r="Y19" s="87" t="str">
        <f>'UW(New)'!$F$4</f>
        <v>2nd</v>
      </c>
    </row>
    <row r="20" spans="8:25">
      <c r="H20" s="84" t="s">
        <v>123</v>
      </c>
      <c r="I20" s="84" cm="1">
        <f t="array" aca="1" ref="I20" ca="1">INDIRECT("'UW(New)'!B" &amp; I41)</f>
        <v>0</v>
      </c>
      <c r="J20" s="84" cm="1">
        <f t="array" aca="1" ref="J20" ca="1">INDIRECT("'UW(New)'!C" &amp; J41)</f>
        <v>0</v>
      </c>
      <c r="K20" s="84" cm="1">
        <f t="array" aca="1" ref="K20" ca="1">INDIRECT("'UW(New)'!D" &amp; K41)</f>
        <v>0</v>
      </c>
      <c r="L20" s="84" cm="1">
        <f t="array" aca="1" ref="L20" ca="1">INDIRECT("'UW(New)'!E" &amp; L41)</f>
        <v>0</v>
      </c>
      <c r="M20" s="84" cm="1">
        <f t="array" aca="1" ref="M20" ca="1">INDIRECT("'UW(New)'!L" &amp; M41)</f>
        <v>0</v>
      </c>
      <c r="N20" s="84" cm="1">
        <f t="array" aca="1" ref="N20" ca="1">INDIRECT("'UW(New)'!J" &amp; N41)</f>
        <v>0</v>
      </c>
      <c r="O20" s="86">
        <f>'UW(New)'!$B$3</f>
        <v>45758</v>
      </c>
      <c r="P20" s="87" t="str">
        <f>'UW(New)'!$F$4</f>
        <v>2nd</v>
      </c>
      <c r="R20" s="84" t="s">
        <v>124</v>
      </c>
      <c r="S20" s="84" cm="1">
        <f t="array" aca="1" ref="S20" ca="1">INDIRECT("'UA(New)'!B" &amp; S41)</f>
        <v>0</v>
      </c>
      <c r="T20" s="84" cm="1">
        <f t="array" aca="1" ref="T20" ca="1">INDIRECT("'UA(New)'!I" &amp; T41)</f>
        <v>0</v>
      </c>
      <c r="U20" s="84" cm="1">
        <f t="array" aca="1" ref="U20" ca="1">INDIRECT("'UA(New)'!C" &amp; U41)</f>
        <v>0</v>
      </c>
      <c r="V20" s="84" cm="1">
        <f t="array" aca="1" ref="V20" ca="1">INDIRECT("'UA(New)'!L" &amp; V41)</f>
        <v>0</v>
      </c>
      <c r="W20" s="84" cm="1">
        <f t="array" aca="1" ref="W20" ca="1">INDIRECT("'UA(New)'!J" &amp; W41)</f>
        <v>0</v>
      </c>
      <c r="X20" s="86">
        <f>'UW(New)'!$B$3</f>
        <v>45758</v>
      </c>
      <c r="Y20" s="87" t="str">
        <f>'UW(New)'!$F$4</f>
        <v>2nd</v>
      </c>
    </row>
    <row r="21" spans="8:25">
      <c r="H21" s="84" t="s">
        <v>123</v>
      </c>
      <c r="I21" s="84" cm="1">
        <f t="array" aca="1" ref="I21" ca="1">INDIRECT("'UW(New)'!B" &amp; I42)</f>
        <v>0</v>
      </c>
      <c r="J21" s="84" t="str" cm="1">
        <f t="array" aca="1" ref="J21" ca="1">INDIRECT("'UW(New)'!C" &amp; J42)</f>
        <v>Quality Defects</v>
      </c>
      <c r="K21" s="84" cm="1">
        <f t="array" aca="1" ref="K21" ca="1">INDIRECT("'UW(New)'!D" &amp; K42)</f>
        <v>0</v>
      </c>
      <c r="L21" s="84" cm="1">
        <f t="array" aca="1" ref="L21" ca="1">INDIRECT("'UW(New)'!E" &amp; L42)</f>
        <v>0</v>
      </c>
      <c r="M21" s="84" cm="1">
        <f t="array" aca="1" ref="M21" ca="1">INDIRECT("'UW(New)'!L" &amp; M42)</f>
        <v>0</v>
      </c>
      <c r="N21" s="84" cm="1">
        <f t="array" aca="1" ref="N21" ca="1">INDIRECT("'UW(New)'!J" &amp; N42)</f>
        <v>0</v>
      </c>
      <c r="O21" s="86">
        <f>'UW(New)'!$B$3</f>
        <v>45758</v>
      </c>
      <c r="P21" s="87" t="str">
        <f>'UW(New)'!$F$4</f>
        <v>2nd</v>
      </c>
      <c r="R21" s="84" t="s">
        <v>124</v>
      </c>
      <c r="S21" s="84" cm="1">
        <f t="array" aca="1" ref="S21" ca="1">INDIRECT("'UA(New)'!B" &amp; S42)</f>
        <v>0</v>
      </c>
      <c r="T21" s="84" cm="1">
        <f t="array" aca="1" ref="T21" ca="1">INDIRECT("'UA(New)'!I" &amp; T42)</f>
        <v>0</v>
      </c>
      <c r="U21" s="84" cm="1">
        <f t="array" aca="1" ref="U21" ca="1">INDIRECT("'UA(New)'!C" &amp; U42)</f>
        <v>0</v>
      </c>
      <c r="V21" s="84" cm="1">
        <f t="array" aca="1" ref="V21" ca="1">INDIRECT("'UA(New)'!L" &amp; V42)</f>
        <v>0</v>
      </c>
      <c r="W21" s="84" cm="1">
        <f t="array" aca="1" ref="W21" ca="1">INDIRECT("'UA(New)'!J" &amp; W42)</f>
        <v>0</v>
      </c>
      <c r="X21" s="86">
        <f>'UW(New)'!$B$3</f>
        <v>45758</v>
      </c>
      <c r="Y21" s="87" t="str">
        <f>'UW(New)'!$F$4</f>
        <v>2nd</v>
      </c>
    </row>
    <row r="22" spans="8:25">
      <c r="H22" s="84" t="s">
        <v>123</v>
      </c>
      <c r="I22" s="84" cm="1">
        <f t="array" aca="1" ref="I22" ca="1">INDIRECT("'UW(New)'!B" &amp; I43)</f>
        <v>0</v>
      </c>
      <c r="J22" s="84" t="str" cm="1">
        <f t="array" aca="1" ref="J22" ca="1">INDIRECT("'UW(New)'!C" &amp; J43)</f>
        <v>Reason Code</v>
      </c>
      <c r="K22" s="84" cm="1">
        <f t="array" aca="1" ref="K22" ca="1">INDIRECT("'UW(New)'!D" &amp; K43)</f>
        <v>0</v>
      </c>
      <c r="L22" s="84" cm="1">
        <f t="array" aca="1" ref="L22" ca="1">INDIRECT("'UW(New)'!E" &amp; L43)</f>
        <v>1</v>
      </c>
      <c r="M22" s="84" cm="1">
        <f t="array" aca="1" ref="M22" ca="1">INDIRECT("'UW(New)'!L" &amp; M43)</f>
        <v>8</v>
      </c>
      <c r="N22" s="84" cm="1">
        <f t="array" aca="1" ref="N22" ca="1">INDIRECT("'UW(New)'!J" &amp; N43)</f>
        <v>6</v>
      </c>
      <c r="O22" s="86">
        <f>'UW(New)'!$B$3</f>
        <v>45758</v>
      </c>
      <c r="P22" s="87" t="str">
        <f>'UW(New)'!$F$4</f>
        <v>2nd</v>
      </c>
      <c r="R22" s="84" t="s">
        <v>124</v>
      </c>
      <c r="S22" s="84" cm="1">
        <f t="array" aca="1" ref="S22" ca="1">INDIRECT("'UA(New)'!B" &amp; S43)</f>
        <v>0</v>
      </c>
      <c r="T22" s="84" cm="1">
        <f t="array" aca="1" ref="T22" ca="1">INDIRECT("'UA(New)'!I" &amp; T43)</f>
        <v>0</v>
      </c>
      <c r="U22" s="84" cm="1">
        <f t="array" aca="1" ref="U22" ca="1">INDIRECT("'UA(New)'!C" &amp; U43)</f>
        <v>0</v>
      </c>
      <c r="V22" s="84" cm="1">
        <f t="array" aca="1" ref="V22" ca="1">INDIRECT("'UA(New)'!L" &amp; V43)</f>
        <v>0</v>
      </c>
      <c r="W22" s="84" cm="1">
        <f t="array" aca="1" ref="W22" ca="1">INDIRECT("'UA(New)'!J" &amp; W43)</f>
        <v>0</v>
      </c>
      <c r="X22" s="86">
        <f>'UW(New)'!$B$3</f>
        <v>45758</v>
      </c>
      <c r="Y22" s="87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zoomScale="70" zoomScaleNormal="70" workbookViewId="0">
      <selection activeCell="K38" sqref="K38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78</v>
      </c>
      <c r="D1" t="s">
        <v>126</v>
      </c>
      <c r="I1" t="s">
        <v>157</v>
      </c>
    </row>
    <row r="2" spans="1:18">
      <c r="A2" s="84" t="s">
        <v>123</v>
      </c>
      <c r="B2" s="84" t="s">
        <v>124</v>
      </c>
      <c r="D2" s="84" t="s">
        <v>78</v>
      </c>
      <c r="E2" s="84" t="s">
        <v>127</v>
      </c>
      <c r="F2" s="84" t="s">
        <v>128</v>
      </c>
      <c r="G2" s="84" t="s">
        <v>129</v>
      </c>
      <c r="I2" s="84" t="s">
        <v>103</v>
      </c>
      <c r="J2" s="84" t="s">
        <v>101</v>
      </c>
      <c r="K2" s="84" t="s">
        <v>121</v>
      </c>
      <c r="L2" s="84" t="s">
        <v>102</v>
      </c>
      <c r="M2" s="84" t="s">
        <v>136</v>
      </c>
      <c r="N2" s="84" t="s">
        <v>186</v>
      </c>
      <c r="O2" s="84" t="s">
        <v>187</v>
      </c>
      <c r="P2" s="84" t="s">
        <v>188</v>
      </c>
      <c r="Q2" s="84" t="s">
        <v>57</v>
      </c>
    </row>
    <row r="3" spans="1:18">
      <c r="A3" s="81" t="s">
        <v>103</v>
      </c>
      <c r="B3" s="81" t="s">
        <v>103</v>
      </c>
      <c r="D3" s="84" t="s">
        <v>102</v>
      </c>
      <c r="E3" s="84" t="s">
        <v>130</v>
      </c>
      <c r="F3" s="84">
        <v>1833</v>
      </c>
      <c r="G3" s="84">
        <v>582</v>
      </c>
      <c r="I3" s="81" t="s">
        <v>189</v>
      </c>
      <c r="J3" s="81" t="s">
        <v>189</v>
      </c>
      <c r="K3" s="81" t="s">
        <v>189</v>
      </c>
      <c r="L3" s="81" t="s">
        <v>189</v>
      </c>
      <c r="M3" s="81" t="s">
        <v>189</v>
      </c>
      <c r="N3" s="81" t="s">
        <v>189</v>
      </c>
      <c r="O3" s="81" t="s">
        <v>189</v>
      </c>
      <c r="P3" s="81" t="s">
        <v>189</v>
      </c>
      <c r="Q3" s="81" t="s">
        <v>57</v>
      </c>
    </row>
    <row r="4" spans="1:18">
      <c r="A4" s="81" t="s">
        <v>101</v>
      </c>
      <c r="B4" s="81" t="s">
        <v>101</v>
      </c>
      <c r="D4" s="84" t="s">
        <v>102</v>
      </c>
      <c r="E4" s="84" t="s">
        <v>131</v>
      </c>
      <c r="F4" s="84">
        <v>1834</v>
      </c>
      <c r="G4" s="84">
        <v>584</v>
      </c>
      <c r="I4" s="81" t="s">
        <v>158</v>
      </c>
      <c r="J4" s="81" t="s">
        <v>159</v>
      </c>
      <c r="K4" s="81" t="s">
        <v>156</v>
      </c>
      <c r="L4" s="81" t="s">
        <v>178</v>
      </c>
      <c r="M4" s="81" t="s">
        <v>156</v>
      </c>
      <c r="N4" s="81" t="s">
        <v>184</v>
      </c>
      <c r="O4" s="81" t="str">
        <f>N4</f>
        <v>1ST RH</v>
      </c>
      <c r="P4" s="81" t="str">
        <f>N4</f>
        <v>1ST RH</v>
      </c>
      <c r="Q4" s="81"/>
    </row>
    <row r="5" spans="1:18">
      <c r="A5" s="81" t="s">
        <v>121</v>
      </c>
      <c r="B5" s="81" t="s">
        <v>121</v>
      </c>
      <c r="D5" s="84" t="s">
        <v>102</v>
      </c>
      <c r="E5" s="84" t="s">
        <v>132</v>
      </c>
      <c r="F5" s="84">
        <v>1835</v>
      </c>
      <c r="G5" s="84">
        <v>586</v>
      </c>
      <c r="I5" s="81" t="s">
        <v>159</v>
      </c>
      <c r="J5" s="81" t="s">
        <v>160</v>
      </c>
      <c r="K5" s="107" t="s">
        <v>57</v>
      </c>
      <c r="L5" s="81" t="s">
        <v>179</v>
      </c>
      <c r="M5" s="107" t="s">
        <v>57</v>
      </c>
      <c r="N5" s="81" t="s">
        <v>185</v>
      </c>
      <c r="O5" s="81" t="str">
        <f t="shared" ref="O5:O19" si="0">N5</f>
        <v>1ST LH</v>
      </c>
      <c r="P5" s="81" t="str">
        <f t="shared" ref="P5:P19" si="1">N5</f>
        <v>1ST LH</v>
      </c>
      <c r="Q5" s="81"/>
    </row>
    <row r="6" spans="1:18">
      <c r="A6" s="81" t="s">
        <v>102</v>
      </c>
      <c r="B6" s="81" t="s">
        <v>102</v>
      </c>
      <c r="D6" s="84" t="s">
        <v>102</v>
      </c>
      <c r="E6" s="84" t="s">
        <v>133</v>
      </c>
      <c r="F6" s="84">
        <v>1836</v>
      </c>
      <c r="G6" s="84">
        <v>583</v>
      </c>
      <c r="I6" s="81" t="s">
        <v>161</v>
      </c>
      <c r="J6" s="81" t="s">
        <v>162</v>
      </c>
      <c r="K6" s="81"/>
      <c r="L6" s="81" t="s">
        <v>180</v>
      </c>
      <c r="M6" s="81"/>
      <c r="N6" s="81" t="s">
        <v>159</v>
      </c>
      <c r="O6" s="81" t="str">
        <f t="shared" si="0"/>
        <v>2ST</v>
      </c>
      <c r="P6" s="81" t="str">
        <f t="shared" si="1"/>
        <v>2ST</v>
      </c>
      <c r="Q6" s="81"/>
      <c r="R6" s="100"/>
    </row>
    <row r="7" spans="1:18">
      <c r="A7" s="81" t="s">
        <v>136</v>
      </c>
      <c r="B7" s="81" t="s">
        <v>122</v>
      </c>
      <c r="D7" s="84" t="s">
        <v>102</v>
      </c>
      <c r="E7" s="84" t="s">
        <v>134</v>
      </c>
      <c r="F7" s="84">
        <v>1837</v>
      </c>
      <c r="G7" s="84">
        <v>585</v>
      </c>
      <c r="I7" s="81" t="s">
        <v>162</v>
      </c>
      <c r="J7" s="81" t="s">
        <v>163</v>
      </c>
      <c r="K7" s="81"/>
      <c r="L7" s="81" t="s">
        <v>181</v>
      </c>
      <c r="M7" s="81"/>
      <c r="N7" s="81" t="s">
        <v>160</v>
      </c>
      <c r="O7" s="81" t="str">
        <f t="shared" si="0"/>
        <v>3ST</v>
      </c>
      <c r="P7" s="81" t="str">
        <f t="shared" si="1"/>
        <v>3ST</v>
      </c>
      <c r="Q7" s="81"/>
    </row>
    <row r="8" spans="1:18">
      <c r="A8" s="81" t="s">
        <v>186</v>
      </c>
      <c r="B8" s="81" t="s">
        <v>186</v>
      </c>
      <c r="D8" s="84" t="s">
        <v>102</v>
      </c>
      <c r="E8" s="84" t="s">
        <v>135</v>
      </c>
      <c r="F8" s="84">
        <v>1838</v>
      </c>
      <c r="G8" s="84">
        <v>587</v>
      </c>
      <c r="I8" s="81" t="s">
        <v>163</v>
      </c>
      <c r="J8" s="81" t="s">
        <v>164</v>
      </c>
      <c r="K8" s="81"/>
      <c r="L8" s="81" t="s">
        <v>182</v>
      </c>
      <c r="M8" s="81"/>
      <c r="N8" s="81" t="s">
        <v>161</v>
      </c>
      <c r="O8" s="81" t="str">
        <f t="shared" si="0"/>
        <v>4ST</v>
      </c>
      <c r="P8" s="81" t="str">
        <f t="shared" si="1"/>
        <v>4ST</v>
      </c>
      <c r="Q8" s="81"/>
    </row>
    <row r="9" spans="1:18">
      <c r="A9" s="81" t="s">
        <v>187</v>
      </c>
      <c r="B9" s="81" t="s">
        <v>187</v>
      </c>
      <c r="D9" s="84" t="s">
        <v>136</v>
      </c>
      <c r="E9" s="84" t="s">
        <v>76</v>
      </c>
      <c r="F9" s="84">
        <v>1839</v>
      </c>
      <c r="G9" s="84">
        <v>622</v>
      </c>
      <c r="I9" s="81" t="s">
        <v>164</v>
      </c>
      <c r="J9" s="81" t="s">
        <v>165</v>
      </c>
      <c r="K9" s="81"/>
      <c r="L9" s="81" t="s">
        <v>183</v>
      </c>
      <c r="M9" s="81"/>
      <c r="N9" s="81" t="s">
        <v>162</v>
      </c>
      <c r="O9" s="81" t="str">
        <f t="shared" si="0"/>
        <v>5ST</v>
      </c>
      <c r="P9" s="81" t="str">
        <f t="shared" si="1"/>
        <v>5ST</v>
      </c>
      <c r="Q9" s="81"/>
    </row>
    <row r="10" spans="1:18">
      <c r="A10" s="81" t="s">
        <v>188</v>
      </c>
      <c r="B10" s="81" t="s">
        <v>188</v>
      </c>
      <c r="D10" s="84" t="s">
        <v>101</v>
      </c>
      <c r="E10" s="84" t="s">
        <v>137</v>
      </c>
      <c r="F10" s="84">
        <v>1803</v>
      </c>
      <c r="G10" s="84">
        <v>591</v>
      </c>
      <c r="I10" s="81" t="s">
        <v>165</v>
      </c>
      <c r="J10" s="81" t="s">
        <v>166</v>
      </c>
      <c r="K10" s="81"/>
      <c r="L10" s="107" t="s">
        <v>57</v>
      </c>
      <c r="M10" s="81"/>
      <c r="N10" s="81" t="s">
        <v>163</v>
      </c>
      <c r="O10" s="81" t="str">
        <f t="shared" si="0"/>
        <v>6ST</v>
      </c>
      <c r="P10" s="81" t="str">
        <f t="shared" si="1"/>
        <v>6ST</v>
      </c>
      <c r="Q10" s="81"/>
    </row>
    <row r="11" spans="1:18">
      <c r="A11" s="81" t="s">
        <v>57</v>
      </c>
      <c r="B11" s="81" t="s">
        <v>57</v>
      </c>
      <c r="D11" s="84" t="s">
        <v>101</v>
      </c>
      <c r="E11" s="84" t="s">
        <v>138</v>
      </c>
      <c r="F11" s="84">
        <v>1807</v>
      </c>
      <c r="G11" s="84">
        <v>594</v>
      </c>
      <c r="I11" s="81" t="s">
        <v>166</v>
      </c>
      <c r="J11" s="81" t="s">
        <v>167</v>
      </c>
      <c r="K11" s="81"/>
      <c r="L11" s="107" t="s">
        <v>199</v>
      </c>
      <c r="M11" s="81"/>
      <c r="N11" s="81" t="s">
        <v>164</v>
      </c>
      <c r="O11" s="81" t="str">
        <f t="shared" si="0"/>
        <v>7ST</v>
      </c>
      <c r="P11" s="81" t="str">
        <f t="shared" si="1"/>
        <v>7ST</v>
      </c>
      <c r="Q11" s="81"/>
    </row>
    <row r="12" spans="1:18">
      <c r="A12" s="81"/>
      <c r="B12" s="81"/>
      <c r="D12" s="84" t="s">
        <v>101</v>
      </c>
      <c r="E12" s="84" t="s">
        <v>139</v>
      </c>
      <c r="F12" s="84">
        <v>1809</v>
      </c>
      <c r="G12" s="84">
        <v>595</v>
      </c>
      <c r="I12" s="81" t="s">
        <v>167</v>
      </c>
      <c r="J12" s="81" t="s">
        <v>168</v>
      </c>
      <c r="K12" s="81"/>
      <c r="L12" s="107" t="s">
        <v>200</v>
      </c>
      <c r="M12" s="81"/>
      <c r="N12" s="81" t="s">
        <v>165</v>
      </c>
      <c r="O12" s="81" t="str">
        <f t="shared" si="0"/>
        <v>8ST</v>
      </c>
      <c r="P12" s="81" t="str">
        <f t="shared" si="1"/>
        <v>8ST</v>
      </c>
      <c r="Q12" s="81"/>
    </row>
    <row r="13" spans="1:18">
      <c r="A13" s="81"/>
      <c r="B13" s="81"/>
      <c r="D13" s="84" t="s">
        <v>101</v>
      </c>
      <c r="E13" s="84" t="s">
        <v>140</v>
      </c>
      <c r="F13" s="84">
        <v>1810</v>
      </c>
      <c r="G13" s="84">
        <v>596</v>
      </c>
      <c r="I13" s="81" t="s">
        <v>168</v>
      </c>
      <c r="J13" s="81" t="s">
        <v>169</v>
      </c>
      <c r="K13" s="81"/>
      <c r="L13" s="81"/>
      <c r="M13" s="81"/>
      <c r="N13" s="81" t="s">
        <v>166</v>
      </c>
      <c r="O13" s="81" t="str">
        <f t="shared" si="0"/>
        <v>9ST</v>
      </c>
      <c r="P13" s="81" t="str">
        <f t="shared" si="1"/>
        <v>9ST</v>
      </c>
      <c r="Q13" s="81"/>
    </row>
    <row r="14" spans="1:18">
      <c r="A14" s="81"/>
      <c r="B14" s="81"/>
      <c r="D14" s="84" t="s">
        <v>101</v>
      </c>
      <c r="E14" s="84" t="s">
        <v>141</v>
      </c>
      <c r="F14" s="84">
        <v>1812</v>
      </c>
      <c r="G14" s="84">
        <v>597</v>
      </c>
      <c r="I14" s="81" t="s">
        <v>169</v>
      </c>
      <c r="J14" s="81" t="s">
        <v>170</v>
      </c>
      <c r="K14" s="81"/>
      <c r="L14" s="81"/>
      <c r="M14" s="81"/>
      <c r="N14" s="81" t="s">
        <v>167</v>
      </c>
      <c r="O14" s="81" t="str">
        <f t="shared" si="0"/>
        <v>10ST</v>
      </c>
      <c r="P14" s="81" t="str">
        <f t="shared" si="1"/>
        <v>10ST</v>
      </c>
      <c r="Q14" s="81"/>
    </row>
    <row r="15" spans="1:18">
      <c r="A15" s="81"/>
      <c r="B15" s="81"/>
      <c r="D15" s="84" t="s">
        <v>103</v>
      </c>
      <c r="E15" s="84" t="s">
        <v>142</v>
      </c>
      <c r="F15" s="84">
        <v>1815</v>
      </c>
      <c r="G15" s="84">
        <v>603</v>
      </c>
      <c r="I15" s="81" t="s">
        <v>170</v>
      </c>
      <c r="J15" s="81" t="s">
        <v>171</v>
      </c>
      <c r="K15" s="81"/>
      <c r="L15" s="81"/>
      <c r="M15" s="81"/>
      <c r="N15" s="81" t="s">
        <v>169</v>
      </c>
      <c r="O15" s="81" t="str">
        <f t="shared" si="0"/>
        <v>12ST</v>
      </c>
      <c r="P15" s="81" t="str">
        <f t="shared" si="1"/>
        <v>12ST</v>
      </c>
      <c r="Q15" s="81"/>
    </row>
    <row r="16" spans="1:18">
      <c r="A16" s="81"/>
      <c r="B16" s="81"/>
      <c r="D16" s="84" t="s">
        <v>103</v>
      </c>
      <c r="E16" s="84" t="s">
        <v>143</v>
      </c>
      <c r="F16" s="84">
        <v>1816</v>
      </c>
      <c r="G16" s="84">
        <v>604</v>
      </c>
      <c r="I16" s="81" t="s">
        <v>171</v>
      </c>
      <c r="J16" s="107" t="s">
        <v>57</v>
      </c>
      <c r="K16" s="81"/>
      <c r="L16" s="81"/>
      <c r="M16" s="81"/>
      <c r="N16" s="81" t="s">
        <v>170</v>
      </c>
      <c r="O16" s="81" t="str">
        <f t="shared" si="0"/>
        <v>13ST</v>
      </c>
      <c r="P16" s="81" t="str">
        <f t="shared" si="1"/>
        <v>13ST</v>
      </c>
      <c r="Q16" s="81"/>
    </row>
    <row r="17" spans="1:17">
      <c r="A17" s="81"/>
      <c r="B17" s="81"/>
      <c r="D17" s="84" t="s">
        <v>103</v>
      </c>
      <c r="E17" s="84" t="s">
        <v>144</v>
      </c>
      <c r="F17" s="84">
        <v>1819</v>
      </c>
      <c r="G17" s="84">
        <v>606</v>
      </c>
      <c r="I17" s="81" t="s">
        <v>172</v>
      </c>
      <c r="J17" s="107" t="s">
        <v>201</v>
      </c>
      <c r="K17" s="81"/>
      <c r="L17" s="81"/>
      <c r="M17" s="81"/>
      <c r="N17" s="81" t="s">
        <v>171</v>
      </c>
      <c r="O17" s="81" t="str">
        <f t="shared" si="0"/>
        <v>14ST</v>
      </c>
      <c r="P17" s="81" t="str">
        <f t="shared" si="1"/>
        <v>14ST</v>
      </c>
      <c r="Q17" s="81"/>
    </row>
    <row r="18" spans="1:17">
      <c r="A18" s="81"/>
      <c r="B18" s="81"/>
      <c r="D18" s="84" t="s">
        <v>103</v>
      </c>
      <c r="E18" s="84" t="s">
        <v>145</v>
      </c>
      <c r="F18" s="84">
        <v>1821</v>
      </c>
      <c r="G18" s="84">
        <v>607</v>
      </c>
      <c r="I18" s="81" t="s">
        <v>173</v>
      </c>
      <c r="J18" s="107" t="s">
        <v>202</v>
      </c>
      <c r="K18" s="81"/>
      <c r="L18" s="81"/>
      <c r="M18" s="81"/>
      <c r="N18" s="81" t="s">
        <v>172</v>
      </c>
      <c r="O18" s="81" t="str">
        <f t="shared" si="0"/>
        <v>15ST</v>
      </c>
      <c r="P18" s="81" t="str">
        <f t="shared" si="1"/>
        <v>15ST</v>
      </c>
      <c r="Q18" s="81"/>
    </row>
    <row r="19" spans="1:17">
      <c r="A19" s="81"/>
      <c r="B19" s="81"/>
      <c r="D19" s="84" t="s">
        <v>103</v>
      </c>
      <c r="E19" s="84" t="s">
        <v>146</v>
      </c>
      <c r="F19" s="84">
        <v>1818</v>
      </c>
      <c r="G19" s="84">
        <v>605</v>
      </c>
      <c r="I19" s="81" t="s">
        <v>174</v>
      </c>
      <c r="J19" s="107" t="s">
        <v>203</v>
      </c>
      <c r="K19" s="81"/>
      <c r="L19" s="81"/>
      <c r="M19" s="81"/>
      <c r="N19" s="81" t="s">
        <v>173</v>
      </c>
      <c r="O19" s="81" t="str">
        <f t="shared" si="0"/>
        <v>16ST</v>
      </c>
      <c r="P19" s="81" t="str">
        <f t="shared" si="1"/>
        <v>16ST</v>
      </c>
      <c r="Q19" s="81"/>
    </row>
    <row r="20" spans="1:17">
      <c r="A20" s="81"/>
      <c r="B20" s="81"/>
      <c r="D20" s="84" t="s">
        <v>103</v>
      </c>
      <c r="E20" s="84" t="s">
        <v>138</v>
      </c>
      <c r="F20" s="84">
        <v>1822</v>
      </c>
      <c r="G20" s="84">
        <v>608</v>
      </c>
      <c r="I20" s="81" t="s">
        <v>175</v>
      </c>
      <c r="J20" s="81"/>
      <c r="K20" s="81"/>
      <c r="L20" s="81"/>
      <c r="M20" s="81"/>
      <c r="N20" s="107" t="s">
        <v>57</v>
      </c>
      <c r="O20" s="107" t="s">
        <v>57</v>
      </c>
      <c r="P20" s="107" t="s">
        <v>57</v>
      </c>
      <c r="Q20" s="81"/>
    </row>
    <row r="21" spans="1:17">
      <c r="A21" s="81"/>
      <c r="B21" s="81"/>
      <c r="D21" s="84" t="s">
        <v>103</v>
      </c>
      <c r="E21" s="84" t="s">
        <v>139</v>
      </c>
      <c r="F21" s="84">
        <v>1824</v>
      </c>
      <c r="G21" s="84">
        <v>609</v>
      </c>
      <c r="I21" s="81" t="s">
        <v>176</v>
      </c>
      <c r="J21" s="81"/>
      <c r="K21" s="81"/>
      <c r="L21" s="81"/>
      <c r="M21" s="81"/>
      <c r="N21" s="107" t="s">
        <v>201</v>
      </c>
      <c r="O21" s="107" t="s">
        <v>201</v>
      </c>
      <c r="P21" s="107" t="s">
        <v>201</v>
      </c>
      <c r="Q21" s="81"/>
    </row>
    <row r="22" spans="1:17">
      <c r="A22" s="81"/>
      <c r="B22" s="81"/>
      <c r="D22" s="84" t="s">
        <v>103</v>
      </c>
      <c r="E22" s="84" t="s">
        <v>140</v>
      </c>
      <c r="F22" s="84">
        <v>1826</v>
      </c>
      <c r="G22" s="84">
        <v>610</v>
      </c>
      <c r="I22" s="81" t="s">
        <v>177</v>
      </c>
      <c r="J22" s="81"/>
      <c r="K22" s="81"/>
      <c r="L22" s="81"/>
      <c r="M22" s="81"/>
      <c r="N22" s="107" t="s">
        <v>202</v>
      </c>
      <c r="O22" s="107" t="s">
        <v>202</v>
      </c>
      <c r="P22" s="107" t="s">
        <v>202</v>
      </c>
      <c r="Q22" s="81"/>
    </row>
    <row r="23" spans="1:17">
      <c r="A23" s="81"/>
      <c r="B23" s="81"/>
      <c r="D23" s="84" t="s">
        <v>103</v>
      </c>
      <c r="E23" s="84" t="s">
        <v>147</v>
      </c>
      <c r="F23" s="84">
        <v>1827</v>
      </c>
      <c r="G23" s="84">
        <v>611</v>
      </c>
      <c r="I23" s="107" t="s">
        <v>57</v>
      </c>
      <c r="J23" s="81"/>
      <c r="K23" s="81"/>
      <c r="L23" s="81"/>
      <c r="M23" s="81"/>
      <c r="N23" s="81"/>
      <c r="O23" s="81"/>
      <c r="P23" s="81"/>
      <c r="Q23" s="81"/>
    </row>
    <row r="24" spans="1:17">
      <c r="A24" s="81"/>
      <c r="B24" s="81"/>
      <c r="D24" s="84" t="s">
        <v>103</v>
      </c>
      <c r="E24" s="84" t="s">
        <v>148</v>
      </c>
      <c r="F24" s="84">
        <v>1829</v>
      </c>
      <c r="G24" s="84">
        <v>612</v>
      </c>
      <c r="I24" s="107" t="s">
        <v>201</v>
      </c>
      <c r="J24" s="81"/>
      <c r="K24" s="81"/>
      <c r="L24" s="81"/>
      <c r="M24" s="81"/>
      <c r="N24" s="81"/>
      <c r="O24" s="81"/>
      <c r="P24" s="81"/>
      <c r="Q24" s="81"/>
    </row>
    <row r="25" spans="1:17">
      <c r="A25" s="81"/>
      <c r="B25" s="81"/>
      <c r="D25" s="84" t="s">
        <v>155</v>
      </c>
      <c r="E25" s="84" t="s">
        <v>133</v>
      </c>
      <c r="F25" s="84">
        <v>2002</v>
      </c>
      <c r="G25" s="84" t="s">
        <v>156</v>
      </c>
      <c r="I25" s="107" t="s">
        <v>202</v>
      </c>
      <c r="J25" s="81"/>
      <c r="K25" s="81"/>
      <c r="L25" s="81"/>
      <c r="M25" s="81"/>
      <c r="N25" s="81"/>
      <c r="O25" s="81"/>
      <c r="P25" s="81"/>
      <c r="Q25" s="81"/>
    </row>
    <row r="26" spans="1:17">
      <c r="A26" s="81"/>
      <c r="B26" s="81"/>
      <c r="D26" s="84" t="s">
        <v>155</v>
      </c>
      <c r="E26" s="84" t="s">
        <v>130</v>
      </c>
      <c r="F26" s="84">
        <v>2001</v>
      </c>
      <c r="G26" s="84" t="s">
        <v>156</v>
      </c>
      <c r="I26" s="107" t="s">
        <v>203</v>
      </c>
      <c r="J26" s="81"/>
      <c r="K26" s="81"/>
      <c r="L26" s="81"/>
      <c r="M26" s="81"/>
      <c r="N26" s="81"/>
      <c r="O26" s="81"/>
      <c r="P26" s="81"/>
      <c r="Q26" s="81"/>
    </row>
    <row r="27" spans="1:17">
      <c r="A27" s="81"/>
      <c r="B27" s="81"/>
      <c r="D27" s="84" t="s">
        <v>155</v>
      </c>
      <c r="E27" s="84" t="s">
        <v>142</v>
      </c>
      <c r="F27" s="84">
        <v>2101</v>
      </c>
      <c r="G27" s="84">
        <v>633</v>
      </c>
      <c r="I27" s="107" t="s">
        <v>204</v>
      </c>
      <c r="J27" s="81"/>
      <c r="K27" s="81"/>
      <c r="L27" s="81"/>
      <c r="M27" s="81"/>
      <c r="N27" s="81"/>
      <c r="O27" s="81"/>
      <c r="P27" s="81"/>
      <c r="Q27" s="81"/>
    </row>
    <row r="28" spans="1:17">
      <c r="A28" s="81"/>
      <c r="B28" s="81"/>
      <c r="D28" s="84" t="s">
        <v>155</v>
      </c>
      <c r="E28" s="84" t="s">
        <v>137</v>
      </c>
      <c r="F28" s="84">
        <v>2102</v>
      </c>
      <c r="G28" s="84">
        <v>634</v>
      </c>
      <c r="I28" s="107" t="s">
        <v>205</v>
      </c>
      <c r="J28" s="81"/>
      <c r="K28" s="81"/>
      <c r="L28" s="81"/>
      <c r="M28" s="81"/>
      <c r="N28" s="81"/>
      <c r="O28" s="81"/>
      <c r="P28" s="81"/>
      <c r="Q28" s="81"/>
    </row>
    <row r="29" spans="1:17">
      <c r="A29" s="81"/>
      <c r="B29" s="81"/>
      <c r="D29" s="84" t="s">
        <v>155</v>
      </c>
      <c r="E29" s="84" t="s">
        <v>143</v>
      </c>
      <c r="F29" s="84">
        <v>2003</v>
      </c>
      <c r="G29" s="84">
        <v>630</v>
      </c>
      <c r="I29" s="107" t="s">
        <v>206</v>
      </c>
      <c r="J29" s="81"/>
      <c r="K29" s="81"/>
      <c r="L29" s="81"/>
      <c r="M29" s="81"/>
      <c r="N29" s="81"/>
      <c r="O29" s="81"/>
      <c r="P29" s="81"/>
      <c r="Q29" s="81"/>
    </row>
    <row r="30" spans="1:17">
      <c r="A30" s="81"/>
      <c r="B30" s="81"/>
      <c r="D30" s="84" t="s">
        <v>155</v>
      </c>
      <c r="E30" s="84" t="s">
        <v>144</v>
      </c>
      <c r="F30" s="84">
        <v>2103</v>
      </c>
      <c r="G30" s="84">
        <v>635</v>
      </c>
      <c r="I30" s="107" t="s">
        <v>207</v>
      </c>
      <c r="J30" s="81"/>
      <c r="K30" s="81"/>
      <c r="L30" s="81"/>
      <c r="M30" s="81"/>
      <c r="N30" s="81"/>
      <c r="O30" s="81"/>
      <c r="P30" s="81"/>
      <c r="Q30" s="81"/>
    </row>
    <row r="31" spans="1:17">
      <c r="A31" s="81"/>
      <c r="B31" s="81"/>
      <c r="D31" s="84" t="s">
        <v>155</v>
      </c>
      <c r="E31" s="84" t="s">
        <v>149</v>
      </c>
      <c r="F31" s="84">
        <v>2004</v>
      </c>
      <c r="G31" s="84">
        <v>631</v>
      </c>
      <c r="I31" s="107" t="s">
        <v>208</v>
      </c>
      <c r="J31" s="81"/>
      <c r="K31" s="81"/>
      <c r="L31" s="81"/>
      <c r="M31" s="81"/>
      <c r="N31" s="81"/>
      <c r="O31" s="81"/>
      <c r="P31" s="81"/>
      <c r="Q31" s="81"/>
    </row>
    <row r="32" spans="1:17">
      <c r="D32" s="84" t="s">
        <v>155</v>
      </c>
      <c r="E32" s="84" t="s">
        <v>138</v>
      </c>
      <c r="F32" s="84">
        <v>2104</v>
      </c>
      <c r="G32" s="84">
        <v>636</v>
      </c>
    </row>
    <row r="33" spans="4:7">
      <c r="D33" s="84" t="s">
        <v>155</v>
      </c>
      <c r="E33" s="84" t="s">
        <v>139</v>
      </c>
      <c r="F33" s="84">
        <v>2105</v>
      </c>
      <c r="G33" s="84">
        <v>637</v>
      </c>
    </row>
    <row r="34" spans="4:7">
      <c r="D34" s="84" t="s">
        <v>155</v>
      </c>
      <c r="E34" s="84" t="s">
        <v>140</v>
      </c>
      <c r="F34" s="84">
        <v>2106</v>
      </c>
      <c r="G34" s="84">
        <v>638</v>
      </c>
    </row>
    <row r="35" spans="4:7">
      <c r="D35" s="84" t="s">
        <v>155</v>
      </c>
      <c r="E35" s="84" t="s">
        <v>141</v>
      </c>
      <c r="F35" s="84">
        <v>2005</v>
      </c>
      <c r="G35" s="84">
        <v>632</v>
      </c>
    </row>
    <row r="36" spans="4:7">
      <c r="D36" s="84" t="s">
        <v>155</v>
      </c>
      <c r="E36" s="84" t="s">
        <v>150</v>
      </c>
      <c r="F36" s="84" t="s">
        <v>156</v>
      </c>
      <c r="G36" s="84">
        <v>639</v>
      </c>
    </row>
    <row r="37" spans="4:7">
      <c r="D37" s="84" t="s">
        <v>155</v>
      </c>
      <c r="E37" s="84" t="s">
        <v>151</v>
      </c>
      <c r="F37" s="84">
        <v>2108</v>
      </c>
      <c r="G37" s="84">
        <v>640</v>
      </c>
    </row>
    <row r="38" spans="4:7">
      <c r="D38" s="84" t="s">
        <v>155</v>
      </c>
      <c r="E38" s="84" t="s">
        <v>152</v>
      </c>
      <c r="F38" s="84">
        <v>2109</v>
      </c>
      <c r="G38" s="84">
        <v>641</v>
      </c>
    </row>
    <row r="39" spans="4:7">
      <c r="D39" s="84" t="s">
        <v>155</v>
      </c>
      <c r="E39" s="84" t="s">
        <v>153</v>
      </c>
      <c r="F39" s="84">
        <v>2110</v>
      </c>
      <c r="G39" s="84">
        <v>642</v>
      </c>
    </row>
    <row r="40" spans="4:7">
      <c r="D40" s="84" t="s">
        <v>155</v>
      </c>
      <c r="E40" s="84" t="s">
        <v>154</v>
      </c>
      <c r="F40" s="84" t="s">
        <v>156</v>
      </c>
      <c r="G40" s="84">
        <v>643</v>
      </c>
    </row>
  </sheetData>
  <protectedRanges>
    <protectedRange sqref="A3:B31" name="Line"/>
    <protectedRange sqref="I3:P31" name="Station_1"/>
  </protectedRange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UW(New)</vt:lpstr>
      <vt:lpstr>UA(New)</vt:lpstr>
      <vt:lpstr>KPIPDLog</vt:lpstr>
      <vt:lpstr>Summary</vt:lpstr>
      <vt:lpstr>List</vt:lpstr>
      <vt:lpstr>Cowl_List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McGee</dc:creator>
  <cp:lastModifiedBy>Jimarcus Petty</cp:lastModifiedBy>
  <cp:lastPrinted>2024-12-06T00:21:15Z</cp:lastPrinted>
  <dcterms:created xsi:type="dcterms:W3CDTF">2012-03-27T20:17:51Z</dcterms:created>
  <dcterms:modified xsi:type="dcterms:W3CDTF">2025-04-12T09:27:00Z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