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ugen\Documents\Python Scripts\collision predict\"/>
    </mc:Choice>
  </mc:AlternateContent>
  <xr:revisionPtr revIDLastSave="0" documentId="13_ncr:1_{F813DB7B-EDE3-4D4C-9C3A-C3AEFB9F8E27}" xr6:coauthVersionLast="47" xr6:coauthVersionMax="47" xr10:uidLastSave="{00000000-0000-0000-0000-000000000000}"/>
  <bookViews>
    <workbookView xWindow="7410" yWindow="3435" windowWidth="21600" windowHeight="11385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2" l="1"/>
  <c r="R4" i="2"/>
  <c r="V12" i="2" l="1"/>
  <c r="W12" i="2" s="1"/>
  <c r="V10" i="2"/>
  <c r="W10" i="2" s="1"/>
  <c r="V8" i="2"/>
  <c r="W8" i="2" s="1"/>
  <c r="V6" i="2"/>
  <c r="W6" i="2" s="1"/>
  <c r="U12" i="2"/>
  <c r="U10" i="2"/>
  <c r="U8" i="2"/>
  <c r="U6" i="2"/>
  <c r="Q12" i="2"/>
  <c r="I5" i="2"/>
  <c r="J6" i="2" s="1"/>
  <c r="I6" i="2"/>
  <c r="I7" i="2"/>
  <c r="I8" i="2"/>
  <c r="I9" i="2"/>
  <c r="I10" i="2"/>
  <c r="I11" i="2"/>
  <c r="N12" i="2" s="1"/>
  <c r="I12" i="2"/>
  <c r="H5" i="2"/>
  <c r="H6" i="2"/>
  <c r="L6" i="2" s="1"/>
  <c r="H7" i="2"/>
  <c r="H8" i="2"/>
  <c r="H9" i="2"/>
  <c r="H10" i="2"/>
  <c r="H11" i="2"/>
  <c r="H12" i="2"/>
  <c r="V4" i="2"/>
  <c r="W4" i="2" s="1"/>
  <c r="U4" i="2"/>
  <c r="I4" i="2"/>
  <c r="H4" i="2"/>
  <c r="I3" i="2"/>
  <c r="J4" i="2" s="1"/>
  <c r="H3" i="2"/>
  <c r="Y6" i="2" l="1"/>
  <c r="X6" i="2"/>
  <c r="Z6" i="2" s="1"/>
  <c r="AA6" i="2" s="1"/>
  <c r="Y12" i="2"/>
  <c r="X12" i="2"/>
  <c r="Z12" i="2" s="1"/>
  <c r="AA12" i="2" s="1"/>
  <c r="J12" i="2"/>
  <c r="R6" i="2"/>
  <c r="K6" i="2"/>
  <c r="M6" i="2" s="1"/>
  <c r="K12" i="2"/>
  <c r="Q6" i="2"/>
  <c r="L12" i="2"/>
  <c r="P12" i="2" s="1"/>
  <c r="R12" i="2"/>
  <c r="S12" i="2" s="1"/>
  <c r="T12" i="2" s="1"/>
  <c r="AB12" i="2" s="1"/>
  <c r="AE12" i="2" s="1"/>
  <c r="N6" i="2"/>
  <c r="O6" i="2" s="1"/>
  <c r="J10" i="2"/>
  <c r="N10" i="2"/>
  <c r="K10" i="2"/>
  <c r="X10" i="2"/>
  <c r="Y10" i="2"/>
  <c r="R10" i="2"/>
  <c r="L10" i="2"/>
  <c r="Q10" i="2"/>
  <c r="Q8" i="2"/>
  <c r="R8" i="2"/>
  <c r="S8" i="2" s="1"/>
  <c r="T8" i="2" s="1"/>
  <c r="X8" i="2"/>
  <c r="Y8" i="2"/>
  <c r="N8" i="2"/>
  <c r="K8" i="2"/>
  <c r="L8" i="2"/>
  <c r="P8" i="2" s="1"/>
  <c r="J8" i="2"/>
  <c r="N4" i="2"/>
  <c r="K4" i="2"/>
  <c r="Y4" i="2"/>
  <c r="X4" i="2"/>
  <c r="L4" i="2"/>
  <c r="U4" i="1"/>
  <c r="V4" i="1" s="1"/>
  <c r="X4" i="1" s="1"/>
  <c r="T4" i="1"/>
  <c r="H4" i="1"/>
  <c r="G4" i="1"/>
  <c r="P4" i="1" s="1"/>
  <c r="H3" i="1"/>
  <c r="Q4" i="1" s="1"/>
  <c r="G3" i="1"/>
  <c r="AD12" i="2" l="1"/>
  <c r="AC12" i="2"/>
  <c r="M12" i="2"/>
  <c r="O12" i="2" s="1"/>
  <c r="S6" i="2"/>
  <c r="T6" i="2" s="1"/>
  <c r="AB6" i="2" s="1"/>
  <c r="P6" i="2"/>
  <c r="P10" i="2"/>
  <c r="Z10" i="2"/>
  <c r="AA10" i="2" s="1"/>
  <c r="M10" i="2"/>
  <c r="O10" i="2" s="1"/>
  <c r="S10" i="2"/>
  <c r="T10" i="2" s="1"/>
  <c r="Z8" i="2"/>
  <c r="AA8" i="2" s="1"/>
  <c r="AB8" i="2" s="1"/>
  <c r="M8" i="2"/>
  <c r="O8" i="2" s="1"/>
  <c r="S4" i="2"/>
  <c r="T4" i="2" s="1"/>
  <c r="Z4" i="2"/>
  <c r="AA4" i="2" s="1"/>
  <c r="P4" i="2"/>
  <c r="M4" i="2"/>
  <c r="O4" i="2" s="1"/>
  <c r="R4" i="1"/>
  <c r="S4" i="1" s="1"/>
  <c r="J4" i="1"/>
  <c r="K4" i="1"/>
  <c r="O4" i="1" s="1"/>
  <c r="W4" i="1"/>
  <c r="Y4" i="1" s="1"/>
  <c r="Z4" i="1" s="1"/>
  <c r="I4" i="1"/>
  <c r="M4" i="1"/>
  <c r="AE6" i="2" l="1"/>
  <c r="AD6" i="2"/>
  <c r="AC6" i="2"/>
  <c r="L4" i="1"/>
  <c r="N4" i="1" s="1"/>
  <c r="AB10" i="2"/>
  <c r="AC10" i="2" s="1"/>
  <c r="AE10" i="2"/>
  <c r="AD10" i="2"/>
  <c r="AE8" i="2"/>
  <c r="AD8" i="2"/>
  <c r="AC8" i="2"/>
  <c r="AB4" i="2"/>
  <c r="AE4" i="2" s="1"/>
  <c r="AA4" i="1"/>
  <c r="AD4" i="2" l="1"/>
  <c r="AC4" i="1"/>
  <c r="AD4" i="1"/>
  <c r="AC4" i="2"/>
  <c r="AB4" i="1"/>
</calcChain>
</file>

<file path=xl/sharedStrings.xml><?xml version="1.0" encoding="utf-8"?>
<sst xmlns="http://schemas.openxmlformats.org/spreadsheetml/2006/main" count="99" uniqueCount="49">
  <si>
    <t>Data</t>
  </si>
  <si>
    <t>Middle point</t>
  </si>
  <si>
    <t>Compaas bearing</t>
  </si>
  <si>
    <t>Relative speed</t>
  </si>
  <si>
    <t>sudut</t>
  </si>
  <si>
    <t>Kapal</t>
  </si>
  <si>
    <t>Longitude</t>
  </si>
  <si>
    <t>Latitude</t>
  </si>
  <si>
    <t>Course</t>
  </si>
  <si>
    <t>Speed</t>
  </si>
  <si>
    <t>Long dalam radian</t>
  </si>
  <si>
    <t>Lat dalam radian</t>
  </si>
  <si>
    <t>Distance Haversine</t>
  </si>
  <si>
    <t>Bx</t>
  </si>
  <si>
    <t>By</t>
  </si>
  <si>
    <t>x</t>
  </si>
  <si>
    <t>y</t>
  </si>
  <si>
    <t>lat midle</t>
  </si>
  <si>
    <t>long midle</t>
  </si>
  <si>
    <t>dalam derajat</t>
  </si>
  <si>
    <t>alpha</t>
  </si>
  <si>
    <t>temp</t>
  </si>
  <si>
    <t>relative speed</t>
  </si>
  <si>
    <t>Q</t>
  </si>
  <si>
    <t>Relative course</t>
  </si>
  <si>
    <t>bearing</t>
  </si>
  <si>
    <t>DCPA</t>
  </si>
  <si>
    <t>TCPA</t>
  </si>
  <si>
    <t>OS</t>
  </si>
  <si>
    <t>Kapal 1</t>
  </si>
  <si>
    <t>TS</t>
  </si>
  <si>
    <t>Kapal 2</t>
  </si>
  <si>
    <t>Radius</t>
  </si>
  <si>
    <t>VCD</t>
  </si>
  <si>
    <t>relative bearing</t>
  </si>
  <si>
    <t>Pertemuan 1</t>
  </si>
  <si>
    <t>Pertemuan 2</t>
  </si>
  <si>
    <t>Kapal 3</t>
  </si>
  <si>
    <t>Kapal 4</t>
  </si>
  <si>
    <t>Kapal 5</t>
  </si>
  <si>
    <t>Kapal 6</t>
  </si>
  <si>
    <t>Kapal 7</t>
  </si>
  <si>
    <t>Kapal 8</t>
  </si>
  <si>
    <t>Kapal 9</t>
  </si>
  <si>
    <t>Kapal 10</t>
  </si>
  <si>
    <t>Pertemuan 3</t>
  </si>
  <si>
    <t>Pertemuan 4</t>
  </si>
  <si>
    <t>Course (COG)</t>
  </si>
  <si>
    <t>Speed (SOG)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</si>
</sst>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8" borderId="0" xfId="0" applyFont="1" applyFill="1" applyAlignment="1">
      <alignment wrapText="1"/>
    </xf>
    <xf numFmtId="0" fontId="4" fillId="2" borderId="2" xfId="0" applyFont="1" applyFill="1" applyBorder="1" applyAlignment="1">
      <alignment vertical="center" wrapText="1"/>
    </xf>
    <xf numFmtId="0" fontId="1" fillId="7" borderId="2" xfId="0" applyFont="1" applyFill="1" applyBorder="1" applyAlignment="1">
      <alignment wrapText="1"/>
    </xf>
    <xf numFmtId="0" fontId="4" fillId="7" borderId="2" xfId="0" applyFont="1" applyFill="1" applyBorder="1" applyAlignment="1">
      <alignment vertical="center" wrapText="1"/>
    </xf>
    <xf numFmtId="0" fontId="5" fillId="9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wrapText="1"/>
    </xf>
    <xf numFmtId="0" fontId="1" fillId="10" borderId="0" xfId="0" applyFont="1" applyFill="1" applyAlignment="1">
      <alignment wrapText="1"/>
    </xf>
    <xf numFmtId="0" fontId="6" fillId="0" borderId="2" xfId="0" applyFont="1" applyBorder="1" applyAlignment="1">
      <alignment wrapText="1"/>
    </xf>
    <xf numFmtId="0" fontId="7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wrapText="1"/>
    </xf>
    <xf numFmtId="0" fontId="2" fillId="11" borderId="2" xfId="0" applyFont="1" applyFill="1" applyBorder="1"/>
    <xf numFmtId="0" fontId="4" fillId="2" borderId="0" xfId="0" applyFont="1" applyFill="1" applyAlignment="1">
      <alignment vertical="center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11" borderId="0" xfId="0" applyFont="1" applyFill="1"/>
    <xf numFmtId="0" fontId="4" fillId="5" borderId="0" xfId="0" applyFont="1" applyFill="1" applyAlignment="1">
      <alignment vertical="center" wrapText="1"/>
    </xf>
    <xf numFmtId="0" fontId="1" fillId="12" borderId="0" xfId="0" applyFont="1" applyFill="1" applyAlignment="1">
      <alignment wrapText="1"/>
    </xf>
    <xf numFmtId="0" fontId="4" fillId="12" borderId="0" xfId="0" applyFont="1" applyFill="1" applyAlignment="1">
      <alignment vertical="center" wrapText="1"/>
    </xf>
    <xf numFmtId="0" fontId="1" fillId="13" borderId="0" xfId="0" applyFont="1" applyFill="1" applyAlignment="1">
      <alignment wrapText="1"/>
    </xf>
    <xf numFmtId="0" fontId="4" fillId="13" borderId="0" xfId="0" applyFont="1" applyFill="1" applyAlignment="1">
      <alignment vertical="center" wrapText="1"/>
    </xf>
    <xf numFmtId="0" fontId="1" fillId="14" borderId="0" xfId="0" applyFont="1" applyFill="1" applyAlignment="1">
      <alignment wrapText="1"/>
    </xf>
    <xf numFmtId="0" fontId="4" fillId="14" borderId="2" xfId="0" applyFont="1" applyFill="1" applyBorder="1" applyAlignment="1">
      <alignment vertical="center" wrapText="1"/>
    </xf>
    <xf numFmtId="4" fontId="4" fillId="2" borderId="0" xfId="0" applyNumberFormat="1" applyFont="1" applyFill="1" applyAlignment="1">
      <alignment vertical="center" wrapText="1"/>
    </xf>
    <xf numFmtId="2" fontId="4" fillId="2" borderId="0" xfId="0" applyNumberFormat="1" applyFont="1" applyFill="1" applyAlignment="1">
      <alignment vertical="center" wrapText="1"/>
    </xf>
    <xf numFmtId="0" fontId="4" fillId="10" borderId="0" xfId="0" applyFont="1" applyFill="1" applyAlignment="1">
      <alignment vertical="center" wrapText="1"/>
    </xf>
    <xf numFmtId="0" fontId="2" fillId="2" borderId="1" xfId="0" applyFont="1" applyFill="1" applyBorder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0" fillId="10" borderId="0" xfId="0" applyFill="1" applyAlignment="1">
      <alignment horizontal="center" vertical="center"/>
    </xf>
    <xf numFmtId="0" fontId="0" fillId="1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"/>
  <sheetViews>
    <sheetView workbookViewId="0">
      <selection activeCell="I4" sqref="I4"/>
    </sheetView>
  </sheetViews>
  <sheetFormatPr defaultRowHeight="15" x14ac:dyDescent="0.25"/>
  <sheetData>
    <row r="1" spans="1:30" ht="30" x14ac:dyDescent="0.25">
      <c r="A1" s="1"/>
      <c r="B1" s="46" t="s">
        <v>0</v>
      </c>
      <c r="C1" s="46"/>
      <c r="D1" s="46"/>
      <c r="E1" s="46"/>
      <c r="F1" s="46"/>
      <c r="G1" s="2"/>
      <c r="H1" s="2"/>
      <c r="I1" s="2"/>
      <c r="J1" s="47" t="s">
        <v>1</v>
      </c>
      <c r="K1" s="47"/>
      <c r="L1" s="47"/>
      <c r="M1" s="47"/>
      <c r="N1" s="47"/>
      <c r="O1" s="47"/>
      <c r="P1" s="3" t="s">
        <v>2</v>
      </c>
      <c r="Q1" s="4"/>
      <c r="R1" s="4"/>
      <c r="S1" s="4"/>
      <c r="T1" s="5"/>
      <c r="U1" s="5" t="s">
        <v>3</v>
      </c>
      <c r="V1" s="5"/>
      <c r="W1" s="6" t="s">
        <v>4</v>
      </c>
      <c r="X1" s="6"/>
      <c r="Y1" s="6"/>
      <c r="Z1" s="1"/>
      <c r="AA1" s="1"/>
      <c r="AB1" s="1"/>
      <c r="AC1" s="1"/>
    </row>
    <row r="2" spans="1:30" ht="63" x14ac:dyDescent="0.25">
      <c r="A2" s="1"/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8" t="s">
        <v>10</v>
      </c>
      <c r="H2" s="8" t="s">
        <v>11</v>
      </c>
      <c r="I2" s="9" t="s">
        <v>12</v>
      </c>
      <c r="J2" s="10" t="s">
        <v>13</v>
      </c>
      <c r="K2" s="10" t="s">
        <v>14</v>
      </c>
      <c r="L2" s="10" t="s">
        <v>15</v>
      </c>
      <c r="M2" s="10" t="s">
        <v>16</v>
      </c>
      <c r="N2" s="10" t="s">
        <v>17</v>
      </c>
      <c r="O2" s="10" t="s">
        <v>18</v>
      </c>
      <c r="P2" s="11" t="s">
        <v>15</v>
      </c>
      <c r="Q2" s="11" t="s">
        <v>16</v>
      </c>
      <c r="R2" s="27" t="s">
        <v>34</v>
      </c>
      <c r="S2" s="11" t="s">
        <v>19</v>
      </c>
      <c r="T2" s="12" t="s">
        <v>20</v>
      </c>
      <c r="U2" s="12" t="s">
        <v>21</v>
      </c>
      <c r="V2" s="13" t="s">
        <v>22</v>
      </c>
      <c r="W2" s="14" t="s">
        <v>15</v>
      </c>
      <c r="X2" s="14" t="s">
        <v>16</v>
      </c>
      <c r="Y2" s="15" t="s">
        <v>23</v>
      </c>
      <c r="Z2" s="16" t="s">
        <v>24</v>
      </c>
      <c r="AA2" s="16" t="s">
        <v>25</v>
      </c>
      <c r="AB2" s="16" t="s">
        <v>26</v>
      </c>
      <c r="AC2" s="16" t="s">
        <v>27</v>
      </c>
      <c r="AD2" s="28" t="s">
        <v>33</v>
      </c>
    </row>
    <row r="3" spans="1:30" ht="15.75" x14ac:dyDescent="0.25">
      <c r="A3" s="17" t="s">
        <v>28</v>
      </c>
      <c r="B3" s="18" t="s">
        <v>29</v>
      </c>
      <c r="C3" s="18">
        <v>23</v>
      </c>
      <c r="D3" s="18">
        <v>30</v>
      </c>
      <c r="E3" s="18">
        <v>0</v>
      </c>
      <c r="F3" s="18">
        <v>50</v>
      </c>
      <c r="G3" s="19">
        <f>C3*PI()/180</f>
        <v>0.40142572795869574</v>
      </c>
      <c r="H3" s="20">
        <f>D3*PI()/180</f>
        <v>0.52359877559829882</v>
      </c>
      <c r="I3" s="21"/>
      <c r="J3" s="22"/>
      <c r="K3" s="22"/>
      <c r="L3" s="22"/>
      <c r="M3" s="22"/>
      <c r="N3" s="22"/>
      <c r="O3" s="22"/>
      <c r="P3" s="22"/>
      <c r="Q3" s="22"/>
      <c r="R3" s="16"/>
      <c r="S3" s="22"/>
      <c r="T3" s="22"/>
      <c r="U3" s="22"/>
      <c r="V3" s="16"/>
      <c r="W3" s="22"/>
      <c r="X3" s="22"/>
      <c r="Y3" s="22"/>
      <c r="Z3" s="16"/>
      <c r="AA3" s="16"/>
      <c r="AB3" s="16"/>
      <c r="AC3" s="16"/>
      <c r="AD3" s="29"/>
    </row>
    <row r="4" spans="1:30" ht="15.75" x14ac:dyDescent="0.25">
      <c r="A4" s="23" t="s">
        <v>30</v>
      </c>
      <c r="B4" s="18" t="s">
        <v>31</v>
      </c>
      <c r="C4" s="18">
        <v>23.07</v>
      </c>
      <c r="D4" s="18">
        <v>30.02</v>
      </c>
      <c r="E4" s="18">
        <v>220</v>
      </c>
      <c r="F4" s="18">
        <v>60</v>
      </c>
      <c r="G4" s="19">
        <f t="shared" ref="G4:H4" si="0">C4*PI()/180</f>
        <v>0.40264745843509187</v>
      </c>
      <c r="H4" s="20">
        <f t="shared" si="0"/>
        <v>0.52394784144869766</v>
      </c>
      <c r="I4" s="21">
        <f>C5*2*ATAN2(SQRT(1-(SIN((H3-H4)/2)^2+COS(H3)*COS(H4)*SIN((G3-G4)/2)^2)),SQRT(SIN((H3-H4)/2)^2+COS(H3)*COS(H4)*SIN((G3-G4)/2)^2))</f>
        <v>7.0975636331383098</v>
      </c>
      <c r="J4" s="22">
        <f>COS(H3)*COS(G4-G3)</f>
        <v>0.86602475745878038</v>
      </c>
      <c r="K4" s="22">
        <f>COS(H3)*SIN(G4-G3)</f>
        <v>1.0580493659247743E-3</v>
      </c>
      <c r="L4" s="22">
        <f>SQRT(COS(H3)+J4)*(COS(H3)+J4)+K4^2</f>
        <v>2.279506900504753</v>
      </c>
      <c r="M4" s="22">
        <f>SIN(H3)+SIN(H4)</f>
        <v>1.0003022694261583</v>
      </c>
      <c r="N4" s="22">
        <f>180/PI()*ATAN2(M4,L4)</f>
        <v>66.30698231260061</v>
      </c>
      <c r="O4" s="22">
        <f>180/PI()*(G3+ATAN2(K4,COS(H3)+J4))</f>
        <v>112.96499999999999</v>
      </c>
      <c r="P4" s="24">
        <f>SIN(G3-G4)*COS(H4)</f>
        <v>-1.0578360693282469E-3</v>
      </c>
      <c r="Q4" s="25">
        <f>COS(H3)*SIN(H4)-(SIN(H3)*COS(H4)*COS(G4-G3))</f>
        <v>3.4938894099156848E-4</v>
      </c>
      <c r="R4" s="26">
        <f>ATAN2(P4,Q4)</f>
        <v>2.8225867782639016</v>
      </c>
      <c r="S4" s="25">
        <f>R4*180/PI()+360</f>
        <v>521.72230970394992</v>
      </c>
      <c r="T4" s="25">
        <f>E4-E3</f>
        <v>220</v>
      </c>
      <c r="U4" s="24">
        <f>2*F4*F3*COS(-360/(180*PI()))</f>
        <v>4824.6589693727501</v>
      </c>
      <c r="V4" s="26">
        <f>SQRT(F4^2 + F3^2 - U4)</f>
        <v>35.711917207386804</v>
      </c>
      <c r="W4" s="24">
        <f>V4^2 + F4^2 - F3^2</f>
        <v>2375.3410306272499</v>
      </c>
      <c r="X4" s="22">
        <f>2 *V4* F4</f>
        <v>4285.4300648864164</v>
      </c>
      <c r="Y4" s="22">
        <f>ACOS(W4/X4)*180/PI()</f>
        <v>56.338656239152542</v>
      </c>
      <c r="Z4" s="16">
        <f>E4+Y4</f>
        <v>276.33865623915256</v>
      </c>
      <c r="AA4" s="16">
        <f>S4-Z4</f>
        <v>245.38365346479736</v>
      </c>
      <c r="AB4" s="16">
        <f>I4*SIN(AA4*PI()/180)</f>
        <v>-6.4525179348303379</v>
      </c>
      <c r="AC4" s="16">
        <f>I4*COS(AA4*PI()/180)/V4</f>
        <v>-8.2785262532079934E-2</v>
      </c>
      <c r="AD4" s="29">
        <f>AA4-S4</f>
        <v>-276.33865623915256</v>
      </c>
    </row>
    <row r="5" spans="1:30" x14ac:dyDescent="0.25">
      <c r="B5" t="s">
        <v>32</v>
      </c>
      <c r="C5">
        <v>6371</v>
      </c>
    </row>
  </sheetData>
  <mergeCells count="2">
    <mergeCell ref="B1:F1"/>
    <mergeCell ref="J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3"/>
  <sheetViews>
    <sheetView tabSelected="1" topLeftCell="L1" zoomScaleNormal="100" workbookViewId="0">
      <selection activeCell="AC4" sqref="AC4"/>
    </sheetView>
  </sheetViews>
  <sheetFormatPr defaultRowHeight="15" x14ac:dyDescent="0.25"/>
  <cols>
    <col min="1" max="1" width="12.5703125" customWidth="1"/>
    <col min="4" max="4" width="15" customWidth="1"/>
    <col min="5" max="5" width="17.28515625" customWidth="1"/>
    <col min="10" max="10" width="13.140625" bestFit="1" customWidth="1"/>
    <col min="17" max="17" width="10.5703125" bestFit="1" customWidth="1"/>
    <col min="18" max="18" width="12" bestFit="1" customWidth="1"/>
  </cols>
  <sheetData>
    <row r="1" spans="1:31" ht="30" x14ac:dyDescent="0.25">
      <c r="B1" s="1"/>
      <c r="C1" s="46" t="s">
        <v>0</v>
      </c>
      <c r="D1" s="46"/>
      <c r="E1" s="46"/>
      <c r="F1" s="46"/>
      <c r="G1" s="46"/>
      <c r="H1" s="2"/>
      <c r="I1" s="2"/>
      <c r="J1" s="2"/>
      <c r="K1" s="47" t="s">
        <v>1</v>
      </c>
      <c r="L1" s="47"/>
      <c r="M1" s="47"/>
      <c r="N1" s="47"/>
      <c r="O1" s="47"/>
      <c r="P1" s="47"/>
      <c r="Q1" s="3" t="s">
        <v>2</v>
      </c>
      <c r="R1" s="4"/>
      <c r="S1" s="4"/>
      <c r="T1" s="4"/>
      <c r="U1" s="5"/>
      <c r="V1" s="5" t="s">
        <v>3</v>
      </c>
      <c r="W1" s="5"/>
      <c r="X1" s="6" t="s">
        <v>4</v>
      </c>
      <c r="Y1" s="6"/>
      <c r="Z1" s="6"/>
      <c r="AA1" s="1"/>
      <c r="AB1" s="1"/>
      <c r="AC1" s="1"/>
      <c r="AD1" s="1"/>
    </row>
    <row r="2" spans="1:31" ht="47.25" x14ac:dyDescent="0.25">
      <c r="B2" s="1"/>
      <c r="C2" s="7" t="s">
        <v>5</v>
      </c>
      <c r="D2" s="7" t="s">
        <v>6</v>
      </c>
      <c r="E2" s="7" t="s">
        <v>7</v>
      </c>
      <c r="F2" s="7" t="s">
        <v>47</v>
      </c>
      <c r="G2" s="7" t="s">
        <v>48</v>
      </c>
      <c r="H2" s="8" t="s">
        <v>10</v>
      </c>
      <c r="I2" s="8" t="s">
        <v>11</v>
      </c>
      <c r="J2" s="9" t="s">
        <v>12</v>
      </c>
      <c r="K2" s="10" t="s">
        <v>13</v>
      </c>
      <c r="L2" s="10" t="s">
        <v>14</v>
      </c>
      <c r="M2" s="10" t="s">
        <v>15</v>
      </c>
      <c r="N2" s="10" t="s">
        <v>16</v>
      </c>
      <c r="O2" s="10" t="s">
        <v>17</v>
      </c>
      <c r="P2" s="10" t="s">
        <v>18</v>
      </c>
      <c r="Q2" s="11" t="s">
        <v>15</v>
      </c>
      <c r="R2" s="11" t="s">
        <v>16</v>
      </c>
      <c r="S2" s="27" t="s">
        <v>34</v>
      </c>
      <c r="T2" s="11" t="s">
        <v>19</v>
      </c>
      <c r="U2" s="12" t="s">
        <v>20</v>
      </c>
      <c r="V2" s="12" t="s">
        <v>21</v>
      </c>
      <c r="W2" s="13" t="s">
        <v>22</v>
      </c>
      <c r="X2" s="14" t="s">
        <v>15</v>
      </c>
      <c r="Y2" s="14" t="s">
        <v>16</v>
      </c>
      <c r="Z2" s="15" t="s">
        <v>23</v>
      </c>
      <c r="AA2" s="16" t="s">
        <v>24</v>
      </c>
      <c r="AB2" s="16" t="s">
        <v>25</v>
      </c>
      <c r="AC2" s="16" t="s">
        <v>26</v>
      </c>
      <c r="AD2" s="16" t="s">
        <v>27</v>
      </c>
      <c r="AE2" s="28" t="s">
        <v>33</v>
      </c>
    </row>
    <row r="3" spans="1:31" ht="15.75" x14ac:dyDescent="0.25">
      <c r="A3" s="49" t="s">
        <v>35</v>
      </c>
      <c r="B3" s="41" t="s">
        <v>28</v>
      </c>
      <c r="C3" s="42" t="s">
        <v>29</v>
      </c>
      <c r="D3" s="18">
        <v>23</v>
      </c>
      <c r="E3" s="18">
        <v>30</v>
      </c>
      <c r="F3" s="18">
        <v>0</v>
      </c>
      <c r="G3" s="18">
        <v>50</v>
      </c>
      <c r="H3" s="19">
        <f>D3*PI()/180</f>
        <v>0.40142572795869574</v>
      </c>
      <c r="I3" s="20">
        <f>E3*PI()/180</f>
        <v>0.52359877559829882</v>
      </c>
      <c r="J3" s="21"/>
      <c r="K3" s="22"/>
      <c r="L3" s="22"/>
      <c r="M3" s="22"/>
      <c r="N3" s="22"/>
      <c r="O3" s="22"/>
      <c r="P3" s="22"/>
      <c r="Q3" s="22"/>
      <c r="R3" s="22"/>
      <c r="S3" s="16"/>
      <c r="T3" s="22"/>
      <c r="U3" s="22"/>
      <c r="V3" s="22"/>
      <c r="W3" s="16"/>
      <c r="X3" s="22"/>
      <c r="Y3" s="22"/>
      <c r="Z3" s="22"/>
      <c r="AA3" s="16"/>
      <c r="AB3" s="16"/>
      <c r="AC3" s="16"/>
      <c r="AD3" s="16"/>
      <c r="AE3" s="29"/>
    </row>
    <row r="4" spans="1:31" ht="15.75" x14ac:dyDescent="0.25">
      <c r="A4" s="49"/>
      <c r="B4" s="41" t="s">
        <v>30</v>
      </c>
      <c r="C4" s="42" t="s">
        <v>31</v>
      </c>
      <c r="D4" s="18">
        <v>23.07</v>
      </c>
      <c r="E4" s="18">
        <v>30.02</v>
      </c>
      <c r="F4" s="18">
        <v>220</v>
      </c>
      <c r="G4" s="18">
        <v>60</v>
      </c>
      <c r="H4" s="19">
        <f t="shared" ref="H4:I12" si="0">D4*PI()/180</f>
        <v>0.40264745843509187</v>
      </c>
      <c r="I4" s="20">
        <f t="shared" si="0"/>
        <v>0.52394784144869766</v>
      </c>
      <c r="J4" s="21">
        <f>D13*2*ATAN2(SQRT(1-(SIN((I3-I4)/2)^2+COS(I3)*COS(I4)*SIN((H3-H4)/2)^2)),SQRT(SIN((I3-I4)/2)^2+COS(I3)*COS(I4)*SIN((H3-H4)/2)^2))</f>
        <v>7.0975636331383098</v>
      </c>
      <c r="K4" s="22">
        <f>COS(I3)*COS(H4-H3)</f>
        <v>0.86602475745878038</v>
      </c>
      <c r="L4" s="22">
        <f>COS(I3)*SIN(H4-H3)</f>
        <v>1.0580493659247743E-3</v>
      </c>
      <c r="M4" s="22">
        <f>SQRT(COS(I3)+K4)*(COS(I3)+K4)+L4^2</f>
        <v>2.279506900504753</v>
      </c>
      <c r="N4" s="22">
        <f>SIN(I3)+SIN(I4)</f>
        <v>1.0003022694261583</v>
      </c>
      <c r="O4" s="22">
        <f>180/PI()*ATAN2(N4,M4)</f>
        <v>66.30698231260061</v>
      </c>
      <c r="P4" s="22">
        <f>180/PI()*(H3+ATAN2(L4,COS(I3)+K4))</f>
        <v>112.96499999999999</v>
      </c>
      <c r="Q4" s="24">
        <f>SIN(H3-H4)*COS(I3)</f>
        <v>-1.0580493659247743E-3</v>
      </c>
      <c r="R4" s="25">
        <f>COS(I4)*SIN(I3)-(SIN(I4)*COS(I3)*COS(H3-H4))</f>
        <v>-3.4874248511651551E-4</v>
      </c>
      <c r="S4" s="26">
        <f>ATAN2(Q4,R4)</f>
        <v>-2.8231978282235732</v>
      </c>
      <c r="T4" s="25">
        <f>S4*180/PI()+360</f>
        <v>198.24267971228929</v>
      </c>
      <c r="U4" s="25">
        <f>F4-F3</f>
        <v>220</v>
      </c>
      <c r="V4" s="24">
        <f>2*G4*G3*COS(-360/(180*PI()))</f>
        <v>4824.6589693727501</v>
      </c>
      <c r="W4" s="26">
        <f>SQRT(G4^2 + G3^2 - V4)</f>
        <v>35.711917207386804</v>
      </c>
      <c r="X4" s="24">
        <f>W4^2 + G4^2 - G3^2</f>
        <v>2375.3410306272499</v>
      </c>
      <c r="Y4" s="22">
        <f>2 *W4* G4</f>
        <v>4285.4300648864164</v>
      </c>
      <c r="Z4" s="22">
        <f>ACOS(X4/Y4)*180/PI()</f>
        <v>56.338656239152542</v>
      </c>
      <c r="AA4" s="16">
        <f>F4+Z4</f>
        <v>276.33865623915256</v>
      </c>
      <c r="AB4" s="16">
        <f>T4-AA4</f>
        <v>-78.095976526863268</v>
      </c>
      <c r="AC4" s="16">
        <f>J4*SIN(AB4*PI()/180)</f>
        <v>-6.9449269957640043</v>
      </c>
      <c r="AD4" s="16">
        <f>J4*COS(AB4*PI()/180)/W4</f>
        <v>4.0995699417959511E-2</v>
      </c>
      <c r="AE4" s="29">
        <f>AB4-T4</f>
        <v>-276.33865623915256</v>
      </c>
    </row>
    <row r="5" spans="1:31" ht="15.75" x14ac:dyDescent="0.25">
      <c r="A5" s="50" t="s">
        <v>35</v>
      </c>
      <c r="B5" s="5" t="s">
        <v>28</v>
      </c>
      <c r="C5" s="36" t="s">
        <v>37</v>
      </c>
      <c r="D5" s="43">
        <v>103.84083333</v>
      </c>
      <c r="E5" s="43">
        <v>1.1605555599999999</v>
      </c>
      <c r="F5" s="30">
        <v>336</v>
      </c>
      <c r="G5" s="44">
        <v>4.5</v>
      </c>
      <c r="H5" s="19">
        <f t="shared" si="0"/>
        <v>1.8123644396231675</v>
      </c>
      <c r="I5" s="20">
        <f t="shared" si="0"/>
        <v>2.02555156743266E-2</v>
      </c>
      <c r="K5" s="1"/>
      <c r="L5" s="1"/>
      <c r="M5" s="1"/>
      <c r="N5" s="1"/>
      <c r="O5" s="1"/>
      <c r="P5" s="1"/>
      <c r="Q5" s="31"/>
      <c r="R5" s="32"/>
      <c r="S5" s="33"/>
      <c r="T5" s="32"/>
      <c r="U5" s="32"/>
      <c r="V5" s="31"/>
      <c r="W5" s="33"/>
      <c r="X5" s="31"/>
      <c r="Y5" s="1"/>
      <c r="Z5" s="1"/>
      <c r="AA5" s="34"/>
      <c r="AB5" s="34"/>
      <c r="AC5" s="34"/>
      <c r="AD5" s="34"/>
      <c r="AE5" s="35"/>
    </row>
    <row r="6" spans="1:31" ht="15.75" x14ac:dyDescent="0.25">
      <c r="A6" s="50"/>
      <c r="B6" s="5" t="s">
        <v>30</v>
      </c>
      <c r="C6" s="36" t="s">
        <v>38</v>
      </c>
      <c r="D6" s="43">
        <v>103.82305556</v>
      </c>
      <c r="E6" s="43">
        <v>1.1983333300000001</v>
      </c>
      <c r="F6" s="30">
        <v>156</v>
      </c>
      <c r="G6" s="44">
        <v>5.5</v>
      </c>
      <c r="H6" s="19">
        <f t="shared" si="0"/>
        <v>1.8120541590030053</v>
      </c>
      <c r="I6" s="20">
        <f t="shared" si="0"/>
        <v>2.091486214488774E-2</v>
      </c>
      <c r="J6" s="21">
        <f>D13*2*ATAN2(SQRT(1-(SIN((I5-I6)/2)^2+COS(I5)*COS(I6)*SIN((H5-H6)/2)^2)),SQRT(SIN((I5-I6)/2)^2+COS(I5)*COS(I6)*SIN((H5-H6)/2)^2))</f>
        <v>4.6424049584934117</v>
      </c>
      <c r="K6" s="22">
        <f>COS(I5)*COS(H6-H5)</f>
        <v>0.99979481592906994</v>
      </c>
      <c r="L6" s="22">
        <f>COS(I5)*SIN(H6-H5)</f>
        <v>-3.1021696547675804E-4</v>
      </c>
      <c r="M6" s="22">
        <f>SQRT(COS(I5)+K6)*(COS(I5)+K6)+L6^2</f>
        <v>2.8275568454315749</v>
      </c>
      <c r="N6" s="22">
        <f>SIN(I5)+SIN(I6)</f>
        <v>4.1167467985737727E-2</v>
      </c>
      <c r="O6" s="22">
        <f>180/PI()*ATAN2(N6,M6)</f>
        <v>89.16586804255617</v>
      </c>
      <c r="P6" s="22">
        <f>180/PI()*(H5+ATAN2(L6,COS(I5)+K6))</f>
        <v>193.84972221499999</v>
      </c>
      <c r="Q6" s="24">
        <f>SIN(H5-H6)*COS(I6)</f>
        <v>3.102127544063175E-4</v>
      </c>
      <c r="R6" s="25">
        <f>COS(I5)*SIN(I6)-(SIN(I5)*COS(I6)*COS(H6-H5))</f>
        <v>6.5934739754782562E-4</v>
      </c>
      <c r="S6" s="26">
        <f>ATAN2(Q6,R6)</f>
        <v>1.1310386456497028</v>
      </c>
      <c r="T6" s="25">
        <f>S6*180/PI()+360</f>
        <v>424.80374086192063</v>
      </c>
      <c r="U6" s="25">
        <f>F6-F5</f>
        <v>-180</v>
      </c>
      <c r="V6" s="24">
        <f>2*G6*G5*COS(-360/(180*PI()))</f>
        <v>39.803436497325194</v>
      </c>
      <c r="W6" s="26">
        <f>SQRT(G6^2 + G5^2 - V6)</f>
        <v>3.2705601206329789</v>
      </c>
      <c r="X6" s="24">
        <f>W6^2 + G6^2 - G5^2</f>
        <v>20.696563502674806</v>
      </c>
      <c r="Y6" s="22">
        <f>2 *W6* G6</f>
        <v>35.976161326962767</v>
      </c>
      <c r="Z6" s="22">
        <f>ACOS(X6/Y6)*180/PI()</f>
        <v>54.880372498422851</v>
      </c>
      <c r="AA6" s="16">
        <f>F6+Z6</f>
        <v>210.88037249842284</v>
      </c>
      <c r="AB6" s="16">
        <f>T6-AA6</f>
        <v>213.92336836349779</v>
      </c>
      <c r="AC6" s="16">
        <f>J6*SIN(AB6*PI()/180)</f>
        <v>-2.5908500122166851</v>
      </c>
      <c r="AD6" s="16">
        <f>J6*COS(AB6*PI()/180)/W6</f>
        <v>-1.177840074925194</v>
      </c>
      <c r="AE6" s="29">
        <f>AB6-T6</f>
        <v>-210.88037249842284</v>
      </c>
    </row>
    <row r="7" spans="1:31" ht="15.75" x14ac:dyDescent="0.25">
      <c r="A7" s="51" t="s">
        <v>36</v>
      </c>
      <c r="B7" s="37" t="s">
        <v>28</v>
      </c>
      <c r="C7" s="38" t="s">
        <v>39</v>
      </c>
      <c r="D7" s="43">
        <v>11.003848</v>
      </c>
      <c r="E7" s="43">
        <v>57.61</v>
      </c>
      <c r="F7" s="30">
        <v>100.2</v>
      </c>
      <c r="G7" s="44">
        <v>4.5</v>
      </c>
      <c r="H7" s="19">
        <f t="shared" si="0"/>
        <v>0.19205337798899297</v>
      </c>
      <c r="I7" s="20">
        <f t="shared" si="0"/>
        <v>1.0054841820739331</v>
      </c>
      <c r="J7" s="21"/>
      <c r="K7" s="1"/>
      <c r="L7" s="1"/>
      <c r="M7" s="1"/>
      <c r="N7" s="1"/>
      <c r="O7" s="1"/>
      <c r="P7" s="1"/>
      <c r="Q7" s="31"/>
      <c r="R7" s="32"/>
      <c r="S7" s="33"/>
      <c r="T7" s="32"/>
      <c r="U7" s="32"/>
      <c r="V7" s="31"/>
      <c r="W7" s="33"/>
      <c r="X7" s="31"/>
      <c r="Y7" s="1"/>
      <c r="Z7" s="1"/>
      <c r="AA7" s="34"/>
      <c r="AB7" s="34"/>
      <c r="AC7" s="34"/>
      <c r="AD7" s="34"/>
      <c r="AE7" s="35"/>
    </row>
    <row r="8" spans="1:31" ht="15.75" x14ac:dyDescent="0.25">
      <c r="A8" s="51"/>
      <c r="B8" s="37" t="s">
        <v>30</v>
      </c>
      <c r="C8" s="38" t="s">
        <v>40</v>
      </c>
      <c r="D8" s="43">
        <v>8.8059999999999992</v>
      </c>
      <c r="E8" s="43">
        <v>57.353000000000002</v>
      </c>
      <c r="F8" s="30">
        <v>237.9</v>
      </c>
      <c r="G8" s="44">
        <v>11.1</v>
      </c>
      <c r="H8" s="19">
        <f t="shared" si="0"/>
        <v>0.15369369393062066</v>
      </c>
      <c r="I8" s="20">
        <f t="shared" si="0"/>
        <v>1.0009986858963078</v>
      </c>
      <c r="J8" s="21">
        <f>D13*2*ATAN2(SQRT(1-(SIN((I7-I8)/2)^2+COS(I7)*COS(I8)*SIN((H7-H8)/2)^2)),SQRT(SIN((I7-I8)/2)^2+COS(I7)*COS(I8)*SIN((H7-H8)/2)^2))</f>
        <v>134.44257829491747</v>
      </c>
      <c r="K8" s="22">
        <f>COS(I7)*COS(H8-H7)</f>
        <v>0.53528535526266885</v>
      </c>
      <c r="L8" s="22">
        <f>COS(I7)*SIN(H8-H7)</f>
        <v>-2.0543454424746692E-2</v>
      </c>
      <c r="M8" s="22">
        <f>SQRT(COS(I7)+K8)*(COS(I7)+K8)+L8^2</f>
        <v>1.108735940043631</v>
      </c>
      <c r="N8" s="22">
        <f>SIN(I7)+SIN(I8)</f>
        <v>1.6864315894400281</v>
      </c>
      <c r="O8" s="22">
        <f>180/PI()*ATAN2(N8,M8)</f>
        <v>33.322717760800032</v>
      </c>
      <c r="P8" s="22">
        <f>180/PI()*(H7+ATAN2(L8,COS(I7)+K8))</f>
        <v>102.10277199999999</v>
      </c>
      <c r="Q8" s="24">
        <f>SIN(H7-H8)*COS(I8)</f>
        <v>2.0688504667551184E-2</v>
      </c>
      <c r="R8" s="25">
        <f>COS(I7)*SIN(I8)-(SIN(I7)*COS(I8)*COS(H8-H7))</f>
        <v>-4.1503717183616895E-3</v>
      </c>
      <c r="S8" s="26">
        <f>ATAN2(Q8,R8)</f>
        <v>-0.19798438978053909</v>
      </c>
      <c r="T8" s="25">
        <f>S8*180/PI()+360</f>
        <v>348.65633005610209</v>
      </c>
      <c r="U8" s="25">
        <f>F8-F7</f>
        <v>137.69999999999999</v>
      </c>
      <c r="V8" s="24">
        <f>2*G8*G7*COS(-360/(180*PI()))</f>
        <v>80.330571840056294</v>
      </c>
      <c r="W8" s="26">
        <f>SQRT(G8^2 + G7^2 - V8)</f>
        <v>7.9454029576821137</v>
      </c>
      <c r="X8" s="24">
        <f>W8^2 + G8^2 - G7^2</f>
        <v>166.08942815994368</v>
      </c>
      <c r="Y8" s="22">
        <f>2 *W8* G8</f>
        <v>176.38794566054293</v>
      </c>
      <c r="Z8" s="22">
        <f>ACOS(X8/Y8)*180/PI()</f>
        <v>19.67553588212613</v>
      </c>
      <c r="AA8" s="16">
        <f>F8+Z8</f>
        <v>257.57553588212613</v>
      </c>
      <c r="AB8" s="16">
        <f>T8-AA8</f>
        <v>91.08079417397596</v>
      </c>
      <c r="AC8" s="16">
        <f>J8*SIN(AB8*PI()/180)</f>
        <v>134.41865975394862</v>
      </c>
      <c r="AD8" s="16">
        <f>J8*COS(AB8*PI()/180)/W8</f>
        <v>-0.31916518474187588</v>
      </c>
      <c r="AE8" s="29">
        <f>AB8-T8</f>
        <v>-257.57553588212613</v>
      </c>
    </row>
    <row r="9" spans="1:31" ht="15.75" x14ac:dyDescent="0.25">
      <c r="A9" s="52" t="s">
        <v>45</v>
      </c>
      <c r="B9" s="39" t="s">
        <v>28</v>
      </c>
      <c r="C9" s="40" t="s">
        <v>41</v>
      </c>
      <c r="D9" s="43">
        <v>7.3197970000000003</v>
      </c>
      <c r="E9" s="43">
        <v>56.220999999999997</v>
      </c>
      <c r="F9" s="30">
        <v>170.2</v>
      </c>
      <c r="G9" s="44">
        <v>4</v>
      </c>
      <c r="H9" s="19">
        <f t="shared" si="0"/>
        <v>0.12775455822760337</v>
      </c>
      <c r="I9" s="20">
        <f t="shared" si="0"/>
        <v>0.98124155876373198</v>
      </c>
      <c r="J9" s="21"/>
      <c r="K9" s="1"/>
      <c r="L9" s="1"/>
      <c r="M9" s="1"/>
      <c r="N9" s="1"/>
      <c r="O9" s="1"/>
      <c r="P9" s="1"/>
      <c r="Q9" s="31"/>
      <c r="R9" s="32"/>
      <c r="S9" s="33"/>
      <c r="T9" s="32"/>
      <c r="U9" s="32"/>
      <c r="V9" s="31"/>
      <c r="W9" s="33"/>
      <c r="X9" s="31"/>
      <c r="Y9" s="1"/>
      <c r="Z9" s="1"/>
      <c r="AA9" s="34"/>
      <c r="AB9" s="34"/>
      <c r="AC9" s="34"/>
      <c r="AD9" s="34"/>
      <c r="AE9" s="35"/>
    </row>
    <row r="10" spans="1:31" ht="15.75" x14ac:dyDescent="0.25">
      <c r="A10" s="52"/>
      <c r="B10" s="39" t="s">
        <v>30</v>
      </c>
      <c r="C10" s="40" t="s">
        <v>42</v>
      </c>
      <c r="D10" s="43">
        <v>10.741557999999999</v>
      </c>
      <c r="E10" s="43">
        <v>57.802067000000001</v>
      </c>
      <c r="F10" s="30">
        <v>13</v>
      </c>
      <c r="G10" s="44">
        <v>17</v>
      </c>
      <c r="H10" s="19">
        <f t="shared" si="0"/>
        <v>0.18747555389393705</v>
      </c>
      <c r="I10" s="20">
        <f t="shared" si="0"/>
        <v>1.0088363836083614</v>
      </c>
      <c r="J10" s="21">
        <f>D13*2*ATAN2(SQRT(1-(SIN((I9-I10)/2)^2+COS(I9)*COS(I10)*SIN((H9-H10)/2)^2)),SQRT(SIN((I9-I10)/2)^2+COS(I9)*COS(I10)*SIN((H9-H10)/2)^2))</f>
        <v>271.64814790050747</v>
      </c>
      <c r="K10" s="22">
        <f>COS(I9)*COS(H10-H9)</f>
        <v>0.55499980306313579</v>
      </c>
      <c r="L10" s="22">
        <f>COS(I9)*SIN(H10-H9)</f>
        <v>3.3184602255232898E-2</v>
      </c>
      <c r="M10" s="22">
        <f>SQRT(COS(I9)+K10)*(COS(I9)+K10)+L10^2</f>
        <v>1.1721249576208028</v>
      </c>
      <c r="N10" s="22">
        <f>SIN(I9)+SIN(I10)</f>
        <v>1.6774006960440915</v>
      </c>
      <c r="O10" s="22">
        <f>180/PI()*ATAN2(N10,M10)</f>
        <v>34.944871112253871</v>
      </c>
      <c r="P10" s="22">
        <f>180/PI()*(H9+ATAN2(L10,COS(I9)+K10))</f>
        <v>95.608916500000007</v>
      </c>
      <c r="Q10" s="24">
        <f>SIN(H9-H10)*COS(I10)</f>
        <v>-3.180316591974041E-2</v>
      </c>
      <c r="R10" s="25">
        <f>COS(I9)*SIN(I10)-(SIN(I9)*COS(I10)*COS(H10-H9))</f>
        <v>2.8380902472504965E-2</v>
      </c>
      <c r="S10" s="26">
        <f>ATAN2(Q10,R10)</f>
        <v>2.4129965995465699</v>
      </c>
      <c r="T10" s="25">
        <f>S10*180/PI()+360</f>
        <v>498.25452113343766</v>
      </c>
      <c r="U10" s="25">
        <f>F10-F9</f>
        <v>-157.19999999999999</v>
      </c>
      <c r="V10" s="24">
        <f>2*G10*G9*COS(-360/(180*PI()))</f>
        <v>109.35893663911568</v>
      </c>
      <c r="W10" s="26">
        <f>SQRT(G10^2 + G9^2 - V10)</f>
        <v>13.987174959972593</v>
      </c>
      <c r="X10" s="24">
        <f>W10^2 + G10^2 - G9^2</f>
        <v>468.64106336088435</v>
      </c>
      <c r="Y10" s="22">
        <f>2 *W10* G10</f>
        <v>475.5639486390682</v>
      </c>
      <c r="Z10" s="22">
        <f>ACOS(X10/Y10)*180/PI()</f>
        <v>9.7882485843951876</v>
      </c>
      <c r="AA10" s="16">
        <f>F10+Z10</f>
        <v>22.788248584395188</v>
      </c>
      <c r="AB10" s="16">
        <f>T10-AA10</f>
        <v>475.46627254904246</v>
      </c>
      <c r="AC10" s="16">
        <f>J10*SIN(AB10*PI()/180)</f>
        <v>245.25442009498573</v>
      </c>
      <c r="AD10" s="16">
        <f>J10*COS(AB10*PI()/180)/W10</f>
        <v>-8.3507350427075266</v>
      </c>
      <c r="AE10" s="29">
        <f>AB10-T10</f>
        <v>-22.788248584395205</v>
      </c>
    </row>
    <row r="11" spans="1:31" ht="15.75" x14ac:dyDescent="0.25">
      <c r="A11" s="48" t="s">
        <v>46</v>
      </c>
      <c r="B11" s="23" t="s">
        <v>28</v>
      </c>
      <c r="C11" s="45" t="s">
        <v>43</v>
      </c>
      <c r="D11" s="43">
        <v>103.84083333</v>
      </c>
      <c r="E11" s="43">
        <v>1.1605555599999999</v>
      </c>
      <c r="F11" s="30">
        <v>156</v>
      </c>
      <c r="G11" s="44">
        <v>5</v>
      </c>
      <c r="H11" s="19">
        <f t="shared" si="0"/>
        <v>1.8123644396231675</v>
      </c>
      <c r="I11" s="20">
        <f t="shared" si="0"/>
        <v>2.02555156743266E-2</v>
      </c>
      <c r="J11" s="21"/>
      <c r="K11" s="1"/>
      <c r="L11" s="1"/>
      <c r="M11" s="1"/>
      <c r="N11" s="1"/>
      <c r="O11" s="1"/>
      <c r="P11" s="1"/>
      <c r="Q11" s="31"/>
      <c r="R11" s="32"/>
      <c r="S11" s="33"/>
      <c r="T11" s="32"/>
      <c r="U11" s="32"/>
      <c r="V11" s="31"/>
      <c r="W11" s="33"/>
      <c r="X11" s="31"/>
      <c r="Y11" s="1"/>
      <c r="Z11" s="1"/>
      <c r="AA11" s="34"/>
      <c r="AB11" s="34"/>
      <c r="AC11" s="34"/>
      <c r="AD11" s="34"/>
      <c r="AE11" s="35"/>
    </row>
    <row r="12" spans="1:31" ht="15.75" x14ac:dyDescent="0.25">
      <c r="A12" s="48"/>
      <c r="B12" s="23" t="s">
        <v>30</v>
      </c>
      <c r="C12" s="45" t="s">
        <v>44</v>
      </c>
      <c r="D12" s="43">
        <v>103.82305556</v>
      </c>
      <c r="E12" s="43">
        <v>1.1983333300000001</v>
      </c>
      <c r="F12" s="30">
        <v>336</v>
      </c>
      <c r="G12" s="44">
        <v>6</v>
      </c>
      <c r="H12" s="19">
        <f t="shared" si="0"/>
        <v>1.8120541590030053</v>
      </c>
      <c r="I12" s="20">
        <f t="shared" si="0"/>
        <v>2.091486214488774E-2</v>
      </c>
      <c r="J12" s="21">
        <f>D13*2*ATAN2(SQRT(1-(SIN((I11-I12)/2)^2+COS(I11)*COS(I12)*SIN((H11-H12)/2)^2)),SQRT(SIN((I11-I12)/2)^2+COS(I11)*COS(I12)*SIN((H11-H12)/2)^2))</f>
        <v>4.6424049584934117</v>
      </c>
      <c r="K12" s="22">
        <f>COS(I11)*COS(H12-H11)</f>
        <v>0.99979481592906994</v>
      </c>
      <c r="L12" s="22">
        <f>COS(I11)*SIN(H12-H11)</f>
        <v>-3.1021696547675804E-4</v>
      </c>
      <c r="M12" s="22">
        <f>SQRT(COS(I11)+K12)*(COS(I11)+K12)+L12^2</f>
        <v>2.8275568454315749</v>
      </c>
      <c r="N12" s="22">
        <f>SIN(I11)+SIN(I12)</f>
        <v>4.1167467985737727E-2</v>
      </c>
      <c r="O12" s="22">
        <f>180/PI()*ATAN2(N12,M12)</f>
        <v>89.16586804255617</v>
      </c>
      <c r="P12" s="22">
        <f>180/PI()*(H11+ATAN2(L12,COS(I11)+K12))</f>
        <v>193.84972221499999</v>
      </c>
      <c r="Q12" s="24">
        <f>SIN(H11-H12)*COS(I12)</f>
        <v>3.102127544063175E-4</v>
      </c>
      <c r="R12" s="25">
        <f>COS(I11)*SIN(I12)-(SIN(I11)*COS(I12)*COS(H12-H11))</f>
        <v>6.5934739754782562E-4</v>
      </c>
      <c r="S12" s="26">
        <f>ATAN2(Q12,R12)</f>
        <v>1.1310386456497028</v>
      </c>
      <c r="T12" s="25">
        <f>S12*180/PI()+360</f>
        <v>424.80374086192063</v>
      </c>
      <c r="U12" s="25">
        <f>F12-F11</f>
        <v>180</v>
      </c>
      <c r="V12" s="24">
        <f>2*G12*G11*COS(-360/(180*PI()))</f>
        <v>48.246589693727501</v>
      </c>
      <c r="W12" s="26">
        <f>SQRT(G12^2 + G11^2 - V12)</f>
        <v>3.571191720738681</v>
      </c>
      <c r="X12" s="24">
        <f>W12^2 + G12^2 - G11^2</f>
        <v>23.753410306272499</v>
      </c>
      <c r="Y12" s="22">
        <f>2 *W12* G12</f>
        <v>42.854300648864168</v>
      </c>
      <c r="Z12" s="22">
        <f>ACOS(X12/Y12)*180/PI()</f>
        <v>56.338656239152542</v>
      </c>
      <c r="AA12" s="16">
        <f>F12+Z12</f>
        <v>392.33865623915256</v>
      </c>
      <c r="AB12" s="16">
        <f>T12-AA12</f>
        <v>32.465084622768074</v>
      </c>
      <c r="AC12" s="16">
        <f>J12*SIN(AB12*PI()/180)</f>
        <v>2.4919759256222198</v>
      </c>
      <c r="AD12" s="16">
        <f>J12*COS(AB12*PI()/180)/W12</f>
        <v>1.0968002404859991</v>
      </c>
      <c r="AE12" s="29">
        <f>AB12-T12</f>
        <v>-392.33865623915256</v>
      </c>
    </row>
    <row r="13" spans="1:31" x14ac:dyDescent="0.25">
      <c r="C13" t="s">
        <v>32</v>
      </c>
      <c r="D13">
        <v>6371</v>
      </c>
    </row>
  </sheetData>
  <mergeCells count="7">
    <mergeCell ref="A11:A12"/>
    <mergeCell ref="C1:G1"/>
    <mergeCell ref="K1:P1"/>
    <mergeCell ref="A3:A4"/>
    <mergeCell ref="A5:A6"/>
    <mergeCell ref="A7:A8"/>
    <mergeCell ref="A9:A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5" sqref="B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Bumi Krismentari</dc:creator>
  <cp:lastModifiedBy>Mugen</cp:lastModifiedBy>
  <dcterms:created xsi:type="dcterms:W3CDTF">2023-04-22T05:04:57Z</dcterms:created>
  <dcterms:modified xsi:type="dcterms:W3CDTF">2023-05-03T17:59:10Z</dcterms:modified>
</cp:coreProperties>
</file>