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sur\Desktop\"/>
    </mc:Choice>
  </mc:AlternateContent>
  <xr:revisionPtr revIDLastSave="0" documentId="13_ncr:1_{19072A8C-60F2-4561-90BA-B63830F65C49}" xr6:coauthVersionLast="47" xr6:coauthVersionMax="47" xr10:uidLastSave="{00000000-0000-0000-0000-000000000000}"/>
  <bookViews>
    <workbookView xWindow="-28920" yWindow="-120" windowWidth="29040" windowHeight="15720" activeTab="1" xr2:uid="{79094DF3-977C-407C-9F90-827D961E0018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3" i="1" l="1"/>
  <c r="D150" i="1"/>
  <c r="D149" i="1"/>
  <c r="H146" i="1"/>
  <c r="I112" i="1"/>
  <c r="I111" i="1"/>
  <c r="J7" i="1"/>
  <c r="J8" i="1"/>
  <c r="E146" i="1"/>
  <c r="I114" i="1"/>
  <c r="B114" i="1" s="1"/>
  <c r="AE105" i="1"/>
  <c r="B51" i="3"/>
  <c r="B94" i="3"/>
  <c r="B93" i="3"/>
  <c r="J12" i="3"/>
  <c r="F51" i="3"/>
  <c r="H75" i="3"/>
  <c r="B50" i="3"/>
  <c r="B143" i="1" l="1"/>
  <c r="B95" i="3"/>
  <c r="C97" i="3" s="1"/>
  <c r="M101" i="1"/>
  <c r="A28" i="1"/>
  <c r="C14" i="1"/>
  <c r="B89" i="1" s="1"/>
  <c r="E89" i="1" s="1"/>
  <c r="E61" i="1"/>
  <c r="E59" i="1"/>
  <c r="E54" i="1"/>
  <c r="E52" i="1"/>
  <c r="E47" i="1"/>
  <c r="E45" i="1"/>
  <c r="T39" i="1"/>
  <c r="T38" i="1"/>
  <c r="T40" i="1"/>
  <c r="T42" i="1"/>
  <c r="E38" i="1"/>
  <c r="M37" i="1"/>
  <c r="D27" i="1" l="1"/>
  <c r="D30" i="3"/>
  <c r="D43" i="3"/>
  <c r="D8" i="3"/>
  <c r="F125" i="1"/>
  <c r="F121" i="1"/>
  <c r="H99" i="1"/>
  <c r="J101" i="1" s="1"/>
  <c r="E98" i="1"/>
  <c r="H97" i="1"/>
  <c r="B97" i="1" s="1"/>
  <c r="E91" i="1"/>
  <c r="K91" i="1" s="1"/>
  <c r="B91" i="1"/>
  <c r="E90" i="1"/>
  <c r="K90" i="1" s="1"/>
  <c r="B90" i="1"/>
  <c r="P89" i="1"/>
  <c r="K89" i="1"/>
  <c r="C80" i="1"/>
  <c r="C82" i="1" s="1"/>
  <c r="F74" i="1"/>
  <c r="F73" i="1"/>
  <c r="F72" i="1"/>
  <c r="W95" i="1" s="1"/>
  <c r="C71" i="1"/>
  <c r="F71" i="1" s="1"/>
  <c r="D62" i="1"/>
  <c r="L52" i="1"/>
  <c r="L48" i="1"/>
  <c r="L49" i="1" s="1"/>
  <c r="A24" i="1" s="1"/>
  <c r="D49" i="1"/>
  <c r="D41" i="1"/>
  <c r="E36" i="1"/>
  <c r="E40" i="1" s="1"/>
  <c r="H17" i="1"/>
  <c r="A20" i="1" s="1"/>
  <c r="A17" i="1"/>
  <c r="G10" i="1"/>
  <c r="G11" i="1" s="1"/>
  <c r="G13" i="1" s="1"/>
  <c r="E108" i="1" s="1"/>
  <c r="M8" i="1"/>
  <c r="E245" i="2"/>
  <c r="E243" i="2"/>
  <c r="D242" i="2"/>
  <c r="D240" i="2"/>
  <c r="E237" i="2"/>
  <c r="J235" i="2"/>
  <c r="E235" i="2"/>
  <c r="N234" i="2"/>
  <c r="E234" i="2"/>
  <c r="N232" i="2"/>
  <c r="H230" i="2"/>
  <c r="F230" i="2"/>
  <c r="G228" i="2"/>
  <c r="D228" i="2"/>
  <c r="G227" i="2"/>
  <c r="D227" i="2"/>
  <c r="D224" i="2"/>
  <c r="D223" i="2"/>
  <c r="D222" i="2"/>
  <c r="H218" i="2"/>
  <c r="H215" i="2"/>
  <c r="H214" i="2"/>
  <c r="H212" i="2"/>
  <c r="N210" i="2"/>
  <c r="L208" i="2"/>
  <c r="H206" i="2"/>
  <c r="H205" i="2"/>
  <c r="H204" i="2"/>
  <c r="H203" i="2"/>
  <c r="O201" i="2"/>
  <c r="O199" i="2"/>
  <c r="L199" i="2"/>
  <c r="H193" i="2"/>
  <c r="H191" i="2"/>
  <c r="F191" i="2"/>
  <c r="H190" i="2"/>
  <c r="F190" i="2"/>
  <c r="E187" i="2"/>
  <c r="N186" i="2"/>
  <c r="E186" i="2"/>
  <c r="H185" i="2"/>
  <c r="E185" i="2"/>
  <c r="E184" i="2"/>
  <c r="E183" i="2"/>
  <c r="E178" i="2"/>
  <c r="N177" i="2"/>
  <c r="E177" i="2"/>
  <c r="H176" i="2"/>
  <c r="E176" i="2"/>
  <c r="E175" i="2"/>
  <c r="E174" i="2"/>
  <c r="H169" i="2"/>
  <c r="H167" i="2"/>
  <c r="F167" i="2"/>
  <c r="H166" i="2"/>
  <c r="F166" i="2"/>
  <c r="E163" i="2"/>
  <c r="N162" i="2"/>
  <c r="E162" i="2"/>
  <c r="H161" i="2"/>
  <c r="E161" i="2"/>
  <c r="E160" i="2"/>
  <c r="E159" i="2"/>
  <c r="E154" i="2"/>
  <c r="N153" i="2"/>
  <c r="E153" i="2"/>
  <c r="H152" i="2"/>
  <c r="E152" i="2"/>
  <c r="E151" i="2"/>
  <c r="E150" i="2"/>
  <c r="G146" i="2"/>
  <c r="L145" i="2"/>
  <c r="G145" i="2"/>
  <c r="L144" i="2"/>
  <c r="G144" i="2"/>
  <c r="I143" i="2"/>
  <c r="G143" i="2"/>
  <c r="M138" i="2"/>
  <c r="M136" i="2"/>
  <c r="M134" i="2"/>
  <c r="M132" i="2"/>
  <c r="G130" i="2"/>
  <c r="F129" i="2"/>
  <c r="F128" i="2"/>
  <c r="M123" i="2"/>
  <c r="M121" i="2"/>
  <c r="M119" i="2"/>
  <c r="M117" i="2"/>
  <c r="G115" i="2"/>
  <c r="F114" i="2"/>
  <c r="F113" i="2"/>
  <c r="E104" i="2"/>
  <c r="E102" i="2"/>
  <c r="E99" i="2"/>
  <c r="E94" i="2"/>
  <c r="E93" i="2"/>
  <c r="E91" i="2"/>
  <c r="E90" i="2"/>
  <c r="E87" i="2"/>
  <c r="E82" i="2"/>
  <c r="E81" i="2"/>
  <c r="E79" i="2"/>
  <c r="E76" i="2"/>
  <c r="E71" i="2"/>
  <c r="E70" i="2"/>
  <c r="E68" i="2"/>
  <c r="E65" i="2"/>
  <c r="E60" i="2"/>
  <c r="E59" i="2"/>
  <c r="E57" i="2"/>
  <c r="E54" i="2"/>
  <c r="E49" i="2"/>
  <c r="E37" i="2"/>
  <c r="E34" i="2"/>
  <c r="E32" i="2"/>
  <c r="F28" i="2"/>
  <c r="C28" i="2"/>
  <c r="D23" i="2"/>
  <c r="D19" i="2"/>
  <c r="I23" i="1" l="1"/>
  <c r="I24" i="1"/>
  <c r="F75" i="1"/>
  <c r="K92" i="1"/>
  <c r="F76" i="1"/>
  <c r="B95" i="1" s="1"/>
  <c r="AC95" i="1"/>
  <c r="L50" i="1"/>
  <c r="L54" i="1" s="1"/>
  <c r="H98" i="1"/>
  <c r="D102" i="3"/>
  <c r="J11" i="3"/>
  <c r="B88" i="3"/>
  <c r="B75" i="3"/>
  <c r="F61" i="3"/>
  <c r="F50" i="3"/>
  <c r="B74" i="3"/>
  <c r="B48" i="3"/>
  <c r="C54" i="3"/>
  <c r="D56" i="1"/>
  <c r="D55" i="1"/>
  <c r="D42" i="1"/>
  <c r="B86" i="1"/>
  <c r="B85" i="1"/>
  <c r="P90" i="1" s="1"/>
  <c r="D63" i="1"/>
  <c r="D48" i="1"/>
  <c r="D11" i="3"/>
  <c r="L55" i="1" l="1"/>
  <c r="C87" i="1"/>
  <c r="P91" i="1"/>
  <c r="C57" i="3"/>
  <c r="F48" i="3"/>
  <c r="B49" i="3"/>
  <c r="C59" i="3" s="1"/>
  <c r="L41" i="1"/>
  <c r="L65" i="1" s="1"/>
  <c r="L42" i="1"/>
  <c r="L66" i="1" s="1"/>
  <c r="D2" i="3" s="1"/>
  <c r="D6" i="3" s="1"/>
  <c r="S91" i="1"/>
  <c r="S90" i="1"/>
  <c r="G39" i="3"/>
  <c r="D32" i="3"/>
  <c r="F105" i="1" l="1"/>
  <c r="Y105" i="1" s="1"/>
  <c r="B110" i="1"/>
  <c r="D19" i="3"/>
  <c r="D20" i="3" s="1"/>
  <c r="W94" i="1"/>
  <c r="AC94" i="1"/>
  <c r="B89" i="3"/>
  <c r="B90" i="3" s="1"/>
  <c r="E97" i="3" s="1"/>
  <c r="F63" i="3"/>
  <c r="C67" i="3"/>
  <c r="B109" i="3"/>
  <c r="P12" i="3" s="1"/>
  <c r="S93" i="1"/>
  <c r="B144" i="1"/>
  <c r="B135" i="1"/>
  <c r="AC103" i="1" l="1"/>
  <c r="AE106" i="1" s="1"/>
  <c r="AB106" i="1" s="1"/>
  <c r="B139" i="1" s="1"/>
  <c r="AC102" i="1"/>
  <c r="W102" i="1"/>
  <c r="W103" i="1"/>
  <c r="Y106" i="1" s="1"/>
  <c r="V106" i="1" s="1"/>
  <c r="B138" i="1" s="1"/>
  <c r="B94" i="1"/>
  <c r="J102" i="1" s="1"/>
  <c r="B22" i="3"/>
  <c r="H32" i="3" s="1"/>
  <c r="D38" i="3" s="1"/>
  <c r="D39" i="3" s="1"/>
  <c r="D41" i="3" s="1"/>
  <c r="S11" i="3"/>
  <c r="H62" i="3"/>
  <c r="B62" i="3" s="1"/>
  <c r="C103" i="3"/>
  <c r="B104" i="3" s="1"/>
  <c r="B108" i="3" s="1"/>
  <c r="P11" i="3" s="1"/>
  <c r="F139" i="1" l="1"/>
  <c r="J103" i="1"/>
  <c r="F106" i="1" s="1"/>
  <c r="B106" i="1" s="1"/>
  <c r="B111" i="1" s="1"/>
  <c r="B64" i="3"/>
  <c r="E67" i="3" s="1"/>
  <c r="B80" i="3"/>
  <c r="H101" i="1" l="1"/>
  <c r="B98" i="1" s="1"/>
  <c r="B136" i="1"/>
</calcChain>
</file>

<file path=xl/sharedStrings.xml><?xml version="1.0" encoding="utf-8"?>
<sst xmlns="http://schemas.openxmlformats.org/spreadsheetml/2006/main" count="1074" uniqueCount="630">
  <si>
    <t>Design life for cover (w/out fire resistance)</t>
  </si>
  <si>
    <t>Slab Design Accordance with Eurocode 2 (youtube.com)</t>
  </si>
  <si>
    <t>Design life</t>
  </si>
  <si>
    <t>c_nom</t>
  </si>
  <si>
    <t>15 + delta_c =</t>
  </si>
  <si>
    <t>mm</t>
  </si>
  <si>
    <t>Table 1 of Ch2 of Chanakya how book</t>
  </si>
  <si>
    <t>Design of Two Way continuous slabs including detailing | IS 456 | Step by Step (youtube.com)</t>
  </si>
  <si>
    <t>Table A4.1 in BS8500-1</t>
  </si>
  <si>
    <t>http://ndl.ethernet.edu.et/bitstream/123456789/87977/66/Worked-Examples-Ec2%20Volume%20I.pdf</t>
  </si>
  <si>
    <t>indoor exposure XC1 check</t>
  </si>
  <si>
    <t xml:space="preserve">req. </t>
  </si>
  <si>
    <t>OK</t>
  </si>
  <si>
    <t>table 4.1 EC2 p.1-1</t>
  </si>
  <si>
    <t>Table 2 Ch2 Chanakya How</t>
  </si>
  <si>
    <t>file:///C:/Users/khsur/Downloads/How%20to%20Design%20Concrete%20Structures%20using%20Eurocode%202.pdf</t>
  </si>
  <si>
    <t>Strength min</t>
  </si>
  <si>
    <t>req.</t>
  </si>
  <si>
    <t>C20/25</t>
  </si>
  <si>
    <t>Table E.1 N EC2 p.1-1</t>
  </si>
  <si>
    <t>f_ck</t>
  </si>
  <si>
    <t xml:space="preserve">fck = 25 </t>
  </si>
  <si>
    <t>Action</t>
  </si>
  <si>
    <t>Dead load</t>
  </si>
  <si>
    <t>floor(finishing and ceiling services etc.)</t>
  </si>
  <si>
    <t>kN/m2</t>
  </si>
  <si>
    <t>given</t>
  </si>
  <si>
    <t>150 thick partition blockwall</t>
  </si>
  <si>
    <t xml:space="preserve">wall height </t>
  </si>
  <si>
    <t>m</t>
  </si>
  <si>
    <t>line UDL</t>
  </si>
  <si>
    <t>kN/m</t>
  </si>
  <si>
    <t>cladding (façade)</t>
  </si>
  <si>
    <t>Though clading on beams so not considered</t>
  </si>
  <si>
    <t>knN/m</t>
  </si>
  <si>
    <t>Self weight</t>
  </si>
  <si>
    <t>min effective depth</t>
  </si>
  <si>
    <t>l/d=basic ratio</t>
  </si>
  <si>
    <t>d=l/26</t>
  </si>
  <si>
    <t>youtube</t>
  </si>
  <si>
    <t>NEED CHECKING FOR RHO, see below check</t>
  </si>
  <si>
    <t>3.1.5 flextural design</t>
  </si>
  <si>
    <t>or 3.25 a)</t>
  </si>
  <si>
    <t xml:space="preserve">assume dia of main stell </t>
  </si>
  <si>
    <t>see lecture y2</t>
  </si>
  <si>
    <t>h = d + dia/2 + c_nom</t>
  </si>
  <si>
    <t>rounded slab height</t>
  </si>
  <si>
    <t>d_new</t>
  </si>
  <si>
    <t>concrete self weight</t>
  </si>
  <si>
    <t>septh * unit weight of RC</t>
  </si>
  <si>
    <t>two way slab as ratio &lt; 2</t>
  </si>
  <si>
    <t>variable load</t>
  </si>
  <si>
    <t>classroom school C1</t>
  </si>
  <si>
    <t>2 to 3 kN/m2</t>
  </si>
  <si>
    <t>EC1 p1-1 Table 6.1</t>
  </si>
  <si>
    <t>corridoor C3</t>
  </si>
  <si>
    <t>3 to 5 kN/m2</t>
  </si>
  <si>
    <t>https://www.phd.eng.br/wp-content/uploads/2015/12/en.1991.1.1.2002.pdf</t>
  </si>
  <si>
    <t>office B</t>
  </si>
  <si>
    <t>storage (E1)</t>
  </si>
  <si>
    <t>7 kN/m2</t>
  </si>
  <si>
    <t>EC1 p1-1 Table 6.3 and 6.4</t>
  </si>
  <si>
    <t>area</t>
  </si>
  <si>
    <t>A_A-B/1-2</t>
  </si>
  <si>
    <t>m2</t>
  </si>
  <si>
    <t>loadings</t>
  </si>
  <si>
    <t>slab A-B/1-2</t>
  </si>
  <si>
    <t>dead g_k</t>
  </si>
  <si>
    <t>self weight of RC + finishing + wall</t>
  </si>
  <si>
    <t>divide and average</t>
  </si>
  <si>
    <t>variable q_k</t>
  </si>
  <si>
    <t>storage + cooridoor + class</t>
  </si>
  <si>
    <t>W = 1.35 g_k + 1.5 q_k</t>
  </si>
  <si>
    <t>slab B-C/1-2</t>
  </si>
  <si>
    <t>cooridoor + class</t>
  </si>
  <si>
    <t>slab C-D/1-2</t>
  </si>
  <si>
    <t>averaged</t>
  </si>
  <si>
    <t>slab D-E/1-2</t>
  </si>
  <si>
    <t>cooridoor + class+storage</t>
  </si>
  <si>
    <t>assume entire storage load worst case</t>
  </si>
  <si>
    <t>using 7kN/m2</t>
  </si>
  <si>
    <t>slab E-F/1-2</t>
  </si>
  <si>
    <t>Design moment</t>
  </si>
  <si>
    <t>flexural design</t>
  </si>
  <si>
    <t>flexure in span</t>
  </si>
  <si>
    <t>p.7 group 12 year 2018 ppl nel</t>
  </si>
  <si>
    <t>bs8110</t>
  </si>
  <si>
    <t>https://crcrecruits.wordpress.com/wp-content/uploads/2014/04/bs8110-1-1997-structural-use-of-concrete-design-construction.pdf</t>
  </si>
  <si>
    <t>for slab A-B/1-2 and slab E-F/1-2</t>
  </si>
  <si>
    <t>lx</t>
  </si>
  <si>
    <t>ly</t>
  </si>
  <si>
    <t>two adjacent edge discontinuous</t>
  </si>
  <si>
    <t>ly/lx</t>
  </si>
  <si>
    <t>~2</t>
  </si>
  <si>
    <t>Table 3.14</t>
  </si>
  <si>
    <t>figure 3.8 for equation</t>
  </si>
  <si>
    <t>max weight of 2</t>
  </si>
  <si>
    <t>short span</t>
  </si>
  <si>
    <t>continuous edge</t>
  </si>
  <si>
    <t>beta_sx_c-edge</t>
  </si>
  <si>
    <t>M_sx_c-edge</t>
  </si>
  <si>
    <t>beta_sx_mid * n * l_x^2</t>
  </si>
  <si>
    <t>kNm</t>
  </si>
  <si>
    <t>mid span</t>
  </si>
  <si>
    <t>beta_sx_mid</t>
  </si>
  <si>
    <t>M_sx_mid</t>
  </si>
  <si>
    <t>Long span</t>
  </si>
  <si>
    <t>beta_sy_c-edge</t>
  </si>
  <si>
    <t>M_sy_c-edge</t>
  </si>
  <si>
    <t>beta_sy_mid * n * l_y^2</t>
  </si>
  <si>
    <t>beta_sy_mid</t>
  </si>
  <si>
    <t>M_sy_mid</t>
  </si>
  <si>
    <t>for slab B-C/1-2, slab C-D/1-2 and slab D-E/1-2</t>
  </si>
  <si>
    <t>one short edge discontinuous</t>
  </si>
  <si>
    <t>max weight of 3</t>
  </si>
  <si>
    <t>check steel reinf</t>
  </si>
  <si>
    <t xml:space="preserve">appe a </t>
  </si>
  <si>
    <t>p.185</t>
  </si>
  <si>
    <t>w/ nel docx</t>
  </si>
  <si>
    <t>p.8</t>
  </si>
  <si>
    <t>take largest value:</t>
  </si>
  <si>
    <t xml:space="preserve">long span c-edge </t>
  </si>
  <si>
    <t>Nmm</t>
  </si>
  <si>
    <t xml:space="preserve">d = </t>
  </si>
  <si>
    <t>long span mid</t>
  </si>
  <si>
    <t>dia=</t>
  </si>
  <si>
    <t>assumed?? From above</t>
  </si>
  <si>
    <t>short span c-edge</t>
  </si>
  <si>
    <t>c_nom =</t>
  </si>
  <si>
    <t>short span mid</t>
  </si>
  <si>
    <t>f_ck =</t>
  </si>
  <si>
    <t>f_y =</t>
  </si>
  <si>
    <t>at support:</t>
  </si>
  <si>
    <t>long span is main steel, since 79 (beta_sy_c-edge) &gt; 47 (beta_sx_c-edge)</t>
  </si>
  <si>
    <t>EVERYTHING IS AT 1m; b = 1m</t>
  </si>
  <si>
    <t>revisit .xlm</t>
  </si>
  <si>
    <t>TWO WAY SLAB REINFORCEMENT EUROCODE 2 / BRITISH STANDARD BS8110 (youtube.com)</t>
  </si>
  <si>
    <t>long span:</t>
  </si>
  <si>
    <t>main</t>
  </si>
  <si>
    <t>K =</t>
  </si>
  <si>
    <t>at b = 1m;</t>
  </si>
  <si>
    <t>WHAT IS K' and redistribution</t>
  </si>
  <si>
    <t>units? Wrong?</t>
  </si>
  <si>
    <t>just to keep in mind</t>
  </si>
  <si>
    <t>finding z</t>
  </si>
  <si>
    <t>see notes, as eq is given</t>
  </si>
  <si>
    <t>z=d(0.5+sqrt(0.25-3K/3.4)</t>
  </si>
  <si>
    <t>let:</t>
  </si>
  <si>
    <t>K = M_ed / bd^2 f_ck</t>
  </si>
  <si>
    <t>z =</t>
  </si>
  <si>
    <t xml:space="preserve">0.95d = </t>
  </si>
  <si>
    <t>M_Ed = Wl^2/8</t>
  </si>
  <si>
    <t>A_s =</t>
  </si>
  <si>
    <t>mm2</t>
  </si>
  <si>
    <t>M/0.87f_y z</t>
  </si>
  <si>
    <t>via bar areas table</t>
  </si>
  <si>
    <t>H10@75</t>
  </si>
  <si>
    <t xml:space="preserve">A_sb = </t>
  </si>
  <si>
    <t>A_sb = area we are providing</t>
  </si>
  <si>
    <t>checks:</t>
  </si>
  <si>
    <t>A_s,min</t>
  </si>
  <si>
    <t>0.13%bh</t>
  </si>
  <si>
    <t>A_s bigger OK</t>
  </si>
  <si>
    <t>eq9.1n</t>
  </si>
  <si>
    <t>9.2.1.1</t>
  </si>
  <si>
    <t>EC2 p.1-1</t>
  </si>
  <si>
    <t>table area bar</t>
  </si>
  <si>
    <t>A_s,max</t>
  </si>
  <si>
    <t>0.04A_c</t>
  </si>
  <si>
    <t>A_s smaller OK</t>
  </si>
  <si>
    <t>Reinforcement areas and weights (yourspreadsheets.co.uk)</t>
  </si>
  <si>
    <t>s_max,slab</t>
  </si>
  <si>
    <t>3h&lt;=400</t>
  </si>
  <si>
    <t>short span:</t>
  </si>
  <si>
    <t>secondary</t>
  </si>
  <si>
    <t xml:space="preserve">z= </t>
  </si>
  <si>
    <t>H10@125</t>
  </si>
  <si>
    <t>S</t>
  </si>
  <si>
    <t>checking secondary for A_s,frame &gt;= 0.2 A_s,main</t>
  </si>
  <si>
    <t>9.3.1.1(2) ec2 p1-1</t>
  </si>
  <si>
    <t>A_s,main</t>
  </si>
  <si>
    <t>A_s,frame</t>
  </si>
  <si>
    <t>A_s,frame &gt;=0.2A_s,main</t>
  </si>
  <si>
    <t>S_max,slab = 3.5h&lt;= 450mm</t>
  </si>
  <si>
    <t xml:space="preserve">thus, </t>
  </si>
  <si>
    <t>125&lt;450</t>
  </si>
  <si>
    <t>at mid :</t>
  </si>
  <si>
    <t>long span is main steel, since 59 (beta_sy_mid) &gt; 35 (beta_sx_mid)</t>
  </si>
  <si>
    <t>H10@100</t>
  </si>
  <si>
    <t>H10@150</t>
  </si>
  <si>
    <t>OOF BIG CHANGED, archive log going from 175 to 150, A_sb changed, archived</t>
  </si>
  <si>
    <t>checking secondary, for A_s,frame &gt;= 0.2 A_s,main</t>
  </si>
  <si>
    <t>175&lt;450</t>
  </si>
  <si>
    <t>shear</t>
  </si>
  <si>
    <t>fig 3.10</t>
  </si>
  <si>
    <t>Table 3.15</t>
  </si>
  <si>
    <t>two adjacent edges discontinuous</t>
  </si>
  <si>
    <t>max weight of the 2</t>
  </si>
  <si>
    <t>CHECK SMALL PRINT OF FIGURE 3.10, AND EQUATION 19 EQ.20 SHOULD BE RIGHT</t>
  </si>
  <si>
    <t>c-edge</t>
  </si>
  <si>
    <t>beta_vx_c-edge</t>
  </si>
  <si>
    <t>beta_vy_c-edge</t>
  </si>
  <si>
    <t>dc-edge</t>
  </si>
  <si>
    <t>beta_vx_dc-edge</t>
  </si>
  <si>
    <t>beta_vy_dc-edge</t>
  </si>
  <si>
    <t>d</t>
  </si>
  <si>
    <t>v_sx_c-edge</t>
  </si>
  <si>
    <t>v_sx_dc-edge</t>
  </si>
  <si>
    <t>v_sy_c-edge</t>
  </si>
  <si>
    <t>v_sy_dc-edge</t>
  </si>
  <si>
    <t>one short discontinuous edge</t>
  </si>
  <si>
    <t>max weight of the 3</t>
  </si>
  <si>
    <t>n.a.</t>
  </si>
  <si>
    <t>v_sx=beta_vx*n*l_y</t>
  </si>
  <si>
    <t>(so = 0)</t>
  </si>
  <si>
    <t>i</t>
  </si>
  <si>
    <t>taking max as V_Ed</t>
  </si>
  <si>
    <t>kN</t>
  </si>
  <si>
    <t>Assuming 50% of mid span not extend to support</t>
  </si>
  <si>
    <t>see note Y2 shear</t>
  </si>
  <si>
    <t xml:space="preserve">ec2 p.1-1 section 6.2.2 </t>
  </si>
  <si>
    <t xml:space="preserve">rho_1 = </t>
  </si>
  <si>
    <t>&lt;=2</t>
  </si>
  <si>
    <t>TAKING MIN OF A_sb AS NOT SURE WHAT TO TAKE HERE</t>
  </si>
  <si>
    <t>k =</t>
  </si>
  <si>
    <t>hmm… shear resistance of concrete</t>
  </si>
  <si>
    <t>C_Rd,c</t>
  </si>
  <si>
    <t>see NA</t>
  </si>
  <si>
    <t>0.18/gamma_c</t>
  </si>
  <si>
    <t>gamma_c</t>
  </si>
  <si>
    <t>k_1</t>
  </si>
  <si>
    <t>sigma_cp</t>
  </si>
  <si>
    <t>as N_Ed =0</t>
  </si>
  <si>
    <t>see note Y2</t>
  </si>
  <si>
    <t>V_Rd,c</t>
  </si>
  <si>
    <t>N</t>
  </si>
  <si>
    <t xml:space="preserve">w/ min of </t>
  </si>
  <si>
    <t>&gt;</t>
  </si>
  <si>
    <t>No shear reinf needed</t>
  </si>
  <si>
    <t>deflection</t>
  </si>
  <si>
    <t>actual:</t>
  </si>
  <si>
    <t>span/eff depth</t>
  </si>
  <si>
    <t>A_sb/bd</t>
  </si>
  <si>
    <t>rho =</t>
  </si>
  <si>
    <t>%</t>
  </si>
  <si>
    <t>rho_0</t>
  </si>
  <si>
    <t>K</t>
  </si>
  <si>
    <t>from table 7.4N, I think</t>
  </si>
  <si>
    <t>could be 1.5 as well?</t>
  </si>
  <si>
    <t xml:space="preserve">f_yk </t>
  </si>
  <si>
    <t>mod factor = 7/leff</t>
  </si>
  <si>
    <t>assumption both connection is continuous; member is larger</t>
  </si>
  <si>
    <t>fig 5.4 ec2p.1-1</t>
  </si>
  <si>
    <t>7.4.2(2)</t>
  </si>
  <si>
    <t>rho&lt;=rho_0</t>
  </si>
  <si>
    <t>using eq. 7.16a</t>
  </si>
  <si>
    <t>N =</t>
  </si>
  <si>
    <t>basic effective depth to span ratio</t>
  </si>
  <si>
    <t>3.2.6</t>
  </si>
  <si>
    <t>CHECKS FOR INTERNAL AND END SPAN? See chapter</t>
  </si>
  <si>
    <t xml:space="preserve">F1 = </t>
  </si>
  <si>
    <t>flanged section</t>
  </si>
  <si>
    <t>F2 =</t>
  </si>
  <si>
    <t>NOT SURE WHY</t>
  </si>
  <si>
    <t>F3 = 310/sigma_y&lt;=1.5</t>
  </si>
  <si>
    <t>not following but just using exp 7.17</t>
  </si>
  <si>
    <t>allowable l/d =</t>
  </si>
  <si>
    <t>l/d actual &lt; allowable l/d</t>
  </si>
  <si>
    <t>CHECK FOR CRACKS??</t>
  </si>
  <si>
    <t xml:space="preserve">design life </t>
  </si>
  <si>
    <t xml:space="preserve">exposure class </t>
  </si>
  <si>
    <t>XC1</t>
  </si>
  <si>
    <t xml:space="preserve">Fire resistance </t>
  </si>
  <si>
    <t>1hr</t>
  </si>
  <si>
    <t>s3</t>
  </si>
  <si>
    <t>structural class for school</t>
  </si>
  <si>
    <t>c_min, b</t>
  </si>
  <si>
    <t>(81) Design of Short column to Eurocode 2/ Ethiopian standards 2 - YouTube</t>
  </si>
  <si>
    <t>table 4.4N</t>
  </si>
  <si>
    <t>c_min,dur</t>
  </si>
  <si>
    <t xml:space="preserve">assumed </t>
  </si>
  <si>
    <t>dia_link</t>
  </si>
  <si>
    <t>min fire cover (a_sd)</t>
  </si>
  <si>
    <t>dia_bar</t>
  </si>
  <si>
    <t>C_min,fire</t>
  </si>
  <si>
    <t>delta_C_dev</t>
  </si>
  <si>
    <t xml:space="preserve">C_min </t>
  </si>
  <si>
    <t>consider concrete fck=</t>
  </si>
  <si>
    <t>C_nom =</t>
  </si>
  <si>
    <t>d_2 =</t>
  </si>
  <si>
    <t>assume column size</t>
  </si>
  <si>
    <t>m^2</t>
  </si>
  <si>
    <t>design dead load from roof</t>
  </si>
  <si>
    <t>area corrisponding to loads distributed to column</t>
  </si>
  <si>
    <t>design live load from roof</t>
  </si>
  <si>
    <t>selfweight from roof  beam</t>
  </si>
  <si>
    <t>weight on roof</t>
  </si>
  <si>
    <t>assume .55*.45 m^2</t>
  </si>
  <si>
    <t>CAREFUL BEAM DIMENSION IS NOT FIT COLUMN, B,H OF COLUMN IS LESS THAN B,H OF BEAM</t>
  </si>
  <si>
    <t>selfweight from 1st floor column</t>
  </si>
  <si>
    <t>assumptions on slab</t>
  </si>
  <si>
    <t>rigid floor diaphragm</t>
  </si>
  <si>
    <t>checked from ec8</t>
  </si>
  <si>
    <t>considered load pattern, for max moment at alternating, and max axial load, therefore 2 load cases</t>
  </si>
  <si>
    <t>load case 1 max axial load, therefore max live load</t>
  </si>
  <si>
    <t>depth * unit weight of RC</t>
  </si>
  <si>
    <t>slab max axial load=</t>
  </si>
  <si>
    <t>beam dimension and self weight</t>
  </si>
  <si>
    <t>selfweight</t>
  </si>
  <si>
    <t>slab C-D/2-3</t>
  </si>
  <si>
    <t xml:space="preserve">total weight </t>
  </si>
  <si>
    <t>weight of walls acting on beams</t>
  </si>
  <si>
    <t>weight</t>
  </si>
  <si>
    <t>beam max axial load =</t>
  </si>
  <si>
    <t>class+office</t>
  </si>
  <si>
    <t>self weight of RC + finishing</t>
  </si>
  <si>
    <t>office</t>
  </si>
  <si>
    <t>max axial load on ground column C2</t>
  </si>
  <si>
    <t>WHERE DO MOMENTS IN COLUMNS COME FROM</t>
  </si>
  <si>
    <t xml:space="preserve">finding moment from </t>
  </si>
  <si>
    <t>moment form roof due to axial loading</t>
  </si>
  <si>
    <t>due to deflection… how?</t>
  </si>
  <si>
    <t xml:space="preserve">SHOULD I NOT HAVE CONSIDERED WIND? </t>
  </si>
  <si>
    <t>moment from roof due to laterial loading (note can go 2 dir, i.e. from front or back)</t>
  </si>
  <si>
    <t>AS CONNECTION IS FIXED?????</t>
  </si>
  <si>
    <t>roof node 2F</t>
  </si>
  <si>
    <t>/6 * dist</t>
  </si>
  <si>
    <t>1/f node 2F</t>
  </si>
  <si>
    <t>roof node C1</t>
  </si>
  <si>
    <t>/3 * dist</t>
  </si>
  <si>
    <t>1/f node C1</t>
  </si>
  <si>
    <t>take max on roof</t>
  </si>
  <si>
    <t>take max on 1/f</t>
  </si>
  <si>
    <t>assuming also alternating laoding max moment</t>
  </si>
  <si>
    <t>area on slab BC/23</t>
  </si>
  <si>
    <t>area on slab BC/12</t>
  </si>
  <si>
    <t>UDL on beam</t>
  </si>
  <si>
    <t>BC/2</t>
  </si>
  <si>
    <t>w F.S.</t>
  </si>
  <si>
    <t>C/1-2</t>
  </si>
  <si>
    <t>Take max for delta M</t>
  </si>
  <si>
    <t>L</t>
  </si>
  <si>
    <t>not the same as  l_0</t>
  </si>
  <si>
    <t>A_col</t>
  </si>
  <si>
    <t>I_col</t>
  </si>
  <si>
    <t>m4</t>
  </si>
  <si>
    <t>K_col=</t>
  </si>
  <si>
    <t>assume clearheight</t>
  </si>
  <si>
    <t>A_xx</t>
  </si>
  <si>
    <t>I_xx</t>
  </si>
  <si>
    <t>beam 5m</t>
  </si>
  <si>
    <t>K_b2</t>
  </si>
  <si>
    <t>beam BC/2</t>
  </si>
  <si>
    <t>delta M from beam af</t>
  </si>
  <si>
    <t>M in af dir</t>
  </si>
  <si>
    <t>A_yy</t>
  </si>
  <si>
    <t>I_yy</t>
  </si>
  <si>
    <t>beam 7.7m</t>
  </si>
  <si>
    <t>K_b1</t>
  </si>
  <si>
    <t>beam C/2-3</t>
  </si>
  <si>
    <t>delta M from beam 13</t>
  </si>
  <si>
    <t>M in 13 dir</t>
  </si>
  <si>
    <t>beam 9.825</t>
  </si>
  <si>
    <t>K_b3</t>
  </si>
  <si>
    <t>beam C/1-2</t>
  </si>
  <si>
    <t>take max</t>
  </si>
  <si>
    <t>M_top</t>
  </si>
  <si>
    <t>induced moment from wind, beam and roof</t>
  </si>
  <si>
    <t xml:space="preserve">M_bot </t>
  </si>
  <si>
    <t>induced moment from wind</t>
  </si>
  <si>
    <t>lamda =</t>
  </si>
  <si>
    <t>i_col</t>
  </si>
  <si>
    <t>lamda_lim</t>
  </si>
  <si>
    <t xml:space="preserve">fcd </t>
  </si>
  <si>
    <t>MPa</t>
  </si>
  <si>
    <t xml:space="preserve">k = </t>
  </si>
  <si>
    <t>&lt;=0.1</t>
  </si>
  <si>
    <t>take 0.1</t>
  </si>
  <si>
    <t>MAYBE WRONG HERE; but still take 0.1</t>
  </si>
  <si>
    <t>alpha_cc</t>
  </si>
  <si>
    <t>l_0 =</t>
  </si>
  <si>
    <t>landa&lt;lamda_lim</t>
  </si>
  <si>
    <t>thus, non slender</t>
  </si>
  <si>
    <t>rm =</t>
  </si>
  <si>
    <t>e_i =</t>
  </si>
  <si>
    <t>min e_i =</t>
  </si>
  <si>
    <t xml:space="preserve">&gt;= </t>
  </si>
  <si>
    <t>M_01</t>
  </si>
  <si>
    <t>used min e_i</t>
  </si>
  <si>
    <t>M_02</t>
  </si>
  <si>
    <t>M_Ed</t>
  </si>
  <si>
    <t>max of M_02, e_0*N_Ed</t>
  </si>
  <si>
    <t>e_0*N_Ed</t>
  </si>
  <si>
    <t>M_ed =</t>
  </si>
  <si>
    <t>see design chart</t>
  </si>
  <si>
    <t>d_2/h</t>
  </si>
  <si>
    <t>rounded up</t>
  </si>
  <si>
    <t>see chart</t>
  </si>
  <si>
    <t>Ned/bhfck</t>
  </si>
  <si>
    <t>Med/bh2fck</t>
  </si>
  <si>
    <t>Asfyk/bhfck</t>
  </si>
  <si>
    <t>from chart</t>
  </si>
  <si>
    <t xml:space="preserve">area as </t>
  </si>
  <si>
    <t>links</t>
  </si>
  <si>
    <t>diameter of breater of</t>
  </si>
  <si>
    <t xml:space="preserve">6 mm </t>
  </si>
  <si>
    <t>taking 6mm as link dia</t>
  </si>
  <si>
    <t>20*dia</t>
  </si>
  <si>
    <t>min(h,b)</t>
  </si>
  <si>
    <t xml:space="preserve">we get </t>
  </si>
  <si>
    <t>7H @ 300</t>
  </si>
  <si>
    <t>biaxial bending check?</t>
  </si>
  <si>
    <t>no</t>
  </si>
  <si>
    <t>see ex5.38</t>
  </si>
  <si>
    <t>relative eccentricities</t>
  </si>
  <si>
    <t>Ned =</t>
  </si>
  <si>
    <t>Med_y =</t>
  </si>
  <si>
    <t>same as Med_z, as they are simular and take worst case ??</t>
  </si>
  <si>
    <t>see ex5.38b</t>
  </si>
  <si>
    <t>check moment resistance MRd</t>
  </si>
  <si>
    <t>soil bearing cap</t>
  </si>
  <si>
    <t>rho_rc</t>
  </si>
  <si>
    <t>density of rc</t>
  </si>
  <si>
    <t>padding selfwieght =</t>
  </si>
  <si>
    <t>area from assumed</t>
  </si>
  <si>
    <t>assume is square with</t>
  </si>
  <si>
    <t>from column calculations + 1.35 * padding selfweight from below</t>
  </si>
  <si>
    <t>using 30/37 concrete</t>
  </si>
  <si>
    <t>fck=</t>
  </si>
  <si>
    <t>fyk =</t>
  </si>
  <si>
    <t>Mpa</t>
  </si>
  <si>
    <t>Bending reinforcement</t>
  </si>
  <si>
    <t>earth presure (P_s)</t>
  </si>
  <si>
    <t>service load</t>
  </si>
  <si>
    <t>Service load</t>
  </si>
  <si>
    <t>SERVICE LOAD</t>
  </si>
  <si>
    <t>NO FACTOR OF SAFETY</t>
  </si>
  <si>
    <t>char load including pad slefweight</t>
  </si>
  <si>
    <t>ult load or design load</t>
  </si>
  <si>
    <t>M_Ed =</t>
  </si>
  <si>
    <t>at column face</t>
  </si>
  <si>
    <t>kNm/m width of slab</t>
  </si>
  <si>
    <t>Design moment, M_Ed</t>
  </si>
  <si>
    <t>Ultimage moment (M_Rd)</t>
  </si>
  <si>
    <t xml:space="preserve">according to table a2, a9, and a10 of bs8110, cover c is </t>
  </si>
  <si>
    <t>following the docx</t>
  </si>
  <si>
    <t>assuming dia of reinf bar</t>
  </si>
  <si>
    <t>effective depth (d) =</t>
  </si>
  <si>
    <t>plan area of base req.:</t>
  </si>
  <si>
    <t>&gt; M_Ed</t>
  </si>
  <si>
    <t>Main steel</t>
  </si>
  <si>
    <t>K = M_Ed/F_ck*b*d^2</t>
  </si>
  <si>
    <t>z = d(0.5+(0.25-K/0.9)^(1/2))</t>
  </si>
  <si>
    <t>[-]</t>
  </si>
  <si>
    <t>&lt;= 0.95d</t>
  </si>
  <si>
    <t>, not using 0.95d</t>
  </si>
  <si>
    <t>A_s1 = M_Ed/0.87fykz</t>
  </si>
  <si>
    <t>mm^2/m</t>
  </si>
  <si>
    <t>check min steel area A_s,min</t>
  </si>
  <si>
    <t>NEED CHECKING IF IS 0.13%</t>
  </si>
  <si>
    <t>note that the P_s is lower than bearing cap, i.e. less than 175kN/m2</t>
  </si>
  <si>
    <t>cover</t>
  </si>
  <si>
    <t>GPT genreal rule of thumb, as h = L/10, not following</t>
  </si>
  <si>
    <t xml:space="preserve">trial depth </t>
  </si>
  <si>
    <t>does it seems too big to u??? Just a thought</t>
  </si>
  <si>
    <t>mm2 per m</t>
  </si>
  <si>
    <t>NOTE THAT THE MOMENT INDUCED BY COLUMN MAY NOT BE CONSIDERED? AS COLUMN AND PADDING IS FIXED JOINT?</t>
  </si>
  <si>
    <t>will need to update column for .4by.4</t>
  </si>
  <si>
    <t>p.99 ec2 p1-1</t>
  </si>
  <si>
    <t>check for transverse shear</t>
  </si>
  <si>
    <t>check for face shear</t>
  </si>
  <si>
    <t>50753-Cross_sectional_area_of_reinforcement_at_given_bar_spacing.pdf</t>
  </si>
  <si>
    <t>square size column</t>
  </si>
  <si>
    <t>assume column area m^2</t>
  </si>
  <si>
    <t>ASSUMING GROUND FLOOR WEIGHT DIRECTLY ON SOIL AND NOT ON FOUNDATION AND COLUMN</t>
  </si>
  <si>
    <t xml:space="preserve">p.31 of ref docx </t>
  </si>
  <si>
    <t>V_min =</t>
  </si>
  <si>
    <t>6.4.4 (1) -&gt; ex6.3N</t>
  </si>
  <si>
    <t xml:space="preserve">&lt;= </t>
  </si>
  <si>
    <t>2 mm</t>
  </si>
  <si>
    <t>ex6.50</t>
  </si>
  <si>
    <t>Pad Foundation Design Part 1.</t>
  </si>
  <si>
    <t>this vid is out of bound, using CSA code not EC2</t>
  </si>
  <si>
    <t>Punching shear design and verification according to Eurocode | Step-by-step tutorial</t>
  </si>
  <si>
    <t>ex 6.38 see important, note vid is w shear reinf, we don’t have shear reinf</t>
  </si>
  <si>
    <t xml:space="preserve">C_Rd,c = </t>
  </si>
  <si>
    <t>see n.a. 6.4.4(1)</t>
  </si>
  <si>
    <t xml:space="preserve">rho = </t>
  </si>
  <si>
    <t>mm2/m</t>
  </si>
  <si>
    <t>As/bd, where As taking 2690</t>
  </si>
  <si>
    <t>k_1 =</t>
  </si>
  <si>
    <t>sigma_cp =</t>
  </si>
  <si>
    <t>N/mm2</t>
  </si>
  <si>
    <t>CHECK (2 only) as column base</t>
  </si>
  <si>
    <t>check for punching shear, w no shear reinf, see 6.4.4 check (2)</t>
  </si>
  <si>
    <t>v_Rd = C_Rd,c * k * (100*rho*f_ck)^(1/3)*(2d/a)</t>
  </si>
  <si>
    <t>ex 6.49</t>
  </si>
  <si>
    <t>&gt;= min v_Rd = V_min *2d/a</t>
  </si>
  <si>
    <t>d =</t>
  </si>
  <si>
    <t>mm see above</t>
  </si>
  <si>
    <t>wtf is N_Edy and N_Edz, taking sigma as 0, NOT IMPORTANT, NOT USING IT</t>
  </si>
  <si>
    <t>a =</t>
  </si>
  <si>
    <t>IGNORE THIS NOT USING THIS</t>
  </si>
  <si>
    <t>see N.A 6.4.4(1)</t>
  </si>
  <si>
    <t>v_Ed = V_Ed,red/ud</t>
  </si>
  <si>
    <t>V_ED,red=</t>
  </si>
  <si>
    <t>V_Ed = delta V_Ed</t>
  </si>
  <si>
    <t>delta V_Ed = Ps * A</t>
  </si>
  <si>
    <t>V_Ed = N_Ed , I guess</t>
  </si>
  <si>
    <t xml:space="preserve">u = perimeter </t>
  </si>
  <si>
    <t xml:space="preserve">v_Ed = </t>
  </si>
  <si>
    <t xml:space="preserve">since </t>
  </si>
  <si>
    <t xml:space="preserve">V_Rd </t>
  </si>
  <si>
    <t>Punching Shear Design {Step-By-Step Guide} - Structural Basics</t>
  </si>
  <si>
    <t>under here: ULS Punching Shear Verification With Shear Reinforcement (EN 1992-1-1 6.4.5)</t>
  </si>
  <si>
    <t>punching shear reinf req… !!</t>
  </si>
  <si>
    <t xml:space="preserve">assuming shear reinf legs in radial dir </t>
  </si>
  <si>
    <t xml:space="preserve">n_p </t>
  </si>
  <si>
    <t>assuming radial spacing of perimeters of shear reinf</t>
  </si>
  <si>
    <t xml:space="preserve">s_r </t>
  </si>
  <si>
    <t>f_yk =</t>
  </si>
  <si>
    <t>f_yd =</t>
  </si>
  <si>
    <t>taking gamma = 1.15</t>
  </si>
  <si>
    <t>f_ywd.e f</t>
  </si>
  <si>
    <t xml:space="preserve">see equation and ref link </t>
  </si>
  <si>
    <t>beta = 1.15 internal column see N.A. 6.4.3(6)</t>
  </si>
  <si>
    <t>u_out = beta*V_Ed/(U_0 * d) &lt;= V_Rd,max</t>
  </si>
  <si>
    <t>u_0 = 2d</t>
  </si>
  <si>
    <t>IGNORE THIS PART</t>
  </si>
  <si>
    <t>&gt; V_Ed</t>
  </si>
  <si>
    <t>TAKING TRIAL AND ERROR, MOMENT AND SHEAR WONT HOLD!</t>
  </si>
  <si>
    <t>Face shear</t>
  </si>
  <si>
    <t>IMPORTANT!</t>
  </si>
  <si>
    <t xml:space="preserve">beta = </t>
  </si>
  <si>
    <t>see N.A. 6.4.3(6)</t>
  </si>
  <si>
    <t>u_i = 2d</t>
  </si>
  <si>
    <t>v_Ed = beta*V_Ed/(u_i*d)</t>
  </si>
  <si>
    <t>v_Ed =</t>
  </si>
  <si>
    <t>V_Ed=N_Ed</t>
  </si>
  <si>
    <t>Nmm-2</t>
  </si>
  <si>
    <t>WHY??</t>
  </si>
  <si>
    <t>ex 6.5?</t>
  </si>
  <si>
    <t>v_Rd,max = 0.5*v*f_cd</t>
  </si>
  <si>
    <t>v =</t>
  </si>
  <si>
    <t>0.6*(1-fck/250)</t>
  </si>
  <si>
    <t>ex6.6n</t>
  </si>
  <si>
    <t xml:space="preserve">f_cd = </t>
  </si>
  <si>
    <t>fck = 30, alpha_cc = 1, gamma_c = 1.5</t>
  </si>
  <si>
    <t>v_Rd,max=</t>
  </si>
  <si>
    <t xml:space="preserve">since v_Rd,max </t>
  </si>
  <si>
    <t>&gt; v_Ed</t>
  </si>
  <si>
    <t>Transverse shear</t>
  </si>
  <si>
    <t>and see cl 6.2.2?</t>
  </si>
  <si>
    <t>see cl6.2.1(8)</t>
  </si>
  <si>
    <t>Punching shear</t>
  </si>
  <si>
    <t>same concept as ex6.48</t>
  </si>
  <si>
    <t>V_Ed,red = V_Ed - delta V_Ed</t>
  </si>
  <si>
    <t>delta V_Ed =</t>
  </si>
  <si>
    <t xml:space="preserve">delta V_Ed = P_s * (A); wehre A = </t>
  </si>
  <si>
    <t>see diagram -&gt;</t>
  </si>
  <si>
    <t>N_Ed</t>
  </si>
  <si>
    <t>ultimage design moment M_Rd</t>
  </si>
  <si>
    <t>V_Ed,red=</t>
  </si>
  <si>
    <t>ex 6.54</t>
  </si>
  <si>
    <t>but why??</t>
  </si>
  <si>
    <t xml:space="preserve">v_Rd = </t>
  </si>
  <si>
    <t>v_Rd =</t>
  </si>
  <si>
    <t>see above calc.</t>
  </si>
  <si>
    <t>modified??</t>
  </si>
  <si>
    <t>V_Ed = V_Ed,red/(b*d) * v</t>
  </si>
  <si>
    <t>v_Ed = beta*V_Ed/(u_0*d)</t>
  </si>
  <si>
    <t>consider v = beta = 1.5, corner, see n.a. 6.4.3(6)</t>
  </si>
  <si>
    <t>shld smaller than</t>
  </si>
  <si>
    <t>v_Rd</t>
  </si>
  <si>
    <t>v_Ed</t>
  </si>
  <si>
    <t>FOR OPTIMIZE USE ONLY</t>
  </si>
  <si>
    <t>WORK AS CHECKER</t>
  </si>
  <si>
    <t>IM SURE THIS IS NOT OPTIMAL</t>
  </si>
  <si>
    <t>checker for V_Ed</t>
  </si>
  <si>
    <t xml:space="preserve">soil P_s </t>
  </si>
  <si>
    <t>soil cap</t>
  </si>
  <si>
    <t>and should smaller than 7.2/2, see frame layout</t>
  </si>
  <si>
    <t>v_Rd &gt; v_Ed</t>
  </si>
  <si>
    <t>CAREFUL!!</t>
  </si>
  <si>
    <t>given on instruction</t>
  </si>
  <si>
    <t>Table of concrete design properties (fcd, fctm, Ecm, fctd) - Eurocode 2</t>
  </si>
  <si>
    <t>using H20@75 (4187mm2/m)</t>
  </si>
  <si>
    <t>for beams, but as well as rule of thumb?</t>
  </si>
  <si>
    <t xml:space="preserve"> Note max is 3.85m as in frame dist of column is 7.7, else gonna be like "group piles"</t>
  </si>
  <si>
    <t>hence if not the area here will be much larger then area of base actually is, they will overlap</t>
  </si>
  <si>
    <t xml:space="preserve">spacing of link shount exceed lesser of </t>
  </si>
  <si>
    <t>&amp;, 1/4*dia</t>
  </si>
  <si>
    <t>lamda/lamda = 1</t>
  </si>
  <si>
    <t>NEED MORE CHECK ON AXIAL LOADING AND MOMENT AND SEE IF IT FITS, but in accordance to  cl 5.8.8.3(3) no more checks?</t>
  </si>
  <si>
    <t>since condition e) on fig 5.7 ec2p1-1, L = l ??</t>
  </si>
  <si>
    <t>archive, this value useless</t>
  </si>
  <si>
    <t>moment from beam fix joint, LIVE LOAD ALGERNATING!!</t>
  </si>
  <si>
    <t>Finding  area…</t>
  </si>
  <si>
    <t>https://chatgpt.com/share/671f4ff4-92e8-8009-8daf-a607a6d60a5f</t>
  </si>
  <si>
    <t>NEED CHECKING??!! But o1 agrees</t>
  </si>
  <si>
    <t>j superposition my guess</t>
  </si>
  <si>
    <t>Taking max, thus is in 13 direction!!</t>
  </si>
  <si>
    <t>in af direction</t>
  </si>
  <si>
    <t>For design only, loading from wind not consistant</t>
  </si>
  <si>
    <t>FOR CALCULATION IN e_z AND e_y</t>
  </si>
  <si>
    <t>ez/heq =</t>
  </si>
  <si>
    <t>ey/beq=</t>
  </si>
  <si>
    <t>not &lt;= 0.2</t>
  </si>
  <si>
    <t>need check for eccentricities</t>
  </si>
  <si>
    <t>M_Rd =</t>
  </si>
  <si>
    <t>THESE VALUES NOT USED</t>
  </si>
  <si>
    <t>M_Rd /bh2fck ~</t>
  </si>
  <si>
    <t xml:space="preserve">FOR CHECKING ECCENTRICITIES </t>
  </si>
  <si>
    <t>FOR CHECKING ECCENTRICITIES</t>
  </si>
  <si>
    <t>NOT FOUND ON CHART</t>
  </si>
  <si>
    <t>in code: rho_min = A_s,min/A_c &gt;= 0.002</t>
  </si>
  <si>
    <t>hence</t>
  </si>
  <si>
    <t>Not found</t>
  </si>
  <si>
    <t>4H12</t>
  </si>
  <si>
    <t>USING THIS AS A_s,min</t>
  </si>
  <si>
    <t>&gt; M_Ed =</t>
  </si>
  <si>
    <t xml:space="preserve">Finding exponent alpha </t>
  </si>
  <si>
    <t>N_Rd = A_c*f_cd + A_s*f_yd</t>
  </si>
  <si>
    <t>N_Ed/N_Rd</t>
  </si>
  <si>
    <t>considered as 0.7</t>
  </si>
  <si>
    <t>alpha =</t>
  </si>
  <si>
    <t>see ex5.39</t>
  </si>
  <si>
    <t>&lt;=1</t>
  </si>
  <si>
    <t>NO VALUE HERE CUZ NO VALUE IN CHART</t>
  </si>
  <si>
    <t>SEE rho_min = A_s,min/A_c &gt;=0.002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</si>
</sst>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3" tint="9.9978637043366805E-2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0" borderId="0" xfId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1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ont="1" applyFill="1"/>
    <xf numFmtId="0" fontId="6" fillId="5" borderId="0" xfId="0" applyFont="1" applyFill="1"/>
    <xf numFmtId="0" fontId="7" fillId="5" borderId="0" xfId="1" applyFont="1" applyFill="1"/>
    <xf numFmtId="0" fontId="6" fillId="0" borderId="0" xfId="0" applyFont="1"/>
    <xf numFmtId="0" fontId="6" fillId="2" borderId="0" xfId="0" applyFont="1" applyFill="1"/>
    <xf numFmtId="0" fontId="8" fillId="2" borderId="0" xfId="0" applyFont="1" applyFill="1"/>
    <xf numFmtId="0" fontId="0" fillId="6" borderId="0" xfId="0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646409</xdr:colOff>
      <xdr:row>46</xdr:row>
      <xdr:rowOff>173934</xdr:rowOff>
    </xdr:from>
    <xdr:to>
      <xdr:col>12</xdr:col>
      <xdr:colOff>478576</xdr:colOff>
      <xdr:row>56</xdr:row>
      <xdr:rowOff>46864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BAC6A-73E9-4134-9F75-27F04A36A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95" y="8686563"/>
          <a:ext cx="3261167" cy="1723501"/>
        </a:xfrm>
        <a:prstGeom prst="rect">
          <a:avLst/>
        </a:prstGeom>
      </xdr:spPr>
    </xdr:pic>
    <xdr:clientData/>
  </xdr:twoCellAnchor>
  <xdr:twoCellAnchor editAs="oneCell">
    <xdr:from>
      <xdr:col>7</xdr:col>
      <xdr:colOff>361714</xdr:colOff>
      <xdr:row>59</xdr:row>
      <xdr:rowOff>99510</xdr:rowOff>
    </xdr:from>
    <xdr:to>
      <xdr:col>10</xdr:col>
      <xdr:colOff>582234</xdr:colOff>
      <xdr:row>69</xdr:row>
      <xdr:rowOff>145020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1BBF67-D89E-4C54-877B-57A1EB297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3200" y="11017881"/>
          <a:ext cx="2343234" cy="1896082"/>
        </a:xfrm>
        <a:prstGeom prst="rect">
          <a:avLst/>
        </a:prstGeom>
      </xdr:spPr>
    </xdr:pic>
    <xdr:clientData/>
  </xdr:twoCellAnchor>
  <xdr:twoCellAnchor editAs="oneCell">
    <xdr:from>
      <xdr:col>7</xdr:col>
      <xdr:colOff>251197</xdr:colOff>
      <xdr:row>70</xdr:row>
      <xdr:rowOff>28931</xdr:rowOff>
    </xdr:from>
    <xdr:to>
      <xdr:col>10</xdr:col>
      <xdr:colOff>437201</xdr:colOff>
      <xdr:row>80</xdr:row>
      <xdr:rowOff>45614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D2DB7D-00E5-4FDD-946E-97FF1DA6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2683" y="12982931"/>
          <a:ext cx="2308718" cy="1867254"/>
        </a:xfrm>
        <a:prstGeom prst="rect">
          <a:avLst/>
        </a:prstGeom>
      </xdr:spPr>
    </xdr:pic>
    <xdr:clientData/>
  </xdr:twoCellAnchor>
  <xdr:twoCellAnchor editAs="oneCell">
    <xdr:from>
      <xdr:col>9</xdr:col>
      <xdr:colOff>509608</xdr:colOff>
      <xdr:row>81</xdr:row>
      <xdr:rowOff>78744</xdr:rowOff>
    </xdr:from>
    <xdr:to>
      <xdr:col>13</xdr:col>
      <xdr:colOff>362399</xdr:colOff>
      <xdr:row>92</xdr:row>
      <xdr:rowOff>38566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1EF6D9-6F64-403F-AB7C-63710F936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90665" y="15068373"/>
          <a:ext cx="2465363" cy="1995450"/>
        </a:xfrm>
        <a:prstGeom prst="rect">
          <a:avLst/>
        </a:prstGeom>
      </xdr:spPr>
    </xdr:pic>
    <xdr:clientData/>
  </xdr:twoCellAnchor>
  <xdr:twoCellAnchor editAs="oneCell">
    <xdr:from>
      <xdr:col>7</xdr:col>
      <xdr:colOff>375556</xdr:colOff>
      <xdr:row>93</xdr:row>
      <xdr:rowOff>124121</xdr:rowOff>
    </xdr:from>
    <xdr:to>
      <xdr:col>10</xdr:col>
      <xdr:colOff>564287</xdr:colOff>
      <xdr:row>103</xdr:row>
      <xdr:rowOff>143731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D13BEE-3EAA-4ADE-B90D-E04BE064B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7042" y="17334435"/>
          <a:ext cx="2311445" cy="1870182"/>
        </a:xfrm>
        <a:prstGeom prst="rect">
          <a:avLst/>
        </a:prstGeom>
      </xdr:spPr>
    </xdr:pic>
    <xdr:clientData/>
  </xdr:twoCellAnchor>
  <xdr:twoCellAnchor editAs="oneCell">
    <xdr:from>
      <xdr:col>8</xdr:col>
      <xdr:colOff>430695</xdr:colOff>
      <xdr:row>29</xdr:row>
      <xdr:rowOff>74543</xdr:rowOff>
    </xdr:from>
    <xdr:to>
      <xdr:col>12</xdr:col>
      <xdr:colOff>284883</xdr:colOff>
      <xdr:row>41</xdr:row>
      <xdr:rowOff>20228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A207FC-32A2-4F45-B203-23BF45E0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95324" y="5441200"/>
          <a:ext cx="2630045" cy="2166371"/>
        </a:xfrm>
        <a:prstGeom prst="rect">
          <a:avLst/>
        </a:prstGeom>
      </xdr:spPr>
    </xdr:pic>
    <xdr:clientData/>
  </xdr:twoCellAnchor>
  <xdr:twoCellAnchor editAs="oneCell">
    <xdr:from>
      <xdr:col>17</xdr:col>
      <xdr:colOff>237357</xdr:colOff>
      <xdr:row>134</xdr:row>
      <xdr:rowOff>160210</xdr:rowOff>
    </xdr:from>
    <xdr:to>
      <xdr:col>21</xdr:col>
      <xdr:colOff>249027</xdr:colOff>
      <xdr:row>146</xdr:row>
      <xdr:rowOff>114004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4DF14C-31E1-4F9C-8FA5-7055A1068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43557" y="24957867"/>
          <a:ext cx="2624241" cy="2174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150844</xdr:colOff>
      <xdr:row>50</xdr:row>
      <xdr:rowOff>20605</xdr:rowOff>
    </xdr:from>
    <xdr:to>
      <xdr:col>19</xdr:col>
      <xdr:colOff>77723</xdr:colOff>
      <xdr:row>61</xdr:row>
      <xdr:rowOff>124453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48CE57-8F57-4F0C-A49D-7DBEEB45A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3044" y="9273462"/>
          <a:ext cx="2539450" cy="2140866"/>
        </a:xfrm>
        <a:prstGeom prst="rect">
          <a:avLst/>
        </a:prstGeom>
      </xdr:spPr>
    </xdr:pic>
    <xdr:clientData/>
  </xdr:twoCellAnchor>
  <xdr:twoCellAnchor editAs="oneCell">
    <xdr:from>
      <xdr:col>10</xdr:col>
      <xdr:colOff>234039</xdr:colOff>
      <xdr:row>66</xdr:row>
      <xdr:rowOff>37728</xdr:rowOff>
    </xdr:from>
    <xdr:to>
      <xdr:col>15</xdr:col>
      <xdr:colOff>285912</xdr:colOff>
      <xdr:row>75</xdr:row>
      <xdr:rowOff>171540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342F7C3-88C7-4FEA-ADEC-F27DB012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0525" y="12251499"/>
          <a:ext cx="3320309" cy="1802048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119743</xdr:colOff>
      <xdr:row>67</xdr:row>
      <xdr:rowOff>21225</xdr:rowOff>
    </xdr:from>
    <xdr:to>
      <xdr:col>10</xdr:col>
      <xdr:colOff>444993</xdr:colOff>
      <xdr:row>73</xdr:row>
      <xdr:rowOff>141359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1834412-B092-4361-B1A0-B8FF2C3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2420054"/>
          <a:ext cx="2288733" cy="1234530"/>
        </a:xfrm>
        <a:prstGeom prst="rect">
          <a:avLst/>
        </a:prstGeom>
      </xdr:spPr>
    </xdr:pic>
    <xdr:clientData/>
  </xdr:twoCellAnchor>
  <xdr:twoCellAnchor editAs="oneCell">
    <xdr:from>
      <xdr:col>9</xdr:col>
      <xdr:colOff>157202</xdr:colOff>
      <xdr:row>74</xdr:row>
      <xdr:rowOff>57951</xdr:rowOff>
    </xdr:from>
    <xdr:to>
      <xdr:col>13</xdr:col>
      <xdr:colOff>107084</xdr:colOff>
      <xdr:row>82</xdr:row>
      <xdr:rowOff>113723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6B98E6-DA57-4AEE-B06F-D78D0275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1186" y="13799564"/>
          <a:ext cx="2562431" cy="15413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41504</xdr:rowOff>
    </xdr:from>
    <xdr:to>
      <xdr:col>6</xdr:col>
      <xdr:colOff>183173</xdr:colOff>
      <xdr:row>83</xdr:row>
      <xdr:rowOff>65337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3F3BB75-115F-4DAB-9833-AA18C6204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221"/>
        <a:stretch/>
      </xdr:blipFill>
      <xdr:spPr>
        <a:xfrm>
          <a:off x="2797629" y="14290904"/>
          <a:ext cx="1489436" cy="1139597"/>
        </a:xfrm>
        <a:prstGeom prst="rect">
          <a:avLst/>
        </a:prstGeom>
      </xdr:spPr>
    </xdr:pic>
    <xdr:clientData/>
  </xdr:twoCellAnchor>
  <xdr:twoCellAnchor editAs="oneCell">
    <xdr:from>
      <xdr:col>6</xdr:col>
      <xdr:colOff>293593</xdr:colOff>
      <xdr:row>82</xdr:row>
      <xdr:rowOff>90528</xdr:rowOff>
    </xdr:from>
    <xdr:to>
      <xdr:col>8</xdr:col>
      <xdr:colOff>629867</xdr:colOff>
      <xdr:row>88</xdr:row>
      <xdr:rowOff>8824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9D4376-B3FD-4E6A-B360-CD9FC2158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98147" y="15317721"/>
          <a:ext cx="1642559" cy="1032503"/>
        </a:xfrm>
        <a:prstGeom prst="rect">
          <a:avLst/>
        </a:prstGeom>
      </xdr:spPr>
    </xdr:pic>
    <xdr:clientData/>
  </xdr:twoCellAnchor>
  <xdr:twoCellAnchor editAs="oneCell">
    <xdr:from>
      <xdr:col>14</xdr:col>
      <xdr:colOff>239486</xdr:colOff>
      <xdr:row>79</xdr:row>
      <xdr:rowOff>103415</xdr:rowOff>
    </xdr:from>
    <xdr:to>
      <xdr:col>19</xdr:col>
      <xdr:colOff>95399</xdr:colOff>
      <xdr:row>85</xdr:row>
      <xdr:rowOff>104329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33705FB-536D-454E-9039-8EA268857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68543" y="14722929"/>
          <a:ext cx="3118906" cy="1109868"/>
        </a:xfrm>
        <a:prstGeom prst="rect">
          <a:avLst/>
        </a:prstGeom>
      </xdr:spPr>
    </xdr:pic>
    <xdr:clientData/>
  </xdr:twoCellAnchor>
  <xdr:twoCellAnchor editAs="oneCell">
    <xdr:from>
      <xdr:col>10</xdr:col>
      <xdr:colOff>493938</xdr:colOff>
      <xdr:row>103</xdr:row>
      <xdr:rowOff>83684</xdr:rowOff>
    </xdr:from>
    <xdr:to>
      <xdr:col>19</xdr:col>
      <xdr:colOff>274178</xdr:colOff>
      <xdr:row>124</xdr:row>
      <xdr:rowOff>16396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2BA75C-A416-9020-059B-6DABB8BC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85263" y="18724109"/>
          <a:ext cx="5697993" cy="3733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466443</xdr:colOff>
      <xdr:row>23</xdr:row>
      <xdr:rowOff>5444</xdr:rowOff>
    </xdr:from>
    <xdr:ext cx="1438704" cy="674913"/>
    <xdr:pic>
      <xdr:nvPicPr>
        <xdr:cNvPr id="2" name="Picture 1">
          <a:extLst>
            <a:ext uri="{FF2B5EF4-FFF2-40B4-BE49-F238E27FC236}">
              <a16:creationId xmlns:a16="http://schemas.microsoft.com/office/drawing/2014/main" id="{220F98E9-F442-C04F-D1DE-E740A6ACC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7786" y="4261758"/>
          <a:ext cx="1438704" cy="674913"/>
        </a:xfrm>
        <a:prstGeom prst="rect">
          <a:avLst/>
        </a:prstGeom>
      </xdr:spPr>
    </xdr:pic>
    <xdr:clientData/>
  </xdr:oneCellAnchor>
  <xdr:twoCellAnchor editAs="oneCell">
    <xdr:from>
      <xdr:col>11</xdr:col>
      <xdr:colOff>471092</xdr:colOff>
      <xdr:row>46</xdr:row>
      <xdr:rowOff>12246</xdr:rowOff>
    </xdr:from>
    <xdr:to>
      <xdr:col>15</xdr:col>
      <xdr:colOff>232776</xdr:colOff>
      <xdr:row>56</xdr:row>
      <xdr:rowOff>92550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9F3A02-2AEE-F2B5-3C2E-D35BDFD8B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0078" y="8524875"/>
          <a:ext cx="2374255" cy="1930875"/>
        </a:xfrm>
        <a:prstGeom prst="rect">
          <a:avLst/>
        </a:prstGeom>
      </xdr:spPr>
    </xdr:pic>
    <xdr:clientData/>
  </xdr:twoCellAnchor>
  <xdr:twoCellAnchor editAs="oneCell">
    <xdr:from>
      <xdr:col>6</xdr:col>
      <xdr:colOff>261364</xdr:colOff>
      <xdr:row>99</xdr:row>
      <xdr:rowOff>114301</xdr:rowOff>
    </xdr:from>
    <xdr:to>
      <xdr:col>9</xdr:col>
      <xdr:colOff>27288</xdr:colOff>
      <xdr:row>105</xdr:row>
      <xdr:rowOff>103415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EC4B39-C285-190B-70CB-E95EAA6D8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4635" y="18434958"/>
          <a:ext cx="1725353" cy="1099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rspreadsheets.co.uk/reinforcement-areas-and-weights.html" TargetMode="External"/><Relationship Id="rId3" Type="http://schemas.openxmlformats.org/officeDocument/2006/relationships/hyperlink" Target="https://www.youtube.com/watch?v=J6wdbLtJLiQ&amp;ab_channel=StructuralAnalysisSilvinoGomesS.G" TargetMode="External"/><Relationship Id="rId7" Type="http://schemas.openxmlformats.org/officeDocument/2006/relationships/hyperlink" Target="mailto:H10@150" TargetMode="External"/><Relationship Id="rId2" Type="http://schemas.openxmlformats.org/officeDocument/2006/relationships/hyperlink" Target="https://www.youtube.com/watch?app=desktop&amp;v=aG7EHroHu-M&amp;ab_channel=EverythingCivil" TargetMode="External"/><Relationship Id="rId1" Type="http://schemas.openxmlformats.org/officeDocument/2006/relationships/hyperlink" Target="https://www.youtube.com/watch?app=desktop&amp;v=KiX4fmk7DVw&amp;ab_channel=ANISAZMI" TargetMode="External"/><Relationship Id="rId6" Type="http://schemas.openxmlformats.org/officeDocument/2006/relationships/hyperlink" Target="mailto:H10@100" TargetMode="External"/><Relationship Id="rId5" Type="http://schemas.openxmlformats.org/officeDocument/2006/relationships/hyperlink" Target="mailto:H10@125" TargetMode="External"/><Relationship Id="rId4" Type="http://schemas.openxmlformats.org/officeDocument/2006/relationships/hyperlink" Target="mailto:H10@75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youtube.com/watch?app=desktop&amp;v=V2_VIDUL3zo&amp;ab_channel=ProkonGeek%28CivilEngineering%29" TargetMode="External"/><Relationship Id="rId1" Type="http://schemas.openxmlformats.org/officeDocument/2006/relationships/hyperlink" Target="https://www.youtube.com/watch?v=nV4LFyLOoak&amp;ab_channel=Civiltim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Uo9yVvPrtIo&amp;ab_channel=StructuralBasics" TargetMode="External"/><Relationship Id="rId2" Type="http://schemas.openxmlformats.org/officeDocument/2006/relationships/hyperlink" Target="https://www.youtube.com/watch?v=GeJX8eLWFDA&amp;t=33s&amp;ab_channel=StructuralEngineerCalcs" TargetMode="External"/><Relationship Id="rId1" Type="http://schemas.openxmlformats.org/officeDocument/2006/relationships/hyperlink" Target="https://www.betonstaal.nl/media/50753-Cross_sectional_area_of_reinforcement_at_given_bar_spacing.pdf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eurocodeapplied.com/design/en1992/concrete-design-properties" TargetMode="External"/><Relationship Id="rId4" Type="http://schemas.openxmlformats.org/officeDocument/2006/relationships/hyperlink" Target="https://www.structuralbasics.com/punching-she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E24E-ECB2-4422-B0FB-B3F5C0DE939F}">
  <dimension ref="A1:XFA247"/>
  <sheetViews>
    <sheetView topLeftCell="A52" workbookViewId="0">
      <selection activeCell="E70" sqref="E70"/>
    </sheetView>
  </sheetViews>
  <sheetFormatPr defaultRowHeight="14.6" x14ac:dyDescent="0.4"/>
  <cols>
    <col min="5" max="5" width="12.61328125" bestFit="1" customWidth="1"/>
    <col min="9" max="9" width="11.53515625" bestFit="1" customWidth="1"/>
  </cols>
  <sheetData>
    <row r="1" spans="1:13" x14ac:dyDescent="0.4">
      <c r="A1" s="1"/>
      <c r="B1" s="1"/>
      <c r="C1" s="1"/>
      <c r="D1" s="1"/>
      <c r="E1" s="1"/>
      <c r="F1" s="1"/>
      <c r="G1" s="1"/>
      <c r="H1" t="s">
        <v>0</v>
      </c>
      <c r="M1" s="2" t="s">
        <v>1</v>
      </c>
    </row>
    <row r="2" spans="1:13" x14ac:dyDescent="0.4">
      <c r="A2" t="s">
        <v>2</v>
      </c>
      <c r="B2">
        <v>50</v>
      </c>
    </row>
    <row r="3" spans="1:13" x14ac:dyDescent="0.4">
      <c r="A3" s="3" t="s">
        <v>3</v>
      </c>
      <c r="B3" t="s">
        <v>4</v>
      </c>
      <c r="D3" s="1">
        <v>25</v>
      </c>
      <c r="E3" t="s">
        <v>5</v>
      </c>
      <c r="G3" t="s">
        <v>6</v>
      </c>
      <c r="M3" s="2" t="s">
        <v>7</v>
      </c>
    </row>
    <row r="4" spans="1:13" x14ac:dyDescent="0.4">
      <c r="G4" t="s">
        <v>8</v>
      </c>
      <c r="K4" t="s">
        <v>9</v>
      </c>
    </row>
    <row r="6" spans="1:13" x14ac:dyDescent="0.4">
      <c r="A6" t="s">
        <v>10</v>
      </c>
    </row>
    <row r="7" spans="1:13" x14ac:dyDescent="0.4">
      <c r="B7" t="s">
        <v>11</v>
      </c>
      <c r="D7">
        <v>20</v>
      </c>
      <c r="E7" t="s">
        <v>5</v>
      </c>
      <c r="F7" t="s">
        <v>12</v>
      </c>
      <c r="G7" t="s">
        <v>13</v>
      </c>
    </row>
    <row r="8" spans="1:13" x14ac:dyDescent="0.4">
      <c r="G8" t="s">
        <v>14</v>
      </c>
      <c r="J8" t="s">
        <v>15</v>
      </c>
    </row>
    <row r="9" spans="1:13" x14ac:dyDescent="0.4">
      <c r="A9" t="s">
        <v>16</v>
      </c>
    </row>
    <row r="10" spans="1:13" x14ac:dyDescent="0.4">
      <c r="B10" t="s">
        <v>17</v>
      </c>
      <c r="D10" t="s">
        <v>18</v>
      </c>
      <c r="G10" t="s">
        <v>19</v>
      </c>
      <c r="J10" t="s">
        <v>20</v>
      </c>
      <c r="L10" t="s">
        <v>21</v>
      </c>
    </row>
    <row r="12" spans="1:13" x14ac:dyDescent="0.4">
      <c r="A12" s="1"/>
      <c r="B12" s="1"/>
      <c r="C12" s="1"/>
      <c r="D12" s="1"/>
      <c r="E12" s="1"/>
      <c r="F12" s="1"/>
      <c r="G12" s="1"/>
      <c r="H12" t="s">
        <v>22</v>
      </c>
    </row>
    <row r="13" spans="1:13" x14ac:dyDescent="0.4">
      <c r="A13" t="s">
        <v>23</v>
      </c>
    </row>
    <row r="14" spans="1:13" x14ac:dyDescent="0.4">
      <c r="J14" s="4"/>
    </row>
    <row r="15" spans="1:13" x14ac:dyDescent="0.4">
      <c r="A15" s="3" t="s">
        <v>24</v>
      </c>
      <c r="D15" s="1">
        <v>1.75</v>
      </c>
      <c r="E15" t="s">
        <v>25</v>
      </c>
      <c r="G15" t="s">
        <v>26</v>
      </c>
    </row>
    <row r="17" spans="1:1021 1025:2045 2049:3069 3073:4093 4097:5117 5121:6141 6145:7165 7169:8189 8193:9213 9217:10237 10241:11261 11265:12285 12289:13309 13313:14333 14337:15357 15361:16381" x14ac:dyDescent="0.4">
      <c r="A17" s="3" t="s">
        <v>27</v>
      </c>
      <c r="D17">
        <v>3</v>
      </c>
      <c r="E17" t="s">
        <v>25</v>
      </c>
      <c r="G17" t="s">
        <v>26</v>
      </c>
    </row>
    <row r="18" spans="1:1021 1025:2045 2049:3069 3073:4093 4097:5117 5121:6141 6145:7165 7169:8189 8193:9213 9217:10237 10241:11261 11265:12285 12289:13309 13313:14333 14337:15357 15361:16381" x14ac:dyDescent="0.4">
      <c r="A18" s="3"/>
      <c r="B18" t="s">
        <v>28</v>
      </c>
      <c r="C18">
        <v>3.5</v>
      </c>
      <c r="D18" t="s">
        <v>29</v>
      </c>
    </row>
    <row r="19" spans="1:1021 1025:2045 2049:3069 3073:4093 4097:5117 5121:6141 6145:7165 7169:8189 8193:9213 9217:10237 10241:11261 11265:12285 12289:13309 13313:14333 14337:15357 15361:16381" x14ac:dyDescent="0.4">
      <c r="A19" s="3"/>
      <c r="B19" t="s">
        <v>30</v>
      </c>
      <c r="D19" s="1">
        <f>C18*D17</f>
        <v>10.5</v>
      </c>
      <c r="E19" t="s">
        <v>31</v>
      </c>
    </row>
    <row r="21" spans="1:1021 1025:2045 2049:3069 3073:4093 4097:5117 5121:6141 6145:7165 7169:8189 8193:9213 9217:10237 10241:11261 11265:12285 12289:13309 13313:14333 14337:15357 15361:16381" x14ac:dyDescent="0.4">
      <c r="A21" s="3" t="s">
        <v>32</v>
      </c>
      <c r="D21">
        <v>1.25</v>
      </c>
      <c r="E21" t="s">
        <v>25</v>
      </c>
      <c r="G21" t="s">
        <v>26</v>
      </c>
      <c r="I21" s="3" t="s">
        <v>33</v>
      </c>
    </row>
    <row r="22" spans="1:1021 1025:2045 2049:3069 3073:4093 4097:5117 5121:6141 6145:7165 7169:8189 8193:9213 9217:10237 10241:11261 11265:12285 12289:13309 13313:14333 14337:15357 15361:16381" x14ac:dyDescent="0.4">
      <c r="A22" s="3"/>
      <c r="B22" t="s">
        <v>28</v>
      </c>
      <c r="C22">
        <v>3.5</v>
      </c>
      <c r="D22" t="s">
        <v>29</v>
      </c>
      <c r="E22" s="3"/>
      <c r="I22" s="3"/>
      <c r="M22" s="3"/>
      <c r="Q22" s="3"/>
      <c r="U22" s="3"/>
      <c r="Y22" s="3"/>
      <c r="AC22" s="3"/>
      <c r="AG22" s="3"/>
      <c r="AK22" s="3"/>
      <c r="AO22" s="3"/>
      <c r="AS22" s="3"/>
      <c r="AW22" s="3"/>
      <c r="BA22" s="3"/>
      <c r="BE22" s="3"/>
      <c r="BI22" s="3"/>
      <c r="BM22" s="3"/>
      <c r="BQ22" s="3"/>
      <c r="BU22" s="3"/>
      <c r="BY22" s="3"/>
      <c r="CC22" s="3"/>
      <c r="CG22" s="3"/>
      <c r="CK22" s="3"/>
      <c r="CO22" s="3"/>
      <c r="CS22" s="3"/>
      <c r="CW22" s="3"/>
      <c r="DA22" s="3"/>
      <c r="DE22" s="3"/>
      <c r="DI22" s="3"/>
      <c r="DM22" s="3"/>
      <c r="DQ22" s="3"/>
      <c r="DU22" s="3"/>
      <c r="DY22" s="3"/>
      <c r="EC22" s="3"/>
      <c r="EG22" s="3"/>
      <c r="EK22" s="3"/>
      <c r="EO22" s="3"/>
      <c r="ES22" s="3"/>
      <c r="EW22" s="3"/>
      <c r="FA22" s="3"/>
      <c r="FE22" s="3"/>
      <c r="FI22" s="3"/>
      <c r="FM22" s="3"/>
      <c r="FQ22" s="3"/>
      <c r="FU22" s="3"/>
      <c r="FY22" s="3"/>
      <c r="GC22" s="3"/>
      <c r="GG22" s="3"/>
      <c r="GK22" s="3"/>
      <c r="GO22" s="3"/>
      <c r="GS22" s="3"/>
      <c r="GW22" s="3"/>
      <c r="HA22" s="3"/>
      <c r="HE22" s="3"/>
      <c r="HI22" s="3"/>
      <c r="HM22" s="3"/>
      <c r="HQ22" s="3"/>
      <c r="HU22" s="3"/>
      <c r="HY22" s="3"/>
      <c r="IC22" s="3"/>
      <c r="IG22" s="3"/>
      <c r="IK22" s="3"/>
      <c r="IO22" s="3"/>
      <c r="IS22" s="3"/>
      <c r="IW22" s="3"/>
      <c r="JA22" s="3"/>
      <c r="JE22" s="3"/>
      <c r="JI22" s="3"/>
      <c r="JM22" s="3"/>
      <c r="JQ22" s="3"/>
      <c r="JU22" s="3"/>
      <c r="JY22" s="3"/>
      <c r="KC22" s="3"/>
      <c r="KG22" s="3"/>
      <c r="KK22" s="3"/>
      <c r="KO22" s="3"/>
      <c r="KS22" s="3"/>
      <c r="KW22" s="3"/>
      <c r="LA22" s="3"/>
      <c r="LE22" s="3"/>
      <c r="LI22" s="3"/>
      <c r="LM22" s="3"/>
      <c r="LQ22" s="3"/>
      <c r="LU22" s="3"/>
      <c r="LY22" s="3"/>
      <c r="MC22" s="3"/>
      <c r="MG22" s="3"/>
      <c r="MK22" s="3"/>
      <c r="MO22" s="3"/>
      <c r="MS22" s="3"/>
      <c r="MW22" s="3"/>
      <c r="NA22" s="3"/>
      <c r="NE22" s="3"/>
      <c r="NI22" s="3"/>
      <c r="NM22" s="3"/>
      <c r="NQ22" s="3"/>
      <c r="NU22" s="3"/>
      <c r="NY22" s="3"/>
      <c r="OC22" s="3"/>
      <c r="OG22" s="3"/>
      <c r="OK22" s="3"/>
      <c r="OO22" s="3"/>
      <c r="OS22" s="3"/>
      <c r="OW22" s="3"/>
      <c r="PA22" s="3"/>
      <c r="PE22" s="3"/>
      <c r="PI22" s="3"/>
      <c r="PM22" s="3"/>
      <c r="PQ22" s="3"/>
      <c r="PU22" s="3"/>
      <c r="PY22" s="3"/>
      <c r="QC22" s="3"/>
      <c r="QG22" s="3"/>
      <c r="QK22" s="3"/>
      <c r="QO22" s="3"/>
      <c r="QS22" s="3"/>
      <c r="QW22" s="3"/>
      <c r="RA22" s="3"/>
      <c r="RE22" s="3"/>
      <c r="RI22" s="3"/>
      <c r="RM22" s="3"/>
      <c r="RQ22" s="3"/>
      <c r="RU22" s="3"/>
      <c r="RY22" s="3"/>
      <c r="SC22" s="3"/>
      <c r="SG22" s="3"/>
      <c r="SK22" s="3"/>
      <c r="SO22" s="3"/>
      <c r="SS22" s="3"/>
      <c r="SW22" s="3"/>
      <c r="TA22" s="3"/>
      <c r="TE22" s="3"/>
      <c r="TI22" s="3"/>
      <c r="TM22" s="3"/>
      <c r="TQ22" s="3"/>
      <c r="TU22" s="3"/>
      <c r="TY22" s="3"/>
      <c r="UC22" s="3"/>
      <c r="UG22" s="3"/>
      <c r="UK22" s="3"/>
      <c r="UO22" s="3"/>
      <c r="US22" s="3"/>
      <c r="UW22" s="3"/>
      <c r="VA22" s="3"/>
      <c r="VE22" s="3"/>
      <c r="VI22" s="3"/>
      <c r="VM22" s="3"/>
      <c r="VQ22" s="3"/>
      <c r="VU22" s="3"/>
      <c r="VY22" s="3"/>
      <c r="WC22" s="3"/>
      <c r="WG22" s="3"/>
      <c r="WK22" s="3"/>
      <c r="WO22" s="3"/>
      <c r="WS22" s="3"/>
      <c r="WW22" s="3"/>
      <c r="XA22" s="3"/>
      <c r="XE22" s="3"/>
      <c r="XI22" s="3"/>
      <c r="XM22" s="3"/>
      <c r="XQ22" s="3"/>
      <c r="XU22" s="3"/>
      <c r="XY22" s="3"/>
      <c r="YC22" s="3"/>
      <c r="YG22" s="3"/>
      <c r="YK22" s="3"/>
      <c r="YO22" s="3"/>
      <c r="YS22" s="3"/>
      <c r="YW22" s="3"/>
      <c r="ZA22" s="3"/>
      <c r="ZE22" s="3"/>
      <c r="ZI22" s="3"/>
      <c r="ZM22" s="3"/>
      <c r="ZQ22" s="3"/>
      <c r="ZU22" s="3"/>
      <c r="ZY22" s="3"/>
      <c r="AAC22" s="3"/>
      <c r="AAG22" s="3"/>
      <c r="AAK22" s="3"/>
      <c r="AAO22" s="3"/>
      <c r="AAS22" s="3"/>
      <c r="AAW22" s="3"/>
      <c r="ABA22" s="3"/>
      <c r="ABE22" s="3"/>
      <c r="ABI22" s="3"/>
      <c r="ABM22" s="3"/>
      <c r="ABQ22" s="3"/>
      <c r="ABU22" s="3"/>
      <c r="ABY22" s="3"/>
      <c r="ACC22" s="3"/>
      <c r="ACG22" s="3"/>
      <c r="ACK22" s="3"/>
      <c r="ACO22" s="3"/>
      <c r="ACS22" s="3"/>
      <c r="ACW22" s="3"/>
      <c r="ADA22" s="3"/>
      <c r="ADE22" s="3"/>
      <c r="ADI22" s="3"/>
      <c r="ADM22" s="3"/>
      <c r="ADQ22" s="3"/>
      <c r="ADU22" s="3"/>
      <c r="ADY22" s="3"/>
      <c r="AEC22" s="3"/>
      <c r="AEG22" s="3"/>
      <c r="AEK22" s="3"/>
      <c r="AEO22" s="3"/>
      <c r="AES22" s="3"/>
      <c r="AEW22" s="3"/>
      <c r="AFA22" s="3"/>
      <c r="AFE22" s="3"/>
      <c r="AFI22" s="3"/>
      <c r="AFM22" s="3"/>
      <c r="AFQ22" s="3"/>
      <c r="AFU22" s="3"/>
      <c r="AFY22" s="3"/>
      <c r="AGC22" s="3"/>
      <c r="AGG22" s="3"/>
      <c r="AGK22" s="3"/>
      <c r="AGO22" s="3"/>
      <c r="AGS22" s="3"/>
      <c r="AGW22" s="3"/>
      <c r="AHA22" s="3"/>
      <c r="AHE22" s="3"/>
      <c r="AHI22" s="3"/>
      <c r="AHM22" s="3"/>
      <c r="AHQ22" s="3"/>
      <c r="AHU22" s="3"/>
      <c r="AHY22" s="3"/>
      <c r="AIC22" s="3"/>
      <c r="AIG22" s="3"/>
      <c r="AIK22" s="3"/>
      <c r="AIO22" s="3"/>
      <c r="AIS22" s="3"/>
      <c r="AIW22" s="3"/>
      <c r="AJA22" s="3"/>
      <c r="AJE22" s="3"/>
      <c r="AJI22" s="3"/>
      <c r="AJM22" s="3"/>
      <c r="AJQ22" s="3"/>
      <c r="AJU22" s="3"/>
      <c r="AJY22" s="3"/>
      <c r="AKC22" s="3"/>
      <c r="AKG22" s="3"/>
      <c r="AKK22" s="3"/>
      <c r="AKO22" s="3"/>
      <c r="AKS22" s="3"/>
      <c r="AKW22" s="3"/>
      <c r="ALA22" s="3"/>
      <c r="ALE22" s="3"/>
      <c r="ALI22" s="3"/>
      <c r="ALM22" s="3"/>
      <c r="ALQ22" s="3"/>
      <c r="ALU22" s="3"/>
      <c r="ALY22" s="3"/>
      <c r="AMC22" s="3"/>
      <c r="AMG22" s="3"/>
      <c r="AMK22" s="3"/>
      <c r="AMO22" s="3"/>
      <c r="AMS22" s="3"/>
      <c r="AMW22" s="3"/>
      <c r="ANA22" s="3"/>
      <c r="ANE22" s="3"/>
      <c r="ANI22" s="3"/>
      <c r="ANM22" s="3"/>
      <c r="ANQ22" s="3"/>
      <c r="ANU22" s="3"/>
      <c r="ANY22" s="3"/>
      <c r="AOC22" s="3"/>
      <c r="AOG22" s="3"/>
      <c r="AOK22" s="3"/>
      <c r="AOO22" s="3"/>
      <c r="AOS22" s="3"/>
      <c r="AOW22" s="3"/>
      <c r="APA22" s="3"/>
      <c r="APE22" s="3"/>
      <c r="API22" s="3"/>
      <c r="APM22" s="3"/>
      <c r="APQ22" s="3"/>
      <c r="APU22" s="3"/>
      <c r="APY22" s="3"/>
      <c r="AQC22" s="3"/>
      <c r="AQG22" s="3"/>
      <c r="AQK22" s="3"/>
      <c r="AQO22" s="3"/>
      <c r="AQS22" s="3"/>
      <c r="AQW22" s="3"/>
      <c r="ARA22" s="3"/>
      <c r="ARE22" s="3"/>
      <c r="ARI22" s="3"/>
      <c r="ARM22" s="3"/>
      <c r="ARQ22" s="3"/>
      <c r="ARU22" s="3"/>
      <c r="ARY22" s="3"/>
      <c r="ASC22" s="3"/>
      <c r="ASG22" s="3"/>
      <c r="ASK22" s="3"/>
      <c r="ASO22" s="3"/>
      <c r="ASS22" s="3"/>
      <c r="ASW22" s="3"/>
      <c r="ATA22" s="3"/>
      <c r="ATE22" s="3"/>
      <c r="ATI22" s="3"/>
      <c r="ATM22" s="3"/>
      <c r="ATQ22" s="3"/>
      <c r="ATU22" s="3"/>
      <c r="ATY22" s="3"/>
      <c r="AUC22" s="3"/>
      <c r="AUG22" s="3"/>
      <c r="AUK22" s="3"/>
      <c r="AUO22" s="3"/>
      <c r="AUS22" s="3"/>
      <c r="AUW22" s="3"/>
      <c r="AVA22" s="3"/>
      <c r="AVE22" s="3"/>
      <c r="AVI22" s="3"/>
      <c r="AVM22" s="3"/>
      <c r="AVQ22" s="3"/>
      <c r="AVU22" s="3"/>
      <c r="AVY22" s="3"/>
      <c r="AWC22" s="3"/>
      <c r="AWG22" s="3"/>
      <c r="AWK22" s="3"/>
      <c r="AWO22" s="3"/>
      <c r="AWS22" s="3"/>
      <c r="AWW22" s="3"/>
      <c r="AXA22" s="3"/>
      <c r="AXE22" s="3"/>
      <c r="AXI22" s="3"/>
      <c r="AXM22" s="3"/>
      <c r="AXQ22" s="3"/>
      <c r="AXU22" s="3"/>
      <c r="AXY22" s="3"/>
      <c r="AYC22" s="3"/>
      <c r="AYG22" s="3"/>
      <c r="AYK22" s="3"/>
      <c r="AYO22" s="3"/>
      <c r="AYS22" s="3"/>
      <c r="AYW22" s="3"/>
      <c r="AZA22" s="3"/>
      <c r="AZE22" s="3"/>
      <c r="AZI22" s="3"/>
      <c r="AZM22" s="3"/>
      <c r="AZQ22" s="3"/>
      <c r="AZU22" s="3"/>
      <c r="AZY22" s="3"/>
      <c r="BAC22" s="3"/>
      <c r="BAG22" s="3"/>
      <c r="BAK22" s="3"/>
      <c r="BAO22" s="3"/>
      <c r="BAS22" s="3"/>
      <c r="BAW22" s="3"/>
      <c r="BBA22" s="3"/>
      <c r="BBE22" s="3"/>
      <c r="BBI22" s="3"/>
      <c r="BBM22" s="3"/>
      <c r="BBQ22" s="3"/>
      <c r="BBU22" s="3"/>
      <c r="BBY22" s="3"/>
      <c r="BCC22" s="3"/>
      <c r="BCG22" s="3"/>
      <c r="BCK22" s="3"/>
      <c r="BCO22" s="3"/>
      <c r="BCS22" s="3"/>
      <c r="BCW22" s="3"/>
      <c r="BDA22" s="3"/>
      <c r="BDE22" s="3"/>
      <c r="BDI22" s="3"/>
      <c r="BDM22" s="3"/>
      <c r="BDQ22" s="3"/>
      <c r="BDU22" s="3"/>
      <c r="BDY22" s="3"/>
      <c r="BEC22" s="3"/>
      <c r="BEG22" s="3"/>
      <c r="BEK22" s="3"/>
      <c r="BEO22" s="3"/>
      <c r="BES22" s="3"/>
      <c r="BEW22" s="3"/>
      <c r="BFA22" s="3"/>
      <c r="BFE22" s="3"/>
      <c r="BFI22" s="3"/>
      <c r="BFM22" s="3"/>
      <c r="BFQ22" s="3"/>
      <c r="BFU22" s="3"/>
      <c r="BFY22" s="3"/>
      <c r="BGC22" s="3"/>
      <c r="BGG22" s="3"/>
      <c r="BGK22" s="3"/>
      <c r="BGO22" s="3"/>
      <c r="BGS22" s="3"/>
      <c r="BGW22" s="3"/>
      <c r="BHA22" s="3"/>
      <c r="BHE22" s="3"/>
      <c r="BHI22" s="3"/>
      <c r="BHM22" s="3"/>
      <c r="BHQ22" s="3"/>
      <c r="BHU22" s="3"/>
      <c r="BHY22" s="3"/>
      <c r="BIC22" s="3"/>
      <c r="BIG22" s="3"/>
      <c r="BIK22" s="3"/>
      <c r="BIO22" s="3"/>
      <c r="BIS22" s="3"/>
      <c r="BIW22" s="3"/>
      <c r="BJA22" s="3"/>
      <c r="BJE22" s="3"/>
      <c r="BJI22" s="3"/>
      <c r="BJM22" s="3"/>
      <c r="BJQ22" s="3"/>
      <c r="BJU22" s="3"/>
      <c r="BJY22" s="3"/>
      <c r="BKC22" s="3"/>
      <c r="BKG22" s="3"/>
      <c r="BKK22" s="3"/>
      <c r="BKO22" s="3"/>
      <c r="BKS22" s="3"/>
      <c r="BKW22" s="3"/>
      <c r="BLA22" s="3"/>
      <c r="BLE22" s="3"/>
      <c r="BLI22" s="3"/>
      <c r="BLM22" s="3"/>
      <c r="BLQ22" s="3"/>
      <c r="BLU22" s="3"/>
      <c r="BLY22" s="3"/>
      <c r="BMC22" s="3"/>
      <c r="BMG22" s="3"/>
      <c r="BMK22" s="3"/>
      <c r="BMO22" s="3"/>
      <c r="BMS22" s="3"/>
      <c r="BMW22" s="3"/>
      <c r="BNA22" s="3"/>
      <c r="BNE22" s="3"/>
      <c r="BNI22" s="3"/>
      <c r="BNM22" s="3"/>
      <c r="BNQ22" s="3"/>
      <c r="BNU22" s="3"/>
      <c r="BNY22" s="3"/>
      <c r="BOC22" s="3"/>
      <c r="BOG22" s="3"/>
      <c r="BOK22" s="3"/>
      <c r="BOO22" s="3"/>
      <c r="BOS22" s="3"/>
      <c r="BOW22" s="3"/>
      <c r="BPA22" s="3"/>
      <c r="BPE22" s="3"/>
      <c r="BPI22" s="3"/>
      <c r="BPM22" s="3"/>
      <c r="BPQ22" s="3"/>
      <c r="BPU22" s="3"/>
      <c r="BPY22" s="3"/>
      <c r="BQC22" s="3"/>
      <c r="BQG22" s="3"/>
      <c r="BQK22" s="3"/>
      <c r="BQO22" s="3"/>
      <c r="BQS22" s="3"/>
      <c r="BQW22" s="3"/>
      <c r="BRA22" s="3"/>
      <c r="BRE22" s="3"/>
      <c r="BRI22" s="3"/>
      <c r="BRM22" s="3"/>
      <c r="BRQ22" s="3"/>
      <c r="BRU22" s="3"/>
      <c r="BRY22" s="3"/>
      <c r="BSC22" s="3"/>
      <c r="BSG22" s="3"/>
      <c r="BSK22" s="3"/>
      <c r="BSO22" s="3"/>
      <c r="BSS22" s="3"/>
      <c r="BSW22" s="3"/>
      <c r="BTA22" s="3"/>
      <c r="BTE22" s="3"/>
      <c r="BTI22" s="3"/>
      <c r="BTM22" s="3"/>
      <c r="BTQ22" s="3"/>
      <c r="BTU22" s="3"/>
      <c r="BTY22" s="3"/>
      <c r="BUC22" s="3"/>
      <c r="BUG22" s="3"/>
      <c r="BUK22" s="3"/>
      <c r="BUO22" s="3"/>
      <c r="BUS22" s="3"/>
      <c r="BUW22" s="3"/>
      <c r="BVA22" s="3"/>
      <c r="BVE22" s="3"/>
      <c r="BVI22" s="3"/>
      <c r="BVM22" s="3"/>
      <c r="BVQ22" s="3"/>
      <c r="BVU22" s="3"/>
      <c r="BVY22" s="3"/>
      <c r="BWC22" s="3"/>
      <c r="BWG22" s="3"/>
      <c r="BWK22" s="3"/>
      <c r="BWO22" s="3"/>
      <c r="BWS22" s="3"/>
      <c r="BWW22" s="3"/>
      <c r="BXA22" s="3"/>
      <c r="BXE22" s="3"/>
      <c r="BXI22" s="3"/>
      <c r="BXM22" s="3"/>
      <c r="BXQ22" s="3"/>
      <c r="BXU22" s="3"/>
      <c r="BXY22" s="3"/>
      <c r="BYC22" s="3"/>
      <c r="BYG22" s="3"/>
      <c r="BYK22" s="3"/>
      <c r="BYO22" s="3"/>
      <c r="BYS22" s="3"/>
      <c r="BYW22" s="3"/>
      <c r="BZA22" s="3"/>
      <c r="BZE22" s="3"/>
      <c r="BZI22" s="3"/>
      <c r="BZM22" s="3"/>
      <c r="BZQ22" s="3"/>
      <c r="BZU22" s="3"/>
      <c r="BZY22" s="3"/>
      <c r="CAC22" s="3"/>
      <c r="CAG22" s="3"/>
      <c r="CAK22" s="3"/>
      <c r="CAO22" s="3"/>
      <c r="CAS22" s="3"/>
      <c r="CAW22" s="3"/>
      <c r="CBA22" s="3"/>
      <c r="CBE22" s="3"/>
      <c r="CBI22" s="3"/>
      <c r="CBM22" s="3"/>
      <c r="CBQ22" s="3"/>
      <c r="CBU22" s="3"/>
      <c r="CBY22" s="3"/>
      <c r="CCC22" s="3"/>
      <c r="CCG22" s="3"/>
      <c r="CCK22" s="3"/>
      <c r="CCO22" s="3"/>
      <c r="CCS22" s="3"/>
      <c r="CCW22" s="3"/>
      <c r="CDA22" s="3"/>
      <c r="CDE22" s="3"/>
      <c r="CDI22" s="3"/>
      <c r="CDM22" s="3"/>
      <c r="CDQ22" s="3"/>
      <c r="CDU22" s="3"/>
      <c r="CDY22" s="3"/>
      <c r="CEC22" s="3"/>
      <c r="CEG22" s="3"/>
      <c r="CEK22" s="3"/>
      <c r="CEO22" s="3"/>
      <c r="CES22" s="3"/>
      <c r="CEW22" s="3"/>
      <c r="CFA22" s="3"/>
      <c r="CFE22" s="3"/>
      <c r="CFI22" s="3"/>
      <c r="CFM22" s="3"/>
      <c r="CFQ22" s="3"/>
      <c r="CFU22" s="3"/>
      <c r="CFY22" s="3"/>
      <c r="CGC22" s="3"/>
      <c r="CGG22" s="3"/>
      <c r="CGK22" s="3"/>
      <c r="CGO22" s="3"/>
      <c r="CGS22" s="3"/>
      <c r="CGW22" s="3"/>
      <c r="CHA22" s="3"/>
      <c r="CHE22" s="3"/>
      <c r="CHI22" s="3"/>
      <c r="CHM22" s="3"/>
      <c r="CHQ22" s="3"/>
      <c r="CHU22" s="3"/>
      <c r="CHY22" s="3"/>
      <c r="CIC22" s="3"/>
      <c r="CIG22" s="3"/>
      <c r="CIK22" s="3"/>
      <c r="CIO22" s="3"/>
      <c r="CIS22" s="3"/>
      <c r="CIW22" s="3"/>
      <c r="CJA22" s="3"/>
      <c r="CJE22" s="3"/>
      <c r="CJI22" s="3"/>
      <c r="CJM22" s="3"/>
      <c r="CJQ22" s="3"/>
      <c r="CJU22" s="3"/>
      <c r="CJY22" s="3"/>
      <c r="CKC22" s="3"/>
      <c r="CKG22" s="3"/>
      <c r="CKK22" s="3"/>
      <c r="CKO22" s="3"/>
      <c r="CKS22" s="3"/>
      <c r="CKW22" s="3"/>
      <c r="CLA22" s="3"/>
      <c r="CLE22" s="3"/>
      <c r="CLI22" s="3"/>
      <c r="CLM22" s="3"/>
      <c r="CLQ22" s="3"/>
      <c r="CLU22" s="3"/>
      <c r="CLY22" s="3"/>
      <c r="CMC22" s="3"/>
      <c r="CMG22" s="3"/>
      <c r="CMK22" s="3"/>
      <c r="CMO22" s="3"/>
      <c r="CMS22" s="3"/>
      <c r="CMW22" s="3"/>
      <c r="CNA22" s="3"/>
      <c r="CNE22" s="3"/>
      <c r="CNI22" s="3"/>
      <c r="CNM22" s="3"/>
      <c r="CNQ22" s="3"/>
      <c r="CNU22" s="3"/>
      <c r="CNY22" s="3"/>
      <c r="COC22" s="3"/>
      <c r="COG22" s="3"/>
      <c r="COK22" s="3"/>
      <c r="COO22" s="3"/>
      <c r="COS22" s="3"/>
      <c r="COW22" s="3"/>
      <c r="CPA22" s="3"/>
      <c r="CPE22" s="3"/>
      <c r="CPI22" s="3"/>
      <c r="CPM22" s="3"/>
      <c r="CPQ22" s="3"/>
      <c r="CPU22" s="3"/>
      <c r="CPY22" s="3"/>
      <c r="CQC22" s="3"/>
      <c r="CQG22" s="3"/>
      <c r="CQK22" s="3"/>
      <c r="CQO22" s="3"/>
      <c r="CQS22" s="3"/>
      <c r="CQW22" s="3"/>
      <c r="CRA22" s="3"/>
      <c r="CRE22" s="3"/>
      <c r="CRI22" s="3"/>
      <c r="CRM22" s="3"/>
      <c r="CRQ22" s="3"/>
      <c r="CRU22" s="3"/>
      <c r="CRY22" s="3"/>
      <c r="CSC22" s="3"/>
      <c r="CSG22" s="3"/>
      <c r="CSK22" s="3"/>
      <c r="CSO22" s="3"/>
      <c r="CSS22" s="3"/>
      <c r="CSW22" s="3"/>
      <c r="CTA22" s="3"/>
      <c r="CTE22" s="3"/>
      <c r="CTI22" s="3"/>
      <c r="CTM22" s="3"/>
      <c r="CTQ22" s="3"/>
      <c r="CTU22" s="3"/>
      <c r="CTY22" s="3"/>
      <c r="CUC22" s="3"/>
      <c r="CUG22" s="3"/>
      <c r="CUK22" s="3"/>
      <c r="CUO22" s="3"/>
      <c r="CUS22" s="3"/>
      <c r="CUW22" s="3"/>
      <c r="CVA22" s="3"/>
      <c r="CVE22" s="3"/>
      <c r="CVI22" s="3"/>
      <c r="CVM22" s="3"/>
      <c r="CVQ22" s="3"/>
      <c r="CVU22" s="3"/>
      <c r="CVY22" s="3"/>
      <c r="CWC22" s="3"/>
      <c r="CWG22" s="3"/>
      <c r="CWK22" s="3"/>
      <c r="CWO22" s="3"/>
      <c r="CWS22" s="3"/>
      <c r="CWW22" s="3"/>
      <c r="CXA22" s="3"/>
      <c r="CXE22" s="3"/>
      <c r="CXI22" s="3"/>
      <c r="CXM22" s="3"/>
      <c r="CXQ22" s="3"/>
      <c r="CXU22" s="3"/>
      <c r="CXY22" s="3"/>
      <c r="CYC22" s="3"/>
      <c r="CYG22" s="3"/>
      <c r="CYK22" s="3"/>
      <c r="CYO22" s="3"/>
      <c r="CYS22" s="3"/>
      <c r="CYW22" s="3"/>
      <c r="CZA22" s="3"/>
      <c r="CZE22" s="3"/>
      <c r="CZI22" s="3"/>
      <c r="CZM22" s="3"/>
      <c r="CZQ22" s="3"/>
      <c r="CZU22" s="3"/>
      <c r="CZY22" s="3"/>
      <c r="DAC22" s="3"/>
      <c r="DAG22" s="3"/>
      <c r="DAK22" s="3"/>
      <c r="DAO22" s="3"/>
      <c r="DAS22" s="3"/>
      <c r="DAW22" s="3"/>
      <c r="DBA22" s="3"/>
      <c r="DBE22" s="3"/>
      <c r="DBI22" s="3"/>
      <c r="DBM22" s="3"/>
      <c r="DBQ22" s="3"/>
      <c r="DBU22" s="3"/>
      <c r="DBY22" s="3"/>
      <c r="DCC22" s="3"/>
      <c r="DCG22" s="3"/>
      <c r="DCK22" s="3"/>
      <c r="DCO22" s="3"/>
      <c r="DCS22" s="3"/>
      <c r="DCW22" s="3"/>
      <c r="DDA22" s="3"/>
      <c r="DDE22" s="3"/>
      <c r="DDI22" s="3"/>
      <c r="DDM22" s="3"/>
      <c r="DDQ22" s="3"/>
      <c r="DDU22" s="3"/>
      <c r="DDY22" s="3"/>
      <c r="DEC22" s="3"/>
      <c r="DEG22" s="3"/>
      <c r="DEK22" s="3"/>
      <c r="DEO22" s="3"/>
      <c r="DES22" s="3"/>
      <c r="DEW22" s="3"/>
      <c r="DFA22" s="3"/>
      <c r="DFE22" s="3"/>
      <c r="DFI22" s="3"/>
      <c r="DFM22" s="3"/>
      <c r="DFQ22" s="3"/>
      <c r="DFU22" s="3"/>
      <c r="DFY22" s="3"/>
      <c r="DGC22" s="3"/>
      <c r="DGG22" s="3"/>
      <c r="DGK22" s="3"/>
      <c r="DGO22" s="3"/>
      <c r="DGS22" s="3"/>
      <c r="DGW22" s="3"/>
      <c r="DHA22" s="3"/>
      <c r="DHE22" s="3"/>
      <c r="DHI22" s="3"/>
      <c r="DHM22" s="3"/>
      <c r="DHQ22" s="3"/>
      <c r="DHU22" s="3"/>
      <c r="DHY22" s="3"/>
      <c r="DIC22" s="3"/>
      <c r="DIG22" s="3"/>
      <c r="DIK22" s="3"/>
      <c r="DIO22" s="3"/>
      <c r="DIS22" s="3"/>
      <c r="DIW22" s="3"/>
      <c r="DJA22" s="3"/>
      <c r="DJE22" s="3"/>
      <c r="DJI22" s="3"/>
      <c r="DJM22" s="3"/>
      <c r="DJQ22" s="3"/>
      <c r="DJU22" s="3"/>
      <c r="DJY22" s="3"/>
      <c r="DKC22" s="3"/>
      <c r="DKG22" s="3"/>
      <c r="DKK22" s="3"/>
      <c r="DKO22" s="3"/>
      <c r="DKS22" s="3"/>
      <c r="DKW22" s="3"/>
      <c r="DLA22" s="3"/>
      <c r="DLE22" s="3"/>
      <c r="DLI22" s="3"/>
      <c r="DLM22" s="3"/>
      <c r="DLQ22" s="3"/>
      <c r="DLU22" s="3"/>
      <c r="DLY22" s="3"/>
      <c r="DMC22" s="3"/>
      <c r="DMG22" s="3"/>
      <c r="DMK22" s="3"/>
      <c r="DMO22" s="3"/>
      <c r="DMS22" s="3"/>
      <c r="DMW22" s="3"/>
      <c r="DNA22" s="3"/>
      <c r="DNE22" s="3"/>
      <c r="DNI22" s="3"/>
      <c r="DNM22" s="3"/>
      <c r="DNQ22" s="3"/>
      <c r="DNU22" s="3"/>
      <c r="DNY22" s="3"/>
      <c r="DOC22" s="3"/>
      <c r="DOG22" s="3"/>
      <c r="DOK22" s="3"/>
      <c r="DOO22" s="3"/>
      <c r="DOS22" s="3"/>
      <c r="DOW22" s="3"/>
      <c r="DPA22" s="3"/>
      <c r="DPE22" s="3"/>
      <c r="DPI22" s="3"/>
      <c r="DPM22" s="3"/>
      <c r="DPQ22" s="3"/>
      <c r="DPU22" s="3"/>
      <c r="DPY22" s="3"/>
      <c r="DQC22" s="3"/>
      <c r="DQG22" s="3"/>
      <c r="DQK22" s="3"/>
      <c r="DQO22" s="3"/>
      <c r="DQS22" s="3"/>
      <c r="DQW22" s="3"/>
      <c r="DRA22" s="3"/>
      <c r="DRE22" s="3"/>
      <c r="DRI22" s="3"/>
      <c r="DRM22" s="3"/>
      <c r="DRQ22" s="3"/>
      <c r="DRU22" s="3"/>
      <c r="DRY22" s="3"/>
      <c r="DSC22" s="3"/>
      <c r="DSG22" s="3"/>
      <c r="DSK22" s="3"/>
      <c r="DSO22" s="3"/>
      <c r="DSS22" s="3"/>
      <c r="DSW22" s="3"/>
      <c r="DTA22" s="3"/>
      <c r="DTE22" s="3"/>
      <c r="DTI22" s="3"/>
      <c r="DTM22" s="3"/>
      <c r="DTQ22" s="3"/>
      <c r="DTU22" s="3"/>
      <c r="DTY22" s="3"/>
      <c r="DUC22" s="3"/>
      <c r="DUG22" s="3"/>
      <c r="DUK22" s="3"/>
      <c r="DUO22" s="3"/>
      <c r="DUS22" s="3"/>
      <c r="DUW22" s="3"/>
      <c r="DVA22" s="3"/>
      <c r="DVE22" s="3"/>
      <c r="DVI22" s="3"/>
      <c r="DVM22" s="3"/>
      <c r="DVQ22" s="3"/>
      <c r="DVU22" s="3"/>
      <c r="DVY22" s="3"/>
      <c r="DWC22" s="3"/>
      <c r="DWG22" s="3"/>
      <c r="DWK22" s="3"/>
      <c r="DWO22" s="3"/>
      <c r="DWS22" s="3"/>
      <c r="DWW22" s="3"/>
      <c r="DXA22" s="3"/>
      <c r="DXE22" s="3"/>
      <c r="DXI22" s="3"/>
      <c r="DXM22" s="3"/>
      <c r="DXQ22" s="3"/>
      <c r="DXU22" s="3"/>
      <c r="DXY22" s="3"/>
      <c r="DYC22" s="3"/>
      <c r="DYG22" s="3"/>
      <c r="DYK22" s="3"/>
      <c r="DYO22" s="3"/>
      <c r="DYS22" s="3"/>
      <c r="DYW22" s="3"/>
      <c r="DZA22" s="3"/>
      <c r="DZE22" s="3"/>
      <c r="DZI22" s="3"/>
      <c r="DZM22" s="3"/>
      <c r="DZQ22" s="3"/>
      <c r="DZU22" s="3"/>
      <c r="DZY22" s="3"/>
      <c r="EAC22" s="3"/>
      <c r="EAG22" s="3"/>
      <c r="EAK22" s="3"/>
      <c r="EAO22" s="3"/>
      <c r="EAS22" s="3"/>
      <c r="EAW22" s="3"/>
      <c r="EBA22" s="3"/>
      <c r="EBE22" s="3"/>
      <c r="EBI22" s="3"/>
      <c r="EBM22" s="3"/>
      <c r="EBQ22" s="3"/>
      <c r="EBU22" s="3"/>
      <c r="EBY22" s="3"/>
      <c r="ECC22" s="3"/>
      <c r="ECG22" s="3"/>
      <c r="ECK22" s="3"/>
      <c r="ECO22" s="3"/>
      <c r="ECS22" s="3"/>
      <c r="ECW22" s="3"/>
      <c r="EDA22" s="3"/>
      <c r="EDE22" s="3"/>
      <c r="EDI22" s="3"/>
      <c r="EDM22" s="3"/>
      <c r="EDQ22" s="3"/>
      <c r="EDU22" s="3"/>
      <c r="EDY22" s="3"/>
      <c r="EEC22" s="3"/>
      <c r="EEG22" s="3"/>
      <c r="EEK22" s="3"/>
      <c r="EEO22" s="3"/>
      <c r="EES22" s="3"/>
      <c r="EEW22" s="3"/>
      <c r="EFA22" s="3"/>
      <c r="EFE22" s="3"/>
      <c r="EFI22" s="3"/>
      <c r="EFM22" s="3"/>
      <c r="EFQ22" s="3"/>
      <c r="EFU22" s="3"/>
      <c r="EFY22" s="3"/>
      <c r="EGC22" s="3"/>
      <c r="EGG22" s="3"/>
      <c r="EGK22" s="3"/>
      <c r="EGO22" s="3"/>
      <c r="EGS22" s="3"/>
      <c r="EGW22" s="3"/>
      <c r="EHA22" s="3"/>
      <c r="EHE22" s="3"/>
      <c r="EHI22" s="3"/>
      <c r="EHM22" s="3"/>
      <c r="EHQ22" s="3"/>
      <c r="EHU22" s="3"/>
      <c r="EHY22" s="3"/>
      <c r="EIC22" s="3"/>
      <c r="EIG22" s="3"/>
      <c r="EIK22" s="3"/>
      <c r="EIO22" s="3"/>
      <c r="EIS22" s="3"/>
      <c r="EIW22" s="3"/>
      <c r="EJA22" s="3"/>
      <c r="EJE22" s="3"/>
      <c r="EJI22" s="3"/>
      <c r="EJM22" s="3"/>
      <c r="EJQ22" s="3"/>
      <c r="EJU22" s="3"/>
      <c r="EJY22" s="3"/>
      <c r="EKC22" s="3"/>
      <c r="EKG22" s="3"/>
      <c r="EKK22" s="3"/>
      <c r="EKO22" s="3"/>
      <c r="EKS22" s="3"/>
      <c r="EKW22" s="3"/>
      <c r="ELA22" s="3"/>
      <c r="ELE22" s="3"/>
      <c r="ELI22" s="3"/>
      <c r="ELM22" s="3"/>
      <c r="ELQ22" s="3"/>
      <c r="ELU22" s="3"/>
      <c r="ELY22" s="3"/>
      <c r="EMC22" s="3"/>
      <c r="EMG22" s="3"/>
      <c r="EMK22" s="3"/>
      <c r="EMO22" s="3"/>
      <c r="EMS22" s="3"/>
      <c r="EMW22" s="3"/>
      <c r="ENA22" s="3"/>
      <c r="ENE22" s="3"/>
      <c r="ENI22" s="3"/>
      <c r="ENM22" s="3"/>
      <c r="ENQ22" s="3"/>
      <c r="ENU22" s="3"/>
      <c r="ENY22" s="3"/>
      <c r="EOC22" s="3"/>
      <c r="EOG22" s="3"/>
      <c r="EOK22" s="3"/>
      <c r="EOO22" s="3"/>
      <c r="EOS22" s="3"/>
      <c r="EOW22" s="3"/>
      <c r="EPA22" s="3"/>
      <c r="EPE22" s="3"/>
      <c r="EPI22" s="3"/>
      <c r="EPM22" s="3"/>
      <c r="EPQ22" s="3"/>
      <c r="EPU22" s="3"/>
      <c r="EPY22" s="3"/>
      <c r="EQC22" s="3"/>
      <c r="EQG22" s="3"/>
      <c r="EQK22" s="3"/>
      <c r="EQO22" s="3"/>
      <c r="EQS22" s="3"/>
      <c r="EQW22" s="3"/>
      <c r="ERA22" s="3"/>
      <c r="ERE22" s="3"/>
      <c r="ERI22" s="3"/>
      <c r="ERM22" s="3"/>
      <c r="ERQ22" s="3"/>
      <c r="ERU22" s="3"/>
      <c r="ERY22" s="3"/>
      <c r="ESC22" s="3"/>
      <c r="ESG22" s="3"/>
      <c r="ESK22" s="3"/>
      <c r="ESO22" s="3"/>
      <c r="ESS22" s="3"/>
      <c r="ESW22" s="3"/>
      <c r="ETA22" s="3"/>
      <c r="ETE22" s="3"/>
      <c r="ETI22" s="3"/>
      <c r="ETM22" s="3"/>
      <c r="ETQ22" s="3"/>
      <c r="ETU22" s="3"/>
      <c r="ETY22" s="3"/>
      <c r="EUC22" s="3"/>
      <c r="EUG22" s="3"/>
      <c r="EUK22" s="3"/>
      <c r="EUO22" s="3"/>
      <c r="EUS22" s="3"/>
      <c r="EUW22" s="3"/>
      <c r="EVA22" s="3"/>
      <c r="EVE22" s="3"/>
      <c r="EVI22" s="3"/>
      <c r="EVM22" s="3"/>
      <c r="EVQ22" s="3"/>
      <c r="EVU22" s="3"/>
      <c r="EVY22" s="3"/>
      <c r="EWC22" s="3"/>
      <c r="EWG22" s="3"/>
      <c r="EWK22" s="3"/>
      <c r="EWO22" s="3"/>
      <c r="EWS22" s="3"/>
      <c r="EWW22" s="3"/>
      <c r="EXA22" s="3"/>
      <c r="EXE22" s="3"/>
      <c r="EXI22" s="3"/>
      <c r="EXM22" s="3"/>
      <c r="EXQ22" s="3"/>
      <c r="EXU22" s="3"/>
      <c r="EXY22" s="3"/>
      <c r="EYC22" s="3"/>
      <c r="EYG22" s="3"/>
      <c r="EYK22" s="3"/>
      <c r="EYO22" s="3"/>
      <c r="EYS22" s="3"/>
      <c r="EYW22" s="3"/>
      <c r="EZA22" s="3"/>
      <c r="EZE22" s="3"/>
      <c r="EZI22" s="3"/>
      <c r="EZM22" s="3"/>
      <c r="EZQ22" s="3"/>
      <c r="EZU22" s="3"/>
      <c r="EZY22" s="3"/>
      <c r="FAC22" s="3"/>
      <c r="FAG22" s="3"/>
      <c r="FAK22" s="3"/>
      <c r="FAO22" s="3"/>
      <c r="FAS22" s="3"/>
      <c r="FAW22" s="3"/>
      <c r="FBA22" s="3"/>
      <c r="FBE22" s="3"/>
      <c r="FBI22" s="3"/>
      <c r="FBM22" s="3"/>
      <c r="FBQ22" s="3"/>
      <c r="FBU22" s="3"/>
      <c r="FBY22" s="3"/>
      <c r="FCC22" s="3"/>
      <c r="FCG22" s="3"/>
      <c r="FCK22" s="3"/>
      <c r="FCO22" s="3"/>
      <c r="FCS22" s="3"/>
      <c r="FCW22" s="3"/>
      <c r="FDA22" s="3"/>
      <c r="FDE22" s="3"/>
      <c r="FDI22" s="3"/>
      <c r="FDM22" s="3"/>
      <c r="FDQ22" s="3"/>
      <c r="FDU22" s="3"/>
      <c r="FDY22" s="3"/>
      <c r="FEC22" s="3"/>
      <c r="FEG22" s="3"/>
      <c r="FEK22" s="3"/>
      <c r="FEO22" s="3"/>
      <c r="FES22" s="3"/>
      <c r="FEW22" s="3"/>
      <c r="FFA22" s="3"/>
      <c r="FFE22" s="3"/>
      <c r="FFI22" s="3"/>
      <c r="FFM22" s="3"/>
      <c r="FFQ22" s="3"/>
      <c r="FFU22" s="3"/>
      <c r="FFY22" s="3"/>
      <c r="FGC22" s="3"/>
      <c r="FGG22" s="3"/>
      <c r="FGK22" s="3"/>
      <c r="FGO22" s="3"/>
      <c r="FGS22" s="3"/>
      <c r="FGW22" s="3"/>
      <c r="FHA22" s="3"/>
      <c r="FHE22" s="3"/>
      <c r="FHI22" s="3"/>
      <c r="FHM22" s="3"/>
      <c r="FHQ22" s="3"/>
      <c r="FHU22" s="3"/>
      <c r="FHY22" s="3"/>
      <c r="FIC22" s="3"/>
      <c r="FIG22" s="3"/>
      <c r="FIK22" s="3"/>
      <c r="FIO22" s="3"/>
      <c r="FIS22" s="3"/>
      <c r="FIW22" s="3"/>
      <c r="FJA22" s="3"/>
      <c r="FJE22" s="3"/>
      <c r="FJI22" s="3"/>
      <c r="FJM22" s="3"/>
      <c r="FJQ22" s="3"/>
      <c r="FJU22" s="3"/>
      <c r="FJY22" s="3"/>
      <c r="FKC22" s="3"/>
      <c r="FKG22" s="3"/>
      <c r="FKK22" s="3"/>
      <c r="FKO22" s="3"/>
      <c r="FKS22" s="3"/>
      <c r="FKW22" s="3"/>
      <c r="FLA22" s="3"/>
      <c r="FLE22" s="3"/>
      <c r="FLI22" s="3"/>
      <c r="FLM22" s="3"/>
      <c r="FLQ22" s="3"/>
      <c r="FLU22" s="3"/>
      <c r="FLY22" s="3"/>
      <c r="FMC22" s="3"/>
      <c r="FMG22" s="3"/>
      <c r="FMK22" s="3"/>
      <c r="FMO22" s="3"/>
      <c r="FMS22" s="3"/>
      <c r="FMW22" s="3"/>
      <c r="FNA22" s="3"/>
      <c r="FNE22" s="3"/>
      <c r="FNI22" s="3"/>
      <c r="FNM22" s="3"/>
      <c r="FNQ22" s="3"/>
      <c r="FNU22" s="3"/>
      <c r="FNY22" s="3"/>
      <c r="FOC22" s="3"/>
      <c r="FOG22" s="3"/>
      <c r="FOK22" s="3"/>
      <c r="FOO22" s="3"/>
      <c r="FOS22" s="3"/>
      <c r="FOW22" s="3"/>
      <c r="FPA22" s="3"/>
      <c r="FPE22" s="3"/>
      <c r="FPI22" s="3"/>
      <c r="FPM22" s="3"/>
      <c r="FPQ22" s="3"/>
      <c r="FPU22" s="3"/>
      <c r="FPY22" s="3"/>
      <c r="FQC22" s="3"/>
      <c r="FQG22" s="3"/>
      <c r="FQK22" s="3"/>
      <c r="FQO22" s="3"/>
      <c r="FQS22" s="3"/>
      <c r="FQW22" s="3"/>
      <c r="FRA22" s="3"/>
      <c r="FRE22" s="3"/>
      <c r="FRI22" s="3"/>
      <c r="FRM22" s="3"/>
      <c r="FRQ22" s="3"/>
      <c r="FRU22" s="3"/>
      <c r="FRY22" s="3"/>
      <c r="FSC22" s="3"/>
      <c r="FSG22" s="3"/>
      <c r="FSK22" s="3"/>
      <c r="FSO22" s="3"/>
      <c r="FSS22" s="3"/>
      <c r="FSW22" s="3"/>
      <c r="FTA22" s="3"/>
      <c r="FTE22" s="3"/>
      <c r="FTI22" s="3"/>
      <c r="FTM22" s="3"/>
      <c r="FTQ22" s="3"/>
      <c r="FTU22" s="3"/>
      <c r="FTY22" s="3"/>
      <c r="FUC22" s="3"/>
      <c r="FUG22" s="3"/>
      <c r="FUK22" s="3"/>
      <c r="FUO22" s="3"/>
      <c r="FUS22" s="3"/>
      <c r="FUW22" s="3"/>
      <c r="FVA22" s="3"/>
      <c r="FVE22" s="3"/>
      <c r="FVI22" s="3"/>
      <c r="FVM22" s="3"/>
      <c r="FVQ22" s="3"/>
      <c r="FVU22" s="3"/>
      <c r="FVY22" s="3"/>
      <c r="FWC22" s="3"/>
      <c r="FWG22" s="3"/>
      <c r="FWK22" s="3"/>
      <c r="FWO22" s="3"/>
      <c r="FWS22" s="3"/>
      <c r="FWW22" s="3"/>
      <c r="FXA22" s="3"/>
      <c r="FXE22" s="3"/>
      <c r="FXI22" s="3"/>
      <c r="FXM22" s="3"/>
      <c r="FXQ22" s="3"/>
      <c r="FXU22" s="3"/>
      <c r="FXY22" s="3"/>
      <c r="FYC22" s="3"/>
      <c r="FYG22" s="3"/>
      <c r="FYK22" s="3"/>
      <c r="FYO22" s="3"/>
      <c r="FYS22" s="3"/>
      <c r="FYW22" s="3"/>
      <c r="FZA22" s="3"/>
      <c r="FZE22" s="3"/>
      <c r="FZI22" s="3"/>
      <c r="FZM22" s="3"/>
      <c r="FZQ22" s="3"/>
      <c r="FZU22" s="3"/>
      <c r="FZY22" s="3"/>
      <c r="GAC22" s="3"/>
      <c r="GAG22" s="3"/>
      <c r="GAK22" s="3"/>
      <c r="GAO22" s="3"/>
      <c r="GAS22" s="3"/>
      <c r="GAW22" s="3"/>
      <c r="GBA22" s="3"/>
      <c r="GBE22" s="3"/>
      <c r="GBI22" s="3"/>
      <c r="GBM22" s="3"/>
      <c r="GBQ22" s="3"/>
      <c r="GBU22" s="3"/>
      <c r="GBY22" s="3"/>
      <c r="GCC22" s="3"/>
      <c r="GCG22" s="3"/>
      <c r="GCK22" s="3"/>
      <c r="GCO22" s="3"/>
      <c r="GCS22" s="3"/>
      <c r="GCW22" s="3"/>
      <c r="GDA22" s="3"/>
      <c r="GDE22" s="3"/>
      <c r="GDI22" s="3"/>
      <c r="GDM22" s="3"/>
      <c r="GDQ22" s="3"/>
      <c r="GDU22" s="3"/>
      <c r="GDY22" s="3"/>
      <c r="GEC22" s="3"/>
      <c r="GEG22" s="3"/>
      <c r="GEK22" s="3"/>
      <c r="GEO22" s="3"/>
      <c r="GES22" s="3"/>
      <c r="GEW22" s="3"/>
      <c r="GFA22" s="3"/>
      <c r="GFE22" s="3"/>
      <c r="GFI22" s="3"/>
      <c r="GFM22" s="3"/>
      <c r="GFQ22" s="3"/>
      <c r="GFU22" s="3"/>
      <c r="GFY22" s="3"/>
      <c r="GGC22" s="3"/>
      <c r="GGG22" s="3"/>
      <c r="GGK22" s="3"/>
      <c r="GGO22" s="3"/>
      <c r="GGS22" s="3"/>
      <c r="GGW22" s="3"/>
      <c r="GHA22" s="3"/>
      <c r="GHE22" s="3"/>
      <c r="GHI22" s="3"/>
      <c r="GHM22" s="3"/>
      <c r="GHQ22" s="3"/>
      <c r="GHU22" s="3"/>
      <c r="GHY22" s="3"/>
      <c r="GIC22" s="3"/>
      <c r="GIG22" s="3"/>
      <c r="GIK22" s="3"/>
      <c r="GIO22" s="3"/>
      <c r="GIS22" s="3"/>
      <c r="GIW22" s="3"/>
      <c r="GJA22" s="3"/>
      <c r="GJE22" s="3"/>
      <c r="GJI22" s="3"/>
      <c r="GJM22" s="3"/>
      <c r="GJQ22" s="3"/>
      <c r="GJU22" s="3"/>
      <c r="GJY22" s="3"/>
      <c r="GKC22" s="3"/>
      <c r="GKG22" s="3"/>
      <c r="GKK22" s="3"/>
      <c r="GKO22" s="3"/>
      <c r="GKS22" s="3"/>
      <c r="GKW22" s="3"/>
      <c r="GLA22" s="3"/>
      <c r="GLE22" s="3"/>
      <c r="GLI22" s="3"/>
      <c r="GLM22" s="3"/>
      <c r="GLQ22" s="3"/>
      <c r="GLU22" s="3"/>
      <c r="GLY22" s="3"/>
      <c r="GMC22" s="3"/>
      <c r="GMG22" s="3"/>
      <c r="GMK22" s="3"/>
      <c r="GMO22" s="3"/>
      <c r="GMS22" s="3"/>
      <c r="GMW22" s="3"/>
      <c r="GNA22" s="3"/>
      <c r="GNE22" s="3"/>
      <c r="GNI22" s="3"/>
      <c r="GNM22" s="3"/>
      <c r="GNQ22" s="3"/>
      <c r="GNU22" s="3"/>
      <c r="GNY22" s="3"/>
      <c r="GOC22" s="3"/>
      <c r="GOG22" s="3"/>
      <c r="GOK22" s="3"/>
      <c r="GOO22" s="3"/>
      <c r="GOS22" s="3"/>
      <c r="GOW22" s="3"/>
      <c r="GPA22" s="3"/>
      <c r="GPE22" s="3"/>
      <c r="GPI22" s="3"/>
      <c r="GPM22" s="3"/>
      <c r="GPQ22" s="3"/>
      <c r="GPU22" s="3"/>
      <c r="GPY22" s="3"/>
      <c r="GQC22" s="3"/>
      <c r="GQG22" s="3"/>
      <c r="GQK22" s="3"/>
      <c r="GQO22" s="3"/>
      <c r="GQS22" s="3"/>
      <c r="GQW22" s="3"/>
      <c r="GRA22" s="3"/>
      <c r="GRE22" s="3"/>
      <c r="GRI22" s="3"/>
      <c r="GRM22" s="3"/>
      <c r="GRQ22" s="3"/>
      <c r="GRU22" s="3"/>
      <c r="GRY22" s="3"/>
      <c r="GSC22" s="3"/>
      <c r="GSG22" s="3"/>
      <c r="GSK22" s="3"/>
      <c r="GSO22" s="3"/>
      <c r="GSS22" s="3"/>
      <c r="GSW22" s="3"/>
      <c r="GTA22" s="3"/>
      <c r="GTE22" s="3"/>
      <c r="GTI22" s="3"/>
      <c r="GTM22" s="3"/>
      <c r="GTQ22" s="3"/>
      <c r="GTU22" s="3"/>
      <c r="GTY22" s="3"/>
      <c r="GUC22" s="3"/>
      <c r="GUG22" s="3"/>
      <c r="GUK22" s="3"/>
      <c r="GUO22" s="3"/>
      <c r="GUS22" s="3"/>
      <c r="GUW22" s="3"/>
      <c r="GVA22" s="3"/>
      <c r="GVE22" s="3"/>
      <c r="GVI22" s="3"/>
      <c r="GVM22" s="3"/>
      <c r="GVQ22" s="3"/>
      <c r="GVU22" s="3"/>
      <c r="GVY22" s="3"/>
      <c r="GWC22" s="3"/>
      <c r="GWG22" s="3"/>
      <c r="GWK22" s="3"/>
      <c r="GWO22" s="3"/>
      <c r="GWS22" s="3"/>
      <c r="GWW22" s="3"/>
      <c r="GXA22" s="3"/>
      <c r="GXE22" s="3"/>
      <c r="GXI22" s="3"/>
      <c r="GXM22" s="3"/>
      <c r="GXQ22" s="3"/>
      <c r="GXU22" s="3"/>
      <c r="GXY22" s="3"/>
      <c r="GYC22" s="3"/>
      <c r="GYG22" s="3"/>
      <c r="GYK22" s="3"/>
      <c r="GYO22" s="3"/>
      <c r="GYS22" s="3"/>
      <c r="GYW22" s="3"/>
      <c r="GZA22" s="3"/>
      <c r="GZE22" s="3"/>
      <c r="GZI22" s="3"/>
      <c r="GZM22" s="3"/>
      <c r="GZQ22" s="3"/>
      <c r="GZU22" s="3"/>
      <c r="GZY22" s="3"/>
      <c r="HAC22" s="3"/>
      <c r="HAG22" s="3"/>
      <c r="HAK22" s="3"/>
      <c r="HAO22" s="3"/>
      <c r="HAS22" s="3"/>
      <c r="HAW22" s="3"/>
      <c r="HBA22" s="3"/>
      <c r="HBE22" s="3"/>
      <c r="HBI22" s="3"/>
      <c r="HBM22" s="3"/>
      <c r="HBQ22" s="3"/>
      <c r="HBU22" s="3"/>
      <c r="HBY22" s="3"/>
      <c r="HCC22" s="3"/>
      <c r="HCG22" s="3"/>
      <c r="HCK22" s="3"/>
      <c r="HCO22" s="3"/>
      <c r="HCS22" s="3"/>
      <c r="HCW22" s="3"/>
      <c r="HDA22" s="3"/>
      <c r="HDE22" s="3"/>
      <c r="HDI22" s="3"/>
      <c r="HDM22" s="3"/>
      <c r="HDQ22" s="3"/>
      <c r="HDU22" s="3"/>
      <c r="HDY22" s="3"/>
      <c r="HEC22" s="3"/>
      <c r="HEG22" s="3"/>
      <c r="HEK22" s="3"/>
      <c r="HEO22" s="3"/>
      <c r="HES22" s="3"/>
      <c r="HEW22" s="3"/>
      <c r="HFA22" s="3"/>
      <c r="HFE22" s="3"/>
      <c r="HFI22" s="3"/>
      <c r="HFM22" s="3"/>
      <c r="HFQ22" s="3"/>
      <c r="HFU22" s="3"/>
      <c r="HFY22" s="3"/>
      <c r="HGC22" s="3"/>
      <c r="HGG22" s="3"/>
      <c r="HGK22" s="3"/>
      <c r="HGO22" s="3"/>
      <c r="HGS22" s="3"/>
      <c r="HGW22" s="3"/>
      <c r="HHA22" s="3"/>
      <c r="HHE22" s="3"/>
      <c r="HHI22" s="3"/>
      <c r="HHM22" s="3"/>
      <c r="HHQ22" s="3"/>
      <c r="HHU22" s="3"/>
      <c r="HHY22" s="3"/>
      <c r="HIC22" s="3"/>
      <c r="HIG22" s="3"/>
      <c r="HIK22" s="3"/>
      <c r="HIO22" s="3"/>
      <c r="HIS22" s="3"/>
      <c r="HIW22" s="3"/>
      <c r="HJA22" s="3"/>
      <c r="HJE22" s="3"/>
      <c r="HJI22" s="3"/>
      <c r="HJM22" s="3"/>
      <c r="HJQ22" s="3"/>
      <c r="HJU22" s="3"/>
      <c r="HJY22" s="3"/>
      <c r="HKC22" s="3"/>
      <c r="HKG22" s="3"/>
      <c r="HKK22" s="3"/>
      <c r="HKO22" s="3"/>
      <c r="HKS22" s="3"/>
      <c r="HKW22" s="3"/>
      <c r="HLA22" s="3"/>
      <c r="HLE22" s="3"/>
      <c r="HLI22" s="3"/>
      <c r="HLM22" s="3"/>
      <c r="HLQ22" s="3"/>
      <c r="HLU22" s="3"/>
      <c r="HLY22" s="3"/>
      <c r="HMC22" s="3"/>
      <c r="HMG22" s="3"/>
      <c r="HMK22" s="3"/>
      <c r="HMO22" s="3"/>
      <c r="HMS22" s="3"/>
      <c r="HMW22" s="3"/>
      <c r="HNA22" s="3"/>
      <c r="HNE22" s="3"/>
      <c r="HNI22" s="3"/>
      <c r="HNM22" s="3"/>
      <c r="HNQ22" s="3"/>
      <c r="HNU22" s="3"/>
      <c r="HNY22" s="3"/>
      <c r="HOC22" s="3"/>
      <c r="HOG22" s="3"/>
      <c r="HOK22" s="3"/>
      <c r="HOO22" s="3"/>
      <c r="HOS22" s="3"/>
      <c r="HOW22" s="3"/>
      <c r="HPA22" s="3"/>
      <c r="HPE22" s="3"/>
      <c r="HPI22" s="3"/>
      <c r="HPM22" s="3"/>
      <c r="HPQ22" s="3"/>
      <c r="HPU22" s="3"/>
      <c r="HPY22" s="3"/>
      <c r="HQC22" s="3"/>
      <c r="HQG22" s="3"/>
      <c r="HQK22" s="3"/>
      <c r="HQO22" s="3"/>
      <c r="HQS22" s="3"/>
      <c r="HQW22" s="3"/>
      <c r="HRA22" s="3"/>
      <c r="HRE22" s="3"/>
      <c r="HRI22" s="3"/>
      <c r="HRM22" s="3"/>
      <c r="HRQ22" s="3"/>
      <c r="HRU22" s="3"/>
      <c r="HRY22" s="3"/>
      <c r="HSC22" s="3"/>
      <c r="HSG22" s="3"/>
      <c r="HSK22" s="3"/>
      <c r="HSO22" s="3"/>
      <c r="HSS22" s="3"/>
      <c r="HSW22" s="3"/>
      <c r="HTA22" s="3"/>
      <c r="HTE22" s="3"/>
      <c r="HTI22" s="3"/>
      <c r="HTM22" s="3"/>
      <c r="HTQ22" s="3"/>
      <c r="HTU22" s="3"/>
      <c r="HTY22" s="3"/>
      <c r="HUC22" s="3"/>
      <c r="HUG22" s="3"/>
      <c r="HUK22" s="3"/>
      <c r="HUO22" s="3"/>
      <c r="HUS22" s="3"/>
      <c r="HUW22" s="3"/>
      <c r="HVA22" s="3"/>
      <c r="HVE22" s="3"/>
      <c r="HVI22" s="3"/>
      <c r="HVM22" s="3"/>
      <c r="HVQ22" s="3"/>
      <c r="HVU22" s="3"/>
      <c r="HVY22" s="3"/>
      <c r="HWC22" s="3"/>
      <c r="HWG22" s="3"/>
      <c r="HWK22" s="3"/>
      <c r="HWO22" s="3"/>
      <c r="HWS22" s="3"/>
      <c r="HWW22" s="3"/>
      <c r="HXA22" s="3"/>
      <c r="HXE22" s="3"/>
      <c r="HXI22" s="3"/>
      <c r="HXM22" s="3"/>
      <c r="HXQ22" s="3"/>
      <c r="HXU22" s="3"/>
      <c r="HXY22" s="3"/>
      <c r="HYC22" s="3"/>
      <c r="HYG22" s="3"/>
      <c r="HYK22" s="3"/>
      <c r="HYO22" s="3"/>
      <c r="HYS22" s="3"/>
      <c r="HYW22" s="3"/>
      <c r="HZA22" s="3"/>
      <c r="HZE22" s="3"/>
      <c r="HZI22" s="3"/>
      <c r="HZM22" s="3"/>
      <c r="HZQ22" s="3"/>
      <c r="HZU22" s="3"/>
      <c r="HZY22" s="3"/>
      <c r="IAC22" s="3"/>
      <c r="IAG22" s="3"/>
      <c r="IAK22" s="3"/>
      <c r="IAO22" s="3"/>
      <c r="IAS22" s="3"/>
      <c r="IAW22" s="3"/>
      <c r="IBA22" s="3"/>
      <c r="IBE22" s="3"/>
      <c r="IBI22" s="3"/>
      <c r="IBM22" s="3"/>
      <c r="IBQ22" s="3"/>
      <c r="IBU22" s="3"/>
      <c r="IBY22" s="3"/>
      <c r="ICC22" s="3"/>
      <c r="ICG22" s="3"/>
      <c r="ICK22" s="3"/>
      <c r="ICO22" s="3"/>
      <c r="ICS22" s="3"/>
      <c r="ICW22" s="3"/>
      <c r="IDA22" s="3"/>
      <c r="IDE22" s="3"/>
      <c r="IDI22" s="3"/>
      <c r="IDM22" s="3"/>
      <c r="IDQ22" s="3"/>
      <c r="IDU22" s="3"/>
      <c r="IDY22" s="3"/>
      <c r="IEC22" s="3"/>
      <c r="IEG22" s="3"/>
      <c r="IEK22" s="3"/>
      <c r="IEO22" s="3"/>
      <c r="IES22" s="3"/>
      <c r="IEW22" s="3"/>
      <c r="IFA22" s="3"/>
      <c r="IFE22" s="3"/>
      <c r="IFI22" s="3"/>
      <c r="IFM22" s="3"/>
      <c r="IFQ22" s="3"/>
      <c r="IFU22" s="3"/>
      <c r="IFY22" s="3"/>
      <c r="IGC22" s="3"/>
      <c r="IGG22" s="3"/>
      <c r="IGK22" s="3"/>
      <c r="IGO22" s="3"/>
      <c r="IGS22" s="3"/>
      <c r="IGW22" s="3"/>
      <c r="IHA22" s="3"/>
      <c r="IHE22" s="3"/>
      <c r="IHI22" s="3"/>
      <c r="IHM22" s="3"/>
      <c r="IHQ22" s="3"/>
      <c r="IHU22" s="3"/>
      <c r="IHY22" s="3"/>
      <c r="IIC22" s="3"/>
      <c r="IIG22" s="3"/>
      <c r="IIK22" s="3"/>
      <c r="IIO22" s="3"/>
      <c r="IIS22" s="3"/>
      <c r="IIW22" s="3"/>
      <c r="IJA22" s="3"/>
      <c r="IJE22" s="3"/>
      <c r="IJI22" s="3"/>
      <c r="IJM22" s="3"/>
      <c r="IJQ22" s="3"/>
      <c r="IJU22" s="3"/>
      <c r="IJY22" s="3"/>
      <c r="IKC22" s="3"/>
      <c r="IKG22" s="3"/>
      <c r="IKK22" s="3"/>
      <c r="IKO22" s="3"/>
      <c r="IKS22" s="3"/>
      <c r="IKW22" s="3"/>
      <c r="ILA22" s="3"/>
      <c r="ILE22" s="3"/>
      <c r="ILI22" s="3"/>
      <c r="ILM22" s="3"/>
      <c r="ILQ22" s="3"/>
      <c r="ILU22" s="3"/>
      <c r="ILY22" s="3"/>
      <c r="IMC22" s="3"/>
      <c r="IMG22" s="3"/>
      <c r="IMK22" s="3"/>
      <c r="IMO22" s="3"/>
      <c r="IMS22" s="3"/>
      <c r="IMW22" s="3"/>
      <c r="INA22" s="3"/>
      <c r="INE22" s="3"/>
      <c r="INI22" s="3"/>
      <c r="INM22" s="3"/>
      <c r="INQ22" s="3"/>
      <c r="INU22" s="3"/>
      <c r="INY22" s="3"/>
      <c r="IOC22" s="3"/>
      <c r="IOG22" s="3"/>
      <c r="IOK22" s="3"/>
      <c r="IOO22" s="3"/>
      <c r="IOS22" s="3"/>
      <c r="IOW22" s="3"/>
      <c r="IPA22" s="3"/>
      <c r="IPE22" s="3"/>
      <c r="IPI22" s="3"/>
      <c r="IPM22" s="3"/>
      <c r="IPQ22" s="3"/>
      <c r="IPU22" s="3"/>
      <c r="IPY22" s="3"/>
      <c r="IQC22" s="3"/>
      <c r="IQG22" s="3"/>
      <c r="IQK22" s="3"/>
      <c r="IQO22" s="3"/>
      <c r="IQS22" s="3"/>
      <c r="IQW22" s="3"/>
      <c r="IRA22" s="3"/>
      <c r="IRE22" s="3"/>
      <c r="IRI22" s="3"/>
      <c r="IRM22" s="3"/>
      <c r="IRQ22" s="3"/>
      <c r="IRU22" s="3"/>
      <c r="IRY22" s="3"/>
      <c r="ISC22" s="3"/>
      <c r="ISG22" s="3"/>
      <c r="ISK22" s="3"/>
      <c r="ISO22" s="3"/>
      <c r="ISS22" s="3"/>
      <c r="ISW22" s="3"/>
      <c r="ITA22" s="3"/>
      <c r="ITE22" s="3"/>
      <c r="ITI22" s="3"/>
      <c r="ITM22" s="3"/>
      <c r="ITQ22" s="3"/>
      <c r="ITU22" s="3"/>
      <c r="ITY22" s="3"/>
      <c r="IUC22" s="3"/>
      <c r="IUG22" s="3"/>
      <c r="IUK22" s="3"/>
      <c r="IUO22" s="3"/>
      <c r="IUS22" s="3"/>
      <c r="IUW22" s="3"/>
      <c r="IVA22" s="3"/>
      <c r="IVE22" s="3"/>
      <c r="IVI22" s="3"/>
      <c r="IVM22" s="3"/>
      <c r="IVQ22" s="3"/>
      <c r="IVU22" s="3"/>
      <c r="IVY22" s="3"/>
      <c r="IWC22" s="3"/>
      <c r="IWG22" s="3"/>
      <c r="IWK22" s="3"/>
      <c r="IWO22" s="3"/>
      <c r="IWS22" s="3"/>
      <c r="IWW22" s="3"/>
      <c r="IXA22" s="3"/>
      <c r="IXE22" s="3"/>
      <c r="IXI22" s="3"/>
      <c r="IXM22" s="3"/>
      <c r="IXQ22" s="3"/>
      <c r="IXU22" s="3"/>
      <c r="IXY22" s="3"/>
      <c r="IYC22" s="3"/>
      <c r="IYG22" s="3"/>
      <c r="IYK22" s="3"/>
      <c r="IYO22" s="3"/>
      <c r="IYS22" s="3"/>
      <c r="IYW22" s="3"/>
      <c r="IZA22" s="3"/>
      <c r="IZE22" s="3"/>
      <c r="IZI22" s="3"/>
      <c r="IZM22" s="3"/>
      <c r="IZQ22" s="3"/>
      <c r="IZU22" s="3"/>
      <c r="IZY22" s="3"/>
      <c r="JAC22" s="3"/>
      <c r="JAG22" s="3"/>
      <c r="JAK22" s="3"/>
      <c r="JAO22" s="3"/>
      <c r="JAS22" s="3"/>
      <c r="JAW22" s="3"/>
      <c r="JBA22" s="3"/>
      <c r="JBE22" s="3"/>
      <c r="JBI22" s="3"/>
      <c r="JBM22" s="3"/>
      <c r="JBQ22" s="3"/>
      <c r="JBU22" s="3"/>
      <c r="JBY22" s="3"/>
      <c r="JCC22" s="3"/>
      <c r="JCG22" s="3"/>
      <c r="JCK22" s="3"/>
      <c r="JCO22" s="3"/>
      <c r="JCS22" s="3"/>
      <c r="JCW22" s="3"/>
      <c r="JDA22" s="3"/>
      <c r="JDE22" s="3"/>
      <c r="JDI22" s="3"/>
      <c r="JDM22" s="3"/>
      <c r="JDQ22" s="3"/>
      <c r="JDU22" s="3"/>
      <c r="JDY22" s="3"/>
      <c r="JEC22" s="3"/>
      <c r="JEG22" s="3"/>
      <c r="JEK22" s="3"/>
      <c r="JEO22" s="3"/>
      <c r="JES22" s="3"/>
      <c r="JEW22" s="3"/>
      <c r="JFA22" s="3"/>
      <c r="JFE22" s="3"/>
      <c r="JFI22" s="3"/>
      <c r="JFM22" s="3"/>
      <c r="JFQ22" s="3"/>
      <c r="JFU22" s="3"/>
      <c r="JFY22" s="3"/>
      <c r="JGC22" s="3"/>
      <c r="JGG22" s="3"/>
      <c r="JGK22" s="3"/>
      <c r="JGO22" s="3"/>
      <c r="JGS22" s="3"/>
      <c r="JGW22" s="3"/>
      <c r="JHA22" s="3"/>
      <c r="JHE22" s="3"/>
      <c r="JHI22" s="3"/>
      <c r="JHM22" s="3"/>
      <c r="JHQ22" s="3"/>
      <c r="JHU22" s="3"/>
      <c r="JHY22" s="3"/>
      <c r="JIC22" s="3"/>
      <c r="JIG22" s="3"/>
      <c r="JIK22" s="3"/>
      <c r="JIO22" s="3"/>
      <c r="JIS22" s="3"/>
      <c r="JIW22" s="3"/>
      <c r="JJA22" s="3"/>
      <c r="JJE22" s="3"/>
      <c r="JJI22" s="3"/>
      <c r="JJM22" s="3"/>
      <c r="JJQ22" s="3"/>
      <c r="JJU22" s="3"/>
      <c r="JJY22" s="3"/>
      <c r="JKC22" s="3"/>
      <c r="JKG22" s="3"/>
      <c r="JKK22" s="3"/>
      <c r="JKO22" s="3"/>
      <c r="JKS22" s="3"/>
      <c r="JKW22" s="3"/>
      <c r="JLA22" s="3"/>
      <c r="JLE22" s="3"/>
      <c r="JLI22" s="3"/>
      <c r="JLM22" s="3"/>
      <c r="JLQ22" s="3"/>
      <c r="JLU22" s="3"/>
      <c r="JLY22" s="3"/>
      <c r="JMC22" s="3"/>
      <c r="JMG22" s="3"/>
      <c r="JMK22" s="3"/>
      <c r="JMO22" s="3"/>
      <c r="JMS22" s="3"/>
      <c r="JMW22" s="3"/>
      <c r="JNA22" s="3"/>
      <c r="JNE22" s="3"/>
      <c r="JNI22" s="3"/>
      <c r="JNM22" s="3"/>
      <c r="JNQ22" s="3"/>
      <c r="JNU22" s="3"/>
      <c r="JNY22" s="3"/>
      <c r="JOC22" s="3"/>
      <c r="JOG22" s="3"/>
      <c r="JOK22" s="3"/>
      <c r="JOO22" s="3"/>
      <c r="JOS22" s="3"/>
      <c r="JOW22" s="3"/>
      <c r="JPA22" s="3"/>
      <c r="JPE22" s="3"/>
      <c r="JPI22" s="3"/>
      <c r="JPM22" s="3"/>
      <c r="JPQ22" s="3"/>
      <c r="JPU22" s="3"/>
      <c r="JPY22" s="3"/>
      <c r="JQC22" s="3"/>
      <c r="JQG22" s="3"/>
      <c r="JQK22" s="3"/>
      <c r="JQO22" s="3"/>
      <c r="JQS22" s="3"/>
      <c r="JQW22" s="3"/>
      <c r="JRA22" s="3"/>
      <c r="JRE22" s="3"/>
      <c r="JRI22" s="3"/>
      <c r="JRM22" s="3"/>
      <c r="JRQ22" s="3"/>
      <c r="JRU22" s="3"/>
      <c r="JRY22" s="3"/>
      <c r="JSC22" s="3"/>
      <c r="JSG22" s="3"/>
      <c r="JSK22" s="3"/>
      <c r="JSO22" s="3"/>
      <c r="JSS22" s="3"/>
      <c r="JSW22" s="3"/>
      <c r="JTA22" s="3"/>
      <c r="JTE22" s="3"/>
      <c r="JTI22" s="3"/>
      <c r="JTM22" s="3"/>
      <c r="JTQ22" s="3"/>
      <c r="JTU22" s="3"/>
      <c r="JTY22" s="3"/>
      <c r="JUC22" s="3"/>
      <c r="JUG22" s="3"/>
      <c r="JUK22" s="3"/>
      <c r="JUO22" s="3"/>
      <c r="JUS22" s="3"/>
      <c r="JUW22" s="3"/>
      <c r="JVA22" s="3"/>
      <c r="JVE22" s="3"/>
      <c r="JVI22" s="3"/>
      <c r="JVM22" s="3"/>
      <c r="JVQ22" s="3"/>
      <c r="JVU22" s="3"/>
      <c r="JVY22" s="3"/>
      <c r="JWC22" s="3"/>
      <c r="JWG22" s="3"/>
      <c r="JWK22" s="3"/>
      <c r="JWO22" s="3"/>
      <c r="JWS22" s="3"/>
      <c r="JWW22" s="3"/>
      <c r="JXA22" s="3"/>
      <c r="JXE22" s="3"/>
      <c r="JXI22" s="3"/>
      <c r="JXM22" s="3"/>
      <c r="JXQ22" s="3"/>
      <c r="JXU22" s="3"/>
      <c r="JXY22" s="3"/>
      <c r="JYC22" s="3"/>
      <c r="JYG22" s="3"/>
      <c r="JYK22" s="3"/>
      <c r="JYO22" s="3"/>
      <c r="JYS22" s="3"/>
      <c r="JYW22" s="3"/>
      <c r="JZA22" s="3"/>
      <c r="JZE22" s="3"/>
      <c r="JZI22" s="3"/>
      <c r="JZM22" s="3"/>
      <c r="JZQ22" s="3"/>
      <c r="JZU22" s="3"/>
      <c r="JZY22" s="3"/>
      <c r="KAC22" s="3"/>
      <c r="KAG22" s="3"/>
      <c r="KAK22" s="3"/>
      <c r="KAO22" s="3"/>
      <c r="KAS22" s="3"/>
      <c r="KAW22" s="3"/>
      <c r="KBA22" s="3"/>
      <c r="KBE22" s="3"/>
      <c r="KBI22" s="3"/>
      <c r="KBM22" s="3"/>
      <c r="KBQ22" s="3"/>
      <c r="KBU22" s="3"/>
      <c r="KBY22" s="3"/>
      <c r="KCC22" s="3"/>
      <c r="KCG22" s="3"/>
      <c r="KCK22" s="3"/>
      <c r="KCO22" s="3"/>
      <c r="KCS22" s="3"/>
      <c r="KCW22" s="3"/>
      <c r="KDA22" s="3"/>
      <c r="KDE22" s="3"/>
      <c r="KDI22" s="3"/>
      <c r="KDM22" s="3"/>
      <c r="KDQ22" s="3"/>
      <c r="KDU22" s="3"/>
      <c r="KDY22" s="3"/>
      <c r="KEC22" s="3"/>
      <c r="KEG22" s="3"/>
      <c r="KEK22" s="3"/>
      <c r="KEO22" s="3"/>
      <c r="KES22" s="3"/>
      <c r="KEW22" s="3"/>
      <c r="KFA22" s="3"/>
      <c r="KFE22" s="3"/>
      <c r="KFI22" s="3"/>
      <c r="KFM22" s="3"/>
      <c r="KFQ22" s="3"/>
      <c r="KFU22" s="3"/>
      <c r="KFY22" s="3"/>
      <c r="KGC22" s="3"/>
      <c r="KGG22" s="3"/>
      <c r="KGK22" s="3"/>
      <c r="KGO22" s="3"/>
      <c r="KGS22" s="3"/>
      <c r="KGW22" s="3"/>
      <c r="KHA22" s="3"/>
      <c r="KHE22" s="3"/>
      <c r="KHI22" s="3"/>
      <c r="KHM22" s="3"/>
      <c r="KHQ22" s="3"/>
      <c r="KHU22" s="3"/>
      <c r="KHY22" s="3"/>
      <c r="KIC22" s="3"/>
      <c r="KIG22" s="3"/>
      <c r="KIK22" s="3"/>
      <c r="KIO22" s="3"/>
      <c r="KIS22" s="3"/>
      <c r="KIW22" s="3"/>
      <c r="KJA22" s="3"/>
      <c r="KJE22" s="3"/>
      <c r="KJI22" s="3"/>
      <c r="KJM22" s="3"/>
      <c r="KJQ22" s="3"/>
      <c r="KJU22" s="3"/>
      <c r="KJY22" s="3"/>
      <c r="KKC22" s="3"/>
      <c r="KKG22" s="3"/>
      <c r="KKK22" s="3"/>
      <c r="KKO22" s="3"/>
      <c r="KKS22" s="3"/>
      <c r="KKW22" s="3"/>
      <c r="KLA22" s="3"/>
      <c r="KLE22" s="3"/>
      <c r="KLI22" s="3"/>
      <c r="KLM22" s="3"/>
      <c r="KLQ22" s="3"/>
      <c r="KLU22" s="3"/>
      <c r="KLY22" s="3"/>
      <c r="KMC22" s="3"/>
      <c r="KMG22" s="3"/>
      <c r="KMK22" s="3"/>
      <c r="KMO22" s="3"/>
      <c r="KMS22" s="3"/>
      <c r="KMW22" s="3"/>
      <c r="KNA22" s="3"/>
      <c r="KNE22" s="3"/>
      <c r="KNI22" s="3"/>
      <c r="KNM22" s="3"/>
      <c r="KNQ22" s="3"/>
      <c r="KNU22" s="3"/>
      <c r="KNY22" s="3"/>
      <c r="KOC22" s="3"/>
      <c r="KOG22" s="3"/>
      <c r="KOK22" s="3"/>
      <c r="KOO22" s="3"/>
      <c r="KOS22" s="3"/>
      <c r="KOW22" s="3"/>
      <c r="KPA22" s="3"/>
      <c r="KPE22" s="3"/>
      <c r="KPI22" s="3"/>
      <c r="KPM22" s="3"/>
      <c r="KPQ22" s="3"/>
      <c r="KPU22" s="3"/>
      <c r="KPY22" s="3"/>
      <c r="KQC22" s="3"/>
      <c r="KQG22" s="3"/>
      <c r="KQK22" s="3"/>
      <c r="KQO22" s="3"/>
      <c r="KQS22" s="3"/>
      <c r="KQW22" s="3"/>
      <c r="KRA22" s="3"/>
      <c r="KRE22" s="3"/>
      <c r="KRI22" s="3"/>
      <c r="KRM22" s="3"/>
      <c r="KRQ22" s="3"/>
      <c r="KRU22" s="3"/>
      <c r="KRY22" s="3"/>
      <c r="KSC22" s="3"/>
      <c r="KSG22" s="3"/>
      <c r="KSK22" s="3"/>
      <c r="KSO22" s="3"/>
      <c r="KSS22" s="3"/>
      <c r="KSW22" s="3"/>
      <c r="KTA22" s="3"/>
      <c r="KTE22" s="3"/>
      <c r="KTI22" s="3"/>
      <c r="KTM22" s="3"/>
      <c r="KTQ22" s="3"/>
      <c r="KTU22" s="3"/>
      <c r="KTY22" s="3"/>
      <c r="KUC22" s="3"/>
      <c r="KUG22" s="3"/>
      <c r="KUK22" s="3"/>
      <c r="KUO22" s="3"/>
      <c r="KUS22" s="3"/>
      <c r="KUW22" s="3"/>
      <c r="KVA22" s="3"/>
      <c r="KVE22" s="3"/>
      <c r="KVI22" s="3"/>
      <c r="KVM22" s="3"/>
      <c r="KVQ22" s="3"/>
      <c r="KVU22" s="3"/>
      <c r="KVY22" s="3"/>
      <c r="KWC22" s="3"/>
      <c r="KWG22" s="3"/>
      <c r="KWK22" s="3"/>
      <c r="KWO22" s="3"/>
      <c r="KWS22" s="3"/>
      <c r="KWW22" s="3"/>
      <c r="KXA22" s="3"/>
      <c r="KXE22" s="3"/>
      <c r="KXI22" s="3"/>
      <c r="KXM22" s="3"/>
      <c r="KXQ22" s="3"/>
      <c r="KXU22" s="3"/>
      <c r="KXY22" s="3"/>
      <c r="KYC22" s="3"/>
      <c r="KYG22" s="3"/>
      <c r="KYK22" s="3"/>
      <c r="KYO22" s="3"/>
      <c r="KYS22" s="3"/>
      <c r="KYW22" s="3"/>
      <c r="KZA22" s="3"/>
      <c r="KZE22" s="3"/>
      <c r="KZI22" s="3"/>
      <c r="KZM22" s="3"/>
      <c r="KZQ22" s="3"/>
      <c r="KZU22" s="3"/>
      <c r="KZY22" s="3"/>
      <c r="LAC22" s="3"/>
      <c r="LAG22" s="3"/>
      <c r="LAK22" s="3"/>
      <c r="LAO22" s="3"/>
      <c r="LAS22" s="3"/>
      <c r="LAW22" s="3"/>
      <c r="LBA22" s="3"/>
      <c r="LBE22" s="3"/>
      <c r="LBI22" s="3"/>
      <c r="LBM22" s="3"/>
      <c r="LBQ22" s="3"/>
      <c r="LBU22" s="3"/>
      <c r="LBY22" s="3"/>
      <c r="LCC22" s="3"/>
      <c r="LCG22" s="3"/>
      <c r="LCK22" s="3"/>
      <c r="LCO22" s="3"/>
      <c r="LCS22" s="3"/>
      <c r="LCW22" s="3"/>
      <c r="LDA22" s="3"/>
      <c r="LDE22" s="3"/>
      <c r="LDI22" s="3"/>
      <c r="LDM22" s="3"/>
      <c r="LDQ22" s="3"/>
      <c r="LDU22" s="3"/>
      <c r="LDY22" s="3"/>
      <c r="LEC22" s="3"/>
      <c r="LEG22" s="3"/>
      <c r="LEK22" s="3"/>
      <c r="LEO22" s="3"/>
      <c r="LES22" s="3"/>
      <c r="LEW22" s="3"/>
      <c r="LFA22" s="3"/>
      <c r="LFE22" s="3"/>
      <c r="LFI22" s="3"/>
      <c r="LFM22" s="3"/>
      <c r="LFQ22" s="3"/>
      <c r="LFU22" s="3"/>
      <c r="LFY22" s="3"/>
      <c r="LGC22" s="3"/>
      <c r="LGG22" s="3"/>
      <c r="LGK22" s="3"/>
      <c r="LGO22" s="3"/>
      <c r="LGS22" s="3"/>
      <c r="LGW22" s="3"/>
      <c r="LHA22" s="3"/>
      <c r="LHE22" s="3"/>
      <c r="LHI22" s="3"/>
      <c r="LHM22" s="3"/>
      <c r="LHQ22" s="3"/>
      <c r="LHU22" s="3"/>
      <c r="LHY22" s="3"/>
      <c r="LIC22" s="3"/>
      <c r="LIG22" s="3"/>
      <c r="LIK22" s="3"/>
      <c r="LIO22" s="3"/>
      <c r="LIS22" s="3"/>
      <c r="LIW22" s="3"/>
      <c r="LJA22" s="3"/>
      <c r="LJE22" s="3"/>
      <c r="LJI22" s="3"/>
      <c r="LJM22" s="3"/>
      <c r="LJQ22" s="3"/>
      <c r="LJU22" s="3"/>
      <c r="LJY22" s="3"/>
      <c r="LKC22" s="3"/>
      <c r="LKG22" s="3"/>
      <c r="LKK22" s="3"/>
      <c r="LKO22" s="3"/>
      <c r="LKS22" s="3"/>
      <c r="LKW22" s="3"/>
      <c r="LLA22" s="3"/>
      <c r="LLE22" s="3"/>
      <c r="LLI22" s="3"/>
      <c r="LLM22" s="3"/>
      <c r="LLQ22" s="3"/>
      <c r="LLU22" s="3"/>
      <c r="LLY22" s="3"/>
      <c r="LMC22" s="3"/>
      <c r="LMG22" s="3"/>
      <c r="LMK22" s="3"/>
      <c r="LMO22" s="3"/>
      <c r="LMS22" s="3"/>
      <c r="LMW22" s="3"/>
      <c r="LNA22" s="3"/>
      <c r="LNE22" s="3"/>
      <c r="LNI22" s="3"/>
      <c r="LNM22" s="3"/>
      <c r="LNQ22" s="3"/>
      <c r="LNU22" s="3"/>
      <c r="LNY22" s="3"/>
      <c r="LOC22" s="3"/>
      <c r="LOG22" s="3"/>
      <c r="LOK22" s="3"/>
      <c r="LOO22" s="3"/>
      <c r="LOS22" s="3"/>
      <c r="LOW22" s="3"/>
      <c r="LPA22" s="3"/>
      <c r="LPE22" s="3"/>
      <c r="LPI22" s="3"/>
      <c r="LPM22" s="3"/>
      <c r="LPQ22" s="3"/>
      <c r="LPU22" s="3"/>
      <c r="LPY22" s="3"/>
      <c r="LQC22" s="3"/>
      <c r="LQG22" s="3"/>
      <c r="LQK22" s="3"/>
      <c r="LQO22" s="3"/>
      <c r="LQS22" s="3"/>
      <c r="LQW22" s="3"/>
      <c r="LRA22" s="3"/>
      <c r="LRE22" s="3"/>
      <c r="LRI22" s="3"/>
      <c r="LRM22" s="3"/>
      <c r="LRQ22" s="3"/>
      <c r="LRU22" s="3"/>
      <c r="LRY22" s="3"/>
      <c r="LSC22" s="3"/>
      <c r="LSG22" s="3"/>
      <c r="LSK22" s="3"/>
      <c r="LSO22" s="3"/>
      <c r="LSS22" s="3"/>
      <c r="LSW22" s="3"/>
      <c r="LTA22" s="3"/>
      <c r="LTE22" s="3"/>
      <c r="LTI22" s="3"/>
      <c r="LTM22" s="3"/>
      <c r="LTQ22" s="3"/>
      <c r="LTU22" s="3"/>
      <c r="LTY22" s="3"/>
      <c r="LUC22" s="3"/>
      <c r="LUG22" s="3"/>
      <c r="LUK22" s="3"/>
      <c r="LUO22" s="3"/>
      <c r="LUS22" s="3"/>
      <c r="LUW22" s="3"/>
      <c r="LVA22" s="3"/>
      <c r="LVE22" s="3"/>
      <c r="LVI22" s="3"/>
      <c r="LVM22" s="3"/>
      <c r="LVQ22" s="3"/>
      <c r="LVU22" s="3"/>
      <c r="LVY22" s="3"/>
      <c r="LWC22" s="3"/>
      <c r="LWG22" s="3"/>
      <c r="LWK22" s="3"/>
      <c r="LWO22" s="3"/>
      <c r="LWS22" s="3"/>
      <c r="LWW22" s="3"/>
      <c r="LXA22" s="3"/>
      <c r="LXE22" s="3"/>
      <c r="LXI22" s="3"/>
      <c r="LXM22" s="3"/>
      <c r="LXQ22" s="3"/>
      <c r="LXU22" s="3"/>
      <c r="LXY22" s="3"/>
      <c r="LYC22" s="3"/>
      <c r="LYG22" s="3"/>
      <c r="LYK22" s="3"/>
      <c r="LYO22" s="3"/>
      <c r="LYS22" s="3"/>
      <c r="LYW22" s="3"/>
      <c r="LZA22" s="3"/>
      <c r="LZE22" s="3"/>
      <c r="LZI22" s="3"/>
      <c r="LZM22" s="3"/>
      <c r="LZQ22" s="3"/>
      <c r="LZU22" s="3"/>
      <c r="LZY22" s="3"/>
      <c r="MAC22" s="3"/>
      <c r="MAG22" s="3"/>
      <c r="MAK22" s="3"/>
      <c r="MAO22" s="3"/>
      <c r="MAS22" s="3"/>
      <c r="MAW22" s="3"/>
      <c r="MBA22" s="3"/>
      <c r="MBE22" s="3"/>
      <c r="MBI22" s="3"/>
      <c r="MBM22" s="3"/>
      <c r="MBQ22" s="3"/>
      <c r="MBU22" s="3"/>
      <c r="MBY22" s="3"/>
      <c r="MCC22" s="3"/>
      <c r="MCG22" s="3"/>
      <c r="MCK22" s="3"/>
      <c r="MCO22" s="3"/>
      <c r="MCS22" s="3"/>
      <c r="MCW22" s="3"/>
      <c r="MDA22" s="3"/>
      <c r="MDE22" s="3"/>
      <c r="MDI22" s="3"/>
      <c r="MDM22" s="3"/>
      <c r="MDQ22" s="3"/>
      <c r="MDU22" s="3"/>
      <c r="MDY22" s="3"/>
      <c r="MEC22" s="3"/>
      <c r="MEG22" s="3"/>
      <c r="MEK22" s="3"/>
      <c r="MEO22" s="3"/>
      <c r="MES22" s="3"/>
      <c r="MEW22" s="3"/>
      <c r="MFA22" s="3"/>
      <c r="MFE22" s="3"/>
      <c r="MFI22" s="3"/>
      <c r="MFM22" s="3"/>
      <c r="MFQ22" s="3"/>
      <c r="MFU22" s="3"/>
      <c r="MFY22" s="3"/>
      <c r="MGC22" s="3"/>
      <c r="MGG22" s="3"/>
      <c r="MGK22" s="3"/>
      <c r="MGO22" s="3"/>
      <c r="MGS22" s="3"/>
      <c r="MGW22" s="3"/>
      <c r="MHA22" s="3"/>
      <c r="MHE22" s="3"/>
      <c r="MHI22" s="3"/>
      <c r="MHM22" s="3"/>
      <c r="MHQ22" s="3"/>
      <c r="MHU22" s="3"/>
      <c r="MHY22" s="3"/>
      <c r="MIC22" s="3"/>
      <c r="MIG22" s="3"/>
      <c r="MIK22" s="3"/>
      <c r="MIO22" s="3"/>
      <c r="MIS22" s="3"/>
      <c r="MIW22" s="3"/>
      <c r="MJA22" s="3"/>
      <c r="MJE22" s="3"/>
      <c r="MJI22" s="3"/>
      <c r="MJM22" s="3"/>
      <c r="MJQ22" s="3"/>
      <c r="MJU22" s="3"/>
      <c r="MJY22" s="3"/>
      <c r="MKC22" s="3"/>
      <c r="MKG22" s="3"/>
      <c r="MKK22" s="3"/>
      <c r="MKO22" s="3"/>
      <c r="MKS22" s="3"/>
      <c r="MKW22" s="3"/>
      <c r="MLA22" s="3"/>
      <c r="MLE22" s="3"/>
      <c r="MLI22" s="3"/>
      <c r="MLM22" s="3"/>
      <c r="MLQ22" s="3"/>
      <c r="MLU22" s="3"/>
      <c r="MLY22" s="3"/>
      <c r="MMC22" s="3"/>
      <c r="MMG22" s="3"/>
      <c r="MMK22" s="3"/>
      <c r="MMO22" s="3"/>
      <c r="MMS22" s="3"/>
      <c r="MMW22" s="3"/>
      <c r="MNA22" s="3"/>
      <c r="MNE22" s="3"/>
      <c r="MNI22" s="3"/>
      <c r="MNM22" s="3"/>
      <c r="MNQ22" s="3"/>
      <c r="MNU22" s="3"/>
      <c r="MNY22" s="3"/>
      <c r="MOC22" s="3"/>
      <c r="MOG22" s="3"/>
      <c r="MOK22" s="3"/>
      <c r="MOO22" s="3"/>
      <c r="MOS22" s="3"/>
      <c r="MOW22" s="3"/>
      <c r="MPA22" s="3"/>
      <c r="MPE22" s="3"/>
      <c r="MPI22" s="3"/>
      <c r="MPM22" s="3"/>
      <c r="MPQ22" s="3"/>
      <c r="MPU22" s="3"/>
      <c r="MPY22" s="3"/>
      <c r="MQC22" s="3"/>
      <c r="MQG22" s="3"/>
      <c r="MQK22" s="3"/>
      <c r="MQO22" s="3"/>
      <c r="MQS22" s="3"/>
      <c r="MQW22" s="3"/>
      <c r="MRA22" s="3"/>
      <c r="MRE22" s="3"/>
      <c r="MRI22" s="3"/>
      <c r="MRM22" s="3"/>
      <c r="MRQ22" s="3"/>
      <c r="MRU22" s="3"/>
      <c r="MRY22" s="3"/>
      <c r="MSC22" s="3"/>
      <c r="MSG22" s="3"/>
      <c r="MSK22" s="3"/>
      <c r="MSO22" s="3"/>
      <c r="MSS22" s="3"/>
      <c r="MSW22" s="3"/>
      <c r="MTA22" s="3"/>
      <c r="MTE22" s="3"/>
      <c r="MTI22" s="3"/>
      <c r="MTM22" s="3"/>
      <c r="MTQ22" s="3"/>
      <c r="MTU22" s="3"/>
      <c r="MTY22" s="3"/>
      <c r="MUC22" s="3"/>
      <c r="MUG22" s="3"/>
      <c r="MUK22" s="3"/>
      <c r="MUO22" s="3"/>
      <c r="MUS22" s="3"/>
      <c r="MUW22" s="3"/>
      <c r="MVA22" s="3"/>
      <c r="MVE22" s="3"/>
      <c r="MVI22" s="3"/>
      <c r="MVM22" s="3"/>
      <c r="MVQ22" s="3"/>
      <c r="MVU22" s="3"/>
      <c r="MVY22" s="3"/>
      <c r="MWC22" s="3"/>
      <c r="MWG22" s="3"/>
      <c r="MWK22" s="3"/>
      <c r="MWO22" s="3"/>
      <c r="MWS22" s="3"/>
      <c r="MWW22" s="3"/>
      <c r="MXA22" s="3"/>
      <c r="MXE22" s="3"/>
      <c r="MXI22" s="3"/>
      <c r="MXM22" s="3"/>
      <c r="MXQ22" s="3"/>
      <c r="MXU22" s="3"/>
      <c r="MXY22" s="3"/>
      <c r="MYC22" s="3"/>
      <c r="MYG22" s="3"/>
      <c r="MYK22" s="3"/>
      <c r="MYO22" s="3"/>
      <c r="MYS22" s="3"/>
      <c r="MYW22" s="3"/>
      <c r="MZA22" s="3"/>
      <c r="MZE22" s="3"/>
      <c r="MZI22" s="3"/>
      <c r="MZM22" s="3"/>
      <c r="MZQ22" s="3"/>
      <c r="MZU22" s="3"/>
      <c r="MZY22" s="3"/>
      <c r="NAC22" s="3"/>
      <c r="NAG22" s="3"/>
      <c r="NAK22" s="3"/>
      <c r="NAO22" s="3"/>
      <c r="NAS22" s="3"/>
      <c r="NAW22" s="3"/>
      <c r="NBA22" s="3"/>
      <c r="NBE22" s="3"/>
      <c r="NBI22" s="3"/>
      <c r="NBM22" s="3"/>
      <c r="NBQ22" s="3"/>
      <c r="NBU22" s="3"/>
      <c r="NBY22" s="3"/>
      <c r="NCC22" s="3"/>
      <c r="NCG22" s="3"/>
      <c r="NCK22" s="3"/>
      <c r="NCO22" s="3"/>
      <c r="NCS22" s="3"/>
      <c r="NCW22" s="3"/>
      <c r="NDA22" s="3"/>
      <c r="NDE22" s="3"/>
      <c r="NDI22" s="3"/>
      <c r="NDM22" s="3"/>
      <c r="NDQ22" s="3"/>
      <c r="NDU22" s="3"/>
      <c r="NDY22" s="3"/>
      <c r="NEC22" s="3"/>
      <c r="NEG22" s="3"/>
      <c r="NEK22" s="3"/>
      <c r="NEO22" s="3"/>
      <c r="NES22" s="3"/>
      <c r="NEW22" s="3"/>
      <c r="NFA22" s="3"/>
      <c r="NFE22" s="3"/>
      <c r="NFI22" s="3"/>
      <c r="NFM22" s="3"/>
      <c r="NFQ22" s="3"/>
      <c r="NFU22" s="3"/>
      <c r="NFY22" s="3"/>
      <c r="NGC22" s="3"/>
      <c r="NGG22" s="3"/>
      <c r="NGK22" s="3"/>
      <c r="NGO22" s="3"/>
      <c r="NGS22" s="3"/>
      <c r="NGW22" s="3"/>
      <c r="NHA22" s="3"/>
      <c r="NHE22" s="3"/>
      <c r="NHI22" s="3"/>
      <c r="NHM22" s="3"/>
      <c r="NHQ22" s="3"/>
      <c r="NHU22" s="3"/>
      <c r="NHY22" s="3"/>
      <c r="NIC22" s="3"/>
      <c r="NIG22" s="3"/>
      <c r="NIK22" s="3"/>
      <c r="NIO22" s="3"/>
      <c r="NIS22" s="3"/>
      <c r="NIW22" s="3"/>
      <c r="NJA22" s="3"/>
      <c r="NJE22" s="3"/>
      <c r="NJI22" s="3"/>
      <c r="NJM22" s="3"/>
      <c r="NJQ22" s="3"/>
      <c r="NJU22" s="3"/>
      <c r="NJY22" s="3"/>
      <c r="NKC22" s="3"/>
      <c r="NKG22" s="3"/>
      <c r="NKK22" s="3"/>
      <c r="NKO22" s="3"/>
      <c r="NKS22" s="3"/>
      <c r="NKW22" s="3"/>
      <c r="NLA22" s="3"/>
      <c r="NLE22" s="3"/>
      <c r="NLI22" s="3"/>
      <c r="NLM22" s="3"/>
      <c r="NLQ22" s="3"/>
      <c r="NLU22" s="3"/>
      <c r="NLY22" s="3"/>
      <c r="NMC22" s="3"/>
      <c r="NMG22" s="3"/>
      <c r="NMK22" s="3"/>
      <c r="NMO22" s="3"/>
      <c r="NMS22" s="3"/>
      <c r="NMW22" s="3"/>
      <c r="NNA22" s="3"/>
      <c r="NNE22" s="3"/>
      <c r="NNI22" s="3"/>
      <c r="NNM22" s="3"/>
      <c r="NNQ22" s="3"/>
      <c r="NNU22" s="3"/>
      <c r="NNY22" s="3"/>
      <c r="NOC22" s="3"/>
      <c r="NOG22" s="3"/>
      <c r="NOK22" s="3"/>
      <c r="NOO22" s="3"/>
      <c r="NOS22" s="3"/>
      <c r="NOW22" s="3"/>
      <c r="NPA22" s="3"/>
      <c r="NPE22" s="3"/>
      <c r="NPI22" s="3"/>
      <c r="NPM22" s="3"/>
      <c r="NPQ22" s="3"/>
      <c r="NPU22" s="3"/>
      <c r="NPY22" s="3"/>
      <c r="NQC22" s="3"/>
      <c r="NQG22" s="3"/>
      <c r="NQK22" s="3"/>
      <c r="NQO22" s="3"/>
      <c r="NQS22" s="3"/>
      <c r="NQW22" s="3"/>
      <c r="NRA22" s="3"/>
      <c r="NRE22" s="3"/>
      <c r="NRI22" s="3"/>
      <c r="NRM22" s="3"/>
      <c r="NRQ22" s="3"/>
      <c r="NRU22" s="3"/>
      <c r="NRY22" s="3"/>
      <c r="NSC22" s="3"/>
      <c r="NSG22" s="3"/>
      <c r="NSK22" s="3"/>
      <c r="NSO22" s="3"/>
      <c r="NSS22" s="3"/>
      <c r="NSW22" s="3"/>
      <c r="NTA22" s="3"/>
      <c r="NTE22" s="3"/>
      <c r="NTI22" s="3"/>
      <c r="NTM22" s="3"/>
      <c r="NTQ22" s="3"/>
      <c r="NTU22" s="3"/>
      <c r="NTY22" s="3"/>
      <c r="NUC22" s="3"/>
      <c r="NUG22" s="3"/>
      <c r="NUK22" s="3"/>
      <c r="NUO22" s="3"/>
      <c r="NUS22" s="3"/>
      <c r="NUW22" s="3"/>
      <c r="NVA22" s="3"/>
      <c r="NVE22" s="3"/>
      <c r="NVI22" s="3"/>
      <c r="NVM22" s="3"/>
      <c r="NVQ22" s="3"/>
      <c r="NVU22" s="3"/>
      <c r="NVY22" s="3"/>
      <c r="NWC22" s="3"/>
      <c r="NWG22" s="3"/>
      <c r="NWK22" s="3"/>
      <c r="NWO22" s="3"/>
      <c r="NWS22" s="3"/>
      <c r="NWW22" s="3"/>
      <c r="NXA22" s="3"/>
      <c r="NXE22" s="3"/>
      <c r="NXI22" s="3"/>
      <c r="NXM22" s="3"/>
      <c r="NXQ22" s="3"/>
      <c r="NXU22" s="3"/>
      <c r="NXY22" s="3"/>
      <c r="NYC22" s="3"/>
      <c r="NYG22" s="3"/>
      <c r="NYK22" s="3"/>
      <c r="NYO22" s="3"/>
      <c r="NYS22" s="3"/>
      <c r="NYW22" s="3"/>
      <c r="NZA22" s="3"/>
      <c r="NZE22" s="3"/>
      <c r="NZI22" s="3"/>
      <c r="NZM22" s="3"/>
      <c r="NZQ22" s="3"/>
      <c r="NZU22" s="3"/>
      <c r="NZY22" s="3"/>
      <c r="OAC22" s="3"/>
      <c r="OAG22" s="3"/>
      <c r="OAK22" s="3"/>
      <c r="OAO22" s="3"/>
      <c r="OAS22" s="3"/>
      <c r="OAW22" s="3"/>
      <c r="OBA22" s="3"/>
      <c r="OBE22" s="3"/>
      <c r="OBI22" s="3"/>
      <c r="OBM22" s="3"/>
      <c r="OBQ22" s="3"/>
      <c r="OBU22" s="3"/>
      <c r="OBY22" s="3"/>
      <c r="OCC22" s="3"/>
      <c r="OCG22" s="3"/>
      <c r="OCK22" s="3"/>
      <c r="OCO22" s="3"/>
      <c r="OCS22" s="3"/>
      <c r="OCW22" s="3"/>
      <c r="ODA22" s="3"/>
      <c r="ODE22" s="3"/>
      <c r="ODI22" s="3"/>
      <c r="ODM22" s="3"/>
      <c r="ODQ22" s="3"/>
      <c r="ODU22" s="3"/>
      <c r="ODY22" s="3"/>
      <c r="OEC22" s="3"/>
      <c r="OEG22" s="3"/>
      <c r="OEK22" s="3"/>
      <c r="OEO22" s="3"/>
      <c r="OES22" s="3"/>
      <c r="OEW22" s="3"/>
      <c r="OFA22" s="3"/>
      <c r="OFE22" s="3"/>
      <c r="OFI22" s="3"/>
      <c r="OFM22" s="3"/>
      <c r="OFQ22" s="3"/>
      <c r="OFU22" s="3"/>
      <c r="OFY22" s="3"/>
      <c r="OGC22" s="3"/>
      <c r="OGG22" s="3"/>
      <c r="OGK22" s="3"/>
      <c r="OGO22" s="3"/>
      <c r="OGS22" s="3"/>
      <c r="OGW22" s="3"/>
      <c r="OHA22" s="3"/>
      <c r="OHE22" s="3"/>
      <c r="OHI22" s="3"/>
      <c r="OHM22" s="3"/>
      <c r="OHQ22" s="3"/>
      <c r="OHU22" s="3"/>
      <c r="OHY22" s="3"/>
      <c r="OIC22" s="3"/>
      <c r="OIG22" s="3"/>
      <c r="OIK22" s="3"/>
      <c r="OIO22" s="3"/>
      <c r="OIS22" s="3"/>
      <c r="OIW22" s="3"/>
      <c r="OJA22" s="3"/>
      <c r="OJE22" s="3"/>
      <c r="OJI22" s="3"/>
      <c r="OJM22" s="3"/>
      <c r="OJQ22" s="3"/>
      <c r="OJU22" s="3"/>
      <c r="OJY22" s="3"/>
      <c r="OKC22" s="3"/>
      <c r="OKG22" s="3"/>
      <c r="OKK22" s="3"/>
      <c r="OKO22" s="3"/>
      <c r="OKS22" s="3"/>
      <c r="OKW22" s="3"/>
      <c r="OLA22" s="3"/>
      <c r="OLE22" s="3"/>
      <c r="OLI22" s="3"/>
      <c r="OLM22" s="3"/>
      <c r="OLQ22" s="3"/>
      <c r="OLU22" s="3"/>
      <c r="OLY22" s="3"/>
      <c r="OMC22" s="3"/>
      <c r="OMG22" s="3"/>
      <c r="OMK22" s="3"/>
      <c r="OMO22" s="3"/>
      <c r="OMS22" s="3"/>
      <c r="OMW22" s="3"/>
      <c r="ONA22" s="3"/>
      <c r="ONE22" s="3"/>
      <c r="ONI22" s="3"/>
      <c r="ONM22" s="3"/>
      <c r="ONQ22" s="3"/>
      <c r="ONU22" s="3"/>
      <c r="ONY22" s="3"/>
      <c r="OOC22" s="3"/>
      <c r="OOG22" s="3"/>
      <c r="OOK22" s="3"/>
      <c r="OOO22" s="3"/>
      <c r="OOS22" s="3"/>
      <c r="OOW22" s="3"/>
      <c r="OPA22" s="3"/>
      <c r="OPE22" s="3"/>
      <c r="OPI22" s="3"/>
      <c r="OPM22" s="3"/>
      <c r="OPQ22" s="3"/>
      <c r="OPU22" s="3"/>
      <c r="OPY22" s="3"/>
      <c r="OQC22" s="3"/>
      <c r="OQG22" s="3"/>
      <c r="OQK22" s="3"/>
      <c r="OQO22" s="3"/>
      <c r="OQS22" s="3"/>
      <c r="OQW22" s="3"/>
      <c r="ORA22" s="3"/>
      <c r="ORE22" s="3"/>
      <c r="ORI22" s="3"/>
      <c r="ORM22" s="3"/>
      <c r="ORQ22" s="3"/>
      <c r="ORU22" s="3"/>
      <c r="ORY22" s="3"/>
      <c r="OSC22" s="3"/>
      <c r="OSG22" s="3"/>
      <c r="OSK22" s="3"/>
      <c r="OSO22" s="3"/>
      <c r="OSS22" s="3"/>
      <c r="OSW22" s="3"/>
      <c r="OTA22" s="3"/>
      <c r="OTE22" s="3"/>
      <c r="OTI22" s="3"/>
      <c r="OTM22" s="3"/>
      <c r="OTQ22" s="3"/>
      <c r="OTU22" s="3"/>
      <c r="OTY22" s="3"/>
      <c r="OUC22" s="3"/>
      <c r="OUG22" s="3"/>
      <c r="OUK22" s="3"/>
      <c r="OUO22" s="3"/>
      <c r="OUS22" s="3"/>
      <c r="OUW22" s="3"/>
      <c r="OVA22" s="3"/>
      <c r="OVE22" s="3"/>
      <c r="OVI22" s="3"/>
      <c r="OVM22" s="3"/>
      <c r="OVQ22" s="3"/>
      <c r="OVU22" s="3"/>
      <c r="OVY22" s="3"/>
      <c r="OWC22" s="3"/>
      <c r="OWG22" s="3"/>
      <c r="OWK22" s="3"/>
      <c r="OWO22" s="3"/>
      <c r="OWS22" s="3"/>
      <c r="OWW22" s="3"/>
      <c r="OXA22" s="3"/>
      <c r="OXE22" s="3"/>
      <c r="OXI22" s="3"/>
      <c r="OXM22" s="3"/>
      <c r="OXQ22" s="3"/>
      <c r="OXU22" s="3"/>
      <c r="OXY22" s="3"/>
      <c r="OYC22" s="3"/>
      <c r="OYG22" s="3"/>
      <c r="OYK22" s="3"/>
      <c r="OYO22" s="3"/>
      <c r="OYS22" s="3"/>
      <c r="OYW22" s="3"/>
      <c r="OZA22" s="3"/>
      <c r="OZE22" s="3"/>
      <c r="OZI22" s="3"/>
      <c r="OZM22" s="3"/>
      <c r="OZQ22" s="3"/>
      <c r="OZU22" s="3"/>
      <c r="OZY22" s="3"/>
      <c r="PAC22" s="3"/>
      <c r="PAG22" s="3"/>
      <c r="PAK22" s="3"/>
      <c r="PAO22" s="3"/>
      <c r="PAS22" s="3"/>
      <c r="PAW22" s="3"/>
      <c r="PBA22" s="3"/>
      <c r="PBE22" s="3"/>
      <c r="PBI22" s="3"/>
      <c r="PBM22" s="3"/>
      <c r="PBQ22" s="3"/>
      <c r="PBU22" s="3"/>
      <c r="PBY22" s="3"/>
      <c r="PCC22" s="3"/>
      <c r="PCG22" s="3"/>
      <c r="PCK22" s="3"/>
      <c r="PCO22" s="3"/>
      <c r="PCS22" s="3"/>
      <c r="PCW22" s="3"/>
      <c r="PDA22" s="3"/>
      <c r="PDE22" s="3"/>
      <c r="PDI22" s="3"/>
      <c r="PDM22" s="3"/>
      <c r="PDQ22" s="3"/>
      <c r="PDU22" s="3"/>
      <c r="PDY22" s="3"/>
      <c r="PEC22" s="3"/>
      <c r="PEG22" s="3"/>
      <c r="PEK22" s="3"/>
      <c r="PEO22" s="3"/>
      <c r="PES22" s="3"/>
      <c r="PEW22" s="3"/>
      <c r="PFA22" s="3"/>
      <c r="PFE22" s="3"/>
      <c r="PFI22" s="3"/>
      <c r="PFM22" s="3"/>
      <c r="PFQ22" s="3"/>
      <c r="PFU22" s="3"/>
      <c r="PFY22" s="3"/>
      <c r="PGC22" s="3"/>
      <c r="PGG22" s="3"/>
      <c r="PGK22" s="3"/>
      <c r="PGO22" s="3"/>
      <c r="PGS22" s="3"/>
      <c r="PGW22" s="3"/>
      <c r="PHA22" s="3"/>
      <c r="PHE22" s="3"/>
      <c r="PHI22" s="3"/>
      <c r="PHM22" s="3"/>
      <c r="PHQ22" s="3"/>
      <c r="PHU22" s="3"/>
      <c r="PHY22" s="3"/>
      <c r="PIC22" s="3"/>
      <c r="PIG22" s="3"/>
      <c r="PIK22" s="3"/>
      <c r="PIO22" s="3"/>
      <c r="PIS22" s="3"/>
      <c r="PIW22" s="3"/>
      <c r="PJA22" s="3"/>
      <c r="PJE22" s="3"/>
      <c r="PJI22" s="3"/>
      <c r="PJM22" s="3"/>
      <c r="PJQ22" s="3"/>
      <c r="PJU22" s="3"/>
      <c r="PJY22" s="3"/>
      <c r="PKC22" s="3"/>
      <c r="PKG22" s="3"/>
      <c r="PKK22" s="3"/>
      <c r="PKO22" s="3"/>
      <c r="PKS22" s="3"/>
      <c r="PKW22" s="3"/>
      <c r="PLA22" s="3"/>
      <c r="PLE22" s="3"/>
      <c r="PLI22" s="3"/>
      <c r="PLM22" s="3"/>
      <c r="PLQ22" s="3"/>
      <c r="PLU22" s="3"/>
      <c r="PLY22" s="3"/>
      <c r="PMC22" s="3"/>
      <c r="PMG22" s="3"/>
      <c r="PMK22" s="3"/>
      <c r="PMO22" s="3"/>
      <c r="PMS22" s="3"/>
      <c r="PMW22" s="3"/>
      <c r="PNA22" s="3"/>
      <c r="PNE22" s="3"/>
      <c r="PNI22" s="3"/>
      <c r="PNM22" s="3"/>
      <c r="PNQ22" s="3"/>
      <c r="PNU22" s="3"/>
      <c r="PNY22" s="3"/>
      <c r="POC22" s="3"/>
      <c r="POG22" s="3"/>
      <c r="POK22" s="3"/>
      <c r="POO22" s="3"/>
      <c r="POS22" s="3"/>
      <c r="POW22" s="3"/>
      <c r="PPA22" s="3"/>
      <c r="PPE22" s="3"/>
      <c r="PPI22" s="3"/>
      <c r="PPM22" s="3"/>
      <c r="PPQ22" s="3"/>
      <c r="PPU22" s="3"/>
      <c r="PPY22" s="3"/>
      <c r="PQC22" s="3"/>
      <c r="PQG22" s="3"/>
      <c r="PQK22" s="3"/>
      <c r="PQO22" s="3"/>
      <c r="PQS22" s="3"/>
      <c r="PQW22" s="3"/>
      <c r="PRA22" s="3"/>
      <c r="PRE22" s="3"/>
      <c r="PRI22" s="3"/>
      <c r="PRM22" s="3"/>
      <c r="PRQ22" s="3"/>
      <c r="PRU22" s="3"/>
      <c r="PRY22" s="3"/>
      <c r="PSC22" s="3"/>
      <c r="PSG22" s="3"/>
      <c r="PSK22" s="3"/>
      <c r="PSO22" s="3"/>
      <c r="PSS22" s="3"/>
      <c r="PSW22" s="3"/>
      <c r="PTA22" s="3"/>
      <c r="PTE22" s="3"/>
      <c r="PTI22" s="3"/>
      <c r="PTM22" s="3"/>
      <c r="PTQ22" s="3"/>
      <c r="PTU22" s="3"/>
      <c r="PTY22" s="3"/>
      <c r="PUC22" s="3"/>
      <c r="PUG22" s="3"/>
      <c r="PUK22" s="3"/>
      <c r="PUO22" s="3"/>
      <c r="PUS22" s="3"/>
      <c r="PUW22" s="3"/>
      <c r="PVA22" s="3"/>
      <c r="PVE22" s="3"/>
      <c r="PVI22" s="3"/>
      <c r="PVM22" s="3"/>
      <c r="PVQ22" s="3"/>
      <c r="PVU22" s="3"/>
      <c r="PVY22" s="3"/>
      <c r="PWC22" s="3"/>
      <c r="PWG22" s="3"/>
      <c r="PWK22" s="3"/>
      <c r="PWO22" s="3"/>
      <c r="PWS22" s="3"/>
      <c r="PWW22" s="3"/>
      <c r="PXA22" s="3"/>
      <c r="PXE22" s="3"/>
      <c r="PXI22" s="3"/>
      <c r="PXM22" s="3"/>
      <c r="PXQ22" s="3"/>
      <c r="PXU22" s="3"/>
      <c r="PXY22" s="3"/>
      <c r="PYC22" s="3"/>
      <c r="PYG22" s="3"/>
      <c r="PYK22" s="3"/>
      <c r="PYO22" s="3"/>
      <c r="PYS22" s="3"/>
      <c r="PYW22" s="3"/>
      <c r="PZA22" s="3"/>
      <c r="PZE22" s="3"/>
      <c r="PZI22" s="3"/>
      <c r="PZM22" s="3"/>
      <c r="PZQ22" s="3"/>
      <c r="PZU22" s="3"/>
      <c r="PZY22" s="3"/>
      <c r="QAC22" s="3"/>
      <c r="QAG22" s="3"/>
      <c r="QAK22" s="3"/>
      <c r="QAO22" s="3"/>
      <c r="QAS22" s="3"/>
      <c r="QAW22" s="3"/>
      <c r="QBA22" s="3"/>
      <c r="QBE22" s="3"/>
      <c r="QBI22" s="3"/>
      <c r="QBM22" s="3"/>
      <c r="QBQ22" s="3"/>
      <c r="QBU22" s="3"/>
      <c r="QBY22" s="3"/>
      <c r="QCC22" s="3"/>
      <c r="QCG22" s="3"/>
      <c r="QCK22" s="3"/>
      <c r="QCO22" s="3"/>
      <c r="QCS22" s="3"/>
      <c r="QCW22" s="3"/>
      <c r="QDA22" s="3"/>
      <c r="QDE22" s="3"/>
      <c r="QDI22" s="3"/>
      <c r="QDM22" s="3"/>
      <c r="QDQ22" s="3"/>
      <c r="QDU22" s="3"/>
      <c r="QDY22" s="3"/>
      <c r="QEC22" s="3"/>
      <c r="QEG22" s="3"/>
      <c r="QEK22" s="3"/>
      <c r="QEO22" s="3"/>
      <c r="QES22" s="3"/>
      <c r="QEW22" s="3"/>
      <c r="QFA22" s="3"/>
      <c r="QFE22" s="3"/>
      <c r="QFI22" s="3"/>
      <c r="QFM22" s="3"/>
      <c r="QFQ22" s="3"/>
      <c r="QFU22" s="3"/>
      <c r="QFY22" s="3"/>
      <c r="QGC22" s="3"/>
      <c r="QGG22" s="3"/>
      <c r="QGK22" s="3"/>
      <c r="QGO22" s="3"/>
      <c r="QGS22" s="3"/>
      <c r="QGW22" s="3"/>
      <c r="QHA22" s="3"/>
      <c r="QHE22" s="3"/>
      <c r="QHI22" s="3"/>
      <c r="QHM22" s="3"/>
      <c r="QHQ22" s="3"/>
      <c r="QHU22" s="3"/>
      <c r="QHY22" s="3"/>
      <c r="QIC22" s="3"/>
      <c r="QIG22" s="3"/>
      <c r="QIK22" s="3"/>
      <c r="QIO22" s="3"/>
      <c r="QIS22" s="3"/>
      <c r="QIW22" s="3"/>
      <c r="QJA22" s="3"/>
      <c r="QJE22" s="3"/>
      <c r="QJI22" s="3"/>
      <c r="QJM22" s="3"/>
      <c r="QJQ22" s="3"/>
      <c r="QJU22" s="3"/>
      <c r="QJY22" s="3"/>
      <c r="QKC22" s="3"/>
      <c r="QKG22" s="3"/>
      <c r="QKK22" s="3"/>
      <c r="QKO22" s="3"/>
      <c r="QKS22" s="3"/>
      <c r="QKW22" s="3"/>
      <c r="QLA22" s="3"/>
      <c r="QLE22" s="3"/>
      <c r="QLI22" s="3"/>
      <c r="QLM22" s="3"/>
      <c r="QLQ22" s="3"/>
      <c r="QLU22" s="3"/>
      <c r="QLY22" s="3"/>
      <c r="QMC22" s="3"/>
      <c r="QMG22" s="3"/>
      <c r="QMK22" s="3"/>
      <c r="QMO22" s="3"/>
      <c r="QMS22" s="3"/>
      <c r="QMW22" s="3"/>
      <c r="QNA22" s="3"/>
      <c r="QNE22" s="3"/>
      <c r="QNI22" s="3"/>
      <c r="QNM22" s="3"/>
      <c r="QNQ22" s="3"/>
      <c r="QNU22" s="3"/>
      <c r="QNY22" s="3"/>
      <c r="QOC22" s="3"/>
      <c r="QOG22" s="3"/>
      <c r="QOK22" s="3"/>
      <c r="QOO22" s="3"/>
      <c r="QOS22" s="3"/>
      <c r="QOW22" s="3"/>
      <c r="QPA22" s="3"/>
      <c r="QPE22" s="3"/>
      <c r="QPI22" s="3"/>
      <c r="QPM22" s="3"/>
      <c r="QPQ22" s="3"/>
      <c r="QPU22" s="3"/>
      <c r="QPY22" s="3"/>
      <c r="QQC22" s="3"/>
      <c r="QQG22" s="3"/>
      <c r="QQK22" s="3"/>
      <c r="QQO22" s="3"/>
      <c r="QQS22" s="3"/>
      <c r="QQW22" s="3"/>
      <c r="QRA22" s="3"/>
      <c r="QRE22" s="3"/>
      <c r="QRI22" s="3"/>
      <c r="QRM22" s="3"/>
      <c r="QRQ22" s="3"/>
      <c r="QRU22" s="3"/>
      <c r="QRY22" s="3"/>
      <c r="QSC22" s="3"/>
      <c r="QSG22" s="3"/>
      <c r="QSK22" s="3"/>
      <c r="QSO22" s="3"/>
      <c r="QSS22" s="3"/>
      <c r="QSW22" s="3"/>
      <c r="QTA22" s="3"/>
      <c r="QTE22" s="3"/>
      <c r="QTI22" s="3"/>
      <c r="QTM22" s="3"/>
      <c r="QTQ22" s="3"/>
      <c r="QTU22" s="3"/>
      <c r="QTY22" s="3"/>
      <c r="QUC22" s="3"/>
      <c r="QUG22" s="3"/>
      <c r="QUK22" s="3"/>
      <c r="QUO22" s="3"/>
      <c r="QUS22" s="3"/>
      <c r="QUW22" s="3"/>
      <c r="QVA22" s="3"/>
      <c r="QVE22" s="3"/>
      <c r="QVI22" s="3"/>
      <c r="QVM22" s="3"/>
      <c r="QVQ22" s="3"/>
      <c r="QVU22" s="3"/>
      <c r="QVY22" s="3"/>
      <c r="QWC22" s="3"/>
      <c r="QWG22" s="3"/>
      <c r="QWK22" s="3"/>
      <c r="QWO22" s="3"/>
      <c r="QWS22" s="3"/>
      <c r="QWW22" s="3"/>
      <c r="QXA22" s="3"/>
      <c r="QXE22" s="3"/>
      <c r="QXI22" s="3"/>
      <c r="QXM22" s="3"/>
      <c r="QXQ22" s="3"/>
      <c r="QXU22" s="3"/>
      <c r="QXY22" s="3"/>
      <c r="QYC22" s="3"/>
      <c r="QYG22" s="3"/>
      <c r="QYK22" s="3"/>
      <c r="QYO22" s="3"/>
      <c r="QYS22" s="3"/>
      <c r="QYW22" s="3"/>
      <c r="QZA22" s="3"/>
      <c r="QZE22" s="3"/>
      <c r="QZI22" s="3"/>
      <c r="QZM22" s="3"/>
      <c r="QZQ22" s="3"/>
      <c r="QZU22" s="3"/>
      <c r="QZY22" s="3"/>
      <c r="RAC22" s="3"/>
      <c r="RAG22" s="3"/>
      <c r="RAK22" s="3"/>
      <c r="RAO22" s="3"/>
      <c r="RAS22" s="3"/>
      <c r="RAW22" s="3"/>
      <c r="RBA22" s="3"/>
      <c r="RBE22" s="3"/>
      <c r="RBI22" s="3"/>
      <c r="RBM22" s="3"/>
      <c r="RBQ22" s="3"/>
      <c r="RBU22" s="3"/>
      <c r="RBY22" s="3"/>
      <c r="RCC22" s="3"/>
      <c r="RCG22" s="3"/>
      <c r="RCK22" s="3"/>
      <c r="RCO22" s="3"/>
      <c r="RCS22" s="3"/>
      <c r="RCW22" s="3"/>
      <c r="RDA22" s="3"/>
      <c r="RDE22" s="3"/>
      <c r="RDI22" s="3"/>
      <c r="RDM22" s="3"/>
      <c r="RDQ22" s="3"/>
      <c r="RDU22" s="3"/>
      <c r="RDY22" s="3"/>
      <c r="REC22" s="3"/>
      <c r="REG22" s="3"/>
      <c r="REK22" s="3"/>
      <c r="REO22" s="3"/>
      <c r="RES22" s="3"/>
      <c r="REW22" s="3"/>
      <c r="RFA22" s="3"/>
      <c r="RFE22" s="3"/>
      <c r="RFI22" s="3"/>
      <c r="RFM22" s="3"/>
      <c r="RFQ22" s="3"/>
      <c r="RFU22" s="3"/>
      <c r="RFY22" s="3"/>
      <c r="RGC22" s="3"/>
      <c r="RGG22" s="3"/>
      <c r="RGK22" s="3"/>
      <c r="RGO22" s="3"/>
      <c r="RGS22" s="3"/>
      <c r="RGW22" s="3"/>
      <c r="RHA22" s="3"/>
      <c r="RHE22" s="3"/>
      <c r="RHI22" s="3"/>
      <c r="RHM22" s="3"/>
      <c r="RHQ22" s="3"/>
      <c r="RHU22" s="3"/>
      <c r="RHY22" s="3"/>
      <c r="RIC22" s="3"/>
      <c r="RIG22" s="3"/>
      <c r="RIK22" s="3"/>
      <c r="RIO22" s="3"/>
      <c r="RIS22" s="3"/>
      <c r="RIW22" s="3"/>
      <c r="RJA22" s="3"/>
      <c r="RJE22" s="3"/>
      <c r="RJI22" s="3"/>
      <c r="RJM22" s="3"/>
      <c r="RJQ22" s="3"/>
      <c r="RJU22" s="3"/>
      <c r="RJY22" s="3"/>
      <c r="RKC22" s="3"/>
      <c r="RKG22" s="3"/>
      <c r="RKK22" s="3"/>
      <c r="RKO22" s="3"/>
      <c r="RKS22" s="3"/>
      <c r="RKW22" s="3"/>
      <c r="RLA22" s="3"/>
      <c r="RLE22" s="3"/>
      <c r="RLI22" s="3"/>
      <c r="RLM22" s="3"/>
      <c r="RLQ22" s="3"/>
      <c r="RLU22" s="3"/>
      <c r="RLY22" s="3"/>
      <c r="RMC22" s="3"/>
      <c r="RMG22" s="3"/>
      <c r="RMK22" s="3"/>
      <c r="RMO22" s="3"/>
      <c r="RMS22" s="3"/>
      <c r="RMW22" s="3"/>
      <c r="RNA22" s="3"/>
      <c r="RNE22" s="3"/>
      <c r="RNI22" s="3"/>
      <c r="RNM22" s="3"/>
      <c r="RNQ22" s="3"/>
      <c r="RNU22" s="3"/>
      <c r="RNY22" s="3"/>
      <c r="ROC22" s="3"/>
      <c r="ROG22" s="3"/>
      <c r="ROK22" s="3"/>
      <c r="ROO22" s="3"/>
      <c r="ROS22" s="3"/>
      <c r="ROW22" s="3"/>
      <c r="RPA22" s="3"/>
      <c r="RPE22" s="3"/>
      <c r="RPI22" s="3"/>
      <c r="RPM22" s="3"/>
      <c r="RPQ22" s="3"/>
      <c r="RPU22" s="3"/>
      <c r="RPY22" s="3"/>
      <c r="RQC22" s="3"/>
      <c r="RQG22" s="3"/>
      <c r="RQK22" s="3"/>
      <c r="RQO22" s="3"/>
      <c r="RQS22" s="3"/>
      <c r="RQW22" s="3"/>
      <c r="RRA22" s="3"/>
      <c r="RRE22" s="3"/>
      <c r="RRI22" s="3"/>
      <c r="RRM22" s="3"/>
      <c r="RRQ22" s="3"/>
      <c r="RRU22" s="3"/>
      <c r="RRY22" s="3"/>
      <c r="RSC22" s="3"/>
      <c r="RSG22" s="3"/>
      <c r="RSK22" s="3"/>
      <c r="RSO22" s="3"/>
      <c r="RSS22" s="3"/>
      <c r="RSW22" s="3"/>
      <c r="RTA22" s="3"/>
      <c r="RTE22" s="3"/>
      <c r="RTI22" s="3"/>
      <c r="RTM22" s="3"/>
      <c r="RTQ22" s="3"/>
      <c r="RTU22" s="3"/>
      <c r="RTY22" s="3"/>
      <c r="RUC22" s="3"/>
      <c r="RUG22" s="3"/>
      <c r="RUK22" s="3"/>
      <c r="RUO22" s="3"/>
      <c r="RUS22" s="3"/>
      <c r="RUW22" s="3"/>
      <c r="RVA22" s="3"/>
      <c r="RVE22" s="3"/>
      <c r="RVI22" s="3"/>
      <c r="RVM22" s="3"/>
      <c r="RVQ22" s="3"/>
      <c r="RVU22" s="3"/>
      <c r="RVY22" s="3"/>
      <c r="RWC22" s="3"/>
      <c r="RWG22" s="3"/>
      <c r="RWK22" s="3"/>
      <c r="RWO22" s="3"/>
      <c r="RWS22" s="3"/>
      <c r="RWW22" s="3"/>
      <c r="RXA22" s="3"/>
      <c r="RXE22" s="3"/>
      <c r="RXI22" s="3"/>
      <c r="RXM22" s="3"/>
      <c r="RXQ22" s="3"/>
      <c r="RXU22" s="3"/>
      <c r="RXY22" s="3"/>
      <c r="RYC22" s="3"/>
      <c r="RYG22" s="3"/>
      <c r="RYK22" s="3"/>
      <c r="RYO22" s="3"/>
      <c r="RYS22" s="3"/>
      <c r="RYW22" s="3"/>
      <c r="RZA22" s="3"/>
      <c r="RZE22" s="3"/>
      <c r="RZI22" s="3"/>
      <c r="RZM22" s="3"/>
      <c r="RZQ22" s="3"/>
      <c r="RZU22" s="3"/>
      <c r="RZY22" s="3"/>
      <c r="SAC22" s="3"/>
      <c r="SAG22" s="3"/>
      <c r="SAK22" s="3"/>
      <c r="SAO22" s="3"/>
      <c r="SAS22" s="3"/>
      <c r="SAW22" s="3"/>
      <c r="SBA22" s="3"/>
      <c r="SBE22" s="3"/>
      <c r="SBI22" s="3"/>
      <c r="SBM22" s="3"/>
      <c r="SBQ22" s="3"/>
      <c r="SBU22" s="3"/>
      <c r="SBY22" s="3"/>
      <c r="SCC22" s="3"/>
      <c r="SCG22" s="3"/>
      <c r="SCK22" s="3"/>
      <c r="SCO22" s="3"/>
      <c r="SCS22" s="3"/>
      <c r="SCW22" s="3"/>
      <c r="SDA22" s="3"/>
      <c r="SDE22" s="3"/>
      <c r="SDI22" s="3"/>
      <c r="SDM22" s="3"/>
      <c r="SDQ22" s="3"/>
      <c r="SDU22" s="3"/>
      <c r="SDY22" s="3"/>
      <c r="SEC22" s="3"/>
      <c r="SEG22" s="3"/>
      <c r="SEK22" s="3"/>
      <c r="SEO22" s="3"/>
      <c r="SES22" s="3"/>
      <c r="SEW22" s="3"/>
      <c r="SFA22" s="3"/>
      <c r="SFE22" s="3"/>
      <c r="SFI22" s="3"/>
      <c r="SFM22" s="3"/>
      <c r="SFQ22" s="3"/>
      <c r="SFU22" s="3"/>
      <c r="SFY22" s="3"/>
      <c r="SGC22" s="3"/>
      <c r="SGG22" s="3"/>
      <c r="SGK22" s="3"/>
      <c r="SGO22" s="3"/>
      <c r="SGS22" s="3"/>
      <c r="SGW22" s="3"/>
      <c r="SHA22" s="3"/>
      <c r="SHE22" s="3"/>
      <c r="SHI22" s="3"/>
      <c r="SHM22" s="3"/>
      <c r="SHQ22" s="3"/>
      <c r="SHU22" s="3"/>
      <c r="SHY22" s="3"/>
      <c r="SIC22" s="3"/>
      <c r="SIG22" s="3"/>
      <c r="SIK22" s="3"/>
      <c r="SIO22" s="3"/>
      <c r="SIS22" s="3"/>
      <c r="SIW22" s="3"/>
      <c r="SJA22" s="3"/>
      <c r="SJE22" s="3"/>
      <c r="SJI22" s="3"/>
      <c r="SJM22" s="3"/>
      <c r="SJQ22" s="3"/>
      <c r="SJU22" s="3"/>
      <c r="SJY22" s="3"/>
      <c r="SKC22" s="3"/>
      <c r="SKG22" s="3"/>
      <c r="SKK22" s="3"/>
      <c r="SKO22" s="3"/>
      <c r="SKS22" s="3"/>
      <c r="SKW22" s="3"/>
      <c r="SLA22" s="3"/>
      <c r="SLE22" s="3"/>
      <c r="SLI22" s="3"/>
      <c r="SLM22" s="3"/>
      <c r="SLQ22" s="3"/>
      <c r="SLU22" s="3"/>
      <c r="SLY22" s="3"/>
      <c r="SMC22" s="3"/>
      <c r="SMG22" s="3"/>
      <c r="SMK22" s="3"/>
      <c r="SMO22" s="3"/>
      <c r="SMS22" s="3"/>
      <c r="SMW22" s="3"/>
      <c r="SNA22" s="3"/>
      <c r="SNE22" s="3"/>
      <c r="SNI22" s="3"/>
      <c r="SNM22" s="3"/>
      <c r="SNQ22" s="3"/>
      <c r="SNU22" s="3"/>
      <c r="SNY22" s="3"/>
      <c r="SOC22" s="3"/>
      <c r="SOG22" s="3"/>
      <c r="SOK22" s="3"/>
      <c r="SOO22" s="3"/>
      <c r="SOS22" s="3"/>
      <c r="SOW22" s="3"/>
      <c r="SPA22" s="3"/>
      <c r="SPE22" s="3"/>
      <c r="SPI22" s="3"/>
      <c r="SPM22" s="3"/>
      <c r="SPQ22" s="3"/>
      <c r="SPU22" s="3"/>
      <c r="SPY22" s="3"/>
      <c r="SQC22" s="3"/>
      <c r="SQG22" s="3"/>
      <c r="SQK22" s="3"/>
      <c r="SQO22" s="3"/>
      <c r="SQS22" s="3"/>
      <c r="SQW22" s="3"/>
      <c r="SRA22" s="3"/>
      <c r="SRE22" s="3"/>
      <c r="SRI22" s="3"/>
      <c r="SRM22" s="3"/>
      <c r="SRQ22" s="3"/>
      <c r="SRU22" s="3"/>
      <c r="SRY22" s="3"/>
      <c r="SSC22" s="3"/>
      <c r="SSG22" s="3"/>
      <c r="SSK22" s="3"/>
      <c r="SSO22" s="3"/>
      <c r="SSS22" s="3"/>
      <c r="SSW22" s="3"/>
      <c r="STA22" s="3"/>
      <c r="STE22" s="3"/>
      <c r="STI22" s="3"/>
      <c r="STM22" s="3"/>
      <c r="STQ22" s="3"/>
      <c r="STU22" s="3"/>
      <c r="STY22" s="3"/>
      <c r="SUC22" s="3"/>
      <c r="SUG22" s="3"/>
      <c r="SUK22" s="3"/>
      <c r="SUO22" s="3"/>
      <c r="SUS22" s="3"/>
      <c r="SUW22" s="3"/>
      <c r="SVA22" s="3"/>
      <c r="SVE22" s="3"/>
      <c r="SVI22" s="3"/>
      <c r="SVM22" s="3"/>
      <c r="SVQ22" s="3"/>
      <c r="SVU22" s="3"/>
      <c r="SVY22" s="3"/>
      <c r="SWC22" s="3"/>
      <c r="SWG22" s="3"/>
      <c r="SWK22" s="3"/>
      <c r="SWO22" s="3"/>
      <c r="SWS22" s="3"/>
      <c r="SWW22" s="3"/>
      <c r="SXA22" s="3"/>
      <c r="SXE22" s="3"/>
      <c r="SXI22" s="3"/>
      <c r="SXM22" s="3"/>
      <c r="SXQ22" s="3"/>
      <c r="SXU22" s="3"/>
      <c r="SXY22" s="3"/>
      <c r="SYC22" s="3"/>
      <c r="SYG22" s="3"/>
      <c r="SYK22" s="3"/>
      <c r="SYO22" s="3"/>
      <c r="SYS22" s="3"/>
      <c r="SYW22" s="3"/>
      <c r="SZA22" s="3"/>
      <c r="SZE22" s="3"/>
      <c r="SZI22" s="3"/>
      <c r="SZM22" s="3"/>
      <c r="SZQ22" s="3"/>
      <c r="SZU22" s="3"/>
      <c r="SZY22" s="3"/>
      <c r="TAC22" s="3"/>
      <c r="TAG22" s="3"/>
      <c r="TAK22" s="3"/>
      <c r="TAO22" s="3"/>
      <c r="TAS22" s="3"/>
      <c r="TAW22" s="3"/>
      <c r="TBA22" s="3"/>
      <c r="TBE22" s="3"/>
      <c r="TBI22" s="3"/>
      <c r="TBM22" s="3"/>
      <c r="TBQ22" s="3"/>
      <c r="TBU22" s="3"/>
      <c r="TBY22" s="3"/>
      <c r="TCC22" s="3"/>
      <c r="TCG22" s="3"/>
      <c r="TCK22" s="3"/>
      <c r="TCO22" s="3"/>
      <c r="TCS22" s="3"/>
      <c r="TCW22" s="3"/>
      <c r="TDA22" s="3"/>
      <c r="TDE22" s="3"/>
      <c r="TDI22" s="3"/>
      <c r="TDM22" s="3"/>
      <c r="TDQ22" s="3"/>
      <c r="TDU22" s="3"/>
      <c r="TDY22" s="3"/>
      <c r="TEC22" s="3"/>
      <c r="TEG22" s="3"/>
      <c r="TEK22" s="3"/>
      <c r="TEO22" s="3"/>
      <c r="TES22" s="3"/>
      <c r="TEW22" s="3"/>
      <c r="TFA22" s="3"/>
      <c r="TFE22" s="3"/>
      <c r="TFI22" s="3"/>
      <c r="TFM22" s="3"/>
      <c r="TFQ22" s="3"/>
      <c r="TFU22" s="3"/>
      <c r="TFY22" s="3"/>
      <c r="TGC22" s="3"/>
      <c r="TGG22" s="3"/>
      <c r="TGK22" s="3"/>
      <c r="TGO22" s="3"/>
      <c r="TGS22" s="3"/>
      <c r="TGW22" s="3"/>
      <c r="THA22" s="3"/>
      <c r="THE22" s="3"/>
      <c r="THI22" s="3"/>
      <c r="THM22" s="3"/>
      <c r="THQ22" s="3"/>
      <c r="THU22" s="3"/>
      <c r="THY22" s="3"/>
      <c r="TIC22" s="3"/>
      <c r="TIG22" s="3"/>
      <c r="TIK22" s="3"/>
      <c r="TIO22" s="3"/>
      <c r="TIS22" s="3"/>
      <c r="TIW22" s="3"/>
      <c r="TJA22" s="3"/>
      <c r="TJE22" s="3"/>
      <c r="TJI22" s="3"/>
      <c r="TJM22" s="3"/>
      <c r="TJQ22" s="3"/>
      <c r="TJU22" s="3"/>
      <c r="TJY22" s="3"/>
      <c r="TKC22" s="3"/>
      <c r="TKG22" s="3"/>
      <c r="TKK22" s="3"/>
      <c r="TKO22" s="3"/>
      <c r="TKS22" s="3"/>
      <c r="TKW22" s="3"/>
      <c r="TLA22" s="3"/>
      <c r="TLE22" s="3"/>
      <c r="TLI22" s="3"/>
      <c r="TLM22" s="3"/>
      <c r="TLQ22" s="3"/>
      <c r="TLU22" s="3"/>
      <c r="TLY22" s="3"/>
      <c r="TMC22" s="3"/>
      <c r="TMG22" s="3"/>
      <c r="TMK22" s="3"/>
      <c r="TMO22" s="3"/>
      <c r="TMS22" s="3"/>
      <c r="TMW22" s="3"/>
      <c r="TNA22" s="3"/>
      <c r="TNE22" s="3"/>
      <c r="TNI22" s="3"/>
      <c r="TNM22" s="3"/>
      <c r="TNQ22" s="3"/>
      <c r="TNU22" s="3"/>
      <c r="TNY22" s="3"/>
      <c r="TOC22" s="3"/>
      <c r="TOG22" s="3"/>
      <c r="TOK22" s="3"/>
      <c r="TOO22" s="3"/>
      <c r="TOS22" s="3"/>
      <c r="TOW22" s="3"/>
      <c r="TPA22" s="3"/>
      <c r="TPE22" s="3"/>
      <c r="TPI22" s="3"/>
      <c r="TPM22" s="3"/>
      <c r="TPQ22" s="3"/>
      <c r="TPU22" s="3"/>
      <c r="TPY22" s="3"/>
      <c r="TQC22" s="3"/>
      <c r="TQG22" s="3"/>
      <c r="TQK22" s="3"/>
      <c r="TQO22" s="3"/>
      <c r="TQS22" s="3"/>
      <c r="TQW22" s="3"/>
      <c r="TRA22" s="3"/>
      <c r="TRE22" s="3"/>
      <c r="TRI22" s="3"/>
      <c r="TRM22" s="3"/>
      <c r="TRQ22" s="3"/>
      <c r="TRU22" s="3"/>
      <c r="TRY22" s="3"/>
      <c r="TSC22" s="3"/>
      <c r="TSG22" s="3"/>
      <c r="TSK22" s="3"/>
      <c r="TSO22" s="3"/>
      <c r="TSS22" s="3"/>
      <c r="TSW22" s="3"/>
      <c r="TTA22" s="3"/>
      <c r="TTE22" s="3"/>
      <c r="TTI22" s="3"/>
      <c r="TTM22" s="3"/>
      <c r="TTQ22" s="3"/>
      <c r="TTU22" s="3"/>
      <c r="TTY22" s="3"/>
      <c r="TUC22" s="3"/>
      <c r="TUG22" s="3"/>
      <c r="TUK22" s="3"/>
      <c r="TUO22" s="3"/>
      <c r="TUS22" s="3"/>
      <c r="TUW22" s="3"/>
      <c r="TVA22" s="3"/>
      <c r="TVE22" s="3"/>
      <c r="TVI22" s="3"/>
      <c r="TVM22" s="3"/>
      <c r="TVQ22" s="3"/>
      <c r="TVU22" s="3"/>
      <c r="TVY22" s="3"/>
      <c r="TWC22" s="3"/>
      <c r="TWG22" s="3"/>
      <c r="TWK22" s="3"/>
      <c r="TWO22" s="3"/>
      <c r="TWS22" s="3"/>
      <c r="TWW22" s="3"/>
      <c r="TXA22" s="3"/>
      <c r="TXE22" s="3"/>
      <c r="TXI22" s="3"/>
      <c r="TXM22" s="3"/>
      <c r="TXQ22" s="3"/>
      <c r="TXU22" s="3"/>
      <c r="TXY22" s="3"/>
      <c r="TYC22" s="3"/>
      <c r="TYG22" s="3"/>
      <c r="TYK22" s="3"/>
      <c r="TYO22" s="3"/>
      <c r="TYS22" s="3"/>
      <c r="TYW22" s="3"/>
      <c r="TZA22" s="3"/>
      <c r="TZE22" s="3"/>
      <c r="TZI22" s="3"/>
      <c r="TZM22" s="3"/>
      <c r="TZQ22" s="3"/>
      <c r="TZU22" s="3"/>
      <c r="TZY22" s="3"/>
      <c r="UAC22" s="3"/>
      <c r="UAG22" s="3"/>
      <c r="UAK22" s="3"/>
      <c r="UAO22" s="3"/>
      <c r="UAS22" s="3"/>
      <c r="UAW22" s="3"/>
      <c r="UBA22" s="3"/>
      <c r="UBE22" s="3"/>
      <c r="UBI22" s="3"/>
      <c r="UBM22" s="3"/>
      <c r="UBQ22" s="3"/>
      <c r="UBU22" s="3"/>
      <c r="UBY22" s="3"/>
      <c r="UCC22" s="3"/>
      <c r="UCG22" s="3"/>
      <c r="UCK22" s="3"/>
      <c r="UCO22" s="3"/>
      <c r="UCS22" s="3"/>
      <c r="UCW22" s="3"/>
      <c r="UDA22" s="3"/>
      <c r="UDE22" s="3"/>
      <c r="UDI22" s="3"/>
      <c r="UDM22" s="3"/>
      <c r="UDQ22" s="3"/>
      <c r="UDU22" s="3"/>
      <c r="UDY22" s="3"/>
      <c r="UEC22" s="3"/>
      <c r="UEG22" s="3"/>
      <c r="UEK22" s="3"/>
      <c r="UEO22" s="3"/>
      <c r="UES22" s="3"/>
      <c r="UEW22" s="3"/>
      <c r="UFA22" s="3"/>
      <c r="UFE22" s="3"/>
      <c r="UFI22" s="3"/>
      <c r="UFM22" s="3"/>
      <c r="UFQ22" s="3"/>
      <c r="UFU22" s="3"/>
      <c r="UFY22" s="3"/>
      <c r="UGC22" s="3"/>
      <c r="UGG22" s="3"/>
      <c r="UGK22" s="3"/>
      <c r="UGO22" s="3"/>
      <c r="UGS22" s="3"/>
      <c r="UGW22" s="3"/>
      <c r="UHA22" s="3"/>
      <c r="UHE22" s="3"/>
      <c r="UHI22" s="3"/>
      <c r="UHM22" s="3"/>
      <c r="UHQ22" s="3"/>
      <c r="UHU22" s="3"/>
      <c r="UHY22" s="3"/>
      <c r="UIC22" s="3"/>
      <c r="UIG22" s="3"/>
      <c r="UIK22" s="3"/>
      <c r="UIO22" s="3"/>
      <c r="UIS22" s="3"/>
      <c r="UIW22" s="3"/>
      <c r="UJA22" s="3"/>
      <c r="UJE22" s="3"/>
      <c r="UJI22" s="3"/>
      <c r="UJM22" s="3"/>
      <c r="UJQ22" s="3"/>
      <c r="UJU22" s="3"/>
      <c r="UJY22" s="3"/>
      <c r="UKC22" s="3"/>
      <c r="UKG22" s="3"/>
      <c r="UKK22" s="3"/>
      <c r="UKO22" s="3"/>
      <c r="UKS22" s="3"/>
      <c r="UKW22" s="3"/>
      <c r="ULA22" s="3"/>
      <c r="ULE22" s="3"/>
      <c r="ULI22" s="3"/>
      <c r="ULM22" s="3"/>
      <c r="ULQ22" s="3"/>
      <c r="ULU22" s="3"/>
      <c r="ULY22" s="3"/>
      <c r="UMC22" s="3"/>
      <c r="UMG22" s="3"/>
      <c r="UMK22" s="3"/>
      <c r="UMO22" s="3"/>
      <c r="UMS22" s="3"/>
      <c r="UMW22" s="3"/>
      <c r="UNA22" s="3"/>
      <c r="UNE22" s="3"/>
      <c r="UNI22" s="3"/>
      <c r="UNM22" s="3"/>
      <c r="UNQ22" s="3"/>
      <c r="UNU22" s="3"/>
      <c r="UNY22" s="3"/>
      <c r="UOC22" s="3"/>
      <c r="UOG22" s="3"/>
      <c r="UOK22" s="3"/>
      <c r="UOO22" s="3"/>
      <c r="UOS22" s="3"/>
      <c r="UOW22" s="3"/>
      <c r="UPA22" s="3"/>
      <c r="UPE22" s="3"/>
      <c r="UPI22" s="3"/>
      <c r="UPM22" s="3"/>
      <c r="UPQ22" s="3"/>
      <c r="UPU22" s="3"/>
      <c r="UPY22" s="3"/>
      <c r="UQC22" s="3"/>
      <c r="UQG22" s="3"/>
      <c r="UQK22" s="3"/>
      <c r="UQO22" s="3"/>
      <c r="UQS22" s="3"/>
      <c r="UQW22" s="3"/>
      <c r="URA22" s="3"/>
      <c r="URE22" s="3"/>
      <c r="URI22" s="3"/>
      <c r="URM22" s="3"/>
      <c r="URQ22" s="3"/>
      <c r="URU22" s="3"/>
      <c r="URY22" s="3"/>
      <c r="USC22" s="3"/>
      <c r="USG22" s="3"/>
      <c r="USK22" s="3"/>
      <c r="USO22" s="3"/>
      <c r="USS22" s="3"/>
      <c r="USW22" s="3"/>
      <c r="UTA22" s="3"/>
      <c r="UTE22" s="3"/>
      <c r="UTI22" s="3"/>
      <c r="UTM22" s="3"/>
      <c r="UTQ22" s="3"/>
      <c r="UTU22" s="3"/>
      <c r="UTY22" s="3"/>
      <c r="UUC22" s="3"/>
      <c r="UUG22" s="3"/>
      <c r="UUK22" s="3"/>
      <c r="UUO22" s="3"/>
      <c r="UUS22" s="3"/>
      <c r="UUW22" s="3"/>
      <c r="UVA22" s="3"/>
      <c r="UVE22" s="3"/>
      <c r="UVI22" s="3"/>
      <c r="UVM22" s="3"/>
      <c r="UVQ22" s="3"/>
      <c r="UVU22" s="3"/>
      <c r="UVY22" s="3"/>
      <c r="UWC22" s="3"/>
      <c r="UWG22" s="3"/>
      <c r="UWK22" s="3"/>
      <c r="UWO22" s="3"/>
      <c r="UWS22" s="3"/>
      <c r="UWW22" s="3"/>
      <c r="UXA22" s="3"/>
      <c r="UXE22" s="3"/>
      <c r="UXI22" s="3"/>
      <c r="UXM22" s="3"/>
      <c r="UXQ22" s="3"/>
      <c r="UXU22" s="3"/>
      <c r="UXY22" s="3"/>
      <c r="UYC22" s="3"/>
      <c r="UYG22" s="3"/>
      <c r="UYK22" s="3"/>
      <c r="UYO22" s="3"/>
      <c r="UYS22" s="3"/>
      <c r="UYW22" s="3"/>
      <c r="UZA22" s="3"/>
      <c r="UZE22" s="3"/>
      <c r="UZI22" s="3"/>
      <c r="UZM22" s="3"/>
      <c r="UZQ22" s="3"/>
      <c r="UZU22" s="3"/>
      <c r="UZY22" s="3"/>
      <c r="VAC22" s="3"/>
      <c r="VAG22" s="3"/>
      <c r="VAK22" s="3"/>
      <c r="VAO22" s="3"/>
      <c r="VAS22" s="3"/>
      <c r="VAW22" s="3"/>
      <c r="VBA22" s="3"/>
      <c r="VBE22" s="3"/>
      <c r="VBI22" s="3"/>
      <c r="VBM22" s="3"/>
      <c r="VBQ22" s="3"/>
      <c r="VBU22" s="3"/>
      <c r="VBY22" s="3"/>
      <c r="VCC22" s="3"/>
      <c r="VCG22" s="3"/>
      <c r="VCK22" s="3"/>
      <c r="VCO22" s="3"/>
      <c r="VCS22" s="3"/>
      <c r="VCW22" s="3"/>
      <c r="VDA22" s="3"/>
      <c r="VDE22" s="3"/>
      <c r="VDI22" s="3"/>
      <c r="VDM22" s="3"/>
      <c r="VDQ22" s="3"/>
      <c r="VDU22" s="3"/>
      <c r="VDY22" s="3"/>
      <c r="VEC22" s="3"/>
      <c r="VEG22" s="3"/>
      <c r="VEK22" s="3"/>
      <c r="VEO22" s="3"/>
      <c r="VES22" s="3"/>
      <c r="VEW22" s="3"/>
      <c r="VFA22" s="3"/>
      <c r="VFE22" s="3"/>
      <c r="VFI22" s="3"/>
      <c r="VFM22" s="3"/>
      <c r="VFQ22" s="3"/>
      <c r="VFU22" s="3"/>
      <c r="VFY22" s="3"/>
      <c r="VGC22" s="3"/>
      <c r="VGG22" s="3"/>
      <c r="VGK22" s="3"/>
      <c r="VGO22" s="3"/>
      <c r="VGS22" s="3"/>
      <c r="VGW22" s="3"/>
      <c r="VHA22" s="3"/>
      <c r="VHE22" s="3"/>
      <c r="VHI22" s="3"/>
      <c r="VHM22" s="3"/>
      <c r="VHQ22" s="3"/>
      <c r="VHU22" s="3"/>
      <c r="VHY22" s="3"/>
      <c r="VIC22" s="3"/>
      <c r="VIG22" s="3"/>
      <c r="VIK22" s="3"/>
      <c r="VIO22" s="3"/>
      <c r="VIS22" s="3"/>
      <c r="VIW22" s="3"/>
      <c r="VJA22" s="3"/>
      <c r="VJE22" s="3"/>
      <c r="VJI22" s="3"/>
      <c r="VJM22" s="3"/>
      <c r="VJQ22" s="3"/>
      <c r="VJU22" s="3"/>
      <c r="VJY22" s="3"/>
      <c r="VKC22" s="3"/>
      <c r="VKG22" s="3"/>
      <c r="VKK22" s="3"/>
      <c r="VKO22" s="3"/>
      <c r="VKS22" s="3"/>
      <c r="VKW22" s="3"/>
      <c r="VLA22" s="3"/>
      <c r="VLE22" s="3"/>
      <c r="VLI22" s="3"/>
      <c r="VLM22" s="3"/>
      <c r="VLQ22" s="3"/>
      <c r="VLU22" s="3"/>
      <c r="VLY22" s="3"/>
      <c r="VMC22" s="3"/>
      <c r="VMG22" s="3"/>
      <c r="VMK22" s="3"/>
      <c r="VMO22" s="3"/>
      <c r="VMS22" s="3"/>
      <c r="VMW22" s="3"/>
      <c r="VNA22" s="3"/>
      <c r="VNE22" s="3"/>
      <c r="VNI22" s="3"/>
      <c r="VNM22" s="3"/>
      <c r="VNQ22" s="3"/>
      <c r="VNU22" s="3"/>
      <c r="VNY22" s="3"/>
      <c r="VOC22" s="3"/>
      <c r="VOG22" s="3"/>
      <c r="VOK22" s="3"/>
      <c r="VOO22" s="3"/>
      <c r="VOS22" s="3"/>
      <c r="VOW22" s="3"/>
      <c r="VPA22" s="3"/>
      <c r="VPE22" s="3"/>
      <c r="VPI22" s="3"/>
      <c r="VPM22" s="3"/>
      <c r="VPQ22" s="3"/>
      <c r="VPU22" s="3"/>
      <c r="VPY22" s="3"/>
      <c r="VQC22" s="3"/>
      <c r="VQG22" s="3"/>
      <c r="VQK22" s="3"/>
      <c r="VQO22" s="3"/>
      <c r="VQS22" s="3"/>
      <c r="VQW22" s="3"/>
      <c r="VRA22" s="3"/>
      <c r="VRE22" s="3"/>
      <c r="VRI22" s="3"/>
      <c r="VRM22" s="3"/>
      <c r="VRQ22" s="3"/>
      <c r="VRU22" s="3"/>
      <c r="VRY22" s="3"/>
      <c r="VSC22" s="3"/>
      <c r="VSG22" s="3"/>
      <c r="VSK22" s="3"/>
      <c r="VSO22" s="3"/>
      <c r="VSS22" s="3"/>
      <c r="VSW22" s="3"/>
      <c r="VTA22" s="3"/>
      <c r="VTE22" s="3"/>
      <c r="VTI22" s="3"/>
      <c r="VTM22" s="3"/>
      <c r="VTQ22" s="3"/>
      <c r="VTU22" s="3"/>
      <c r="VTY22" s="3"/>
      <c r="VUC22" s="3"/>
      <c r="VUG22" s="3"/>
      <c r="VUK22" s="3"/>
      <c r="VUO22" s="3"/>
      <c r="VUS22" s="3"/>
      <c r="VUW22" s="3"/>
      <c r="VVA22" s="3"/>
      <c r="VVE22" s="3"/>
      <c r="VVI22" s="3"/>
      <c r="VVM22" s="3"/>
      <c r="VVQ22" s="3"/>
      <c r="VVU22" s="3"/>
      <c r="VVY22" s="3"/>
      <c r="VWC22" s="3"/>
      <c r="VWG22" s="3"/>
      <c r="VWK22" s="3"/>
      <c r="VWO22" s="3"/>
      <c r="VWS22" s="3"/>
      <c r="VWW22" s="3"/>
      <c r="VXA22" s="3"/>
      <c r="VXE22" s="3"/>
      <c r="VXI22" s="3"/>
      <c r="VXM22" s="3"/>
      <c r="VXQ22" s="3"/>
      <c r="VXU22" s="3"/>
      <c r="VXY22" s="3"/>
      <c r="VYC22" s="3"/>
      <c r="VYG22" s="3"/>
      <c r="VYK22" s="3"/>
      <c r="VYO22" s="3"/>
      <c r="VYS22" s="3"/>
      <c r="VYW22" s="3"/>
      <c r="VZA22" s="3"/>
      <c r="VZE22" s="3"/>
      <c r="VZI22" s="3"/>
      <c r="VZM22" s="3"/>
      <c r="VZQ22" s="3"/>
      <c r="VZU22" s="3"/>
      <c r="VZY22" s="3"/>
      <c r="WAC22" s="3"/>
      <c r="WAG22" s="3"/>
      <c r="WAK22" s="3"/>
      <c r="WAO22" s="3"/>
      <c r="WAS22" s="3"/>
      <c r="WAW22" s="3"/>
      <c r="WBA22" s="3"/>
      <c r="WBE22" s="3"/>
      <c r="WBI22" s="3"/>
      <c r="WBM22" s="3"/>
      <c r="WBQ22" s="3"/>
      <c r="WBU22" s="3"/>
      <c r="WBY22" s="3"/>
      <c r="WCC22" s="3"/>
      <c r="WCG22" s="3"/>
      <c r="WCK22" s="3"/>
      <c r="WCO22" s="3"/>
      <c r="WCS22" s="3"/>
      <c r="WCW22" s="3"/>
      <c r="WDA22" s="3"/>
      <c r="WDE22" s="3"/>
      <c r="WDI22" s="3"/>
      <c r="WDM22" s="3"/>
      <c r="WDQ22" s="3"/>
      <c r="WDU22" s="3"/>
      <c r="WDY22" s="3"/>
      <c r="WEC22" s="3"/>
      <c r="WEG22" s="3"/>
      <c r="WEK22" s="3"/>
      <c r="WEO22" s="3"/>
      <c r="WES22" s="3"/>
      <c r="WEW22" s="3"/>
      <c r="WFA22" s="3"/>
      <c r="WFE22" s="3"/>
      <c r="WFI22" s="3"/>
      <c r="WFM22" s="3"/>
      <c r="WFQ22" s="3"/>
      <c r="WFU22" s="3"/>
      <c r="WFY22" s="3"/>
      <c r="WGC22" s="3"/>
      <c r="WGG22" s="3"/>
      <c r="WGK22" s="3"/>
      <c r="WGO22" s="3"/>
      <c r="WGS22" s="3"/>
      <c r="WGW22" s="3"/>
      <c r="WHA22" s="3"/>
      <c r="WHE22" s="3"/>
      <c r="WHI22" s="3"/>
      <c r="WHM22" s="3"/>
      <c r="WHQ22" s="3"/>
      <c r="WHU22" s="3"/>
      <c r="WHY22" s="3"/>
      <c r="WIC22" s="3"/>
      <c r="WIG22" s="3"/>
      <c r="WIK22" s="3"/>
      <c r="WIO22" s="3"/>
      <c r="WIS22" s="3"/>
      <c r="WIW22" s="3"/>
      <c r="WJA22" s="3"/>
      <c r="WJE22" s="3"/>
      <c r="WJI22" s="3"/>
      <c r="WJM22" s="3"/>
      <c r="WJQ22" s="3"/>
      <c r="WJU22" s="3"/>
      <c r="WJY22" s="3"/>
      <c r="WKC22" s="3"/>
      <c r="WKG22" s="3"/>
      <c r="WKK22" s="3"/>
      <c r="WKO22" s="3"/>
      <c r="WKS22" s="3"/>
      <c r="WKW22" s="3"/>
      <c r="WLA22" s="3"/>
      <c r="WLE22" s="3"/>
      <c r="WLI22" s="3"/>
      <c r="WLM22" s="3"/>
      <c r="WLQ22" s="3"/>
      <c r="WLU22" s="3"/>
      <c r="WLY22" s="3"/>
      <c r="WMC22" s="3"/>
      <c r="WMG22" s="3"/>
      <c r="WMK22" s="3"/>
      <c r="WMO22" s="3"/>
      <c r="WMS22" s="3"/>
      <c r="WMW22" s="3"/>
      <c r="WNA22" s="3"/>
      <c r="WNE22" s="3"/>
      <c r="WNI22" s="3"/>
      <c r="WNM22" s="3"/>
      <c r="WNQ22" s="3"/>
      <c r="WNU22" s="3"/>
      <c r="WNY22" s="3"/>
      <c r="WOC22" s="3"/>
      <c r="WOG22" s="3"/>
      <c r="WOK22" s="3"/>
      <c r="WOO22" s="3"/>
      <c r="WOS22" s="3"/>
      <c r="WOW22" s="3"/>
      <c r="WPA22" s="3"/>
      <c r="WPE22" s="3"/>
      <c r="WPI22" s="3"/>
      <c r="WPM22" s="3"/>
      <c r="WPQ22" s="3"/>
      <c r="WPU22" s="3"/>
      <c r="WPY22" s="3"/>
      <c r="WQC22" s="3"/>
      <c r="WQG22" s="3"/>
      <c r="WQK22" s="3"/>
      <c r="WQO22" s="3"/>
      <c r="WQS22" s="3"/>
      <c r="WQW22" s="3"/>
      <c r="WRA22" s="3"/>
      <c r="WRE22" s="3"/>
      <c r="WRI22" s="3"/>
      <c r="WRM22" s="3"/>
      <c r="WRQ22" s="3"/>
      <c r="WRU22" s="3"/>
      <c r="WRY22" s="3"/>
      <c r="WSC22" s="3"/>
      <c r="WSG22" s="3"/>
      <c r="WSK22" s="3"/>
      <c r="WSO22" s="3"/>
      <c r="WSS22" s="3"/>
      <c r="WSW22" s="3"/>
      <c r="WTA22" s="3"/>
      <c r="WTE22" s="3"/>
      <c r="WTI22" s="3"/>
      <c r="WTM22" s="3"/>
      <c r="WTQ22" s="3"/>
      <c r="WTU22" s="3"/>
      <c r="WTY22" s="3"/>
      <c r="WUC22" s="3"/>
      <c r="WUG22" s="3"/>
      <c r="WUK22" s="3"/>
      <c r="WUO22" s="3"/>
      <c r="WUS22" s="3"/>
      <c r="WUW22" s="3"/>
      <c r="WVA22" s="3"/>
      <c r="WVE22" s="3"/>
      <c r="WVI22" s="3"/>
      <c r="WVM22" s="3"/>
      <c r="WVQ22" s="3"/>
      <c r="WVU22" s="3"/>
      <c r="WVY22" s="3"/>
      <c r="WWC22" s="3"/>
      <c r="WWG22" s="3"/>
      <c r="WWK22" s="3"/>
      <c r="WWO22" s="3"/>
      <c r="WWS22" s="3"/>
      <c r="WWW22" s="3"/>
      <c r="WXA22" s="3"/>
      <c r="WXE22" s="3"/>
      <c r="WXI22" s="3"/>
      <c r="WXM22" s="3"/>
      <c r="WXQ22" s="3"/>
      <c r="WXU22" s="3"/>
      <c r="WXY22" s="3"/>
      <c r="WYC22" s="3"/>
      <c r="WYG22" s="3"/>
      <c r="WYK22" s="3"/>
      <c r="WYO22" s="3"/>
      <c r="WYS22" s="3"/>
      <c r="WYW22" s="3"/>
      <c r="WZA22" s="3"/>
      <c r="WZE22" s="3"/>
      <c r="WZI22" s="3"/>
      <c r="WZM22" s="3"/>
      <c r="WZQ22" s="3"/>
      <c r="WZU22" s="3"/>
      <c r="WZY22" s="3"/>
      <c r="XAC22" s="3"/>
      <c r="XAG22" s="3"/>
      <c r="XAK22" s="3"/>
      <c r="XAO22" s="3"/>
      <c r="XAS22" s="3"/>
      <c r="XAW22" s="3"/>
      <c r="XBA22" s="3"/>
      <c r="XBE22" s="3"/>
      <c r="XBI22" s="3"/>
      <c r="XBM22" s="3"/>
      <c r="XBQ22" s="3"/>
      <c r="XBU22" s="3"/>
      <c r="XBY22" s="3"/>
      <c r="XCC22" s="3"/>
      <c r="XCG22" s="3"/>
      <c r="XCK22" s="3"/>
      <c r="XCO22" s="3"/>
      <c r="XCS22" s="3"/>
      <c r="XCW22" s="3"/>
      <c r="XDA22" s="3"/>
      <c r="XDE22" s="3"/>
      <c r="XDI22" s="3"/>
      <c r="XDM22" s="3"/>
      <c r="XDQ22" s="3"/>
      <c r="XDU22" s="3"/>
      <c r="XDY22" s="3"/>
      <c r="XEC22" s="3"/>
      <c r="XEG22" s="3"/>
      <c r="XEK22" s="3"/>
      <c r="XEO22" s="3"/>
      <c r="XES22" s="3"/>
      <c r="XEW22" s="3"/>
      <c r="XFA22" s="3"/>
    </row>
    <row r="23" spans="1:1021 1025:2045 2049:3069 3073:4093 4097:5117 5121:6141 6145:7165 7169:8189 8193:9213 9217:10237 10241:11261 11265:12285 12289:13309 13313:14333 14337:15357 15361:16381" x14ac:dyDescent="0.4">
      <c r="A23" s="3"/>
      <c r="B23" t="s">
        <v>30</v>
      </c>
      <c r="D23" s="1">
        <f>C22*D21</f>
        <v>4.375</v>
      </c>
      <c r="E23" t="s">
        <v>34</v>
      </c>
      <c r="I23" s="3"/>
      <c r="M23" s="3"/>
      <c r="Q23" s="3"/>
      <c r="U23" s="3"/>
      <c r="Y23" s="3"/>
      <c r="AC23" s="3"/>
      <c r="AG23" s="3"/>
      <c r="AK23" s="3"/>
      <c r="AO23" s="3"/>
      <c r="AS23" s="3"/>
      <c r="AW23" s="3"/>
      <c r="BA23" s="3"/>
      <c r="BE23" s="3"/>
      <c r="BI23" s="3"/>
      <c r="BM23" s="3"/>
      <c r="BQ23" s="3"/>
      <c r="BU23" s="3"/>
      <c r="BY23" s="3"/>
      <c r="CC23" s="3"/>
      <c r="CG23" s="3"/>
      <c r="CK23" s="3"/>
      <c r="CO23" s="3"/>
      <c r="CS23" s="3"/>
      <c r="CW23" s="3"/>
      <c r="DA23" s="3"/>
      <c r="DE23" s="3"/>
      <c r="DI23" s="3"/>
      <c r="DM23" s="3"/>
      <c r="DQ23" s="3"/>
      <c r="DU23" s="3"/>
      <c r="DY23" s="3"/>
      <c r="EC23" s="3"/>
      <c r="EG23" s="3"/>
      <c r="EK23" s="3"/>
      <c r="EO23" s="3"/>
      <c r="ES23" s="3"/>
      <c r="EW23" s="3"/>
      <c r="FA23" s="3"/>
      <c r="FE23" s="3"/>
      <c r="FI23" s="3"/>
      <c r="FM23" s="3"/>
      <c r="FQ23" s="3"/>
      <c r="FU23" s="3"/>
      <c r="FY23" s="3"/>
      <c r="GC23" s="3"/>
      <c r="GG23" s="3"/>
      <c r="GK23" s="3"/>
      <c r="GO23" s="3"/>
      <c r="GS23" s="3"/>
      <c r="GW23" s="3"/>
      <c r="HA23" s="3"/>
      <c r="HE23" s="3"/>
      <c r="HI23" s="3"/>
      <c r="HM23" s="3"/>
      <c r="HQ23" s="3"/>
      <c r="HU23" s="3"/>
      <c r="HY23" s="3"/>
      <c r="IC23" s="3"/>
      <c r="IG23" s="3"/>
      <c r="IK23" s="3"/>
      <c r="IO23" s="3"/>
      <c r="IS23" s="3"/>
      <c r="IW23" s="3"/>
      <c r="JA23" s="3"/>
      <c r="JE23" s="3"/>
      <c r="JI23" s="3"/>
      <c r="JM23" s="3"/>
      <c r="JQ23" s="3"/>
      <c r="JU23" s="3"/>
      <c r="JY23" s="3"/>
      <c r="KC23" s="3"/>
      <c r="KG23" s="3"/>
      <c r="KK23" s="3"/>
      <c r="KO23" s="3"/>
      <c r="KS23" s="3"/>
      <c r="KW23" s="3"/>
      <c r="LA23" s="3"/>
      <c r="LE23" s="3"/>
      <c r="LI23" s="3"/>
      <c r="LM23" s="3"/>
      <c r="LQ23" s="3"/>
      <c r="LU23" s="3"/>
      <c r="LY23" s="3"/>
      <c r="MC23" s="3"/>
      <c r="MG23" s="3"/>
      <c r="MK23" s="3"/>
      <c r="MO23" s="3"/>
      <c r="MS23" s="3"/>
      <c r="MW23" s="3"/>
      <c r="NA23" s="3"/>
      <c r="NE23" s="3"/>
      <c r="NI23" s="3"/>
      <c r="NM23" s="3"/>
      <c r="NQ23" s="3"/>
      <c r="NU23" s="3"/>
      <c r="NY23" s="3"/>
      <c r="OC23" s="3"/>
      <c r="OG23" s="3"/>
      <c r="OK23" s="3"/>
      <c r="OO23" s="3"/>
      <c r="OS23" s="3"/>
      <c r="OW23" s="3"/>
      <c r="PA23" s="3"/>
      <c r="PE23" s="3"/>
      <c r="PI23" s="3"/>
      <c r="PM23" s="3"/>
      <c r="PQ23" s="3"/>
      <c r="PU23" s="3"/>
      <c r="PY23" s="3"/>
      <c r="QC23" s="3"/>
      <c r="QG23" s="3"/>
      <c r="QK23" s="3"/>
      <c r="QO23" s="3"/>
      <c r="QS23" s="3"/>
      <c r="QW23" s="3"/>
      <c r="RA23" s="3"/>
      <c r="RE23" s="3"/>
      <c r="RI23" s="3"/>
      <c r="RM23" s="3"/>
      <c r="RQ23" s="3"/>
      <c r="RU23" s="3"/>
      <c r="RY23" s="3"/>
      <c r="SC23" s="3"/>
      <c r="SG23" s="3"/>
      <c r="SK23" s="3"/>
      <c r="SO23" s="3"/>
      <c r="SS23" s="3"/>
      <c r="SW23" s="3"/>
      <c r="TA23" s="3"/>
      <c r="TE23" s="3"/>
      <c r="TI23" s="3"/>
      <c r="TM23" s="3"/>
      <c r="TQ23" s="3"/>
      <c r="TU23" s="3"/>
      <c r="TY23" s="3"/>
      <c r="UC23" s="3"/>
      <c r="UG23" s="3"/>
      <c r="UK23" s="3"/>
      <c r="UO23" s="3"/>
      <c r="US23" s="3"/>
      <c r="UW23" s="3"/>
      <c r="VA23" s="3"/>
      <c r="VE23" s="3"/>
      <c r="VI23" s="3"/>
      <c r="VM23" s="3"/>
      <c r="VQ23" s="3"/>
      <c r="VU23" s="3"/>
      <c r="VY23" s="3"/>
      <c r="WC23" s="3"/>
      <c r="WG23" s="3"/>
      <c r="WK23" s="3"/>
      <c r="WO23" s="3"/>
      <c r="WS23" s="3"/>
      <c r="WW23" s="3"/>
      <c r="XA23" s="3"/>
      <c r="XE23" s="3"/>
      <c r="XI23" s="3"/>
      <c r="XM23" s="3"/>
      <c r="XQ23" s="3"/>
      <c r="XU23" s="3"/>
      <c r="XY23" s="3"/>
      <c r="YC23" s="3"/>
      <c r="YG23" s="3"/>
      <c r="YK23" s="3"/>
      <c r="YO23" s="3"/>
      <c r="YS23" s="3"/>
      <c r="YW23" s="3"/>
      <c r="ZA23" s="3"/>
      <c r="ZE23" s="3"/>
      <c r="ZI23" s="3"/>
      <c r="ZM23" s="3"/>
      <c r="ZQ23" s="3"/>
      <c r="ZU23" s="3"/>
      <c r="ZY23" s="3"/>
      <c r="AAC23" s="3"/>
      <c r="AAG23" s="3"/>
      <c r="AAK23" s="3"/>
      <c r="AAO23" s="3"/>
      <c r="AAS23" s="3"/>
      <c r="AAW23" s="3"/>
      <c r="ABA23" s="3"/>
      <c r="ABE23" s="3"/>
      <c r="ABI23" s="3"/>
      <c r="ABM23" s="3"/>
      <c r="ABQ23" s="3"/>
      <c r="ABU23" s="3"/>
      <c r="ABY23" s="3"/>
      <c r="ACC23" s="3"/>
      <c r="ACG23" s="3"/>
      <c r="ACK23" s="3"/>
      <c r="ACO23" s="3"/>
      <c r="ACS23" s="3"/>
      <c r="ACW23" s="3"/>
      <c r="ADA23" s="3"/>
      <c r="ADE23" s="3"/>
      <c r="ADI23" s="3"/>
      <c r="ADM23" s="3"/>
      <c r="ADQ23" s="3"/>
      <c r="ADU23" s="3"/>
      <c r="ADY23" s="3"/>
      <c r="AEC23" s="3"/>
      <c r="AEG23" s="3"/>
      <c r="AEK23" s="3"/>
      <c r="AEO23" s="3"/>
      <c r="AES23" s="3"/>
      <c r="AEW23" s="3"/>
      <c r="AFA23" s="3"/>
      <c r="AFE23" s="3"/>
      <c r="AFI23" s="3"/>
      <c r="AFM23" s="3"/>
      <c r="AFQ23" s="3"/>
      <c r="AFU23" s="3"/>
      <c r="AFY23" s="3"/>
      <c r="AGC23" s="3"/>
      <c r="AGG23" s="3"/>
      <c r="AGK23" s="3"/>
      <c r="AGO23" s="3"/>
      <c r="AGS23" s="3"/>
      <c r="AGW23" s="3"/>
      <c r="AHA23" s="3"/>
      <c r="AHE23" s="3"/>
      <c r="AHI23" s="3"/>
      <c r="AHM23" s="3"/>
      <c r="AHQ23" s="3"/>
      <c r="AHU23" s="3"/>
      <c r="AHY23" s="3"/>
      <c r="AIC23" s="3"/>
      <c r="AIG23" s="3"/>
      <c r="AIK23" s="3"/>
      <c r="AIO23" s="3"/>
      <c r="AIS23" s="3"/>
      <c r="AIW23" s="3"/>
      <c r="AJA23" s="3"/>
      <c r="AJE23" s="3"/>
      <c r="AJI23" s="3"/>
      <c r="AJM23" s="3"/>
      <c r="AJQ23" s="3"/>
      <c r="AJU23" s="3"/>
      <c r="AJY23" s="3"/>
      <c r="AKC23" s="3"/>
      <c r="AKG23" s="3"/>
      <c r="AKK23" s="3"/>
      <c r="AKO23" s="3"/>
      <c r="AKS23" s="3"/>
      <c r="AKW23" s="3"/>
      <c r="ALA23" s="3"/>
      <c r="ALE23" s="3"/>
      <c r="ALI23" s="3"/>
      <c r="ALM23" s="3"/>
      <c r="ALQ23" s="3"/>
      <c r="ALU23" s="3"/>
      <c r="ALY23" s="3"/>
      <c r="AMC23" s="3"/>
      <c r="AMG23" s="3"/>
      <c r="AMK23" s="3"/>
      <c r="AMO23" s="3"/>
      <c r="AMS23" s="3"/>
      <c r="AMW23" s="3"/>
      <c r="ANA23" s="3"/>
      <c r="ANE23" s="3"/>
      <c r="ANI23" s="3"/>
      <c r="ANM23" s="3"/>
      <c r="ANQ23" s="3"/>
      <c r="ANU23" s="3"/>
      <c r="ANY23" s="3"/>
      <c r="AOC23" s="3"/>
      <c r="AOG23" s="3"/>
      <c r="AOK23" s="3"/>
      <c r="AOO23" s="3"/>
      <c r="AOS23" s="3"/>
      <c r="AOW23" s="3"/>
      <c r="APA23" s="3"/>
      <c r="APE23" s="3"/>
      <c r="API23" s="3"/>
      <c r="APM23" s="3"/>
      <c r="APQ23" s="3"/>
      <c r="APU23" s="3"/>
      <c r="APY23" s="3"/>
      <c r="AQC23" s="3"/>
      <c r="AQG23" s="3"/>
      <c r="AQK23" s="3"/>
      <c r="AQO23" s="3"/>
      <c r="AQS23" s="3"/>
      <c r="AQW23" s="3"/>
      <c r="ARA23" s="3"/>
      <c r="ARE23" s="3"/>
      <c r="ARI23" s="3"/>
      <c r="ARM23" s="3"/>
      <c r="ARQ23" s="3"/>
      <c r="ARU23" s="3"/>
      <c r="ARY23" s="3"/>
      <c r="ASC23" s="3"/>
      <c r="ASG23" s="3"/>
      <c r="ASK23" s="3"/>
      <c r="ASO23" s="3"/>
      <c r="ASS23" s="3"/>
      <c r="ASW23" s="3"/>
      <c r="ATA23" s="3"/>
      <c r="ATE23" s="3"/>
      <c r="ATI23" s="3"/>
      <c r="ATM23" s="3"/>
      <c r="ATQ23" s="3"/>
      <c r="ATU23" s="3"/>
      <c r="ATY23" s="3"/>
      <c r="AUC23" s="3"/>
      <c r="AUG23" s="3"/>
      <c r="AUK23" s="3"/>
      <c r="AUO23" s="3"/>
      <c r="AUS23" s="3"/>
      <c r="AUW23" s="3"/>
      <c r="AVA23" s="3"/>
      <c r="AVE23" s="3"/>
      <c r="AVI23" s="3"/>
      <c r="AVM23" s="3"/>
      <c r="AVQ23" s="3"/>
      <c r="AVU23" s="3"/>
      <c r="AVY23" s="3"/>
      <c r="AWC23" s="3"/>
      <c r="AWG23" s="3"/>
      <c r="AWK23" s="3"/>
      <c r="AWO23" s="3"/>
      <c r="AWS23" s="3"/>
      <c r="AWW23" s="3"/>
      <c r="AXA23" s="3"/>
      <c r="AXE23" s="3"/>
      <c r="AXI23" s="3"/>
      <c r="AXM23" s="3"/>
      <c r="AXQ23" s="3"/>
      <c r="AXU23" s="3"/>
      <c r="AXY23" s="3"/>
      <c r="AYC23" s="3"/>
      <c r="AYG23" s="3"/>
      <c r="AYK23" s="3"/>
      <c r="AYO23" s="3"/>
      <c r="AYS23" s="3"/>
      <c r="AYW23" s="3"/>
      <c r="AZA23" s="3"/>
      <c r="AZE23" s="3"/>
      <c r="AZI23" s="3"/>
      <c r="AZM23" s="3"/>
      <c r="AZQ23" s="3"/>
      <c r="AZU23" s="3"/>
      <c r="AZY23" s="3"/>
      <c r="BAC23" s="3"/>
      <c r="BAG23" s="3"/>
      <c r="BAK23" s="3"/>
      <c r="BAO23" s="3"/>
      <c r="BAS23" s="3"/>
      <c r="BAW23" s="3"/>
      <c r="BBA23" s="3"/>
      <c r="BBE23" s="3"/>
      <c r="BBI23" s="3"/>
      <c r="BBM23" s="3"/>
      <c r="BBQ23" s="3"/>
      <c r="BBU23" s="3"/>
      <c r="BBY23" s="3"/>
      <c r="BCC23" s="3"/>
      <c r="BCG23" s="3"/>
      <c r="BCK23" s="3"/>
      <c r="BCO23" s="3"/>
      <c r="BCS23" s="3"/>
      <c r="BCW23" s="3"/>
      <c r="BDA23" s="3"/>
      <c r="BDE23" s="3"/>
      <c r="BDI23" s="3"/>
      <c r="BDM23" s="3"/>
      <c r="BDQ23" s="3"/>
      <c r="BDU23" s="3"/>
      <c r="BDY23" s="3"/>
      <c r="BEC23" s="3"/>
      <c r="BEG23" s="3"/>
      <c r="BEK23" s="3"/>
      <c r="BEO23" s="3"/>
      <c r="BES23" s="3"/>
      <c r="BEW23" s="3"/>
      <c r="BFA23" s="3"/>
      <c r="BFE23" s="3"/>
      <c r="BFI23" s="3"/>
      <c r="BFM23" s="3"/>
      <c r="BFQ23" s="3"/>
      <c r="BFU23" s="3"/>
      <c r="BFY23" s="3"/>
      <c r="BGC23" s="3"/>
      <c r="BGG23" s="3"/>
      <c r="BGK23" s="3"/>
      <c r="BGO23" s="3"/>
      <c r="BGS23" s="3"/>
      <c r="BGW23" s="3"/>
      <c r="BHA23" s="3"/>
      <c r="BHE23" s="3"/>
      <c r="BHI23" s="3"/>
      <c r="BHM23" s="3"/>
      <c r="BHQ23" s="3"/>
      <c r="BHU23" s="3"/>
      <c r="BHY23" s="3"/>
      <c r="BIC23" s="3"/>
      <c r="BIG23" s="3"/>
      <c r="BIK23" s="3"/>
      <c r="BIO23" s="3"/>
      <c r="BIS23" s="3"/>
      <c r="BIW23" s="3"/>
      <c r="BJA23" s="3"/>
      <c r="BJE23" s="3"/>
      <c r="BJI23" s="3"/>
      <c r="BJM23" s="3"/>
      <c r="BJQ23" s="3"/>
      <c r="BJU23" s="3"/>
      <c r="BJY23" s="3"/>
      <c r="BKC23" s="3"/>
      <c r="BKG23" s="3"/>
      <c r="BKK23" s="3"/>
      <c r="BKO23" s="3"/>
      <c r="BKS23" s="3"/>
      <c r="BKW23" s="3"/>
      <c r="BLA23" s="3"/>
      <c r="BLE23" s="3"/>
      <c r="BLI23" s="3"/>
      <c r="BLM23" s="3"/>
      <c r="BLQ23" s="3"/>
      <c r="BLU23" s="3"/>
      <c r="BLY23" s="3"/>
      <c r="BMC23" s="3"/>
      <c r="BMG23" s="3"/>
      <c r="BMK23" s="3"/>
      <c r="BMO23" s="3"/>
      <c r="BMS23" s="3"/>
      <c r="BMW23" s="3"/>
      <c r="BNA23" s="3"/>
      <c r="BNE23" s="3"/>
      <c r="BNI23" s="3"/>
      <c r="BNM23" s="3"/>
      <c r="BNQ23" s="3"/>
      <c r="BNU23" s="3"/>
      <c r="BNY23" s="3"/>
      <c r="BOC23" s="3"/>
      <c r="BOG23" s="3"/>
      <c r="BOK23" s="3"/>
      <c r="BOO23" s="3"/>
      <c r="BOS23" s="3"/>
      <c r="BOW23" s="3"/>
      <c r="BPA23" s="3"/>
      <c r="BPE23" s="3"/>
      <c r="BPI23" s="3"/>
      <c r="BPM23" s="3"/>
      <c r="BPQ23" s="3"/>
      <c r="BPU23" s="3"/>
      <c r="BPY23" s="3"/>
      <c r="BQC23" s="3"/>
      <c r="BQG23" s="3"/>
      <c r="BQK23" s="3"/>
      <c r="BQO23" s="3"/>
      <c r="BQS23" s="3"/>
      <c r="BQW23" s="3"/>
      <c r="BRA23" s="3"/>
      <c r="BRE23" s="3"/>
      <c r="BRI23" s="3"/>
      <c r="BRM23" s="3"/>
      <c r="BRQ23" s="3"/>
      <c r="BRU23" s="3"/>
      <c r="BRY23" s="3"/>
      <c r="BSC23" s="3"/>
      <c r="BSG23" s="3"/>
      <c r="BSK23" s="3"/>
      <c r="BSO23" s="3"/>
      <c r="BSS23" s="3"/>
      <c r="BSW23" s="3"/>
      <c r="BTA23" s="3"/>
      <c r="BTE23" s="3"/>
      <c r="BTI23" s="3"/>
      <c r="BTM23" s="3"/>
      <c r="BTQ23" s="3"/>
      <c r="BTU23" s="3"/>
      <c r="BTY23" s="3"/>
      <c r="BUC23" s="3"/>
      <c r="BUG23" s="3"/>
      <c r="BUK23" s="3"/>
      <c r="BUO23" s="3"/>
      <c r="BUS23" s="3"/>
      <c r="BUW23" s="3"/>
      <c r="BVA23" s="3"/>
      <c r="BVE23" s="3"/>
      <c r="BVI23" s="3"/>
      <c r="BVM23" s="3"/>
      <c r="BVQ23" s="3"/>
      <c r="BVU23" s="3"/>
      <c r="BVY23" s="3"/>
      <c r="BWC23" s="3"/>
      <c r="BWG23" s="3"/>
      <c r="BWK23" s="3"/>
      <c r="BWO23" s="3"/>
      <c r="BWS23" s="3"/>
      <c r="BWW23" s="3"/>
      <c r="BXA23" s="3"/>
      <c r="BXE23" s="3"/>
      <c r="BXI23" s="3"/>
      <c r="BXM23" s="3"/>
      <c r="BXQ23" s="3"/>
      <c r="BXU23" s="3"/>
      <c r="BXY23" s="3"/>
      <c r="BYC23" s="3"/>
      <c r="BYG23" s="3"/>
      <c r="BYK23" s="3"/>
      <c r="BYO23" s="3"/>
      <c r="BYS23" s="3"/>
      <c r="BYW23" s="3"/>
      <c r="BZA23" s="3"/>
      <c r="BZE23" s="3"/>
      <c r="BZI23" s="3"/>
      <c r="BZM23" s="3"/>
      <c r="BZQ23" s="3"/>
      <c r="BZU23" s="3"/>
      <c r="BZY23" s="3"/>
      <c r="CAC23" s="3"/>
      <c r="CAG23" s="3"/>
      <c r="CAK23" s="3"/>
      <c r="CAO23" s="3"/>
      <c r="CAS23" s="3"/>
      <c r="CAW23" s="3"/>
      <c r="CBA23" s="3"/>
      <c r="CBE23" s="3"/>
      <c r="CBI23" s="3"/>
      <c r="CBM23" s="3"/>
      <c r="CBQ23" s="3"/>
      <c r="CBU23" s="3"/>
      <c r="CBY23" s="3"/>
      <c r="CCC23" s="3"/>
      <c r="CCG23" s="3"/>
      <c r="CCK23" s="3"/>
      <c r="CCO23" s="3"/>
      <c r="CCS23" s="3"/>
      <c r="CCW23" s="3"/>
      <c r="CDA23" s="3"/>
      <c r="CDE23" s="3"/>
      <c r="CDI23" s="3"/>
      <c r="CDM23" s="3"/>
      <c r="CDQ23" s="3"/>
      <c r="CDU23" s="3"/>
      <c r="CDY23" s="3"/>
      <c r="CEC23" s="3"/>
      <c r="CEG23" s="3"/>
      <c r="CEK23" s="3"/>
      <c r="CEO23" s="3"/>
      <c r="CES23" s="3"/>
      <c r="CEW23" s="3"/>
      <c r="CFA23" s="3"/>
      <c r="CFE23" s="3"/>
      <c r="CFI23" s="3"/>
      <c r="CFM23" s="3"/>
      <c r="CFQ23" s="3"/>
      <c r="CFU23" s="3"/>
      <c r="CFY23" s="3"/>
      <c r="CGC23" s="3"/>
      <c r="CGG23" s="3"/>
      <c r="CGK23" s="3"/>
      <c r="CGO23" s="3"/>
      <c r="CGS23" s="3"/>
      <c r="CGW23" s="3"/>
      <c r="CHA23" s="3"/>
      <c r="CHE23" s="3"/>
      <c r="CHI23" s="3"/>
      <c r="CHM23" s="3"/>
      <c r="CHQ23" s="3"/>
      <c r="CHU23" s="3"/>
      <c r="CHY23" s="3"/>
      <c r="CIC23" s="3"/>
      <c r="CIG23" s="3"/>
      <c r="CIK23" s="3"/>
      <c r="CIO23" s="3"/>
      <c r="CIS23" s="3"/>
      <c r="CIW23" s="3"/>
      <c r="CJA23" s="3"/>
      <c r="CJE23" s="3"/>
      <c r="CJI23" s="3"/>
      <c r="CJM23" s="3"/>
      <c r="CJQ23" s="3"/>
      <c r="CJU23" s="3"/>
      <c r="CJY23" s="3"/>
      <c r="CKC23" s="3"/>
      <c r="CKG23" s="3"/>
      <c r="CKK23" s="3"/>
      <c r="CKO23" s="3"/>
      <c r="CKS23" s="3"/>
      <c r="CKW23" s="3"/>
      <c r="CLA23" s="3"/>
      <c r="CLE23" s="3"/>
      <c r="CLI23" s="3"/>
      <c r="CLM23" s="3"/>
      <c r="CLQ23" s="3"/>
      <c r="CLU23" s="3"/>
      <c r="CLY23" s="3"/>
      <c r="CMC23" s="3"/>
      <c r="CMG23" s="3"/>
      <c r="CMK23" s="3"/>
      <c r="CMO23" s="3"/>
      <c r="CMS23" s="3"/>
      <c r="CMW23" s="3"/>
      <c r="CNA23" s="3"/>
      <c r="CNE23" s="3"/>
      <c r="CNI23" s="3"/>
      <c r="CNM23" s="3"/>
      <c r="CNQ23" s="3"/>
      <c r="CNU23" s="3"/>
      <c r="CNY23" s="3"/>
      <c r="COC23" s="3"/>
      <c r="COG23" s="3"/>
      <c r="COK23" s="3"/>
      <c r="COO23" s="3"/>
      <c r="COS23" s="3"/>
      <c r="COW23" s="3"/>
      <c r="CPA23" s="3"/>
      <c r="CPE23" s="3"/>
      <c r="CPI23" s="3"/>
      <c r="CPM23" s="3"/>
      <c r="CPQ23" s="3"/>
      <c r="CPU23" s="3"/>
      <c r="CPY23" s="3"/>
      <c r="CQC23" s="3"/>
      <c r="CQG23" s="3"/>
      <c r="CQK23" s="3"/>
      <c r="CQO23" s="3"/>
      <c r="CQS23" s="3"/>
      <c r="CQW23" s="3"/>
      <c r="CRA23" s="3"/>
      <c r="CRE23" s="3"/>
      <c r="CRI23" s="3"/>
      <c r="CRM23" s="3"/>
      <c r="CRQ23" s="3"/>
      <c r="CRU23" s="3"/>
      <c r="CRY23" s="3"/>
      <c r="CSC23" s="3"/>
      <c r="CSG23" s="3"/>
      <c r="CSK23" s="3"/>
      <c r="CSO23" s="3"/>
      <c r="CSS23" s="3"/>
      <c r="CSW23" s="3"/>
      <c r="CTA23" s="3"/>
      <c r="CTE23" s="3"/>
      <c r="CTI23" s="3"/>
      <c r="CTM23" s="3"/>
      <c r="CTQ23" s="3"/>
      <c r="CTU23" s="3"/>
      <c r="CTY23" s="3"/>
      <c r="CUC23" s="3"/>
      <c r="CUG23" s="3"/>
      <c r="CUK23" s="3"/>
      <c r="CUO23" s="3"/>
      <c r="CUS23" s="3"/>
      <c r="CUW23" s="3"/>
      <c r="CVA23" s="3"/>
      <c r="CVE23" s="3"/>
      <c r="CVI23" s="3"/>
      <c r="CVM23" s="3"/>
      <c r="CVQ23" s="3"/>
      <c r="CVU23" s="3"/>
      <c r="CVY23" s="3"/>
      <c r="CWC23" s="3"/>
      <c r="CWG23" s="3"/>
      <c r="CWK23" s="3"/>
      <c r="CWO23" s="3"/>
      <c r="CWS23" s="3"/>
      <c r="CWW23" s="3"/>
      <c r="CXA23" s="3"/>
      <c r="CXE23" s="3"/>
      <c r="CXI23" s="3"/>
      <c r="CXM23" s="3"/>
      <c r="CXQ23" s="3"/>
      <c r="CXU23" s="3"/>
      <c r="CXY23" s="3"/>
      <c r="CYC23" s="3"/>
      <c r="CYG23" s="3"/>
      <c r="CYK23" s="3"/>
      <c r="CYO23" s="3"/>
      <c r="CYS23" s="3"/>
      <c r="CYW23" s="3"/>
      <c r="CZA23" s="3"/>
      <c r="CZE23" s="3"/>
      <c r="CZI23" s="3"/>
      <c r="CZM23" s="3"/>
      <c r="CZQ23" s="3"/>
      <c r="CZU23" s="3"/>
      <c r="CZY23" s="3"/>
      <c r="DAC23" s="3"/>
      <c r="DAG23" s="3"/>
      <c r="DAK23" s="3"/>
      <c r="DAO23" s="3"/>
      <c r="DAS23" s="3"/>
      <c r="DAW23" s="3"/>
      <c r="DBA23" s="3"/>
      <c r="DBE23" s="3"/>
      <c r="DBI23" s="3"/>
      <c r="DBM23" s="3"/>
      <c r="DBQ23" s="3"/>
      <c r="DBU23" s="3"/>
      <c r="DBY23" s="3"/>
      <c r="DCC23" s="3"/>
      <c r="DCG23" s="3"/>
      <c r="DCK23" s="3"/>
      <c r="DCO23" s="3"/>
      <c r="DCS23" s="3"/>
      <c r="DCW23" s="3"/>
      <c r="DDA23" s="3"/>
      <c r="DDE23" s="3"/>
      <c r="DDI23" s="3"/>
      <c r="DDM23" s="3"/>
      <c r="DDQ23" s="3"/>
      <c r="DDU23" s="3"/>
      <c r="DDY23" s="3"/>
      <c r="DEC23" s="3"/>
      <c r="DEG23" s="3"/>
      <c r="DEK23" s="3"/>
      <c r="DEO23" s="3"/>
      <c r="DES23" s="3"/>
      <c r="DEW23" s="3"/>
      <c r="DFA23" s="3"/>
      <c r="DFE23" s="3"/>
      <c r="DFI23" s="3"/>
      <c r="DFM23" s="3"/>
      <c r="DFQ23" s="3"/>
      <c r="DFU23" s="3"/>
      <c r="DFY23" s="3"/>
      <c r="DGC23" s="3"/>
      <c r="DGG23" s="3"/>
      <c r="DGK23" s="3"/>
      <c r="DGO23" s="3"/>
      <c r="DGS23" s="3"/>
      <c r="DGW23" s="3"/>
      <c r="DHA23" s="3"/>
      <c r="DHE23" s="3"/>
      <c r="DHI23" s="3"/>
      <c r="DHM23" s="3"/>
      <c r="DHQ23" s="3"/>
      <c r="DHU23" s="3"/>
      <c r="DHY23" s="3"/>
      <c r="DIC23" s="3"/>
      <c r="DIG23" s="3"/>
      <c r="DIK23" s="3"/>
      <c r="DIO23" s="3"/>
      <c r="DIS23" s="3"/>
      <c r="DIW23" s="3"/>
      <c r="DJA23" s="3"/>
      <c r="DJE23" s="3"/>
      <c r="DJI23" s="3"/>
      <c r="DJM23" s="3"/>
      <c r="DJQ23" s="3"/>
      <c r="DJU23" s="3"/>
      <c r="DJY23" s="3"/>
      <c r="DKC23" s="3"/>
      <c r="DKG23" s="3"/>
      <c r="DKK23" s="3"/>
      <c r="DKO23" s="3"/>
      <c r="DKS23" s="3"/>
      <c r="DKW23" s="3"/>
      <c r="DLA23" s="3"/>
      <c r="DLE23" s="3"/>
      <c r="DLI23" s="3"/>
      <c r="DLM23" s="3"/>
      <c r="DLQ23" s="3"/>
      <c r="DLU23" s="3"/>
      <c r="DLY23" s="3"/>
      <c r="DMC23" s="3"/>
      <c r="DMG23" s="3"/>
      <c r="DMK23" s="3"/>
      <c r="DMO23" s="3"/>
      <c r="DMS23" s="3"/>
      <c r="DMW23" s="3"/>
      <c r="DNA23" s="3"/>
      <c r="DNE23" s="3"/>
      <c r="DNI23" s="3"/>
      <c r="DNM23" s="3"/>
      <c r="DNQ23" s="3"/>
      <c r="DNU23" s="3"/>
      <c r="DNY23" s="3"/>
      <c r="DOC23" s="3"/>
      <c r="DOG23" s="3"/>
      <c r="DOK23" s="3"/>
      <c r="DOO23" s="3"/>
      <c r="DOS23" s="3"/>
      <c r="DOW23" s="3"/>
      <c r="DPA23" s="3"/>
      <c r="DPE23" s="3"/>
      <c r="DPI23" s="3"/>
      <c r="DPM23" s="3"/>
      <c r="DPQ23" s="3"/>
      <c r="DPU23" s="3"/>
      <c r="DPY23" s="3"/>
      <c r="DQC23" s="3"/>
      <c r="DQG23" s="3"/>
      <c r="DQK23" s="3"/>
      <c r="DQO23" s="3"/>
      <c r="DQS23" s="3"/>
      <c r="DQW23" s="3"/>
      <c r="DRA23" s="3"/>
      <c r="DRE23" s="3"/>
      <c r="DRI23" s="3"/>
      <c r="DRM23" s="3"/>
      <c r="DRQ23" s="3"/>
      <c r="DRU23" s="3"/>
      <c r="DRY23" s="3"/>
      <c r="DSC23" s="3"/>
      <c r="DSG23" s="3"/>
      <c r="DSK23" s="3"/>
      <c r="DSO23" s="3"/>
      <c r="DSS23" s="3"/>
      <c r="DSW23" s="3"/>
      <c r="DTA23" s="3"/>
      <c r="DTE23" s="3"/>
      <c r="DTI23" s="3"/>
      <c r="DTM23" s="3"/>
      <c r="DTQ23" s="3"/>
      <c r="DTU23" s="3"/>
      <c r="DTY23" s="3"/>
      <c r="DUC23" s="3"/>
      <c r="DUG23" s="3"/>
      <c r="DUK23" s="3"/>
      <c r="DUO23" s="3"/>
      <c r="DUS23" s="3"/>
      <c r="DUW23" s="3"/>
      <c r="DVA23" s="3"/>
      <c r="DVE23" s="3"/>
      <c r="DVI23" s="3"/>
      <c r="DVM23" s="3"/>
      <c r="DVQ23" s="3"/>
      <c r="DVU23" s="3"/>
      <c r="DVY23" s="3"/>
      <c r="DWC23" s="3"/>
      <c r="DWG23" s="3"/>
      <c r="DWK23" s="3"/>
      <c r="DWO23" s="3"/>
      <c r="DWS23" s="3"/>
      <c r="DWW23" s="3"/>
      <c r="DXA23" s="3"/>
      <c r="DXE23" s="3"/>
      <c r="DXI23" s="3"/>
      <c r="DXM23" s="3"/>
      <c r="DXQ23" s="3"/>
      <c r="DXU23" s="3"/>
      <c r="DXY23" s="3"/>
      <c r="DYC23" s="3"/>
      <c r="DYG23" s="3"/>
      <c r="DYK23" s="3"/>
      <c r="DYO23" s="3"/>
      <c r="DYS23" s="3"/>
      <c r="DYW23" s="3"/>
      <c r="DZA23" s="3"/>
      <c r="DZE23" s="3"/>
      <c r="DZI23" s="3"/>
      <c r="DZM23" s="3"/>
      <c r="DZQ23" s="3"/>
      <c r="DZU23" s="3"/>
      <c r="DZY23" s="3"/>
      <c r="EAC23" s="3"/>
      <c r="EAG23" s="3"/>
      <c r="EAK23" s="3"/>
      <c r="EAO23" s="3"/>
      <c r="EAS23" s="3"/>
      <c r="EAW23" s="3"/>
      <c r="EBA23" s="3"/>
      <c r="EBE23" s="3"/>
      <c r="EBI23" s="3"/>
      <c r="EBM23" s="3"/>
      <c r="EBQ23" s="3"/>
      <c r="EBU23" s="3"/>
      <c r="EBY23" s="3"/>
      <c r="ECC23" s="3"/>
      <c r="ECG23" s="3"/>
      <c r="ECK23" s="3"/>
      <c r="ECO23" s="3"/>
      <c r="ECS23" s="3"/>
      <c r="ECW23" s="3"/>
      <c r="EDA23" s="3"/>
      <c r="EDE23" s="3"/>
      <c r="EDI23" s="3"/>
      <c r="EDM23" s="3"/>
      <c r="EDQ23" s="3"/>
      <c r="EDU23" s="3"/>
      <c r="EDY23" s="3"/>
      <c r="EEC23" s="3"/>
      <c r="EEG23" s="3"/>
      <c r="EEK23" s="3"/>
      <c r="EEO23" s="3"/>
      <c r="EES23" s="3"/>
      <c r="EEW23" s="3"/>
      <c r="EFA23" s="3"/>
      <c r="EFE23" s="3"/>
      <c r="EFI23" s="3"/>
      <c r="EFM23" s="3"/>
      <c r="EFQ23" s="3"/>
      <c r="EFU23" s="3"/>
      <c r="EFY23" s="3"/>
      <c r="EGC23" s="3"/>
      <c r="EGG23" s="3"/>
      <c r="EGK23" s="3"/>
      <c r="EGO23" s="3"/>
      <c r="EGS23" s="3"/>
      <c r="EGW23" s="3"/>
      <c r="EHA23" s="3"/>
      <c r="EHE23" s="3"/>
      <c r="EHI23" s="3"/>
      <c r="EHM23" s="3"/>
      <c r="EHQ23" s="3"/>
      <c r="EHU23" s="3"/>
      <c r="EHY23" s="3"/>
      <c r="EIC23" s="3"/>
      <c r="EIG23" s="3"/>
      <c r="EIK23" s="3"/>
      <c r="EIO23" s="3"/>
      <c r="EIS23" s="3"/>
      <c r="EIW23" s="3"/>
      <c r="EJA23" s="3"/>
      <c r="EJE23" s="3"/>
      <c r="EJI23" s="3"/>
      <c r="EJM23" s="3"/>
      <c r="EJQ23" s="3"/>
      <c r="EJU23" s="3"/>
      <c r="EJY23" s="3"/>
      <c r="EKC23" s="3"/>
      <c r="EKG23" s="3"/>
      <c r="EKK23" s="3"/>
      <c r="EKO23" s="3"/>
      <c r="EKS23" s="3"/>
      <c r="EKW23" s="3"/>
      <c r="ELA23" s="3"/>
      <c r="ELE23" s="3"/>
      <c r="ELI23" s="3"/>
      <c r="ELM23" s="3"/>
      <c r="ELQ23" s="3"/>
      <c r="ELU23" s="3"/>
      <c r="ELY23" s="3"/>
      <c r="EMC23" s="3"/>
      <c r="EMG23" s="3"/>
      <c r="EMK23" s="3"/>
      <c r="EMO23" s="3"/>
      <c r="EMS23" s="3"/>
      <c r="EMW23" s="3"/>
      <c r="ENA23" s="3"/>
      <c r="ENE23" s="3"/>
      <c r="ENI23" s="3"/>
      <c r="ENM23" s="3"/>
      <c r="ENQ23" s="3"/>
      <c r="ENU23" s="3"/>
      <c r="ENY23" s="3"/>
      <c r="EOC23" s="3"/>
      <c r="EOG23" s="3"/>
      <c r="EOK23" s="3"/>
      <c r="EOO23" s="3"/>
      <c r="EOS23" s="3"/>
      <c r="EOW23" s="3"/>
      <c r="EPA23" s="3"/>
      <c r="EPE23" s="3"/>
      <c r="EPI23" s="3"/>
      <c r="EPM23" s="3"/>
      <c r="EPQ23" s="3"/>
      <c r="EPU23" s="3"/>
      <c r="EPY23" s="3"/>
      <c r="EQC23" s="3"/>
      <c r="EQG23" s="3"/>
      <c r="EQK23" s="3"/>
      <c r="EQO23" s="3"/>
      <c r="EQS23" s="3"/>
      <c r="EQW23" s="3"/>
      <c r="ERA23" s="3"/>
      <c r="ERE23" s="3"/>
      <c r="ERI23" s="3"/>
      <c r="ERM23" s="3"/>
      <c r="ERQ23" s="3"/>
      <c r="ERU23" s="3"/>
      <c r="ERY23" s="3"/>
      <c r="ESC23" s="3"/>
      <c r="ESG23" s="3"/>
      <c r="ESK23" s="3"/>
      <c r="ESO23" s="3"/>
      <c r="ESS23" s="3"/>
      <c r="ESW23" s="3"/>
      <c r="ETA23" s="3"/>
      <c r="ETE23" s="3"/>
      <c r="ETI23" s="3"/>
      <c r="ETM23" s="3"/>
      <c r="ETQ23" s="3"/>
      <c r="ETU23" s="3"/>
      <c r="ETY23" s="3"/>
      <c r="EUC23" s="3"/>
      <c r="EUG23" s="3"/>
      <c r="EUK23" s="3"/>
      <c r="EUO23" s="3"/>
      <c r="EUS23" s="3"/>
      <c r="EUW23" s="3"/>
      <c r="EVA23" s="3"/>
      <c r="EVE23" s="3"/>
      <c r="EVI23" s="3"/>
      <c r="EVM23" s="3"/>
      <c r="EVQ23" s="3"/>
      <c r="EVU23" s="3"/>
      <c r="EVY23" s="3"/>
      <c r="EWC23" s="3"/>
      <c r="EWG23" s="3"/>
      <c r="EWK23" s="3"/>
      <c r="EWO23" s="3"/>
      <c r="EWS23" s="3"/>
      <c r="EWW23" s="3"/>
      <c r="EXA23" s="3"/>
      <c r="EXE23" s="3"/>
      <c r="EXI23" s="3"/>
      <c r="EXM23" s="3"/>
      <c r="EXQ23" s="3"/>
      <c r="EXU23" s="3"/>
      <c r="EXY23" s="3"/>
      <c r="EYC23" s="3"/>
      <c r="EYG23" s="3"/>
      <c r="EYK23" s="3"/>
      <c r="EYO23" s="3"/>
      <c r="EYS23" s="3"/>
      <c r="EYW23" s="3"/>
      <c r="EZA23" s="3"/>
      <c r="EZE23" s="3"/>
      <c r="EZI23" s="3"/>
      <c r="EZM23" s="3"/>
      <c r="EZQ23" s="3"/>
      <c r="EZU23" s="3"/>
      <c r="EZY23" s="3"/>
      <c r="FAC23" s="3"/>
      <c r="FAG23" s="3"/>
      <c r="FAK23" s="3"/>
      <c r="FAO23" s="3"/>
      <c r="FAS23" s="3"/>
      <c r="FAW23" s="3"/>
      <c r="FBA23" s="3"/>
      <c r="FBE23" s="3"/>
      <c r="FBI23" s="3"/>
      <c r="FBM23" s="3"/>
      <c r="FBQ23" s="3"/>
      <c r="FBU23" s="3"/>
      <c r="FBY23" s="3"/>
      <c r="FCC23" s="3"/>
      <c r="FCG23" s="3"/>
      <c r="FCK23" s="3"/>
      <c r="FCO23" s="3"/>
      <c r="FCS23" s="3"/>
      <c r="FCW23" s="3"/>
      <c r="FDA23" s="3"/>
      <c r="FDE23" s="3"/>
      <c r="FDI23" s="3"/>
      <c r="FDM23" s="3"/>
      <c r="FDQ23" s="3"/>
      <c r="FDU23" s="3"/>
      <c r="FDY23" s="3"/>
      <c r="FEC23" s="3"/>
      <c r="FEG23" s="3"/>
      <c r="FEK23" s="3"/>
      <c r="FEO23" s="3"/>
      <c r="FES23" s="3"/>
      <c r="FEW23" s="3"/>
      <c r="FFA23" s="3"/>
      <c r="FFE23" s="3"/>
      <c r="FFI23" s="3"/>
      <c r="FFM23" s="3"/>
      <c r="FFQ23" s="3"/>
      <c r="FFU23" s="3"/>
      <c r="FFY23" s="3"/>
      <c r="FGC23" s="3"/>
      <c r="FGG23" s="3"/>
      <c r="FGK23" s="3"/>
      <c r="FGO23" s="3"/>
      <c r="FGS23" s="3"/>
      <c r="FGW23" s="3"/>
      <c r="FHA23" s="3"/>
      <c r="FHE23" s="3"/>
      <c r="FHI23" s="3"/>
      <c r="FHM23" s="3"/>
      <c r="FHQ23" s="3"/>
      <c r="FHU23" s="3"/>
      <c r="FHY23" s="3"/>
      <c r="FIC23" s="3"/>
      <c r="FIG23" s="3"/>
      <c r="FIK23" s="3"/>
      <c r="FIO23" s="3"/>
      <c r="FIS23" s="3"/>
      <c r="FIW23" s="3"/>
      <c r="FJA23" s="3"/>
      <c r="FJE23" s="3"/>
      <c r="FJI23" s="3"/>
      <c r="FJM23" s="3"/>
      <c r="FJQ23" s="3"/>
      <c r="FJU23" s="3"/>
      <c r="FJY23" s="3"/>
      <c r="FKC23" s="3"/>
      <c r="FKG23" s="3"/>
      <c r="FKK23" s="3"/>
      <c r="FKO23" s="3"/>
      <c r="FKS23" s="3"/>
      <c r="FKW23" s="3"/>
      <c r="FLA23" s="3"/>
      <c r="FLE23" s="3"/>
      <c r="FLI23" s="3"/>
      <c r="FLM23" s="3"/>
      <c r="FLQ23" s="3"/>
      <c r="FLU23" s="3"/>
      <c r="FLY23" s="3"/>
      <c r="FMC23" s="3"/>
      <c r="FMG23" s="3"/>
      <c r="FMK23" s="3"/>
      <c r="FMO23" s="3"/>
      <c r="FMS23" s="3"/>
      <c r="FMW23" s="3"/>
      <c r="FNA23" s="3"/>
      <c r="FNE23" s="3"/>
      <c r="FNI23" s="3"/>
      <c r="FNM23" s="3"/>
      <c r="FNQ23" s="3"/>
      <c r="FNU23" s="3"/>
      <c r="FNY23" s="3"/>
      <c r="FOC23" s="3"/>
      <c r="FOG23" s="3"/>
      <c r="FOK23" s="3"/>
      <c r="FOO23" s="3"/>
      <c r="FOS23" s="3"/>
      <c r="FOW23" s="3"/>
      <c r="FPA23" s="3"/>
      <c r="FPE23" s="3"/>
      <c r="FPI23" s="3"/>
      <c r="FPM23" s="3"/>
      <c r="FPQ23" s="3"/>
      <c r="FPU23" s="3"/>
      <c r="FPY23" s="3"/>
      <c r="FQC23" s="3"/>
      <c r="FQG23" s="3"/>
      <c r="FQK23" s="3"/>
      <c r="FQO23" s="3"/>
      <c r="FQS23" s="3"/>
      <c r="FQW23" s="3"/>
      <c r="FRA23" s="3"/>
      <c r="FRE23" s="3"/>
      <c r="FRI23" s="3"/>
      <c r="FRM23" s="3"/>
      <c r="FRQ23" s="3"/>
      <c r="FRU23" s="3"/>
      <c r="FRY23" s="3"/>
      <c r="FSC23" s="3"/>
      <c r="FSG23" s="3"/>
      <c r="FSK23" s="3"/>
      <c r="FSO23" s="3"/>
      <c r="FSS23" s="3"/>
      <c r="FSW23" s="3"/>
      <c r="FTA23" s="3"/>
      <c r="FTE23" s="3"/>
      <c r="FTI23" s="3"/>
      <c r="FTM23" s="3"/>
      <c r="FTQ23" s="3"/>
      <c r="FTU23" s="3"/>
      <c r="FTY23" s="3"/>
      <c r="FUC23" s="3"/>
      <c r="FUG23" s="3"/>
      <c r="FUK23" s="3"/>
      <c r="FUO23" s="3"/>
      <c r="FUS23" s="3"/>
      <c r="FUW23" s="3"/>
      <c r="FVA23" s="3"/>
      <c r="FVE23" s="3"/>
      <c r="FVI23" s="3"/>
      <c r="FVM23" s="3"/>
      <c r="FVQ23" s="3"/>
      <c r="FVU23" s="3"/>
      <c r="FVY23" s="3"/>
      <c r="FWC23" s="3"/>
      <c r="FWG23" s="3"/>
      <c r="FWK23" s="3"/>
      <c r="FWO23" s="3"/>
      <c r="FWS23" s="3"/>
      <c r="FWW23" s="3"/>
      <c r="FXA23" s="3"/>
      <c r="FXE23" s="3"/>
      <c r="FXI23" s="3"/>
      <c r="FXM23" s="3"/>
      <c r="FXQ23" s="3"/>
      <c r="FXU23" s="3"/>
      <c r="FXY23" s="3"/>
      <c r="FYC23" s="3"/>
      <c r="FYG23" s="3"/>
      <c r="FYK23" s="3"/>
      <c r="FYO23" s="3"/>
      <c r="FYS23" s="3"/>
      <c r="FYW23" s="3"/>
      <c r="FZA23" s="3"/>
      <c r="FZE23" s="3"/>
      <c r="FZI23" s="3"/>
      <c r="FZM23" s="3"/>
      <c r="FZQ23" s="3"/>
      <c r="FZU23" s="3"/>
      <c r="FZY23" s="3"/>
      <c r="GAC23" s="3"/>
      <c r="GAG23" s="3"/>
      <c r="GAK23" s="3"/>
      <c r="GAO23" s="3"/>
      <c r="GAS23" s="3"/>
      <c r="GAW23" s="3"/>
      <c r="GBA23" s="3"/>
      <c r="GBE23" s="3"/>
      <c r="GBI23" s="3"/>
      <c r="GBM23" s="3"/>
      <c r="GBQ23" s="3"/>
      <c r="GBU23" s="3"/>
      <c r="GBY23" s="3"/>
      <c r="GCC23" s="3"/>
      <c r="GCG23" s="3"/>
      <c r="GCK23" s="3"/>
      <c r="GCO23" s="3"/>
      <c r="GCS23" s="3"/>
      <c r="GCW23" s="3"/>
      <c r="GDA23" s="3"/>
      <c r="GDE23" s="3"/>
      <c r="GDI23" s="3"/>
      <c r="GDM23" s="3"/>
      <c r="GDQ23" s="3"/>
      <c r="GDU23" s="3"/>
      <c r="GDY23" s="3"/>
      <c r="GEC23" s="3"/>
      <c r="GEG23" s="3"/>
      <c r="GEK23" s="3"/>
      <c r="GEO23" s="3"/>
      <c r="GES23" s="3"/>
      <c r="GEW23" s="3"/>
      <c r="GFA23" s="3"/>
      <c r="GFE23" s="3"/>
      <c r="GFI23" s="3"/>
      <c r="GFM23" s="3"/>
      <c r="GFQ23" s="3"/>
      <c r="GFU23" s="3"/>
      <c r="GFY23" s="3"/>
      <c r="GGC23" s="3"/>
      <c r="GGG23" s="3"/>
      <c r="GGK23" s="3"/>
      <c r="GGO23" s="3"/>
      <c r="GGS23" s="3"/>
      <c r="GGW23" s="3"/>
      <c r="GHA23" s="3"/>
      <c r="GHE23" s="3"/>
      <c r="GHI23" s="3"/>
      <c r="GHM23" s="3"/>
      <c r="GHQ23" s="3"/>
      <c r="GHU23" s="3"/>
      <c r="GHY23" s="3"/>
      <c r="GIC23" s="3"/>
      <c r="GIG23" s="3"/>
      <c r="GIK23" s="3"/>
      <c r="GIO23" s="3"/>
      <c r="GIS23" s="3"/>
      <c r="GIW23" s="3"/>
      <c r="GJA23" s="3"/>
      <c r="GJE23" s="3"/>
      <c r="GJI23" s="3"/>
      <c r="GJM23" s="3"/>
      <c r="GJQ23" s="3"/>
      <c r="GJU23" s="3"/>
      <c r="GJY23" s="3"/>
      <c r="GKC23" s="3"/>
      <c r="GKG23" s="3"/>
      <c r="GKK23" s="3"/>
      <c r="GKO23" s="3"/>
      <c r="GKS23" s="3"/>
      <c r="GKW23" s="3"/>
      <c r="GLA23" s="3"/>
      <c r="GLE23" s="3"/>
      <c r="GLI23" s="3"/>
      <c r="GLM23" s="3"/>
      <c r="GLQ23" s="3"/>
      <c r="GLU23" s="3"/>
      <c r="GLY23" s="3"/>
      <c r="GMC23" s="3"/>
      <c r="GMG23" s="3"/>
      <c r="GMK23" s="3"/>
      <c r="GMO23" s="3"/>
      <c r="GMS23" s="3"/>
      <c r="GMW23" s="3"/>
      <c r="GNA23" s="3"/>
      <c r="GNE23" s="3"/>
      <c r="GNI23" s="3"/>
      <c r="GNM23" s="3"/>
      <c r="GNQ23" s="3"/>
      <c r="GNU23" s="3"/>
      <c r="GNY23" s="3"/>
      <c r="GOC23" s="3"/>
      <c r="GOG23" s="3"/>
      <c r="GOK23" s="3"/>
      <c r="GOO23" s="3"/>
      <c r="GOS23" s="3"/>
      <c r="GOW23" s="3"/>
      <c r="GPA23" s="3"/>
      <c r="GPE23" s="3"/>
      <c r="GPI23" s="3"/>
      <c r="GPM23" s="3"/>
      <c r="GPQ23" s="3"/>
      <c r="GPU23" s="3"/>
      <c r="GPY23" s="3"/>
      <c r="GQC23" s="3"/>
      <c r="GQG23" s="3"/>
      <c r="GQK23" s="3"/>
      <c r="GQO23" s="3"/>
      <c r="GQS23" s="3"/>
      <c r="GQW23" s="3"/>
      <c r="GRA23" s="3"/>
      <c r="GRE23" s="3"/>
      <c r="GRI23" s="3"/>
      <c r="GRM23" s="3"/>
      <c r="GRQ23" s="3"/>
      <c r="GRU23" s="3"/>
      <c r="GRY23" s="3"/>
      <c r="GSC23" s="3"/>
      <c r="GSG23" s="3"/>
      <c r="GSK23" s="3"/>
      <c r="GSO23" s="3"/>
      <c r="GSS23" s="3"/>
      <c r="GSW23" s="3"/>
      <c r="GTA23" s="3"/>
      <c r="GTE23" s="3"/>
      <c r="GTI23" s="3"/>
      <c r="GTM23" s="3"/>
      <c r="GTQ23" s="3"/>
      <c r="GTU23" s="3"/>
      <c r="GTY23" s="3"/>
      <c r="GUC23" s="3"/>
      <c r="GUG23" s="3"/>
      <c r="GUK23" s="3"/>
      <c r="GUO23" s="3"/>
      <c r="GUS23" s="3"/>
      <c r="GUW23" s="3"/>
      <c r="GVA23" s="3"/>
      <c r="GVE23" s="3"/>
      <c r="GVI23" s="3"/>
      <c r="GVM23" s="3"/>
      <c r="GVQ23" s="3"/>
      <c r="GVU23" s="3"/>
      <c r="GVY23" s="3"/>
      <c r="GWC23" s="3"/>
      <c r="GWG23" s="3"/>
      <c r="GWK23" s="3"/>
      <c r="GWO23" s="3"/>
      <c r="GWS23" s="3"/>
      <c r="GWW23" s="3"/>
      <c r="GXA23" s="3"/>
      <c r="GXE23" s="3"/>
      <c r="GXI23" s="3"/>
      <c r="GXM23" s="3"/>
      <c r="GXQ23" s="3"/>
      <c r="GXU23" s="3"/>
      <c r="GXY23" s="3"/>
      <c r="GYC23" s="3"/>
      <c r="GYG23" s="3"/>
      <c r="GYK23" s="3"/>
      <c r="GYO23" s="3"/>
      <c r="GYS23" s="3"/>
      <c r="GYW23" s="3"/>
      <c r="GZA23" s="3"/>
      <c r="GZE23" s="3"/>
      <c r="GZI23" s="3"/>
      <c r="GZM23" s="3"/>
      <c r="GZQ23" s="3"/>
      <c r="GZU23" s="3"/>
      <c r="GZY23" s="3"/>
      <c r="HAC23" s="3"/>
      <c r="HAG23" s="3"/>
      <c r="HAK23" s="3"/>
      <c r="HAO23" s="3"/>
      <c r="HAS23" s="3"/>
      <c r="HAW23" s="3"/>
      <c r="HBA23" s="3"/>
      <c r="HBE23" s="3"/>
      <c r="HBI23" s="3"/>
      <c r="HBM23" s="3"/>
      <c r="HBQ23" s="3"/>
      <c r="HBU23" s="3"/>
      <c r="HBY23" s="3"/>
      <c r="HCC23" s="3"/>
      <c r="HCG23" s="3"/>
      <c r="HCK23" s="3"/>
      <c r="HCO23" s="3"/>
      <c r="HCS23" s="3"/>
      <c r="HCW23" s="3"/>
      <c r="HDA23" s="3"/>
      <c r="HDE23" s="3"/>
      <c r="HDI23" s="3"/>
      <c r="HDM23" s="3"/>
      <c r="HDQ23" s="3"/>
      <c r="HDU23" s="3"/>
      <c r="HDY23" s="3"/>
      <c r="HEC23" s="3"/>
      <c r="HEG23" s="3"/>
      <c r="HEK23" s="3"/>
      <c r="HEO23" s="3"/>
      <c r="HES23" s="3"/>
      <c r="HEW23" s="3"/>
      <c r="HFA23" s="3"/>
      <c r="HFE23" s="3"/>
      <c r="HFI23" s="3"/>
      <c r="HFM23" s="3"/>
      <c r="HFQ23" s="3"/>
      <c r="HFU23" s="3"/>
      <c r="HFY23" s="3"/>
      <c r="HGC23" s="3"/>
      <c r="HGG23" s="3"/>
      <c r="HGK23" s="3"/>
      <c r="HGO23" s="3"/>
      <c r="HGS23" s="3"/>
      <c r="HGW23" s="3"/>
      <c r="HHA23" s="3"/>
      <c r="HHE23" s="3"/>
      <c r="HHI23" s="3"/>
      <c r="HHM23" s="3"/>
      <c r="HHQ23" s="3"/>
      <c r="HHU23" s="3"/>
      <c r="HHY23" s="3"/>
      <c r="HIC23" s="3"/>
      <c r="HIG23" s="3"/>
      <c r="HIK23" s="3"/>
      <c r="HIO23" s="3"/>
      <c r="HIS23" s="3"/>
      <c r="HIW23" s="3"/>
      <c r="HJA23" s="3"/>
      <c r="HJE23" s="3"/>
      <c r="HJI23" s="3"/>
      <c r="HJM23" s="3"/>
      <c r="HJQ23" s="3"/>
      <c r="HJU23" s="3"/>
      <c r="HJY23" s="3"/>
      <c r="HKC23" s="3"/>
      <c r="HKG23" s="3"/>
      <c r="HKK23" s="3"/>
      <c r="HKO23" s="3"/>
      <c r="HKS23" s="3"/>
      <c r="HKW23" s="3"/>
      <c r="HLA23" s="3"/>
      <c r="HLE23" s="3"/>
      <c r="HLI23" s="3"/>
      <c r="HLM23" s="3"/>
      <c r="HLQ23" s="3"/>
      <c r="HLU23" s="3"/>
      <c r="HLY23" s="3"/>
      <c r="HMC23" s="3"/>
      <c r="HMG23" s="3"/>
      <c r="HMK23" s="3"/>
      <c r="HMO23" s="3"/>
      <c r="HMS23" s="3"/>
      <c r="HMW23" s="3"/>
      <c r="HNA23" s="3"/>
      <c r="HNE23" s="3"/>
      <c r="HNI23" s="3"/>
      <c r="HNM23" s="3"/>
      <c r="HNQ23" s="3"/>
      <c r="HNU23" s="3"/>
      <c r="HNY23" s="3"/>
      <c r="HOC23" s="3"/>
      <c r="HOG23" s="3"/>
      <c r="HOK23" s="3"/>
      <c r="HOO23" s="3"/>
      <c r="HOS23" s="3"/>
      <c r="HOW23" s="3"/>
      <c r="HPA23" s="3"/>
      <c r="HPE23" s="3"/>
      <c r="HPI23" s="3"/>
      <c r="HPM23" s="3"/>
      <c r="HPQ23" s="3"/>
      <c r="HPU23" s="3"/>
      <c r="HPY23" s="3"/>
      <c r="HQC23" s="3"/>
      <c r="HQG23" s="3"/>
      <c r="HQK23" s="3"/>
      <c r="HQO23" s="3"/>
      <c r="HQS23" s="3"/>
      <c r="HQW23" s="3"/>
      <c r="HRA23" s="3"/>
      <c r="HRE23" s="3"/>
      <c r="HRI23" s="3"/>
      <c r="HRM23" s="3"/>
      <c r="HRQ23" s="3"/>
      <c r="HRU23" s="3"/>
      <c r="HRY23" s="3"/>
      <c r="HSC23" s="3"/>
      <c r="HSG23" s="3"/>
      <c r="HSK23" s="3"/>
      <c r="HSO23" s="3"/>
      <c r="HSS23" s="3"/>
      <c r="HSW23" s="3"/>
      <c r="HTA23" s="3"/>
      <c r="HTE23" s="3"/>
      <c r="HTI23" s="3"/>
      <c r="HTM23" s="3"/>
      <c r="HTQ23" s="3"/>
      <c r="HTU23" s="3"/>
      <c r="HTY23" s="3"/>
      <c r="HUC23" s="3"/>
      <c r="HUG23" s="3"/>
      <c r="HUK23" s="3"/>
      <c r="HUO23" s="3"/>
      <c r="HUS23" s="3"/>
      <c r="HUW23" s="3"/>
      <c r="HVA23" s="3"/>
      <c r="HVE23" s="3"/>
      <c r="HVI23" s="3"/>
      <c r="HVM23" s="3"/>
      <c r="HVQ23" s="3"/>
      <c r="HVU23" s="3"/>
      <c r="HVY23" s="3"/>
      <c r="HWC23" s="3"/>
      <c r="HWG23" s="3"/>
      <c r="HWK23" s="3"/>
      <c r="HWO23" s="3"/>
      <c r="HWS23" s="3"/>
      <c r="HWW23" s="3"/>
      <c r="HXA23" s="3"/>
      <c r="HXE23" s="3"/>
      <c r="HXI23" s="3"/>
      <c r="HXM23" s="3"/>
      <c r="HXQ23" s="3"/>
      <c r="HXU23" s="3"/>
      <c r="HXY23" s="3"/>
      <c r="HYC23" s="3"/>
      <c r="HYG23" s="3"/>
      <c r="HYK23" s="3"/>
      <c r="HYO23" s="3"/>
      <c r="HYS23" s="3"/>
      <c r="HYW23" s="3"/>
      <c r="HZA23" s="3"/>
      <c r="HZE23" s="3"/>
      <c r="HZI23" s="3"/>
      <c r="HZM23" s="3"/>
      <c r="HZQ23" s="3"/>
      <c r="HZU23" s="3"/>
      <c r="HZY23" s="3"/>
      <c r="IAC23" s="3"/>
      <c r="IAG23" s="3"/>
      <c r="IAK23" s="3"/>
      <c r="IAO23" s="3"/>
      <c r="IAS23" s="3"/>
      <c r="IAW23" s="3"/>
      <c r="IBA23" s="3"/>
      <c r="IBE23" s="3"/>
      <c r="IBI23" s="3"/>
      <c r="IBM23" s="3"/>
      <c r="IBQ23" s="3"/>
      <c r="IBU23" s="3"/>
      <c r="IBY23" s="3"/>
      <c r="ICC23" s="3"/>
      <c r="ICG23" s="3"/>
      <c r="ICK23" s="3"/>
      <c r="ICO23" s="3"/>
      <c r="ICS23" s="3"/>
      <c r="ICW23" s="3"/>
      <c r="IDA23" s="3"/>
      <c r="IDE23" s="3"/>
      <c r="IDI23" s="3"/>
      <c r="IDM23" s="3"/>
      <c r="IDQ23" s="3"/>
      <c r="IDU23" s="3"/>
      <c r="IDY23" s="3"/>
      <c r="IEC23" s="3"/>
      <c r="IEG23" s="3"/>
      <c r="IEK23" s="3"/>
      <c r="IEO23" s="3"/>
      <c r="IES23" s="3"/>
      <c r="IEW23" s="3"/>
      <c r="IFA23" s="3"/>
      <c r="IFE23" s="3"/>
      <c r="IFI23" s="3"/>
      <c r="IFM23" s="3"/>
      <c r="IFQ23" s="3"/>
      <c r="IFU23" s="3"/>
      <c r="IFY23" s="3"/>
      <c r="IGC23" s="3"/>
      <c r="IGG23" s="3"/>
      <c r="IGK23" s="3"/>
      <c r="IGO23" s="3"/>
      <c r="IGS23" s="3"/>
      <c r="IGW23" s="3"/>
      <c r="IHA23" s="3"/>
      <c r="IHE23" s="3"/>
      <c r="IHI23" s="3"/>
      <c r="IHM23" s="3"/>
      <c r="IHQ23" s="3"/>
      <c r="IHU23" s="3"/>
      <c r="IHY23" s="3"/>
      <c r="IIC23" s="3"/>
      <c r="IIG23" s="3"/>
      <c r="IIK23" s="3"/>
      <c r="IIO23" s="3"/>
      <c r="IIS23" s="3"/>
      <c r="IIW23" s="3"/>
      <c r="IJA23" s="3"/>
      <c r="IJE23" s="3"/>
      <c r="IJI23" s="3"/>
      <c r="IJM23" s="3"/>
      <c r="IJQ23" s="3"/>
      <c r="IJU23" s="3"/>
      <c r="IJY23" s="3"/>
      <c r="IKC23" s="3"/>
      <c r="IKG23" s="3"/>
      <c r="IKK23" s="3"/>
      <c r="IKO23" s="3"/>
      <c r="IKS23" s="3"/>
      <c r="IKW23" s="3"/>
      <c r="ILA23" s="3"/>
      <c r="ILE23" s="3"/>
      <c r="ILI23" s="3"/>
      <c r="ILM23" s="3"/>
      <c r="ILQ23" s="3"/>
      <c r="ILU23" s="3"/>
      <c r="ILY23" s="3"/>
      <c r="IMC23" s="3"/>
      <c r="IMG23" s="3"/>
      <c r="IMK23" s="3"/>
      <c r="IMO23" s="3"/>
      <c r="IMS23" s="3"/>
      <c r="IMW23" s="3"/>
      <c r="INA23" s="3"/>
      <c r="INE23" s="3"/>
      <c r="INI23" s="3"/>
      <c r="INM23" s="3"/>
      <c r="INQ23" s="3"/>
      <c r="INU23" s="3"/>
      <c r="INY23" s="3"/>
      <c r="IOC23" s="3"/>
      <c r="IOG23" s="3"/>
      <c r="IOK23" s="3"/>
      <c r="IOO23" s="3"/>
      <c r="IOS23" s="3"/>
      <c r="IOW23" s="3"/>
      <c r="IPA23" s="3"/>
      <c r="IPE23" s="3"/>
      <c r="IPI23" s="3"/>
      <c r="IPM23" s="3"/>
      <c r="IPQ23" s="3"/>
      <c r="IPU23" s="3"/>
      <c r="IPY23" s="3"/>
      <c r="IQC23" s="3"/>
      <c r="IQG23" s="3"/>
      <c r="IQK23" s="3"/>
      <c r="IQO23" s="3"/>
      <c r="IQS23" s="3"/>
      <c r="IQW23" s="3"/>
      <c r="IRA23" s="3"/>
      <c r="IRE23" s="3"/>
      <c r="IRI23" s="3"/>
      <c r="IRM23" s="3"/>
      <c r="IRQ23" s="3"/>
      <c r="IRU23" s="3"/>
      <c r="IRY23" s="3"/>
      <c r="ISC23" s="3"/>
      <c r="ISG23" s="3"/>
      <c r="ISK23" s="3"/>
      <c r="ISO23" s="3"/>
      <c r="ISS23" s="3"/>
      <c r="ISW23" s="3"/>
      <c r="ITA23" s="3"/>
      <c r="ITE23" s="3"/>
      <c r="ITI23" s="3"/>
      <c r="ITM23" s="3"/>
      <c r="ITQ23" s="3"/>
      <c r="ITU23" s="3"/>
      <c r="ITY23" s="3"/>
      <c r="IUC23" s="3"/>
      <c r="IUG23" s="3"/>
      <c r="IUK23" s="3"/>
      <c r="IUO23" s="3"/>
      <c r="IUS23" s="3"/>
      <c r="IUW23" s="3"/>
      <c r="IVA23" s="3"/>
      <c r="IVE23" s="3"/>
      <c r="IVI23" s="3"/>
      <c r="IVM23" s="3"/>
      <c r="IVQ23" s="3"/>
      <c r="IVU23" s="3"/>
      <c r="IVY23" s="3"/>
      <c r="IWC23" s="3"/>
      <c r="IWG23" s="3"/>
      <c r="IWK23" s="3"/>
      <c r="IWO23" s="3"/>
      <c r="IWS23" s="3"/>
      <c r="IWW23" s="3"/>
      <c r="IXA23" s="3"/>
      <c r="IXE23" s="3"/>
      <c r="IXI23" s="3"/>
      <c r="IXM23" s="3"/>
      <c r="IXQ23" s="3"/>
      <c r="IXU23" s="3"/>
      <c r="IXY23" s="3"/>
      <c r="IYC23" s="3"/>
      <c r="IYG23" s="3"/>
      <c r="IYK23" s="3"/>
      <c r="IYO23" s="3"/>
      <c r="IYS23" s="3"/>
      <c r="IYW23" s="3"/>
      <c r="IZA23" s="3"/>
      <c r="IZE23" s="3"/>
      <c r="IZI23" s="3"/>
      <c r="IZM23" s="3"/>
      <c r="IZQ23" s="3"/>
      <c r="IZU23" s="3"/>
      <c r="IZY23" s="3"/>
      <c r="JAC23" s="3"/>
      <c r="JAG23" s="3"/>
      <c r="JAK23" s="3"/>
      <c r="JAO23" s="3"/>
      <c r="JAS23" s="3"/>
      <c r="JAW23" s="3"/>
      <c r="JBA23" s="3"/>
      <c r="JBE23" s="3"/>
      <c r="JBI23" s="3"/>
      <c r="JBM23" s="3"/>
      <c r="JBQ23" s="3"/>
      <c r="JBU23" s="3"/>
      <c r="JBY23" s="3"/>
      <c r="JCC23" s="3"/>
      <c r="JCG23" s="3"/>
      <c r="JCK23" s="3"/>
      <c r="JCO23" s="3"/>
      <c r="JCS23" s="3"/>
      <c r="JCW23" s="3"/>
      <c r="JDA23" s="3"/>
      <c r="JDE23" s="3"/>
      <c r="JDI23" s="3"/>
      <c r="JDM23" s="3"/>
      <c r="JDQ23" s="3"/>
      <c r="JDU23" s="3"/>
      <c r="JDY23" s="3"/>
      <c r="JEC23" s="3"/>
      <c r="JEG23" s="3"/>
      <c r="JEK23" s="3"/>
      <c r="JEO23" s="3"/>
      <c r="JES23" s="3"/>
      <c r="JEW23" s="3"/>
      <c r="JFA23" s="3"/>
      <c r="JFE23" s="3"/>
      <c r="JFI23" s="3"/>
      <c r="JFM23" s="3"/>
      <c r="JFQ23" s="3"/>
      <c r="JFU23" s="3"/>
      <c r="JFY23" s="3"/>
      <c r="JGC23" s="3"/>
      <c r="JGG23" s="3"/>
      <c r="JGK23" s="3"/>
      <c r="JGO23" s="3"/>
      <c r="JGS23" s="3"/>
      <c r="JGW23" s="3"/>
      <c r="JHA23" s="3"/>
      <c r="JHE23" s="3"/>
      <c r="JHI23" s="3"/>
      <c r="JHM23" s="3"/>
      <c r="JHQ23" s="3"/>
      <c r="JHU23" s="3"/>
      <c r="JHY23" s="3"/>
      <c r="JIC23" s="3"/>
      <c r="JIG23" s="3"/>
      <c r="JIK23" s="3"/>
      <c r="JIO23" s="3"/>
      <c r="JIS23" s="3"/>
      <c r="JIW23" s="3"/>
      <c r="JJA23" s="3"/>
      <c r="JJE23" s="3"/>
      <c r="JJI23" s="3"/>
      <c r="JJM23" s="3"/>
      <c r="JJQ23" s="3"/>
      <c r="JJU23" s="3"/>
      <c r="JJY23" s="3"/>
      <c r="JKC23" s="3"/>
      <c r="JKG23" s="3"/>
      <c r="JKK23" s="3"/>
      <c r="JKO23" s="3"/>
      <c r="JKS23" s="3"/>
      <c r="JKW23" s="3"/>
      <c r="JLA23" s="3"/>
      <c r="JLE23" s="3"/>
      <c r="JLI23" s="3"/>
      <c r="JLM23" s="3"/>
      <c r="JLQ23" s="3"/>
      <c r="JLU23" s="3"/>
      <c r="JLY23" s="3"/>
      <c r="JMC23" s="3"/>
      <c r="JMG23" s="3"/>
      <c r="JMK23" s="3"/>
      <c r="JMO23" s="3"/>
      <c r="JMS23" s="3"/>
      <c r="JMW23" s="3"/>
      <c r="JNA23" s="3"/>
      <c r="JNE23" s="3"/>
      <c r="JNI23" s="3"/>
      <c r="JNM23" s="3"/>
      <c r="JNQ23" s="3"/>
      <c r="JNU23" s="3"/>
      <c r="JNY23" s="3"/>
      <c r="JOC23" s="3"/>
      <c r="JOG23" s="3"/>
      <c r="JOK23" s="3"/>
      <c r="JOO23" s="3"/>
      <c r="JOS23" s="3"/>
      <c r="JOW23" s="3"/>
      <c r="JPA23" s="3"/>
      <c r="JPE23" s="3"/>
      <c r="JPI23" s="3"/>
      <c r="JPM23" s="3"/>
      <c r="JPQ23" s="3"/>
      <c r="JPU23" s="3"/>
      <c r="JPY23" s="3"/>
      <c r="JQC23" s="3"/>
      <c r="JQG23" s="3"/>
      <c r="JQK23" s="3"/>
      <c r="JQO23" s="3"/>
      <c r="JQS23" s="3"/>
      <c r="JQW23" s="3"/>
      <c r="JRA23" s="3"/>
      <c r="JRE23" s="3"/>
      <c r="JRI23" s="3"/>
      <c r="JRM23" s="3"/>
      <c r="JRQ23" s="3"/>
      <c r="JRU23" s="3"/>
      <c r="JRY23" s="3"/>
      <c r="JSC23" s="3"/>
      <c r="JSG23" s="3"/>
      <c r="JSK23" s="3"/>
      <c r="JSO23" s="3"/>
      <c r="JSS23" s="3"/>
      <c r="JSW23" s="3"/>
      <c r="JTA23" s="3"/>
      <c r="JTE23" s="3"/>
      <c r="JTI23" s="3"/>
      <c r="JTM23" s="3"/>
      <c r="JTQ23" s="3"/>
      <c r="JTU23" s="3"/>
      <c r="JTY23" s="3"/>
      <c r="JUC23" s="3"/>
      <c r="JUG23" s="3"/>
      <c r="JUK23" s="3"/>
      <c r="JUO23" s="3"/>
      <c r="JUS23" s="3"/>
      <c r="JUW23" s="3"/>
      <c r="JVA23" s="3"/>
      <c r="JVE23" s="3"/>
      <c r="JVI23" s="3"/>
      <c r="JVM23" s="3"/>
      <c r="JVQ23" s="3"/>
      <c r="JVU23" s="3"/>
      <c r="JVY23" s="3"/>
      <c r="JWC23" s="3"/>
      <c r="JWG23" s="3"/>
      <c r="JWK23" s="3"/>
      <c r="JWO23" s="3"/>
      <c r="JWS23" s="3"/>
      <c r="JWW23" s="3"/>
      <c r="JXA23" s="3"/>
      <c r="JXE23" s="3"/>
      <c r="JXI23" s="3"/>
      <c r="JXM23" s="3"/>
      <c r="JXQ23" s="3"/>
      <c r="JXU23" s="3"/>
      <c r="JXY23" s="3"/>
      <c r="JYC23" s="3"/>
      <c r="JYG23" s="3"/>
      <c r="JYK23" s="3"/>
      <c r="JYO23" s="3"/>
      <c r="JYS23" s="3"/>
      <c r="JYW23" s="3"/>
      <c r="JZA23" s="3"/>
      <c r="JZE23" s="3"/>
      <c r="JZI23" s="3"/>
      <c r="JZM23" s="3"/>
      <c r="JZQ23" s="3"/>
      <c r="JZU23" s="3"/>
      <c r="JZY23" s="3"/>
      <c r="KAC23" s="3"/>
      <c r="KAG23" s="3"/>
      <c r="KAK23" s="3"/>
      <c r="KAO23" s="3"/>
      <c r="KAS23" s="3"/>
      <c r="KAW23" s="3"/>
      <c r="KBA23" s="3"/>
      <c r="KBE23" s="3"/>
      <c r="KBI23" s="3"/>
      <c r="KBM23" s="3"/>
      <c r="KBQ23" s="3"/>
      <c r="KBU23" s="3"/>
      <c r="KBY23" s="3"/>
      <c r="KCC23" s="3"/>
      <c r="KCG23" s="3"/>
      <c r="KCK23" s="3"/>
      <c r="KCO23" s="3"/>
      <c r="KCS23" s="3"/>
      <c r="KCW23" s="3"/>
      <c r="KDA23" s="3"/>
      <c r="KDE23" s="3"/>
      <c r="KDI23" s="3"/>
      <c r="KDM23" s="3"/>
      <c r="KDQ23" s="3"/>
      <c r="KDU23" s="3"/>
      <c r="KDY23" s="3"/>
      <c r="KEC23" s="3"/>
      <c r="KEG23" s="3"/>
      <c r="KEK23" s="3"/>
      <c r="KEO23" s="3"/>
      <c r="KES23" s="3"/>
      <c r="KEW23" s="3"/>
      <c r="KFA23" s="3"/>
      <c r="KFE23" s="3"/>
      <c r="KFI23" s="3"/>
      <c r="KFM23" s="3"/>
      <c r="KFQ23" s="3"/>
      <c r="KFU23" s="3"/>
      <c r="KFY23" s="3"/>
      <c r="KGC23" s="3"/>
      <c r="KGG23" s="3"/>
      <c r="KGK23" s="3"/>
      <c r="KGO23" s="3"/>
      <c r="KGS23" s="3"/>
      <c r="KGW23" s="3"/>
      <c r="KHA23" s="3"/>
      <c r="KHE23" s="3"/>
      <c r="KHI23" s="3"/>
      <c r="KHM23" s="3"/>
      <c r="KHQ23" s="3"/>
      <c r="KHU23" s="3"/>
      <c r="KHY23" s="3"/>
      <c r="KIC23" s="3"/>
      <c r="KIG23" s="3"/>
      <c r="KIK23" s="3"/>
      <c r="KIO23" s="3"/>
      <c r="KIS23" s="3"/>
      <c r="KIW23" s="3"/>
      <c r="KJA23" s="3"/>
      <c r="KJE23" s="3"/>
      <c r="KJI23" s="3"/>
      <c r="KJM23" s="3"/>
      <c r="KJQ23" s="3"/>
      <c r="KJU23" s="3"/>
      <c r="KJY23" s="3"/>
      <c r="KKC23" s="3"/>
      <c r="KKG23" s="3"/>
      <c r="KKK23" s="3"/>
      <c r="KKO23" s="3"/>
      <c r="KKS23" s="3"/>
      <c r="KKW23" s="3"/>
      <c r="KLA23" s="3"/>
      <c r="KLE23" s="3"/>
      <c r="KLI23" s="3"/>
      <c r="KLM23" s="3"/>
      <c r="KLQ23" s="3"/>
      <c r="KLU23" s="3"/>
      <c r="KLY23" s="3"/>
      <c r="KMC23" s="3"/>
      <c r="KMG23" s="3"/>
      <c r="KMK23" s="3"/>
      <c r="KMO23" s="3"/>
      <c r="KMS23" s="3"/>
      <c r="KMW23" s="3"/>
      <c r="KNA23" s="3"/>
      <c r="KNE23" s="3"/>
      <c r="KNI23" s="3"/>
      <c r="KNM23" s="3"/>
      <c r="KNQ23" s="3"/>
      <c r="KNU23" s="3"/>
      <c r="KNY23" s="3"/>
      <c r="KOC23" s="3"/>
      <c r="KOG23" s="3"/>
      <c r="KOK23" s="3"/>
      <c r="KOO23" s="3"/>
      <c r="KOS23" s="3"/>
      <c r="KOW23" s="3"/>
      <c r="KPA23" s="3"/>
      <c r="KPE23" s="3"/>
      <c r="KPI23" s="3"/>
      <c r="KPM23" s="3"/>
      <c r="KPQ23" s="3"/>
      <c r="KPU23" s="3"/>
      <c r="KPY23" s="3"/>
      <c r="KQC23" s="3"/>
      <c r="KQG23" s="3"/>
      <c r="KQK23" s="3"/>
      <c r="KQO23" s="3"/>
      <c r="KQS23" s="3"/>
      <c r="KQW23" s="3"/>
      <c r="KRA23" s="3"/>
      <c r="KRE23" s="3"/>
      <c r="KRI23" s="3"/>
      <c r="KRM23" s="3"/>
      <c r="KRQ23" s="3"/>
      <c r="KRU23" s="3"/>
      <c r="KRY23" s="3"/>
      <c r="KSC23" s="3"/>
      <c r="KSG23" s="3"/>
      <c r="KSK23" s="3"/>
      <c r="KSO23" s="3"/>
      <c r="KSS23" s="3"/>
      <c r="KSW23" s="3"/>
      <c r="KTA23" s="3"/>
      <c r="KTE23" s="3"/>
      <c r="KTI23" s="3"/>
      <c r="KTM23" s="3"/>
      <c r="KTQ23" s="3"/>
      <c r="KTU23" s="3"/>
      <c r="KTY23" s="3"/>
      <c r="KUC23" s="3"/>
      <c r="KUG23" s="3"/>
      <c r="KUK23" s="3"/>
      <c r="KUO23" s="3"/>
      <c r="KUS23" s="3"/>
      <c r="KUW23" s="3"/>
      <c r="KVA23" s="3"/>
      <c r="KVE23" s="3"/>
      <c r="KVI23" s="3"/>
      <c r="KVM23" s="3"/>
      <c r="KVQ23" s="3"/>
      <c r="KVU23" s="3"/>
      <c r="KVY23" s="3"/>
      <c r="KWC23" s="3"/>
      <c r="KWG23" s="3"/>
      <c r="KWK23" s="3"/>
      <c r="KWO23" s="3"/>
      <c r="KWS23" s="3"/>
      <c r="KWW23" s="3"/>
      <c r="KXA23" s="3"/>
      <c r="KXE23" s="3"/>
      <c r="KXI23" s="3"/>
      <c r="KXM23" s="3"/>
      <c r="KXQ23" s="3"/>
      <c r="KXU23" s="3"/>
      <c r="KXY23" s="3"/>
      <c r="KYC23" s="3"/>
      <c r="KYG23" s="3"/>
      <c r="KYK23" s="3"/>
      <c r="KYO23" s="3"/>
      <c r="KYS23" s="3"/>
      <c r="KYW23" s="3"/>
      <c r="KZA23" s="3"/>
      <c r="KZE23" s="3"/>
      <c r="KZI23" s="3"/>
      <c r="KZM23" s="3"/>
      <c r="KZQ23" s="3"/>
      <c r="KZU23" s="3"/>
      <c r="KZY23" s="3"/>
      <c r="LAC23" s="3"/>
      <c r="LAG23" s="3"/>
      <c r="LAK23" s="3"/>
      <c r="LAO23" s="3"/>
      <c r="LAS23" s="3"/>
      <c r="LAW23" s="3"/>
      <c r="LBA23" s="3"/>
      <c r="LBE23" s="3"/>
      <c r="LBI23" s="3"/>
      <c r="LBM23" s="3"/>
      <c r="LBQ23" s="3"/>
      <c r="LBU23" s="3"/>
      <c r="LBY23" s="3"/>
      <c r="LCC23" s="3"/>
      <c r="LCG23" s="3"/>
      <c r="LCK23" s="3"/>
      <c r="LCO23" s="3"/>
      <c r="LCS23" s="3"/>
      <c r="LCW23" s="3"/>
      <c r="LDA23" s="3"/>
      <c r="LDE23" s="3"/>
      <c r="LDI23" s="3"/>
      <c r="LDM23" s="3"/>
      <c r="LDQ23" s="3"/>
      <c r="LDU23" s="3"/>
      <c r="LDY23" s="3"/>
      <c r="LEC23" s="3"/>
      <c r="LEG23" s="3"/>
      <c r="LEK23" s="3"/>
      <c r="LEO23" s="3"/>
      <c r="LES23" s="3"/>
      <c r="LEW23" s="3"/>
      <c r="LFA23" s="3"/>
      <c r="LFE23" s="3"/>
      <c r="LFI23" s="3"/>
      <c r="LFM23" s="3"/>
      <c r="LFQ23" s="3"/>
      <c r="LFU23" s="3"/>
      <c r="LFY23" s="3"/>
      <c r="LGC23" s="3"/>
      <c r="LGG23" s="3"/>
      <c r="LGK23" s="3"/>
      <c r="LGO23" s="3"/>
      <c r="LGS23" s="3"/>
      <c r="LGW23" s="3"/>
      <c r="LHA23" s="3"/>
      <c r="LHE23" s="3"/>
      <c r="LHI23" s="3"/>
      <c r="LHM23" s="3"/>
      <c r="LHQ23" s="3"/>
      <c r="LHU23" s="3"/>
      <c r="LHY23" s="3"/>
      <c r="LIC23" s="3"/>
      <c r="LIG23" s="3"/>
      <c r="LIK23" s="3"/>
      <c r="LIO23" s="3"/>
      <c r="LIS23" s="3"/>
      <c r="LIW23" s="3"/>
      <c r="LJA23" s="3"/>
      <c r="LJE23" s="3"/>
      <c r="LJI23" s="3"/>
      <c r="LJM23" s="3"/>
      <c r="LJQ23" s="3"/>
      <c r="LJU23" s="3"/>
      <c r="LJY23" s="3"/>
      <c r="LKC23" s="3"/>
      <c r="LKG23" s="3"/>
      <c r="LKK23" s="3"/>
      <c r="LKO23" s="3"/>
      <c r="LKS23" s="3"/>
      <c r="LKW23" s="3"/>
      <c r="LLA23" s="3"/>
      <c r="LLE23" s="3"/>
      <c r="LLI23" s="3"/>
      <c r="LLM23" s="3"/>
      <c r="LLQ23" s="3"/>
      <c r="LLU23" s="3"/>
      <c r="LLY23" s="3"/>
      <c r="LMC23" s="3"/>
      <c r="LMG23" s="3"/>
      <c r="LMK23" s="3"/>
      <c r="LMO23" s="3"/>
      <c r="LMS23" s="3"/>
      <c r="LMW23" s="3"/>
      <c r="LNA23" s="3"/>
      <c r="LNE23" s="3"/>
      <c r="LNI23" s="3"/>
      <c r="LNM23" s="3"/>
      <c r="LNQ23" s="3"/>
      <c r="LNU23" s="3"/>
      <c r="LNY23" s="3"/>
      <c r="LOC23" s="3"/>
      <c r="LOG23" s="3"/>
      <c r="LOK23" s="3"/>
      <c r="LOO23" s="3"/>
      <c r="LOS23" s="3"/>
      <c r="LOW23" s="3"/>
      <c r="LPA23" s="3"/>
      <c r="LPE23" s="3"/>
      <c r="LPI23" s="3"/>
      <c r="LPM23" s="3"/>
      <c r="LPQ23" s="3"/>
      <c r="LPU23" s="3"/>
      <c r="LPY23" s="3"/>
      <c r="LQC23" s="3"/>
      <c r="LQG23" s="3"/>
      <c r="LQK23" s="3"/>
      <c r="LQO23" s="3"/>
      <c r="LQS23" s="3"/>
      <c r="LQW23" s="3"/>
      <c r="LRA23" s="3"/>
      <c r="LRE23" s="3"/>
      <c r="LRI23" s="3"/>
      <c r="LRM23" s="3"/>
      <c r="LRQ23" s="3"/>
      <c r="LRU23" s="3"/>
      <c r="LRY23" s="3"/>
      <c r="LSC23" s="3"/>
      <c r="LSG23" s="3"/>
      <c r="LSK23" s="3"/>
      <c r="LSO23" s="3"/>
      <c r="LSS23" s="3"/>
      <c r="LSW23" s="3"/>
      <c r="LTA23" s="3"/>
      <c r="LTE23" s="3"/>
      <c r="LTI23" s="3"/>
      <c r="LTM23" s="3"/>
      <c r="LTQ23" s="3"/>
      <c r="LTU23" s="3"/>
      <c r="LTY23" s="3"/>
      <c r="LUC23" s="3"/>
      <c r="LUG23" s="3"/>
      <c r="LUK23" s="3"/>
      <c r="LUO23" s="3"/>
      <c r="LUS23" s="3"/>
      <c r="LUW23" s="3"/>
      <c r="LVA23" s="3"/>
      <c r="LVE23" s="3"/>
      <c r="LVI23" s="3"/>
      <c r="LVM23" s="3"/>
      <c r="LVQ23" s="3"/>
      <c r="LVU23" s="3"/>
      <c r="LVY23" s="3"/>
      <c r="LWC23" s="3"/>
      <c r="LWG23" s="3"/>
      <c r="LWK23" s="3"/>
      <c r="LWO23" s="3"/>
      <c r="LWS23" s="3"/>
      <c r="LWW23" s="3"/>
      <c r="LXA23" s="3"/>
      <c r="LXE23" s="3"/>
      <c r="LXI23" s="3"/>
      <c r="LXM23" s="3"/>
      <c r="LXQ23" s="3"/>
      <c r="LXU23" s="3"/>
      <c r="LXY23" s="3"/>
      <c r="LYC23" s="3"/>
      <c r="LYG23" s="3"/>
      <c r="LYK23" s="3"/>
      <c r="LYO23" s="3"/>
      <c r="LYS23" s="3"/>
      <c r="LYW23" s="3"/>
      <c r="LZA23" s="3"/>
      <c r="LZE23" s="3"/>
      <c r="LZI23" s="3"/>
      <c r="LZM23" s="3"/>
      <c r="LZQ23" s="3"/>
      <c r="LZU23" s="3"/>
      <c r="LZY23" s="3"/>
      <c r="MAC23" s="3"/>
      <c r="MAG23" s="3"/>
      <c r="MAK23" s="3"/>
      <c r="MAO23" s="3"/>
      <c r="MAS23" s="3"/>
      <c r="MAW23" s="3"/>
      <c r="MBA23" s="3"/>
      <c r="MBE23" s="3"/>
      <c r="MBI23" s="3"/>
      <c r="MBM23" s="3"/>
      <c r="MBQ23" s="3"/>
      <c r="MBU23" s="3"/>
      <c r="MBY23" s="3"/>
      <c r="MCC23" s="3"/>
      <c r="MCG23" s="3"/>
      <c r="MCK23" s="3"/>
      <c r="MCO23" s="3"/>
      <c r="MCS23" s="3"/>
      <c r="MCW23" s="3"/>
      <c r="MDA23" s="3"/>
      <c r="MDE23" s="3"/>
      <c r="MDI23" s="3"/>
      <c r="MDM23" s="3"/>
      <c r="MDQ23" s="3"/>
      <c r="MDU23" s="3"/>
      <c r="MDY23" s="3"/>
      <c r="MEC23" s="3"/>
      <c r="MEG23" s="3"/>
      <c r="MEK23" s="3"/>
      <c r="MEO23" s="3"/>
      <c r="MES23" s="3"/>
      <c r="MEW23" s="3"/>
      <c r="MFA23" s="3"/>
      <c r="MFE23" s="3"/>
      <c r="MFI23" s="3"/>
      <c r="MFM23" s="3"/>
      <c r="MFQ23" s="3"/>
      <c r="MFU23" s="3"/>
      <c r="MFY23" s="3"/>
      <c r="MGC23" s="3"/>
      <c r="MGG23" s="3"/>
      <c r="MGK23" s="3"/>
      <c r="MGO23" s="3"/>
      <c r="MGS23" s="3"/>
      <c r="MGW23" s="3"/>
      <c r="MHA23" s="3"/>
      <c r="MHE23" s="3"/>
      <c r="MHI23" s="3"/>
      <c r="MHM23" s="3"/>
      <c r="MHQ23" s="3"/>
      <c r="MHU23" s="3"/>
      <c r="MHY23" s="3"/>
      <c r="MIC23" s="3"/>
      <c r="MIG23" s="3"/>
      <c r="MIK23" s="3"/>
      <c r="MIO23" s="3"/>
      <c r="MIS23" s="3"/>
      <c r="MIW23" s="3"/>
      <c r="MJA23" s="3"/>
      <c r="MJE23" s="3"/>
      <c r="MJI23" s="3"/>
      <c r="MJM23" s="3"/>
      <c r="MJQ23" s="3"/>
      <c r="MJU23" s="3"/>
      <c r="MJY23" s="3"/>
      <c r="MKC23" s="3"/>
      <c r="MKG23" s="3"/>
      <c r="MKK23" s="3"/>
      <c r="MKO23" s="3"/>
      <c r="MKS23" s="3"/>
      <c r="MKW23" s="3"/>
      <c r="MLA23" s="3"/>
      <c r="MLE23" s="3"/>
      <c r="MLI23" s="3"/>
      <c r="MLM23" s="3"/>
      <c r="MLQ23" s="3"/>
      <c r="MLU23" s="3"/>
      <c r="MLY23" s="3"/>
      <c r="MMC23" s="3"/>
      <c r="MMG23" s="3"/>
      <c r="MMK23" s="3"/>
      <c r="MMO23" s="3"/>
      <c r="MMS23" s="3"/>
      <c r="MMW23" s="3"/>
      <c r="MNA23" s="3"/>
      <c r="MNE23" s="3"/>
      <c r="MNI23" s="3"/>
      <c r="MNM23" s="3"/>
      <c r="MNQ23" s="3"/>
      <c r="MNU23" s="3"/>
      <c r="MNY23" s="3"/>
      <c r="MOC23" s="3"/>
      <c r="MOG23" s="3"/>
      <c r="MOK23" s="3"/>
      <c r="MOO23" s="3"/>
      <c r="MOS23" s="3"/>
      <c r="MOW23" s="3"/>
      <c r="MPA23" s="3"/>
      <c r="MPE23" s="3"/>
      <c r="MPI23" s="3"/>
      <c r="MPM23" s="3"/>
      <c r="MPQ23" s="3"/>
      <c r="MPU23" s="3"/>
      <c r="MPY23" s="3"/>
      <c r="MQC23" s="3"/>
      <c r="MQG23" s="3"/>
      <c r="MQK23" s="3"/>
      <c r="MQO23" s="3"/>
      <c r="MQS23" s="3"/>
      <c r="MQW23" s="3"/>
      <c r="MRA23" s="3"/>
      <c r="MRE23" s="3"/>
      <c r="MRI23" s="3"/>
      <c r="MRM23" s="3"/>
      <c r="MRQ23" s="3"/>
      <c r="MRU23" s="3"/>
      <c r="MRY23" s="3"/>
      <c r="MSC23" s="3"/>
      <c r="MSG23" s="3"/>
      <c r="MSK23" s="3"/>
      <c r="MSO23" s="3"/>
      <c r="MSS23" s="3"/>
      <c r="MSW23" s="3"/>
      <c r="MTA23" s="3"/>
      <c r="MTE23" s="3"/>
      <c r="MTI23" s="3"/>
      <c r="MTM23" s="3"/>
      <c r="MTQ23" s="3"/>
      <c r="MTU23" s="3"/>
      <c r="MTY23" s="3"/>
      <c r="MUC23" s="3"/>
      <c r="MUG23" s="3"/>
      <c r="MUK23" s="3"/>
      <c r="MUO23" s="3"/>
      <c r="MUS23" s="3"/>
      <c r="MUW23" s="3"/>
      <c r="MVA23" s="3"/>
      <c r="MVE23" s="3"/>
      <c r="MVI23" s="3"/>
      <c r="MVM23" s="3"/>
      <c r="MVQ23" s="3"/>
      <c r="MVU23" s="3"/>
      <c r="MVY23" s="3"/>
      <c r="MWC23" s="3"/>
      <c r="MWG23" s="3"/>
      <c r="MWK23" s="3"/>
      <c r="MWO23" s="3"/>
      <c r="MWS23" s="3"/>
      <c r="MWW23" s="3"/>
      <c r="MXA23" s="3"/>
      <c r="MXE23" s="3"/>
      <c r="MXI23" s="3"/>
      <c r="MXM23" s="3"/>
      <c r="MXQ23" s="3"/>
      <c r="MXU23" s="3"/>
      <c r="MXY23" s="3"/>
      <c r="MYC23" s="3"/>
      <c r="MYG23" s="3"/>
      <c r="MYK23" s="3"/>
      <c r="MYO23" s="3"/>
      <c r="MYS23" s="3"/>
      <c r="MYW23" s="3"/>
      <c r="MZA23" s="3"/>
      <c r="MZE23" s="3"/>
      <c r="MZI23" s="3"/>
      <c r="MZM23" s="3"/>
      <c r="MZQ23" s="3"/>
      <c r="MZU23" s="3"/>
      <c r="MZY23" s="3"/>
      <c r="NAC23" s="3"/>
      <c r="NAG23" s="3"/>
      <c r="NAK23" s="3"/>
      <c r="NAO23" s="3"/>
      <c r="NAS23" s="3"/>
      <c r="NAW23" s="3"/>
      <c r="NBA23" s="3"/>
      <c r="NBE23" s="3"/>
      <c r="NBI23" s="3"/>
      <c r="NBM23" s="3"/>
      <c r="NBQ23" s="3"/>
      <c r="NBU23" s="3"/>
      <c r="NBY23" s="3"/>
      <c r="NCC23" s="3"/>
      <c r="NCG23" s="3"/>
      <c r="NCK23" s="3"/>
      <c r="NCO23" s="3"/>
      <c r="NCS23" s="3"/>
      <c r="NCW23" s="3"/>
      <c r="NDA23" s="3"/>
      <c r="NDE23" s="3"/>
      <c r="NDI23" s="3"/>
      <c r="NDM23" s="3"/>
      <c r="NDQ23" s="3"/>
      <c r="NDU23" s="3"/>
      <c r="NDY23" s="3"/>
      <c r="NEC23" s="3"/>
      <c r="NEG23" s="3"/>
      <c r="NEK23" s="3"/>
      <c r="NEO23" s="3"/>
      <c r="NES23" s="3"/>
      <c r="NEW23" s="3"/>
      <c r="NFA23" s="3"/>
      <c r="NFE23" s="3"/>
      <c r="NFI23" s="3"/>
      <c r="NFM23" s="3"/>
      <c r="NFQ23" s="3"/>
      <c r="NFU23" s="3"/>
      <c r="NFY23" s="3"/>
      <c r="NGC23" s="3"/>
      <c r="NGG23" s="3"/>
      <c r="NGK23" s="3"/>
      <c r="NGO23" s="3"/>
      <c r="NGS23" s="3"/>
      <c r="NGW23" s="3"/>
      <c r="NHA23" s="3"/>
      <c r="NHE23" s="3"/>
      <c r="NHI23" s="3"/>
      <c r="NHM23" s="3"/>
      <c r="NHQ23" s="3"/>
      <c r="NHU23" s="3"/>
      <c r="NHY23" s="3"/>
      <c r="NIC23" s="3"/>
      <c r="NIG23" s="3"/>
      <c r="NIK23" s="3"/>
      <c r="NIO23" s="3"/>
      <c r="NIS23" s="3"/>
      <c r="NIW23" s="3"/>
      <c r="NJA23" s="3"/>
      <c r="NJE23" s="3"/>
      <c r="NJI23" s="3"/>
      <c r="NJM23" s="3"/>
      <c r="NJQ23" s="3"/>
      <c r="NJU23" s="3"/>
      <c r="NJY23" s="3"/>
      <c r="NKC23" s="3"/>
      <c r="NKG23" s="3"/>
      <c r="NKK23" s="3"/>
      <c r="NKO23" s="3"/>
      <c r="NKS23" s="3"/>
      <c r="NKW23" s="3"/>
      <c r="NLA23" s="3"/>
      <c r="NLE23" s="3"/>
      <c r="NLI23" s="3"/>
      <c r="NLM23" s="3"/>
      <c r="NLQ23" s="3"/>
      <c r="NLU23" s="3"/>
      <c r="NLY23" s="3"/>
      <c r="NMC23" s="3"/>
      <c r="NMG23" s="3"/>
      <c r="NMK23" s="3"/>
      <c r="NMO23" s="3"/>
      <c r="NMS23" s="3"/>
      <c r="NMW23" s="3"/>
      <c r="NNA23" s="3"/>
      <c r="NNE23" s="3"/>
      <c r="NNI23" s="3"/>
      <c r="NNM23" s="3"/>
      <c r="NNQ23" s="3"/>
      <c r="NNU23" s="3"/>
      <c r="NNY23" s="3"/>
      <c r="NOC23" s="3"/>
      <c r="NOG23" s="3"/>
      <c r="NOK23" s="3"/>
      <c r="NOO23" s="3"/>
      <c r="NOS23" s="3"/>
      <c r="NOW23" s="3"/>
      <c r="NPA23" s="3"/>
      <c r="NPE23" s="3"/>
      <c r="NPI23" s="3"/>
      <c r="NPM23" s="3"/>
      <c r="NPQ23" s="3"/>
      <c r="NPU23" s="3"/>
      <c r="NPY23" s="3"/>
      <c r="NQC23" s="3"/>
      <c r="NQG23" s="3"/>
      <c r="NQK23" s="3"/>
      <c r="NQO23" s="3"/>
      <c r="NQS23" s="3"/>
      <c r="NQW23" s="3"/>
      <c r="NRA23" s="3"/>
      <c r="NRE23" s="3"/>
      <c r="NRI23" s="3"/>
      <c r="NRM23" s="3"/>
      <c r="NRQ23" s="3"/>
      <c r="NRU23" s="3"/>
      <c r="NRY23" s="3"/>
      <c r="NSC23" s="3"/>
      <c r="NSG23" s="3"/>
      <c r="NSK23" s="3"/>
      <c r="NSO23" s="3"/>
      <c r="NSS23" s="3"/>
      <c r="NSW23" s="3"/>
      <c r="NTA23" s="3"/>
      <c r="NTE23" s="3"/>
      <c r="NTI23" s="3"/>
      <c r="NTM23" s="3"/>
      <c r="NTQ23" s="3"/>
      <c r="NTU23" s="3"/>
      <c r="NTY23" s="3"/>
      <c r="NUC23" s="3"/>
      <c r="NUG23" s="3"/>
      <c r="NUK23" s="3"/>
      <c r="NUO23" s="3"/>
      <c r="NUS23" s="3"/>
      <c r="NUW23" s="3"/>
      <c r="NVA23" s="3"/>
      <c r="NVE23" s="3"/>
      <c r="NVI23" s="3"/>
      <c r="NVM23" s="3"/>
      <c r="NVQ23" s="3"/>
      <c r="NVU23" s="3"/>
      <c r="NVY23" s="3"/>
      <c r="NWC23" s="3"/>
      <c r="NWG23" s="3"/>
      <c r="NWK23" s="3"/>
      <c r="NWO23" s="3"/>
      <c r="NWS23" s="3"/>
      <c r="NWW23" s="3"/>
      <c r="NXA23" s="3"/>
      <c r="NXE23" s="3"/>
      <c r="NXI23" s="3"/>
      <c r="NXM23" s="3"/>
      <c r="NXQ23" s="3"/>
      <c r="NXU23" s="3"/>
      <c r="NXY23" s="3"/>
      <c r="NYC23" s="3"/>
      <c r="NYG23" s="3"/>
      <c r="NYK23" s="3"/>
      <c r="NYO23" s="3"/>
      <c r="NYS23" s="3"/>
      <c r="NYW23" s="3"/>
      <c r="NZA23" s="3"/>
      <c r="NZE23" s="3"/>
      <c r="NZI23" s="3"/>
      <c r="NZM23" s="3"/>
      <c r="NZQ23" s="3"/>
      <c r="NZU23" s="3"/>
      <c r="NZY23" s="3"/>
      <c r="OAC23" s="3"/>
      <c r="OAG23" s="3"/>
      <c r="OAK23" s="3"/>
      <c r="OAO23" s="3"/>
      <c r="OAS23" s="3"/>
      <c r="OAW23" s="3"/>
      <c r="OBA23" s="3"/>
      <c r="OBE23" s="3"/>
      <c r="OBI23" s="3"/>
      <c r="OBM23" s="3"/>
      <c r="OBQ23" s="3"/>
      <c r="OBU23" s="3"/>
      <c r="OBY23" s="3"/>
      <c r="OCC23" s="3"/>
      <c r="OCG23" s="3"/>
      <c r="OCK23" s="3"/>
      <c r="OCO23" s="3"/>
      <c r="OCS23" s="3"/>
      <c r="OCW23" s="3"/>
      <c r="ODA23" s="3"/>
      <c r="ODE23" s="3"/>
      <c r="ODI23" s="3"/>
      <c r="ODM23" s="3"/>
      <c r="ODQ23" s="3"/>
      <c r="ODU23" s="3"/>
      <c r="ODY23" s="3"/>
      <c r="OEC23" s="3"/>
      <c r="OEG23" s="3"/>
      <c r="OEK23" s="3"/>
      <c r="OEO23" s="3"/>
      <c r="OES23" s="3"/>
      <c r="OEW23" s="3"/>
      <c r="OFA23" s="3"/>
      <c r="OFE23" s="3"/>
      <c r="OFI23" s="3"/>
      <c r="OFM23" s="3"/>
      <c r="OFQ23" s="3"/>
      <c r="OFU23" s="3"/>
      <c r="OFY23" s="3"/>
      <c r="OGC23" s="3"/>
      <c r="OGG23" s="3"/>
      <c r="OGK23" s="3"/>
      <c r="OGO23" s="3"/>
      <c r="OGS23" s="3"/>
      <c r="OGW23" s="3"/>
      <c r="OHA23" s="3"/>
      <c r="OHE23" s="3"/>
      <c r="OHI23" s="3"/>
      <c r="OHM23" s="3"/>
      <c r="OHQ23" s="3"/>
      <c r="OHU23" s="3"/>
      <c r="OHY23" s="3"/>
      <c r="OIC23" s="3"/>
      <c r="OIG23" s="3"/>
      <c r="OIK23" s="3"/>
      <c r="OIO23" s="3"/>
      <c r="OIS23" s="3"/>
      <c r="OIW23" s="3"/>
      <c r="OJA23" s="3"/>
      <c r="OJE23" s="3"/>
      <c r="OJI23" s="3"/>
      <c r="OJM23" s="3"/>
      <c r="OJQ23" s="3"/>
      <c r="OJU23" s="3"/>
      <c r="OJY23" s="3"/>
      <c r="OKC23" s="3"/>
      <c r="OKG23" s="3"/>
      <c r="OKK23" s="3"/>
      <c r="OKO23" s="3"/>
      <c r="OKS23" s="3"/>
      <c r="OKW23" s="3"/>
      <c r="OLA23" s="3"/>
      <c r="OLE23" s="3"/>
      <c r="OLI23" s="3"/>
      <c r="OLM23" s="3"/>
      <c r="OLQ23" s="3"/>
      <c r="OLU23" s="3"/>
      <c r="OLY23" s="3"/>
      <c r="OMC23" s="3"/>
      <c r="OMG23" s="3"/>
      <c r="OMK23" s="3"/>
      <c r="OMO23" s="3"/>
      <c r="OMS23" s="3"/>
      <c r="OMW23" s="3"/>
      <c r="ONA23" s="3"/>
      <c r="ONE23" s="3"/>
      <c r="ONI23" s="3"/>
      <c r="ONM23" s="3"/>
      <c r="ONQ23" s="3"/>
      <c r="ONU23" s="3"/>
      <c r="ONY23" s="3"/>
      <c r="OOC23" s="3"/>
      <c r="OOG23" s="3"/>
      <c r="OOK23" s="3"/>
      <c r="OOO23" s="3"/>
      <c r="OOS23" s="3"/>
      <c r="OOW23" s="3"/>
      <c r="OPA23" s="3"/>
      <c r="OPE23" s="3"/>
      <c r="OPI23" s="3"/>
      <c r="OPM23" s="3"/>
      <c r="OPQ23" s="3"/>
      <c r="OPU23" s="3"/>
      <c r="OPY23" s="3"/>
      <c r="OQC23" s="3"/>
      <c r="OQG23" s="3"/>
      <c r="OQK23" s="3"/>
      <c r="OQO23" s="3"/>
      <c r="OQS23" s="3"/>
      <c r="OQW23" s="3"/>
      <c r="ORA23" s="3"/>
      <c r="ORE23" s="3"/>
      <c r="ORI23" s="3"/>
      <c r="ORM23" s="3"/>
      <c r="ORQ23" s="3"/>
      <c r="ORU23" s="3"/>
      <c r="ORY23" s="3"/>
      <c r="OSC23" s="3"/>
      <c r="OSG23" s="3"/>
      <c r="OSK23" s="3"/>
      <c r="OSO23" s="3"/>
      <c r="OSS23" s="3"/>
      <c r="OSW23" s="3"/>
      <c r="OTA23" s="3"/>
      <c r="OTE23" s="3"/>
      <c r="OTI23" s="3"/>
      <c r="OTM23" s="3"/>
      <c r="OTQ23" s="3"/>
      <c r="OTU23" s="3"/>
      <c r="OTY23" s="3"/>
      <c r="OUC23" s="3"/>
      <c r="OUG23" s="3"/>
      <c r="OUK23" s="3"/>
      <c r="OUO23" s="3"/>
      <c r="OUS23" s="3"/>
      <c r="OUW23" s="3"/>
      <c r="OVA23" s="3"/>
      <c r="OVE23" s="3"/>
      <c r="OVI23" s="3"/>
      <c r="OVM23" s="3"/>
      <c r="OVQ23" s="3"/>
      <c r="OVU23" s="3"/>
      <c r="OVY23" s="3"/>
      <c r="OWC23" s="3"/>
      <c r="OWG23" s="3"/>
      <c r="OWK23" s="3"/>
      <c r="OWO23" s="3"/>
      <c r="OWS23" s="3"/>
      <c r="OWW23" s="3"/>
      <c r="OXA23" s="3"/>
      <c r="OXE23" s="3"/>
      <c r="OXI23" s="3"/>
      <c r="OXM23" s="3"/>
      <c r="OXQ23" s="3"/>
      <c r="OXU23" s="3"/>
      <c r="OXY23" s="3"/>
      <c r="OYC23" s="3"/>
      <c r="OYG23" s="3"/>
      <c r="OYK23" s="3"/>
      <c r="OYO23" s="3"/>
      <c r="OYS23" s="3"/>
      <c r="OYW23" s="3"/>
      <c r="OZA23" s="3"/>
      <c r="OZE23" s="3"/>
      <c r="OZI23" s="3"/>
      <c r="OZM23" s="3"/>
      <c r="OZQ23" s="3"/>
      <c r="OZU23" s="3"/>
      <c r="OZY23" s="3"/>
      <c r="PAC23" s="3"/>
      <c r="PAG23" s="3"/>
      <c r="PAK23" s="3"/>
      <c r="PAO23" s="3"/>
      <c r="PAS23" s="3"/>
      <c r="PAW23" s="3"/>
      <c r="PBA23" s="3"/>
      <c r="PBE23" s="3"/>
      <c r="PBI23" s="3"/>
      <c r="PBM23" s="3"/>
      <c r="PBQ23" s="3"/>
      <c r="PBU23" s="3"/>
      <c r="PBY23" s="3"/>
      <c r="PCC23" s="3"/>
      <c r="PCG23" s="3"/>
      <c r="PCK23" s="3"/>
      <c r="PCO23" s="3"/>
      <c r="PCS23" s="3"/>
      <c r="PCW23" s="3"/>
      <c r="PDA23" s="3"/>
      <c r="PDE23" s="3"/>
      <c r="PDI23" s="3"/>
      <c r="PDM23" s="3"/>
      <c r="PDQ23" s="3"/>
      <c r="PDU23" s="3"/>
      <c r="PDY23" s="3"/>
      <c r="PEC23" s="3"/>
      <c r="PEG23" s="3"/>
      <c r="PEK23" s="3"/>
      <c r="PEO23" s="3"/>
      <c r="PES23" s="3"/>
      <c r="PEW23" s="3"/>
      <c r="PFA23" s="3"/>
      <c r="PFE23" s="3"/>
      <c r="PFI23" s="3"/>
      <c r="PFM23" s="3"/>
      <c r="PFQ23" s="3"/>
      <c r="PFU23" s="3"/>
      <c r="PFY23" s="3"/>
      <c r="PGC23" s="3"/>
      <c r="PGG23" s="3"/>
      <c r="PGK23" s="3"/>
      <c r="PGO23" s="3"/>
      <c r="PGS23" s="3"/>
      <c r="PGW23" s="3"/>
      <c r="PHA23" s="3"/>
      <c r="PHE23" s="3"/>
      <c r="PHI23" s="3"/>
      <c r="PHM23" s="3"/>
      <c r="PHQ23" s="3"/>
      <c r="PHU23" s="3"/>
      <c r="PHY23" s="3"/>
      <c r="PIC23" s="3"/>
      <c r="PIG23" s="3"/>
      <c r="PIK23" s="3"/>
      <c r="PIO23" s="3"/>
      <c r="PIS23" s="3"/>
      <c r="PIW23" s="3"/>
      <c r="PJA23" s="3"/>
      <c r="PJE23" s="3"/>
      <c r="PJI23" s="3"/>
      <c r="PJM23" s="3"/>
      <c r="PJQ23" s="3"/>
      <c r="PJU23" s="3"/>
      <c r="PJY23" s="3"/>
      <c r="PKC23" s="3"/>
      <c r="PKG23" s="3"/>
      <c r="PKK23" s="3"/>
      <c r="PKO23" s="3"/>
      <c r="PKS23" s="3"/>
      <c r="PKW23" s="3"/>
      <c r="PLA23" s="3"/>
      <c r="PLE23" s="3"/>
      <c r="PLI23" s="3"/>
      <c r="PLM23" s="3"/>
      <c r="PLQ23" s="3"/>
      <c r="PLU23" s="3"/>
      <c r="PLY23" s="3"/>
      <c r="PMC23" s="3"/>
      <c r="PMG23" s="3"/>
      <c r="PMK23" s="3"/>
      <c r="PMO23" s="3"/>
      <c r="PMS23" s="3"/>
      <c r="PMW23" s="3"/>
      <c r="PNA23" s="3"/>
      <c r="PNE23" s="3"/>
      <c r="PNI23" s="3"/>
      <c r="PNM23" s="3"/>
      <c r="PNQ23" s="3"/>
      <c r="PNU23" s="3"/>
      <c r="PNY23" s="3"/>
      <c r="POC23" s="3"/>
      <c r="POG23" s="3"/>
      <c r="POK23" s="3"/>
      <c r="POO23" s="3"/>
      <c r="POS23" s="3"/>
      <c r="POW23" s="3"/>
      <c r="PPA23" s="3"/>
      <c r="PPE23" s="3"/>
      <c r="PPI23" s="3"/>
      <c r="PPM23" s="3"/>
      <c r="PPQ23" s="3"/>
      <c r="PPU23" s="3"/>
      <c r="PPY23" s="3"/>
      <c r="PQC23" s="3"/>
      <c r="PQG23" s="3"/>
      <c r="PQK23" s="3"/>
      <c r="PQO23" s="3"/>
      <c r="PQS23" s="3"/>
      <c r="PQW23" s="3"/>
      <c r="PRA23" s="3"/>
      <c r="PRE23" s="3"/>
      <c r="PRI23" s="3"/>
      <c r="PRM23" s="3"/>
      <c r="PRQ23" s="3"/>
      <c r="PRU23" s="3"/>
      <c r="PRY23" s="3"/>
      <c r="PSC23" s="3"/>
      <c r="PSG23" s="3"/>
      <c r="PSK23" s="3"/>
      <c r="PSO23" s="3"/>
      <c r="PSS23" s="3"/>
      <c r="PSW23" s="3"/>
      <c r="PTA23" s="3"/>
      <c r="PTE23" s="3"/>
      <c r="PTI23" s="3"/>
      <c r="PTM23" s="3"/>
      <c r="PTQ23" s="3"/>
      <c r="PTU23" s="3"/>
      <c r="PTY23" s="3"/>
      <c r="PUC23" s="3"/>
      <c r="PUG23" s="3"/>
      <c r="PUK23" s="3"/>
      <c r="PUO23" s="3"/>
      <c r="PUS23" s="3"/>
      <c r="PUW23" s="3"/>
      <c r="PVA23" s="3"/>
      <c r="PVE23" s="3"/>
      <c r="PVI23" s="3"/>
      <c r="PVM23" s="3"/>
      <c r="PVQ23" s="3"/>
      <c r="PVU23" s="3"/>
      <c r="PVY23" s="3"/>
      <c r="PWC23" s="3"/>
      <c r="PWG23" s="3"/>
      <c r="PWK23" s="3"/>
      <c r="PWO23" s="3"/>
      <c r="PWS23" s="3"/>
      <c r="PWW23" s="3"/>
      <c r="PXA23" s="3"/>
      <c r="PXE23" s="3"/>
      <c r="PXI23" s="3"/>
      <c r="PXM23" s="3"/>
      <c r="PXQ23" s="3"/>
      <c r="PXU23" s="3"/>
      <c r="PXY23" s="3"/>
      <c r="PYC23" s="3"/>
      <c r="PYG23" s="3"/>
      <c r="PYK23" s="3"/>
      <c r="PYO23" s="3"/>
      <c r="PYS23" s="3"/>
      <c r="PYW23" s="3"/>
      <c r="PZA23" s="3"/>
      <c r="PZE23" s="3"/>
      <c r="PZI23" s="3"/>
      <c r="PZM23" s="3"/>
      <c r="PZQ23" s="3"/>
      <c r="PZU23" s="3"/>
      <c r="PZY23" s="3"/>
      <c r="QAC23" s="3"/>
      <c r="QAG23" s="3"/>
      <c r="QAK23" s="3"/>
      <c r="QAO23" s="3"/>
      <c r="QAS23" s="3"/>
      <c r="QAW23" s="3"/>
      <c r="QBA23" s="3"/>
      <c r="QBE23" s="3"/>
      <c r="QBI23" s="3"/>
      <c r="QBM23" s="3"/>
      <c r="QBQ23" s="3"/>
      <c r="QBU23" s="3"/>
      <c r="QBY23" s="3"/>
      <c r="QCC23" s="3"/>
      <c r="QCG23" s="3"/>
      <c r="QCK23" s="3"/>
      <c r="QCO23" s="3"/>
      <c r="QCS23" s="3"/>
      <c r="QCW23" s="3"/>
      <c r="QDA23" s="3"/>
      <c r="QDE23" s="3"/>
      <c r="QDI23" s="3"/>
      <c r="QDM23" s="3"/>
      <c r="QDQ23" s="3"/>
      <c r="QDU23" s="3"/>
      <c r="QDY23" s="3"/>
      <c r="QEC23" s="3"/>
      <c r="QEG23" s="3"/>
      <c r="QEK23" s="3"/>
      <c r="QEO23" s="3"/>
      <c r="QES23" s="3"/>
      <c r="QEW23" s="3"/>
      <c r="QFA23" s="3"/>
      <c r="QFE23" s="3"/>
      <c r="QFI23" s="3"/>
      <c r="QFM23" s="3"/>
      <c r="QFQ23" s="3"/>
      <c r="QFU23" s="3"/>
      <c r="QFY23" s="3"/>
      <c r="QGC23" s="3"/>
      <c r="QGG23" s="3"/>
      <c r="QGK23" s="3"/>
      <c r="QGO23" s="3"/>
      <c r="QGS23" s="3"/>
      <c r="QGW23" s="3"/>
      <c r="QHA23" s="3"/>
      <c r="QHE23" s="3"/>
      <c r="QHI23" s="3"/>
      <c r="QHM23" s="3"/>
      <c r="QHQ23" s="3"/>
      <c r="QHU23" s="3"/>
      <c r="QHY23" s="3"/>
      <c r="QIC23" s="3"/>
      <c r="QIG23" s="3"/>
      <c r="QIK23" s="3"/>
      <c r="QIO23" s="3"/>
      <c r="QIS23" s="3"/>
      <c r="QIW23" s="3"/>
      <c r="QJA23" s="3"/>
      <c r="QJE23" s="3"/>
      <c r="QJI23" s="3"/>
      <c r="QJM23" s="3"/>
      <c r="QJQ23" s="3"/>
      <c r="QJU23" s="3"/>
      <c r="QJY23" s="3"/>
      <c r="QKC23" s="3"/>
      <c r="QKG23" s="3"/>
      <c r="QKK23" s="3"/>
      <c r="QKO23" s="3"/>
      <c r="QKS23" s="3"/>
      <c r="QKW23" s="3"/>
      <c r="QLA23" s="3"/>
      <c r="QLE23" s="3"/>
      <c r="QLI23" s="3"/>
      <c r="QLM23" s="3"/>
      <c r="QLQ23" s="3"/>
      <c r="QLU23" s="3"/>
      <c r="QLY23" s="3"/>
      <c r="QMC23" s="3"/>
      <c r="QMG23" s="3"/>
      <c r="QMK23" s="3"/>
      <c r="QMO23" s="3"/>
      <c r="QMS23" s="3"/>
      <c r="QMW23" s="3"/>
      <c r="QNA23" s="3"/>
      <c r="QNE23" s="3"/>
      <c r="QNI23" s="3"/>
      <c r="QNM23" s="3"/>
      <c r="QNQ23" s="3"/>
      <c r="QNU23" s="3"/>
      <c r="QNY23" s="3"/>
      <c r="QOC23" s="3"/>
      <c r="QOG23" s="3"/>
      <c r="QOK23" s="3"/>
      <c r="QOO23" s="3"/>
      <c r="QOS23" s="3"/>
      <c r="QOW23" s="3"/>
      <c r="QPA23" s="3"/>
      <c r="QPE23" s="3"/>
      <c r="QPI23" s="3"/>
      <c r="QPM23" s="3"/>
      <c r="QPQ23" s="3"/>
      <c r="QPU23" s="3"/>
      <c r="QPY23" s="3"/>
      <c r="QQC23" s="3"/>
      <c r="QQG23" s="3"/>
      <c r="QQK23" s="3"/>
      <c r="QQO23" s="3"/>
      <c r="QQS23" s="3"/>
      <c r="QQW23" s="3"/>
      <c r="QRA23" s="3"/>
      <c r="QRE23" s="3"/>
      <c r="QRI23" s="3"/>
      <c r="QRM23" s="3"/>
      <c r="QRQ23" s="3"/>
      <c r="QRU23" s="3"/>
      <c r="QRY23" s="3"/>
      <c r="QSC23" s="3"/>
      <c r="QSG23" s="3"/>
      <c r="QSK23" s="3"/>
      <c r="QSO23" s="3"/>
      <c r="QSS23" s="3"/>
      <c r="QSW23" s="3"/>
      <c r="QTA23" s="3"/>
      <c r="QTE23" s="3"/>
      <c r="QTI23" s="3"/>
      <c r="QTM23" s="3"/>
      <c r="QTQ23" s="3"/>
      <c r="QTU23" s="3"/>
      <c r="QTY23" s="3"/>
      <c r="QUC23" s="3"/>
      <c r="QUG23" s="3"/>
      <c r="QUK23" s="3"/>
      <c r="QUO23" s="3"/>
      <c r="QUS23" s="3"/>
      <c r="QUW23" s="3"/>
      <c r="QVA23" s="3"/>
      <c r="QVE23" s="3"/>
      <c r="QVI23" s="3"/>
      <c r="QVM23" s="3"/>
      <c r="QVQ23" s="3"/>
      <c r="QVU23" s="3"/>
      <c r="QVY23" s="3"/>
      <c r="QWC23" s="3"/>
      <c r="QWG23" s="3"/>
      <c r="QWK23" s="3"/>
      <c r="QWO23" s="3"/>
      <c r="QWS23" s="3"/>
      <c r="QWW23" s="3"/>
      <c r="QXA23" s="3"/>
      <c r="QXE23" s="3"/>
      <c r="QXI23" s="3"/>
      <c r="QXM23" s="3"/>
      <c r="QXQ23" s="3"/>
      <c r="QXU23" s="3"/>
      <c r="QXY23" s="3"/>
      <c r="QYC23" s="3"/>
      <c r="QYG23" s="3"/>
      <c r="QYK23" s="3"/>
      <c r="QYO23" s="3"/>
      <c r="QYS23" s="3"/>
      <c r="QYW23" s="3"/>
      <c r="QZA23" s="3"/>
      <c r="QZE23" s="3"/>
      <c r="QZI23" s="3"/>
      <c r="QZM23" s="3"/>
      <c r="QZQ23" s="3"/>
      <c r="QZU23" s="3"/>
      <c r="QZY23" s="3"/>
      <c r="RAC23" s="3"/>
      <c r="RAG23" s="3"/>
      <c r="RAK23" s="3"/>
      <c r="RAO23" s="3"/>
      <c r="RAS23" s="3"/>
      <c r="RAW23" s="3"/>
      <c r="RBA23" s="3"/>
      <c r="RBE23" s="3"/>
      <c r="RBI23" s="3"/>
      <c r="RBM23" s="3"/>
      <c r="RBQ23" s="3"/>
      <c r="RBU23" s="3"/>
      <c r="RBY23" s="3"/>
      <c r="RCC23" s="3"/>
      <c r="RCG23" s="3"/>
      <c r="RCK23" s="3"/>
      <c r="RCO23" s="3"/>
      <c r="RCS23" s="3"/>
      <c r="RCW23" s="3"/>
      <c r="RDA23" s="3"/>
      <c r="RDE23" s="3"/>
      <c r="RDI23" s="3"/>
      <c r="RDM23" s="3"/>
      <c r="RDQ23" s="3"/>
      <c r="RDU23" s="3"/>
      <c r="RDY23" s="3"/>
      <c r="REC23" s="3"/>
      <c r="REG23" s="3"/>
      <c r="REK23" s="3"/>
      <c r="REO23" s="3"/>
      <c r="RES23" s="3"/>
      <c r="REW23" s="3"/>
      <c r="RFA23" s="3"/>
      <c r="RFE23" s="3"/>
      <c r="RFI23" s="3"/>
      <c r="RFM23" s="3"/>
      <c r="RFQ23" s="3"/>
      <c r="RFU23" s="3"/>
      <c r="RFY23" s="3"/>
      <c r="RGC23" s="3"/>
      <c r="RGG23" s="3"/>
      <c r="RGK23" s="3"/>
      <c r="RGO23" s="3"/>
      <c r="RGS23" s="3"/>
      <c r="RGW23" s="3"/>
      <c r="RHA23" s="3"/>
      <c r="RHE23" s="3"/>
      <c r="RHI23" s="3"/>
      <c r="RHM23" s="3"/>
      <c r="RHQ23" s="3"/>
      <c r="RHU23" s="3"/>
      <c r="RHY23" s="3"/>
      <c r="RIC23" s="3"/>
      <c r="RIG23" s="3"/>
      <c r="RIK23" s="3"/>
      <c r="RIO23" s="3"/>
      <c r="RIS23" s="3"/>
      <c r="RIW23" s="3"/>
      <c r="RJA23" s="3"/>
      <c r="RJE23" s="3"/>
      <c r="RJI23" s="3"/>
      <c r="RJM23" s="3"/>
      <c r="RJQ23" s="3"/>
      <c r="RJU23" s="3"/>
      <c r="RJY23" s="3"/>
      <c r="RKC23" s="3"/>
      <c r="RKG23" s="3"/>
      <c r="RKK23" s="3"/>
      <c r="RKO23" s="3"/>
      <c r="RKS23" s="3"/>
      <c r="RKW23" s="3"/>
      <c r="RLA23" s="3"/>
      <c r="RLE23" s="3"/>
      <c r="RLI23" s="3"/>
      <c r="RLM23" s="3"/>
      <c r="RLQ23" s="3"/>
      <c r="RLU23" s="3"/>
      <c r="RLY23" s="3"/>
      <c r="RMC23" s="3"/>
      <c r="RMG23" s="3"/>
      <c r="RMK23" s="3"/>
      <c r="RMO23" s="3"/>
      <c r="RMS23" s="3"/>
      <c r="RMW23" s="3"/>
      <c r="RNA23" s="3"/>
      <c r="RNE23" s="3"/>
      <c r="RNI23" s="3"/>
      <c r="RNM23" s="3"/>
      <c r="RNQ23" s="3"/>
      <c r="RNU23" s="3"/>
      <c r="RNY23" s="3"/>
      <c r="ROC23" s="3"/>
      <c r="ROG23" s="3"/>
      <c r="ROK23" s="3"/>
      <c r="ROO23" s="3"/>
      <c r="ROS23" s="3"/>
      <c r="ROW23" s="3"/>
      <c r="RPA23" s="3"/>
      <c r="RPE23" s="3"/>
      <c r="RPI23" s="3"/>
      <c r="RPM23" s="3"/>
      <c r="RPQ23" s="3"/>
      <c r="RPU23" s="3"/>
      <c r="RPY23" s="3"/>
      <c r="RQC23" s="3"/>
      <c r="RQG23" s="3"/>
      <c r="RQK23" s="3"/>
      <c r="RQO23" s="3"/>
      <c r="RQS23" s="3"/>
      <c r="RQW23" s="3"/>
      <c r="RRA23" s="3"/>
      <c r="RRE23" s="3"/>
      <c r="RRI23" s="3"/>
      <c r="RRM23" s="3"/>
      <c r="RRQ23" s="3"/>
      <c r="RRU23" s="3"/>
      <c r="RRY23" s="3"/>
      <c r="RSC23" s="3"/>
      <c r="RSG23" s="3"/>
      <c r="RSK23" s="3"/>
      <c r="RSO23" s="3"/>
      <c r="RSS23" s="3"/>
      <c r="RSW23" s="3"/>
      <c r="RTA23" s="3"/>
      <c r="RTE23" s="3"/>
      <c r="RTI23" s="3"/>
      <c r="RTM23" s="3"/>
      <c r="RTQ23" s="3"/>
      <c r="RTU23" s="3"/>
      <c r="RTY23" s="3"/>
      <c r="RUC23" s="3"/>
      <c r="RUG23" s="3"/>
      <c r="RUK23" s="3"/>
      <c r="RUO23" s="3"/>
      <c r="RUS23" s="3"/>
      <c r="RUW23" s="3"/>
      <c r="RVA23" s="3"/>
      <c r="RVE23" s="3"/>
      <c r="RVI23" s="3"/>
      <c r="RVM23" s="3"/>
      <c r="RVQ23" s="3"/>
      <c r="RVU23" s="3"/>
      <c r="RVY23" s="3"/>
      <c r="RWC23" s="3"/>
      <c r="RWG23" s="3"/>
      <c r="RWK23" s="3"/>
      <c r="RWO23" s="3"/>
      <c r="RWS23" s="3"/>
      <c r="RWW23" s="3"/>
      <c r="RXA23" s="3"/>
      <c r="RXE23" s="3"/>
      <c r="RXI23" s="3"/>
      <c r="RXM23" s="3"/>
      <c r="RXQ23" s="3"/>
      <c r="RXU23" s="3"/>
      <c r="RXY23" s="3"/>
      <c r="RYC23" s="3"/>
      <c r="RYG23" s="3"/>
      <c r="RYK23" s="3"/>
      <c r="RYO23" s="3"/>
      <c r="RYS23" s="3"/>
      <c r="RYW23" s="3"/>
      <c r="RZA23" s="3"/>
      <c r="RZE23" s="3"/>
      <c r="RZI23" s="3"/>
      <c r="RZM23" s="3"/>
      <c r="RZQ23" s="3"/>
      <c r="RZU23" s="3"/>
      <c r="RZY23" s="3"/>
      <c r="SAC23" s="3"/>
      <c r="SAG23" s="3"/>
      <c r="SAK23" s="3"/>
      <c r="SAO23" s="3"/>
      <c r="SAS23" s="3"/>
      <c r="SAW23" s="3"/>
      <c r="SBA23" s="3"/>
      <c r="SBE23" s="3"/>
      <c r="SBI23" s="3"/>
      <c r="SBM23" s="3"/>
      <c r="SBQ23" s="3"/>
      <c r="SBU23" s="3"/>
      <c r="SBY23" s="3"/>
      <c r="SCC23" s="3"/>
      <c r="SCG23" s="3"/>
      <c r="SCK23" s="3"/>
      <c r="SCO23" s="3"/>
      <c r="SCS23" s="3"/>
      <c r="SCW23" s="3"/>
      <c r="SDA23" s="3"/>
      <c r="SDE23" s="3"/>
      <c r="SDI23" s="3"/>
      <c r="SDM23" s="3"/>
      <c r="SDQ23" s="3"/>
      <c r="SDU23" s="3"/>
      <c r="SDY23" s="3"/>
      <c r="SEC23" s="3"/>
      <c r="SEG23" s="3"/>
      <c r="SEK23" s="3"/>
      <c r="SEO23" s="3"/>
      <c r="SES23" s="3"/>
      <c r="SEW23" s="3"/>
      <c r="SFA23" s="3"/>
      <c r="SFE23" s="3"/>
      <c r="SFI23" s="3"/>
      <c r="SFM23" s="3"/>
      <c r="SFQ23" s="3"/>
      <c r="SFU23" s="3"/>
      <c r="SFY23" s="3"/>
      <c r="SGC23" s="3"/>
      <c r="SGG23" s="3"/>
      <c r="SGK23" s="3"/>
      <c r="SGO23" s="3"/>
      <c r="SGS23" s="3"/>
      <c r="SGW23" s="3"/>
      <c r="SHA23" s="3"/>
      <c r="SHE23" s="3"/>
      <c r="SHI23" s="3"/>
      <c r="SHM23" s="3"/>
      <c r="SHQ23" s="3"/>
      <c r="SHU23" s="3"/>
      <c r="SHY23" s="3"/>
      <c r="SIC23" s="3"/>
      <c r="SIG23" s="3"/>
      <c r="SIK23" s="3"/>
      <c r="SIO23" s="3"/>
      <c r="SIS23" s="3"/>
      <c r="SIW23" s="3"/>
      <c r="SJA23" s="3"/>
      <c r="SJE23" s="3"/>
      <c r="SJI23" s="3"/>
      <c r="SJM23" s="3"/>
      <c r="SJQ23" s="3"/>
      <c r="SJU23" s="3"/>
      <c r="SJY23" s="3"/>
      <c r="SKC23" s="3"/>
      <c r="SKG23" s="3"/>
      <c r="SKK23" s="3"/>
      <c r="SKO23" s="3"/>
      <c r="SKS23" s="3"/>
      <c r="SKW23" s="3"/>
      <c r="SLA23" s="3"/>
      <c r="SLE23" s="3"/>
      <c r="SLI23" s="3"/>
      <c r="SLM23" s="3"/>
      <c r="SLQ23" s="3"/>
      <c r="SLU23" s="3"/>
      <c r="SLY23" s="3"/>
      <c r="SMC23" s="3"/>
      <c r="SMG23" s="3"/>
      <c r="SMK23" s="3"/>
      <c r="SMO23" s="3"/>
      <c r="SMS23" s="3"/>
      <c r="SMW23" s="3"/>
      <c r="SNA23" s="3"/>
      <c r="SNE23" s="3"/>
      <c r="SNI23" s="3"/>
      <c r="SNM23" s="3"/>
      <c r="SNQ23" s="3"/>
      <c r="SNU23" s="3"/>
      <c r="SNY23" s="3"/>
      <c r="SOC23" s="3"/>
      <c r="SOG23" s="3"/>
      <c r="SOK23" s="3"/>
      <c r="SOO23" s="3"/>
      <c r="SOS23" s="3"/>
      <c r="SOW23" s="3"/>
      <c r="SPA23" s="3"/>
      <c r="SPE23" s="3"/>
      <c r="SPI23" s="3"/>
      <c r="SPM23" s="3"/>
      <c r="SPQ23" s="3"/>
      <c r="SPU23" s="3"/>
      <c r="SPY23" s="3"/>
      <c r="SQC23" s="3"/>
      <c r="SQG23" s="3"/>
      <c r="SQK23" s="3"/>
      <c r="SQO23" s="3"/>
      <c r="SQS23" s="3"/>
      <c r="SQW23" s="3"/>
      <c r="SRA23" s="3"/>
      <c r="SRE23" s="3"/>
      <c r="SRI23" s="3"/>
      <c r="SRM23" s="3"/>
      <c r="SRQ23" s="3"/>
      <c r="SRU23" s="3"/>
      <c r="SRY23" s="3"/>
      <c r="SSC23" s="3"/>
      <c r="SSG23" s="3"/>
      <c r="SSK23" s="3"/>
      <c r="SSO23" s="3"/>
      <c r="SSS23" s="3"/>
      <c r="SSW23" s="3"/>
      <c r="STA23" s="3"/>
      <c r="STE23" s="3"/>
      <c r="STI23" s="3"/>
      <c r="STM23" s="3"/>
      <c r="STQ23" s="3"/>
      <c r="STU23" s="3"/>
      <c r="STY23" s="3"/>
      <c r="SUC23" s="3"/>
      <c r="SUG23" s="3"/>
      <c r="SUK23" s="3"/>
      <c r="SUO23" s="3"/>
      <c r="SUS23" s="3"/>
      <c r="SUW23" s="3"/>
      <c r="SVA23" s="3"/>
      <c r="SVE23" s="3"/>
      <c r="SVI23" s="3"/>
      <c r="SVM23" s="3"/>
      <c r="SVQ23" s="3"/>
      <c r="SVU23" s="3"/>
      <c r="SVY23" s="3"/>
      <c r="SWC23" s="3"/>
      <c r="SWG23" s="3"/>
      <c r="SWK23" s="3"/>
      <c r="SWO23" s="3"/>
      <c r="SWS23" s="3"/>
      <c r="SWW23" s="3"/>
      <c r="SXA23" s="3"/>
      <c r="SXE23" s="3"/>
      <c r="SXI23" s="3"/>
      <c r="SXM23" s="3"/>
      <c r="SXQ23" s="3"/>
      <c r="SXU23" s="3"/>
      <c r="SXY23" s="3"/>
      <c r="SYC23" s="3"/>
      <c r="SYG23" s="3"/>
      <c r="SYK23" s="3"/>
      <c r="SYO23" s="3"/>
      <c r="SYS23" s="3"/>
      <c r="SYW23" s="3"/>
      <c r="SZA23" s="3"/>
      <c r="SZE23" s="3"/>
      <c r="SZI23" s="3"/>
      <c r="SZM23" s="3"/>
      <c r="SZQ23" s="3"/>
      <c r="SZU23" s="3"/>
      <c r="SZY23" s="3"/>
      <c r="TAC23" s="3"/>
      <c r="TAG23" s="3"/>
      <c r="TAK23" s="3"/>
      <c r="TAO23" s="3"/>
      <c r="TAS23" s="3"/>
      <c r="TAW23" s="3"/>
      <c r="TBA23" s="3"/>
      <c r="TBE23" s="3"/>
      <c r="TBI23" s="3"/>
      <c r="TBM23" s="3"/>
      <c r="TBQ23" s="3"/>
      <c r="TBU23" s="3"/>
      <c r="TBY23" s="3"/>
      <c r="TCC23" s="3"/>
      <c r="TCG23" s="3"/>
      <c r="TCK23" s="3"/>
      <c r="TCO23" s="3"/>
      <c r="TCS23" s="3"/>
      <c r="TCW23" s="3"/>
      <c r="TDA23" s="3"/>
      <c r="TDE23" s="3"/>
      <c r="TDI23" s="3"/>
      <c r="TDM23" s="3"/>
      <c r="TDQ23" s="3"/>
      <c r="TDU23" s="3"/>
      <c r="TDY23" s="3"/>
      <c r="TEC23" s="3"/>
      <c r="TEG23" s="3"/>
      <c r="TEK23" s="3"/>
      <c r="TEO23" s="3"/>
      <c r="TES23" s="3"/>
      <c r="TEW23" s="3"/>
      <c r="TFA23" s="3"/>
      <c r="TFE23" s="3"/>
      <c r="TFI23" s="3"/>
      <c r="TFM23" s="3"/>
      <c r="TFQ23" s="3"/>
      <c r="TFU23" s="3"/>
      <c r="TFY23" s="3"/>
      <c r="TGC23" s="3"/>
      <c r="TGG23" s="3"/>
      <c r="TGK23" s="3"/>
      <c r="TGO23" s="3"/>
      <c r="TGS23" s="3"/>
      <c r="TGW23" s="3"/>
      <c r="THA23" s="3"/>
      <c r="THE23" s="3"/>
      <c r="THI23" s="3"/>
      <c r="THM23" s="3"/>
      <c r="THQ23" s="3"/>
      <c r="THU23" s="3"/>
      <c r="THY23" s="3"/>
      <c r="TIC23" s="3"/>
      <c r="TIG23" s="3"/>
      <c r="TIK23" s="3"/>
      <c r="TIO23" s="3"/>
      <c r="TIS23" s="3"/>
      <c r="TIW23" s="3"/>
      <c r="TJA23" s="3"/>
      <c r="TJE23" s="3"/>
      <c r="TJI23" s="3"/>
      <c r="TJM23" s="3"/>
      <c r="TJQ23" s="3"/>
      <c r="TJU23" s="3"/>
      <c r="TJY23" s="3"/>
      <c r="TKC23" s="3"/>
      <c r="TKG23" s="3"/>
      <c r="TKK23" s="3"/>
      <c r="TKO23" s="3"/>
      <c r="TKS23" s="3"/>
      <c r="TKW23" s="3"/>
      <c r="TLA23" s="3"/>
      <c r="TLE23" s="3"/>
      <c r="TLI23" s="3"/>
      <c r="TLM23" s="3"/>
      <c r="TLQ23" s="3"/>
      <c r="TLU23" s="3"/>
      <c r="TLY23" s="3"/>
      <c r="TMC23" s="3"/>
      <c r="TMG23" s="3"/>
      <c r="TMK23" s="3"/>
      <c r="TMO23" s="3"/>
      <c r="TMS23" s="3"/>
      <c r="TMW23" s="3"/>
      <c r="TNA23" s="3"/>
      <c r="TNE23" s="3"/>
      <c r="TNI23" s="3"/>
      <c r="TNM23" s="3"/>
      <c r="TNQ23" s="3"/>
      <c r="TNU23" s="3"/>
      <c r="TNY23" s="3"/>
      <c r="TOC23" s="3"/>
      <c r="TOG23" s="3"/>
      <c r="TOK23" s="3"/>
      <c r="TOO23" s="3"/>
      <c r="TOS23" s="3"/>
      <c r="TOW23" s="3"/>
      <c r="TPA23" s="3"/>
      <c r="TPE23" s="3"/>
      <c r="TPI23" s="3"/>
      <c r="TPM23" s="3"/>
      <c r="TPQ23" s="3"/>
      <c r="TPU23" s="3"/>
      <c r="TPY23" s="3"/>
      <c r="TQC23" s="3"/>
      <c r="TQG23" s="3"/>
      <c r="TQK23" s="3"/>
      <c r="TQO23" s="3"/>
      <c r="TQS23" s="3"/>
      <c r="TQW23" s="3"/>
      <c r="TRA23" s="3"/>
      <c r="TRE23" s="3"/>
      <c r="TRI23" s="3"/>
      <c r="TRM23" s="3"/>
      <c r="TRQ23" s="3"/>
      <c r="TRU23" s="3"/>
      <c r="TRY23" s="3"/>
      <c r="TSC23" s="3"/>
      <c r="TSG23" s="3"/>
      <c r="TSK23" s="3"/>
      <c r="TSO23" s="3"/>
      <c r="TSS23" s="3"/>
      <c r="TSW23" s="3"/>
      <c r="TTA23" s="3"/>
      <c r="TTE23" s="3"/>
      <c r="TTI23" s="3"/>
      <c r="TTM23" s="3"/>
      <c r="TTQ23" s="3"/>
      <c r="TTU23" s="3"/>
      <c r="TTY23" s="3"/>
      <c r="TUC23" s="3"/>
      <c r="TUG23" s="3"/>
      <c r="TUK23" s="3"/>
      <c r="TUO23" s="3"/>
      <c r="TUS23" s="3"/>
      <c r="TUW23" s="3"/>
      <c r="TVA23" s="3"/>
      <c r="TVE23" s="3"/>
      <c r="TVI23" s="3"/>
      <c r="TVM23" s="3"/>
      <c r="TVQ23" s="3"/>
      <c r="TVU23" s="3"/>
      <c r="TVY23" s="3"/>
      <c r="TWC23" s="3"/>
      <c r="TWG23" s="3"/>
      <c r="TWK23" s="3"/>
      <c r="TWO23" s="3"/>
      <c r="TWS23" s="3"/>
      <c r="TWW23" s="3"/>
      <c r="TXA23" s="3"/>
      <c r="TXE23" s="3"/>
      <c r="TXI23" s="3"/>
      <c r="TXM23" s="3"/>
      <c r="TXQ23" s="3"/>
      <c r="TXU23" s="3"/>
      <c r="TXY23" s="3"/>
      <c r="TYC23" s="3"/>
      <c r="TYG23" s="3"/>
      <c r="TYK23" s="3"/>
      <c r="TYO23" s="3"/>
      <c r="TYS23" s="3"/>
      <c r="TYW23" s="3"/>
      <c r="TZA23" s="3"/>
      <c r="TZE23" s="3"/>
      <c r="TZI23" s="3"/>
      <c r="TZM23" s="3"/>
      <c r="TZQ23" s="3"/>
      <c r="TZU23" s="3"/>
      <c r="TZY23" s="3"/>
      <c r="UAC23" s="3"/>
      <c r="UAG23" s="3"/>
      <c r="UAK23" s="3"/>
      <c r="UAO23" s="3"/>
      <c r="UAS23" s="3"/>
      <c r="UAW23" s="3"/>
      <c r="UBA23" s="3"/>
      <c r="UBE23" s="3"/>
      <c r="UBI23" s="3"/>
      <c r="UBM23" s="3"/>
      <c r="UBQ23" s="3"/>
      <c r="UBU23" s="3"/>
      <c r="UBY23" s="3"/>
      <c r="UCC23" s="3"/>
      <c r="UCG23" s="3"/>
      <c r="UCK23" s="3"/>
      <c r="UCO23" s="3"/>
      <c r="UCS23" s="3"/>
      <c r="UCW23" s="3"/>
      <c r="UDA23" s="3"/>
      <c r="UDE23" s="3"/>
      <c r="UDI23" s="3"/>
      <c r="UDM23" s="3"/>
      <c r="UDQ23" s="3"/>
      <c r="UDU23" s="3"/>
      <c r="UDY23" s="3"/>
      <c r="UEC23" s="3"/>
      <c r="UEG23" s="3"/>
      <c r="UEK23" s="3"/>
      <c r="UEO23" s="3"/>
      <c r="UES23" s="3"/>
      <c r="UEW23" s="3"/>
      <c r="UFA23" s="3"/>
      <c r="UFE23" s="3"/>
      <c r="UFI23" s="3"/>
      <c r="UFM23" s="3"/>
      <c r="UFQ23" s="3"/>
      <c r="UFU23" s="3"/>
      <c r="UFY23" s="3"/>
      <c r="UGC23" s="3"/>
      <c r="UGG23" s="3"/>
      <c r="UGK23" s="3"/>
      <c r="UGO23" s="3"/>
      <c r="UGS23" s="3"/>
      <c r="UGW23" s="3"/>
      <c r="UHA23" s="3"/>
      <c r="UHE23" s="3"/>
      <c r="UHI23" s="3"/>
      <c r="UHM23" s="3"/>
      <c r="UHQ23" s="3"/>
      <c r="UHU23" s="3"/>
      <c r="UHY23" s="3"/>
      <c r="UIC23" s="3"/>
      <c r="UIG23" s="3"/>
      <c r="UIK23" s="3"/>
      <c r="UIO23" s="3"/>
      <c r="UIS23" s="3"/>
      <c r="UIW23" s="3"/>
      <c r="UJA23" s="3"/>
      <c r="UJE23" s="3"/>
      <c r="UJI23" s="3"/>
      <c r="UJM23" s="3"/>
      <c r="UJQ23" s="3"/>
      <c r="UJU23" s="3"/>
      <c r="UJY23" s="3"/>
      <c r="UKC23" s="3"/>
      <c r="UKG23" s="3"/>
      <c r="UKK23" s="3"/>
      <c r="UKO23" s="3"/>
      <c r="UKS23" s="3"/>
      <c r="UKW23" s="3"/>
      <c r="ULA23" s="3"/>
      <c r="ULE23" s="3"/>
      <c r="ULI23" s="3"/>
      <c r="ULM23" s="3"/>
      <c r="ULQ23" s="3"/>
      <c r="ULU23" s="3"/>
      <c r="ULY23" s="3"/>
      <c r="UMC23" s="3"/>
      <c r="UMG23" s="3"/>
      <c r="UMK23" s="3"/>
      <c r="UMO23" s="3"/>
      <c r="UMS23" s="3"/>
      <c r="UMW23" s="3"/>
      <c r="UNA23" s="3"/>
      <c r="UNE23" s="3"/>
      <c r="UNI23" s="3"/>
      <c r="UNM23" s="3"/>
      <c r="UNQ23" s="3"/>
      <c r="UNU23" s="3"/>
      <c r="UNY23" s="3"/>
      <c r="UOC23" s="3"/>
      <c r="UOG23" s="3"/>
      <c r="UOK23" s="3"/>
      <c r="UOO23" s="3"/>
      <c r="UOS23" s="3"/>
      <c r="UOW23" s="3"/>
      <c r="UPA23" s="3"/>
      <c r="UPE23" s="3"/>
      <c r="UPI23" s="3"/>
      <c r="UPM23" s="3"/>
      <c r="UPQ23" s="3"/>
      <c r="UPU23" s="3"/>
      <c r="UPY23" s="3"/>
      <c r="UQC23" s="3"/>
      <c r="UQG23" s="3"/>
      <c r="UQK23" s="3"/>
      <c r="UQO23" s="3"/>
      <c r="UQS23" s="3"/>
      <c r="UQW23" s="3"/>
      <c r="URA23" s="3"/>
      <c r="URE23" s="3"/>
      <c r="URI23" s="3"/>
      <c r="URM23" s="3"/>
      <c r="URQ23" s="3"/>
      <c r="URU23" s="3"/>
      <c r="URY23" s="3"/>
      <c r="USC23" s="3"/>
      <c r="USG23" s="3"/>
      <c r="USK23" s="3"/>
      <c r="USO23" s="3"/>
      <c r="USS23" s="3"/>
      <c r="USW23" s="3"/>
      <c r="UTA23" s="3"/>
      <c r="UTE23" s="3"/>
      <c r="UTI23" s="3"/>
      <c r="UTM23" s="3"/>
      <c r="UTQ23" s="3"/>
      <c r="UTU23" s="3"/>
      <c r="UTY23" s="3"/>
      <c r="UUC23" s="3"/>
      <c r="UUG23" s="3"/>
      <c r="UUK23" s="3"/>
      <c r="UUO23" s="3"/>
      <c r="UUS23" s="3"/>
      <c r="UUW23" s="3"/>
      <c r="UVA23" s="3"/>
      <c r="UVE23" s="3"/>
      <c r="UVI23" s="3"/>
      <c r="UVM23" s="3"/>
      <c r="UVQ23" s="3"/>
      <c r="UVU23" s="3"/>
      <c r="UVY23" s="3"/>
      <c r="UWC23" s="3"/>
      <c r="UWG23" s="3"/>
      <c r="UWK23" s="3"/>
      <c r="UWO23" s="3"/>
      <c r="UWS23" s="3"/>
      <c r="UWW23" s="3"/>
      <c r="UXA23" s="3"/>
      <c r="UXE23" s="3"/>
      <c r="UXI23" s="3"/>
      <c r="UXM23" s="3"/>
      <c r="UXQ23" s="3"/>
      <c r="UXU23" s="3"/>
      <c r="UXY23" s="3"/>
      <c r="UYC23" s="3"/>
      <c r="UYG23" s="3"/>
      <c r="UYK23" s="3"/>
      <c r="UYO23" s="3"/>
      <c r="UYS23" s="3"/>
      <c r="UYW23" s="3"/>
      <c r="UZA23" s="3"/>
      <c r="UZE23" s="3"/>
      <c r="UZI23" s="3"/>
      <c r="UZM23" s="3"/>
      <c r="UZQ23" s="3"/>
      <c r="UZU23" s="3"/>
      <c r="UZY23" s="3"/>
      <c r="VAC23" s="3"/>
      <c r="VAG23" s="3"/>
      <c r="VAK23" s="3"/>
      <c r="VAO23" s="3"/>
      <c r="VAS23" s="3"/>
      <c r="VAW23" s="3"/>
      <c r="VBA23" s="3"/>
      <c r="VBE23" s="3"/>
      <c r="VBI23" s="3"/>
      <c r="VBM23" s="3"/>
      <c r="VBQ23" s="3"/>
      <c r="VBU23" s="3"/>
      <c r="VBY23" s="3"/>
      <c r="VCC23" s="3"/>
      <c r="VCG23" s="3"/>
      <c r="VCK23" s="3"/>
      <c r="VCO23" s="3"/>
      <c r="VCS23" s="3"/>
      <c r="VCW23" s="3"/>
      <c r="VDA23" s="3"/>
      <c r="VDE23" s="3"/>
      <c r="VDI23" s="3"/>
      <c r="VDM23" s="3"/>
      <c r="VDQ23" s="3"/>
      <c r="VDU23" s="3"/>
      <c r="VDY23" s="3"/>
      <c r="VEC23" s="3"/>
      <c r="VEG23" s="3"/>
      <c r="VEK23" s="3"/>
      <c r="VEO23" s="3"/>
      <c r="VES23" s="3"/>
      <c r="VEW23" s="3"/>
      <c r="VFA23" s="3"/>
      <c r="VFE23" s="3"/>
      <c r="VFI23" s="3"/>
      <c r="VFM23" s="3"/>
      <c r="VFQ23" s="3"/>
      <c r="VFU23" s="3"/>
      <c r="VFY23" s="3"/>
      <c r="VGC23" s="3"/>
      <c r="VGG23" s="3"/>
      <c r="VGK23" s="3"/>
      <c r="VGO23" s="3"/>
      <c r="VGS23" s="3"/>
      <c r="VGW23" s="3"/>
      <c r="VHA23" s="3"/>
      <c r="VHE23" s="3"/>
      <c r="VHI23" s="3"/>
      <c r="VHM23" s="3"/>
      <c r="VHQ23" s="3"/>
      <c r="VHU23" s="3"/>
      <c r="VHY23" s="3"/>
      <c r="VIC23" s="3"/>
      <c r="VIG23" s="3"/>
      <c r="VIK23" s="3"/>
      <c r="VIO23" s="3"/>
      <c r="VIS23" s="3"/>
      <c r="VIW23" s="3"/>
      <c r="VJA23" s="3"/>
      <c r="VJE23" s="3"/>
      <c r="VJI23" s="3"/>
      <c r="VJM23" s="3"/>
      <c r="VJQ23" s="3"/>
      <c r="VJU23" s="3"/>
      <c r="VJY23" s="3"/>
      <c r="VKC23" s="3"/>
      <c r="VKG23" s="3"/>
      <c r="VKK23" s="3"/>
      <c r="VKO23" s="3"/>
      <c r="VKS23" s="3"/>
      <c r="VKW23" s="3"/>
      <c r="VLA23" s="3"/>
      <c r="VLE23" s="3"/>
      <c r="VLI23" s="3"/>
      <c r="VLM23" s="3"/>
      <c r="VLQ23" s="3"/>
      <c r="VLU23" s="3"/>
      <c r="VLY23" s="3"/>
      <c r="VMC23" s="3"/>
      <c r="VMG23" s="3"/>
      <c r="VMK23" s="3"/>
      <c r="VMO23" s="3"/>
      <c r="VMS23" s="3"/>
      <c r="VMW23" s="3"/>
      <c r="VNA23" s="3"/>
      <c r="VNE23" s="3"/>
      <c r="VNI23" s="3"/>
      <c r="VNM23" s="3"/>
      <c r="VNQ23" s="3"/>
      <c r="VNU23" s="3"/>
      <c r="VNY23" s="3"/>
      <c r="VOC23" s="3"/>
      <c r="VOG23" s="3"/>
      <c r="VOK23" s="3"/>
      <c r="VOO23" s="3"/>
      <c r="VOS23" s="3"/>
      <c r="VOW23" s="3"/>
      <c r="VPA23" s="3"/>
      <c r="VPE23" s="3"/>
      <c r="VPI23" s="3"/>
      <c r="VPM23" s="3"/>
      <c r="VPQ23" s="3"/>
      <c r="VPU23" s="3"/>
      <c r="VPY23" s="3"/>
      <c r="VQC23" s="3"/>
      <c r="VQG23" s="3"/>
      <c r="VQK23" s="3"/>
      <c r="VQO23" s="3"/>
      <c r="VQS23" s="3"/>
      <c r="VQW23" s="3"/>
      <c r="VRA23" s="3"/>
      <c r="VRE23" s="3"/>
      <c r="VRI23" s="3"/>
      <c r="VRM23" s="3"/>
      <c r="VRQ23" s="3"/>
      <c r="VRU23" s="3"/>
      <c r="VRY23" s="3"/>
      <c r="VSC23" s="3"/>
      <c r="VSG23" s="3"/>
      <c r="VSK23" s="3"/>
      <c r="VSO23" s="3"/>
      <c r="VSS23" s="3"/>
      <c r="VSW23" s="3"/>
      <c r="VTA23" s="3"/>
      <c r="VTE23" s="3"/>
      <c r="VTI23" s="3"/>
      <c r="VTM23" s="3"/>
      <c r="VTQ23" s="3"/>
      <c r="VTU23" s="3"/>
      <c r="VTY23" s="3"/>
      <c r="VUC23" s="3"/>
      <c r="VUG23" s="3"/>
      <c r="VUK23" s="3"/>
      <c r="VUO23" s="3"/>
      <c r="VUS23" s="3"/>
      <c r="VUW23" s="3"/>
      <c r="VVA23" s="3"/>
      <c r="VVE23" s="3"/>
      <c r="VVI23" s="3"/>
      <c r="VVM23" s="3"/>
      <c r="VVQ23" s="3"/>
      <c r="VVU23" s="3"/>
      <c r="VVY23" s="3"/>
      <c r="VWC23" s="3"/>
      <c r="VWG23" s="3"/>
      <c r="VWK23" s="3"/>
      <c r="VWO23" s="3"/>
      <c r="VWS23" s="3"/>
      <c r="VWW23" s="3"/>
      <c r="VXA23" s="3"/>
      <c r="VXE23" s="3"/>
      <c r="VXI23" s="3"/>
      <c r="VXM23" s="3"/>
      <c r="VXQ23" s="3"/>
      <c r="VXU23" s="3"/>
      <c r="VXY23" s="3"/>
      <c r="VYC23" s="3"/>
      <c r="VYG23" s="3"/>
      <c r="VYK23" s="3"/>
      <c r="VYO23" s="3"/>
      <c r="VYS23" s="3"/>
      <c r="VYW23" s="3"/>
      <c r="VZA23" s="3"/>
      <c r="VZE23" s="3"/>
      <c r="VZI23" s="3"/>
      <c r="VZM23" s="3"/>
      <c r="VZQ23" s="3"/>
      <c r="VZU23" s="3"/>
      <c r="VZY23" s="3"/>
      <c r="WAC23" s="3"/>
      <c r="WAG23" s="3"/>
      <c r="WAK23" s="3"/>
      <c r="WAO23" s="3"/>
      <c r="WAS23" s="3"/>
      <c r="WAW23" s="3"/>
      <c r="WBA23" s="3"/>
      <c r="WBE23" s="3"/>
      <c r="WBI23" s="3"/>
      <c r="WBM23" s="3"/>
      <c r="WBQ23" s="3"/>
      <c r="WBU23" s="3"/>
      <c r="WBY23" s="3"/>
      <c r="WCC23" s="3"/>
      <c r="WCG23" s="3"/>
      <c r="WCK23" s="3"/>
      <c r="WCO23" s="3"/>
      <c r="WCS23" s="3"/>
      <c r="WCW23" s="3"/>
      <c r="WDA23" s="3"/>
      <c r="WDE23" s="3"/>
      <c r="WDI23" s="3"/>
      <c r="WDM23" s="3"/>
      <c r="WDQ23" s="3"/>
      <c r="WDU23" s="3"/>
      <c r="WDY23" s="3"/>
      <c r="WEC23" s="3"/>
      <c r="WEG23" s="3"/>
      <c r="WEK23" s="3"/>
      <c r="WEO23" s="3"/>
      <c r="WES23" s="3"/>
      <c r="WEW23" s="3"/>
      <c r="WFA23" s="3"/>
      <c r="WFE23" s="3"/>
      <c r="WFI23" s="3"/>
      <c r="WFM23" s="3"/>
      <c r="WFQ23" s="3"/>
      <c r="WFU23" s="3"/>
      <c r="WFY23" s="3"/>
      <c r="WGC23" s="3"/>
      <c r="WGG23" s="3"/>
      <c r="WGK23" s="3"/>
      <c r="WGO23" s="3"/>
      <c r="WGS23" s="3"/>
      <c r="WGW23" s="3"/>
      <c r="WHA23" s="3"/>
      <c r="WHE23" s="3"/>
      <c r="WHI23" s="3"/>
      <c r="WHM23" s="3"/>
      <c r="WHQ23" s="3"/>
      <c r="WHU23" s="3"/>
      <c r="WHY23" s="3"/>
      <c r="WIC23" s="3"/>
      <c r="WIG23" s="3"/>
      <c r="WIK23" s="3"/>
      <c r="WIO23" s="3"/>
      <c r="WIS23" s="3"/>
      <c r="WIW23" s="3"/>
      <c r="WJA23" s="3"/>
      <c r="WJE23" s="3"/>
      <c r="WJI23" s="3"/>
      <c r="WJM23" s="3"/>
      <c r="WJQ23" s="3"/>
      <c r="WJU23" s="3"/>
      <c r="WJY23" s="3"/>
      <c r="WKC23" s="3"/>
      <c r="WKG23" s="3"/>
      <c r="WKK23" s="3"/>
      <c r="WKO23" s="3"/>
      <c r="WKS23" s="3"/>
      <c r="WKW23" s="3"/>
      <c r="WLA23" s="3"/>
      <c r="WLE23" s="3"/>
      <c r="WLI23" s="3"/>
      <c r="WLM23" s="3"/>
      <c r="WLQ23" s="3"/>
      <c r="WLU23" s="3"/>
      <c r="WLY23" s="3"/>
      <c r="WMC23" s="3"/>
      <c r="WMG23" s="3"/>
      <c r="WMK23" s="3"/>
      <c r="WMO23" s="3"/>
      <c r="WMS23" s="3"/>
      <c r="WMW23" s="3"/>
      <c r="WNA23" s="3"/>
      <c r="WNE23" s="3"/>
      <c r="WNI23" s="3"/>
      <c r="WNM23" s="3"/>
      <c r="WNQ23" s="3"/>
      <c r="WNU23" s="3"/>
      <c r="WNY23" s="3"/>
      <c r="WOC23" s="3"/>
      <c r="WOG23" s="3"/>
      <c r="WOK23" s="3"/>
      <c r="WOO23" s="3"/>
      <c r="WOS23" s="3"/>
      <c r="WOW23" s="3"/>
      <c r="WPA23" s="3"/>
      <c r="WPE23" s="3"/>
      <c r="WPI23" s="3"/>
      <c r="WPM23" s="3"/>
      <c r="WPQ23" s="3"/>
      <c r="WPU23" s="3"/>
      <c r="WPY23" s="3"/>
      <c r="WQC23" s="3"/>
      <c r="WQG23" s="3"/>
      <c r="WQK23" s="3"/>
      <c r="WQO23" s="3"/>
      <c r="WQS23" s="3"/>
      <c r="WQW23" s="3"/>
      <c r="WRA23" s="3"/>
      <c r="WRE23" s="3"/>
      <c r="WRI23" s="3"/>
      <c r="WRM23" s="3"/>
      <c r="WRQ23" s="3"/>
      <c r="WRU23" s="3"/>
      <c r="WRY23" s="3"/>
      <c r="WSC23" s="3"/>
      <c r="WSG23" s="3"/>
      <c r="WSK23" s="3"/>
      <c r="WSO23" s="3"/>
      <c r="WSS23" s="3"/>
      <c r="WSW23" s="3"/>
      <c r="WTA23" s="3"/>
      <c r="WTE23" s="3"/>
      <c r="WTI23" s="3"/>
      <c r="WTM23" s="3"/>
      <c r="WTQ23" s="3"/>
      <c r="WTU23" s="3"/>
      <c r="WTY23" s="3"/>
      <c r="WUC23" s="3"/>
      <c r="WUG23" s="3"/>
      <c r="WUK23" s="3"/>
      <c r="WUO23" s="3"/>
      <c r="WUS23" s="3"/>
      <c r="WUW23" s="3"/>
      <c r="WVA23" s="3"/>
      <c r="WVE23" s="3"/>
      <c r="WVI23" s="3"/>
      <c r="WVM23" s="3"/>
      <c r="WVQ23" s="3"/>
      <c r="WVU23" s="3"/>
      <c r="WVY23" s="3"/>
      <c r="WWC23" s="3"/>
      <c r="WWG23" s="3"/>
      <c r="WWK23" s="3"/>
      <c r="WWO23" s="3"/>
      <c r="WWS23" s="3"/>
      <c r="WWW23" s="3"/>
      <c r="WXA23" s="3"/>
      <c r="WXE23" s="3"/>
      <c r="WXI23" s="3"/>
      <c r="WXM23" s="3"/>
      <c r="WXQ23" s="3"/>
      <c r="WXU23" s="3"/>
      <c r="WXY23" s="3"/>
      <c r="WYC23" s="3"/>
      <c r="WYG23" s="3"/>
      <c r="WYK23" s="3"/>
      <c r="WYO23" s="3"/>
      <c r="WYS23" s="3"/>
      <c r="WYW23" s="3"/>
      <c r="WZA23" s="3"/>
      <c r="WZE23" s="3"/>
      <c r="WZI23" s="3"/>
      <c r="WZM23" s="3"/>
      <c r="WZQ23" s="3"/>
      <c r="WZU23" s="3"/>
      <c r="WZY23" s="3"/>
      <c r="XAC23" s="3"/>
      <c r="XAG23" s="3"/>
      <c r="XAK23" s="3"/>
      <c r="XAO23" s="3"/>
      <c r="XAS23" s="3"/>
      <c r="XAW23" s="3"/>
      <c r="XBA23" s="3"/>
      <c r="XBE23" s="3"/>
      <c r="XBI23" s="3"/>
      <c r="XBM23" s="3"/>
      <c r="XBQ23" s="3"/>
      <c r="XBU23" s="3"/>
      <c r="XBY23" s="3"/>
      <c r="XCC23" s="3"/>
      <c r="XCG23" s="3"/>
      <c r="XCK23" s="3"/>
      <c r="XCO23" s="3"/>
      <c r="XCS23" s="3"/>
      <c r="XCW23" s="3"/>
      <c r="XDA23" s="3"/>
      <c r="XDE23" s="3"/>
      <c r="XDI23" s="3"/>
      <c r="XDM23" s="3"/>
      <c r="XDQ23" s="3"/>
      <c r="XDU23" s="3"/>
      <c r="XDY23" s="3"/>
      <c r="XEC23" s="3"/>
      <c r="XEG23" s="3"/>
      <c r="XEK23" s="3"/>
      <c r="XEO23" s="3"/>
      <c r="XES23" s="3"/>
      <c r="XEW23" s="3"/>
      <c r="XFA23" s="3"/>
    </row>
    <row r="25" spans="1:1021 1025:2045 2049:3069 3073:4093 4097:5117 5121:6141 6145:7165 7169:8189 8193:9213 9217:10237 10241:11261 11265:12285 12289:13309 13313:14333 14337:15357 15361:16381" x14ac:dyDescent="0.4">
      <c r="A25" s="3" t="s">
        <v>35</v>
      </c>
    </row>
    <row r="27" spans="1:1021 1025:2045 2049:3069 3073:4093 4097:5117 5121:6141 6145:7165 7169:8189 8193:9213 9217:10237 10241:11261 11265:12285 12289:13309 13313:14333 14337:15357 15361:16381" x14ac:dyDescent="0.4">
      <c r="B27" t="s">
        <v>36</v>
      </c>
    </row>
    <row r="28" spans="1:1021 1025:2045 2049:3069 3073:4093 4097:5117 5121:6141 6145:7165 7169:8189 8193:9213 9217:10237 10241:11261 11265:12285 12289:13309 13313:14333 14337:15357 15361:16381" x14ac:dyDescent="0.4">
      <c r="A28" t="s">
        <v>37</v>
      </c>
      <c r="C28" s="1">
        <f>26</f>
        <v>26</v>
      </c>
      <c r="E28" t="s">
        <v>38</v>
      </c>
      <c r="F28" s="1">
        <f>5000/C28</f>
        <v>192.30769230769232</v>
      </c>
      <c r="G28" t="s">
        <v>39</v>
      </c>
      <c r="H28" t="s">
        <v>40</v>
      </c>
      <c r="L28" t="s">
        <v>9</v>
      </c>
    </row>
    <row r="29" spans="1:1021 1025:2045 2049:3069 3073:4093 4097:5117 5121:6141 6145:7165 7169:8189 8193:9213 9217:10237 10241:11261 11265:12285 12289:13309 13313:14333 14337:15357 15361:16381" x14ac:dyDescent="0.4">
      <c r="L29" t="s">
        <v>41</v>
      </c>
      <c r="N29" t="s">
        <v>42</v>
      </c>
    </row>
    <row r="30" spans="1:1021 1025:2045 2049:3069 3073:4093 4097:5117 5121:6141 6145:7165 7169:8189 8193:9213 9217:10237 10241:11261 11265:12285 12289:13309 13313:14333 14337:15357 15361:16381" x14ac:dyDescent="0.4">
      <c r="B30" t="s">
        <v>43</v>
      </c>
      <c r="E30" s="1">
        <v>10</v>
      </c>
      <c r="F30" t="s">
        <v>5</v>
      </c>
      <c r="G30" t="s">
        <v>44</v>
      </c>
    </row>
    <row r="32" spans="1:1021 1025:2045 2049:3069 3073:4093 4097:5117 5121:6141 6145:7165 7169:8189 8193:9213 9217:10237 10241:11261 11265:12285 12289:13309 13313:14333 14337:15357 15361:16381" x14ac:dyDescent="0.4">
      <c r="B32" t="s">
        <v>45</v>
      </c>
      <c r="E32">
        <f>F28+E30/2+D3</f>
        <v>222.30769230769232</v>
      </c>
      <c r="F32" t="s">
        <v>5</v>
      </c>
    </row>
    <row r="33" spans="1:9" x14ac:dyDescent="0.4">
      <c r="C33" t="s">
        <v>46</v>
      </c>
      <c r="E33" s="1">
        <v>225</v>
      </c>
      <c r="F33" t="s">
        <v>5</v>
      </c>
    </row>
    <row r="34" spans="1:9" x14ac:dyDescent="0.4">
      <c r="D34" t="s">
        <v>47</v>
      </c>
      <c r="E34" s="1">
        <f>E33-E30/2-D3</f>
        <v>195</v>
      </c>
      <c r="F34" t="s">
        <v>5</v>
      </c>
    </row>
    <row r="36" spans="1:9" x14ac:dyDescent="0.4">
      <c r="B36" t="s">
        <v>48</v>
      </c>
    </row>
    <row r="37" spans="1:9" x14ac:dyDescent="0.4">
      <c r="B37" t="s">
        <v>49</v>
      </c>
      <c r="E37" s="1">
        <f>E33/1000*25</f>
        <v>5.625</v>
      </c>
      <c r="F37" t="s">
        <v>25</v>
      </c>
    </row>
    <row r="40" spans="1:9" x14ac:dyDescent="0.4">
      <c r="A40" s="1"/>
      <c r="B40" s="1"/>
      <c r="C40" s="1" t="s">
        <v>50</v>
      </c>
      <c r="D40" s="1"/>
    </row>
    <row r="41" spans="1:9" x14ac:dyDescent="0.4">
      <c r="A41" t="s">
        <v>51</v>
      </c>
    </row>
    <row r="42" spans="1:9" x14ac:dyDescent="0.4">
      <c r="A42" t="s">
        <v>52</v>
      </c>
      <c r="C42" t="s">
        <v>53</v>
      </c>
      <c r="E42">
        <v>3</v>
      </c>
      <c r="F42" t="s">
        <v>25</v>
      </c>
      <c r="G42" t="s">
        <v>54</v>
      </c>
    </row>
    <row r="43" spans="1:9" x14ac:dyDescent="0.4">
      <c r="A43" t="s">
        <v>55</v>
      </c>
      <c r="C43" t="s">
        <v>56</v>
      </c>
      <c r="E43">
        <v>3</v>
      </c>
      <c r="F43" t="s">
        <v>25</v>
      </c>
      <c r="I43" t="s">
        <v>57</v>
      </c>
    </row>
    <row r="44" spans="1:9" x14ac:dyDescent="0.4">
      <c r="A44" t="s">
        <v>58</v>
      </c>
      <c r="C44" t="s">
        <v>53</v>
      </c>
      <c r="E44">
        <v>2.5</v>
      </c>
      <c r="F44" t="s">
        <v>25</v>
      </c>
    </row>
    <row r="46" spans="1:9" x14ac:dyDescent="0.4">
      <c r="A46" t="s">
        <v>59</v>
      </c>
      <c r="C46" t="s">
        <v>60</v>
      </c>
      <c r="E46">
        <v>7</v>
      </c>
      <c r="F46" t="s">
        <v>25</v>
      </c>
      <c r="G46" t="s">
        <v>61</v>
      </c>
    </row>
    <row r="49" spans="1:8" x14ac:dyDescent="0.4">
      <c r="A49" s="1"/>
      <c r="B49" s="1" t="s">
        <v>62</v>
      </c>
      <c r="C49" s="1" t="s">
        <v>63</v>
      </c>
      <c r="D49" s="1"/>
      <c r="E49" s="5">
        <f>5*(7.7+2.125)</f>
        <v>49.125</v>
      </c>
      <c r="F49" s="1" t="s">
        <v>64</v>
      </c>
      <c r="G49" s="1"/>
      <c r="H49" t="s">
        <v>65</v>
      </c>
    </row>
    <row r="51" spans="1:8" x14ac:dyDescent="0.4">
      <c r="A51" t="s">
        <v>66</v>
      </c>
    </row>
    <row r="53" spans="1:8" x14ac:dyDescent="0.4">
      <c r="A53" t="s">
        <v>67</v>
      </c>
    </row>
    <row r="54" spans="1:8" x14ac:dyDescent="0.4">
      <c r="B54" t="s">
        <v>68</v>
      </c>
      <c r="E54">
        <f>D15+E37+D19*(5+2.125)/E49</f>
        <v>8.8979007633587788</v>
      </c>
      <c r="F54" t="s">
        <v>25</v>
      </c>
      <c r="G54" t="s">
        <v>69</v>
      </c>
    </row>
    <row r="56" spans="1:8" x14ac:dyDescent="0.4">
      <c r="A56" t="s">
        <v>70</v>
      </c>
    </row>
    <row r="57" spans="1:8" x14ac:dyDescent="0.4">
      <c r="B57" t="s">
        <v>71</v>
      </c>
      <c r="E57">
        <f>(E42*7.7*5+E43*2.125*2.5+E46*2.125*2.5)/E49</f>
        <v>3.4325699745547076</v>
      </c>
      <c r="F57" t="s">
        <v>25</v>
      </c>
    </row>
    <row r="59" spans="1:8" x14ac:dyDescent="0.4">
      <c r="B59" t="s">
        <v>72</v>
      </c>
      <c r="E59">
        <f>E54*1.35+E57*1.5</f>
        <v>17.161020992366414</v>
      </c>
      <c r="F59" t="s">
        <v>25</v>
      </c>
    </row>
    <row r="60" spans="1:8" x14ac:dyDescent="0.4">
      <c r="A60" s="1"/>
      <c r="B60" s="1" t="s">
        <v>62</v>
      </c>
      <c r="C60" s="1" t="s">
        <v>63</v>
      </c>
      <c r="D60" s="1"/>
      <c r="E60" s="5">
        <f>5*7.7</f>
        <v>38.5</v>
      </c>
      <c r="F60" s="1" t="s">
        <v>64</v>
      </c>
      <c r="G60" s="1"/>
    </row>
    <row r="62" spans="1:8" x14ac:dyDescent="0.4">
      <c r="A62" t="s">
        <v>73</v>
      </c>
    </row>
    <row r="64" spans="1:8" x14ac:dyDescent="0.4">
      <c r="A64" t="s">
        <v>67</v>
      </c>
    </row>
    <row r="65" spans="1:7" x14ac:dyDescent="0.4">
      <c r="B65" t="s">
        <v>68</v>
      </c>
      <c r="E65">
        <f>D15+E37+D19*(5+7.7)/E49</f>
        <v>10.089503816793894</v>
      </c>
      <c r="F65" t="s">
        <v>25</v>
      </c>
    </row>
    <row r="67" spans="1:7" x14ac:dyDescent="0.4">
      <c r="A67" t="s">
        <v>70</v>
      </c>
    </row>
    <row r="68" spans="1:7" x14ac:dyDescent="0.4">
      <c r="B68" t="s">
        <v>74</v>
      </c>
      <c r="E68">
        <f>(E42*7.7*5+E43*2.125*5)/E49</f>
        <v>3</v>
      </c>
      <c r="F68" t="s">
        <v>25</v>
      </c>
    </row>
    <row r="70" spans="1:7" x14ac:dyDescent="0.4">
      <c r="B70" t="s">
        <v>72</v>
      </c>
      <c r="E70">
        <f>E65*1.35+E68*1.5</f>
        <v>18.120830152671758</v>
      </c>
      <c r="F70" t="s">
        <v>25</v>
      </c>
    </row>
    <row r="71" spans="1:7" x14ac:dyDescent="0.4">
      <c r="A71" s="1"/>
      <c r="B71" s="1" t="s">
        <v>62</v>
      </c>
      <c r="C71" s="1" t="s">
        <v>63</v>
      </c>
      <c r="D71" s="1"/>
      <c r="E71" s="5">
        <f>5*7.7</f>
        <v>38.5</v>
      </c>
      <c r="F71" s="1" t="s">
        <v>64</v>
      </c>
      <c r="G71" s="1"/>
    </row>
    <row r="73" spans="1:7" x14ac:dyDescent="0.4">
      <c r="A73" t="s">
        <v>75</v>
      </c>
    </row>
    <row r="75" spans="1:7" x14ac:dyDescent="0.4">
      <c r="A75" t="s">
        <v>67</v>
      </c>
    </row>
    <row r="76" spans="1:7" x14ac:dyDescent="0.4">
      <c r="B76" t="s">
        <v>68</v>
      </c>
      <c r="E76">
        <f>D15+E37+D19*(5)/E49</f>
        <v>8.4437022900763363</v>
      </c>
      <c r="F76" t="s">
        <v>25</v>
      </c>
    </row>
    <row r="78" spans="1:7" x14ac:dyDescent="0.4">
      <c r="A78" t="s">
        <v>70</v>
      </c>
    </row>
    <row r="79" spans="1:7" x14ac:dyDescent="0.4">
      <c r="B79" t="s">
        <v>74</v>
      </c>
      <c r="E79">
        <f>(E42*7.7*5+E43*2.125*5)/E49</f>
        <v>3</v>
      </c>
      <c r="F79" t="s">
        <v>25</v>
      </c>
      <c r="G79" t="s">
        <v>76</v>
      </c>
    </row>
    <row r="81" spans="1:7" x14ac:dyDescent="0.4">
      <c r="B81" t="s">
        <v>72</v>
      </c>
      <c r="E81">
        <f>E76*1.35+E79*1.5</f>
        <v>15.898998091603055</v>
      </c>
      <c r="F81" t="s">
        <v>25</v>
      </c>
    </row>
    <row r="82" spans="1:7" x14ac:dyDescent="0.4">
      <c r="A82" s="1"/>
      <c r="B82" s="1" t="s">
        <v>62</v>
      </c>
      <c r="C82" s="1" t="s">
        <v>63</v>
      </c>
      <c r="D82" s="1"/>
      <c r="E82" s="5">
        <f>5*7.7</f>
        <v>38.5</v>
      </c>
      <c r="F82" s="1" t="s">
        <v>64</v>
      </c>
      <c r="G82" s="1"/>
    </row>
    <row r="84" spans="1:7" x14ac:dyDescent="0.4">
      <c r="A84" t="s">
        <v>77</v>
      </c>
    </row>
    <row r="86" spans="1:7" x14ac:dyDescent="0.4">
      <c r="A86" t="s">
        <v>67</v>
      </c>
    </row>
    <row r="87" spans="1:7" x14ac:dyDescent="0.4">
      <c r="B87" t="s">
        <v>68</v>
      </c>
      <c r="E87">
        <f>D15+E37+D19*(5)/E49</f>
        <v>8.4437022900763363</v>
      </c>
      <c r="F87" t="s">
        <v>25</v>
      </c>
    </row>
    <row r="89" spans="1:7" x14ac:dyDescent="0.4">
      <c r="A89" t="s">
        <v>70</v>
      </c>
    </row>
    <row r="90" spans="1:7" x14ac:dyDescent="0.4">
      <c r="B90" t="s">
        <v>78</v>
      </c>
      <c r="E90">
        <f>(E42*7.7*2.5+E43*2.125*5+E46*2.5*7.7)/E49</f>
        <v>4.5674300254452929</v>
      </c>
      <c r="F90" t="s">
        <v>25</v>
      </c>
      <c r="G90" t="s">
        <v>76</v>
      </c>
    </row>
    <row r="91" spans="1:7" x14ac:dyDescent="0.4">
      <c r="B91" t="s">
        <v>78</v>
      </c>
      <c r="E91">
        <f>E46</f>
        <v>7</v>
      </c>
      <c r="F91" t="s">
        <v>25</v>
      </c>
      <c r="G91" t="s">
        <v>79</v>
      </c>
    </row>
    <row r="93" spans="1:7" x14ac:dyDescent="0.4">
      <c r="B93" t="s">
        <v>72</v>
      </c>
      <c r="E93">
        <f>E87*1.35+E91*1.5</f>
        <v>21.898998091603055</v>
      </c>
      <c r="F93" t="s">
        <v>25</v>
      </c>
      <c r="G93" t="s">
        <v>80</v>
      </c>
    </row>
    <row r="94" spans="1:7" x14ac:dyDescent="0.4">
      <c r="A94" s="1"/>
      <c r="B94" s="1" t="s">
        <v>62</v>
      </c>
      <c r="C94" s="1" t="s">
        <v>63</v>
      </c>
      <c r="D94" s="1"/>
      <c r="E94" s="5">
        <f>5*7.7</f>
        <v>38.5</v>
      </c>
      <c r="F94" s="1" t="s">
        <v>64</v>
      </c>
      <c r="G94" s="1"/>
    </row>
    <row r="96" spans="1:7" x14ac:dyDescent="0.4">
      <c r="A96" t="s">
        <v>81</v>
      </c>
    </row>
    <row r="98" spans="1:10" x14ac:dyDescent="0.4">
      <c r="A98" t="s">
        <v>67</v>
      </c>
    </row>
    <row r="99" spans="1:10" x14ac:dyDescent="0.4">
      <c r="B99" t="s">
        <v>68</v>
      </c>
      <c r="E99">
        <f>D15+E37+D19*(5)/E49</f>
        <v>8.4437022900763363</v>
      </c>
      <c r="F99" t="s">
        <v>25</v>
      </c>
    </row>
    <row r="101" spans="1:10" x14ac:dyDescent="0.4">
      <c r="A101" t="s">
        <v>70</v>
      </c>
    </row>
    <row r="102" spans="1:10" x14ac:dyDescent="0.4">
      <c r="B102" t="s">
        <v>74</v>
      </c>
      <c r="E102">
        <f>(E42*7.7*5+E43*2.125*5)/E49</f>
        <v>3</v>
      </c>
      <c r="F102" t="s">
        <v>25</v>
      </c>
    </row>
    <row r="104" spans="1:10" x14ac:dyDescent="0.4">
      <c r="B104" t="s">
        <v>72</v>
      </c>
      <c r="E104">
        <f>E99*1.35+E102*1.5</f>
        <v>15.898998091603055</v>
      </c>
      <c r="F104" t="s">
        <v>25</v>
      </c>
    </row>
    <row r="106" spans="1:10" x14ac:dyDescent="0.4">
      <c r="A106" s="1"/>
      <c r="B106" s="1"/>
      <c r="C106" s="1"/>
      <c r="D106" s="1"/>
      <c r="E106" s="1"/>
      <c r="F106" s="1"/>
      <c r="G106" s="1"/>
      <c r="H106" t="s">
        <v>82</v>
      </c>
      <c r="J106" t="s">
        <v>9</v>
      </c>
    </row>
    <row r="108" spans="1:10" x14ac:dyDescent="0.4">
      <c r="A108" t="s">
        <v>83</v>
      </c>
      <c r="C108" t="s">
        <v>84</v>
      </c>
      <c r="H108" t="s">
        <v>85</v>
      </c>
    </row>
    <row r="109" spans="1:10" x14ac:dyDescent="0.4">
      <c r="H109" t="s">
        <v>86</v>
      </c>
      <c r="I109" t="s">
        <v>87</v>
      </c>
    </row>
    <row r="111" spans="1:10" x14ac:dyDescent="0.4">
      <c r="D111" t="s">
        <v>88</v>
      </c>
    </row>
    <row r="112" spans="1:10" x14ac:dyDescent="0.4">
      <c r="E112" t="s">
        <v>89</v>
      </c>
      <c r="F112">
        <v>5</v>
      </c>
    </row>
    <row r="113" spans="1:14" x14ac:dyDescent="0.4">
      <c r="E113" t="s">
        <v>90</v>
      </c>
      <c r="F113">
        <f>7.7+2.125</f>
        <v>9.8249999999999993</v>
      </c>
    </row>
    <row r="114" spans="1:14" x14ac:dyDescent="0.4">
      <c r="A114" t="s">
        <v>91</v>
      </c>
      <c r="E114" t="s">
        <v>92</v>
      </c>
      <c r="F114">
        <f>F113/F112</f>
        <v>1.9649999999999999</v>
      </c>
      <c r="G114" t="s">
        <v>93</v>
      </c>
      <c r="K114" t="s">
        <v>94</v>
      </c>
      <c r="M114" t="s">
        <v>95</v>
      </c>
    </row>
    <row r="115" spans="1:14" x14ac:dyDescent="0.4">
      <c r="E115" t="s">
        <v>96</v>
      </c>
      <c r="G115" s="1">
        <f>MAX(E104,E59)</f>
        <v>17.161020992366414</v>
      </c>
      <c r="H115" t="s">
        <v>25</v>
      </c>
    </row>
    <row r="116" spans="1:14" x14ac:dyDescent="0.4">
      <c r="D116" t="s">
        <v>97</v>
      </c>
      <c r="E116" t="s">
        <v>98</v>
      </c>
    </row>
    <row r="117" spans="1:14" x14ac:dyDescent="0.4">
      <c r="E117" s="3" t="s">
        <v>99</v>
      </c>
      <c r="G117">
        <v>9.2999999999999999E-2</v>
      </c>
      <c r="I117" t="s">
        <v>100</v>
      </c>
      <c r="J117" t="s">
        <v>101</v>
      </c>
      <c r="M117">
        <f>G117*G115*F112^2</f>
        <v>39.899373807251912</v>
      </c>
      <c r="N117" t="s">
        <v>102</v>
      </c>
    </row>
    <row r="118" spans="1:14" x14ac:dyDescent="0.4">
      <c r="E118" t="s">
        <v>103</v>
      </c>
    </row>
    <row r="119" spans="1:14" x14ac:dyDescent="0.4">
      <c r="E119" t="s">
        <v>104</v>
      </c>
      <c r="G119">
        <v>7.0000000000000007E-2</v>
      </c>
      <c r="I119" t="s">
        <v>105</v>
      </c>
      <c r="J119" t="s">
        <v>101</v>
      </c>
      <c r="M119">
        <f>G119*G115*F112^2</f>
        <v>30.031786736641227</v>
      </c>
      <c r="N119" t="s">
        <v>102</v>
      </c>
    </row>
    <row r="120" spans="1:14" x14ac:dyDescent="0.4">
      <c r="D120" t="s">
        <v>106</v>
      </c>
      <c r="E120" t="s">
        <v>98</v>
      </c>
    </row>
    <row r="121" spans="1:14" x14ac:dyDescent="0.4">
      <c r="E121" s="3" t="s">
        <v>107</v>
      </c>
      <c r="G121">
        <v>4.4999999999999998E-2</v>
      </c>
      <c r="I121" t="s">
        <v>108</v>
      </c>
      <c r="J121" t="s">
        <v>109</v>
      </c>
      <c r="M121" s="1">
        <f>G121*G115*F113^2</f>
        <v>74.545383691406244</v>
      </c>
      <c r="N121" t="s">
        <v>102</v>
      </c>
    </row>
    <row r="122" spans="1:14" x14ac:dyDescent="0.4">
      <c r="E122" t="s">
        <v>103</v>
      </c>
    </row>
    <row r="123" spans="1:14" x14ac:dyDescent="0.4">
      <c r="E123" t="s">
        <v>110</v>
      </c>
      <c r="G123">
        <v>3.4000000000000002E-2</v>
      </c>
      <c r="I123" t="s">
        <v>111</v>
      </c>
      <c r="J123" t="s">
        <v>109</v>
      </c>
      <c r="M123" s="1">
        <f>G123*G115*F113^2</f>
        <v>56.323178789062503</v>
      </c>
      <c r="N123" t="s">
        <v>102</v>
      </c>
    </row>
    <row r="126" spans="1:14" x14ac:dyDescent="0.4">
      <c r="D126" t="s">
        <v>112</v>
      </c>
    </row>
    <row r="127" spans="1:14" x14ac:dyDescent="0.4">
      <c r="E127" t="s">
        <v>89</v>
      </c>
      <c r="F127">
        <v>5</v>
      </c>
    </row>
    <row r="128" spans="1:14" x14ac:dyDescent="0.4">
      <c r="E128" t="s">
        <v>90</v>
      </c>
      <c r="F128">
        <f>7.7+2.125</f>
        <v>9.8249999999999993</v>
      </c>
    </row>
    <row r="129" spans="1:17" x14ac:dyDescent="0.4">
      <c r="A129" t="s">
        <v>113</v>
      </c>
      <c r="E129" t="s">
        <v>92</v>
      </c>
      <c r="F129">
        <f>F128/F127</f>
        <v>1.9649999999999999</v>
      </c>
      <c r="G129" t="s">
        <v>93</v>
      </c>
      <c r="K129" t="s">
        <v>94</v>
      </c>
      <c r="M129" t="s">
        <v>95</v>
      </c>
    </row>
    <row r="130" spans="1:17" x14ac:dyDescent="0.4">
      <c r="E130" t="s">
        <v>114</v>
      </c>
      <c r="G130" s="1">
        <f>MAX(E70,E81,E93)</f>
        <v>21.898998091603055</v>
      </c>
      <c r="H130" t="s">
        <v>25</v>
      </c>
    </row>
    <row r="131" spans="1:17" x14ac:dyDescent="0.4">
      <c r="D131" t="s">
        <v>97</v>
      </c>
      <c r="E131" t="s">
        <v>98</v>
      </c>
    </row>
    <row r="132" spans="1:17" x14ac:dyDescent="0.4">
      <c r="E132" s="3" t="s">
        <v>99</v>
      </c>
      <c r="G132">
        <v>8.8999999999999996E-2</v>
      </c>
      <c r="I132" t="s">
        <v>100</v>
      </c>
      <c r="J132" t="s">
        <v>101</v>
      </c>
      <c r="M132" s="1">
        <f>G132*G130*F127^2</f>
        <v>48.725270753816794</v>
      </c>
      <c r="N132" t="s">
        <v>102</v>
      </c>
      <c r="O132" s="6"/>
      <c r="P132" s="6"/>
      <c r="Q132" s="6"/>
    </row>
    <row r="133" spans="1:17" x14ac:dyDescent="0.4">
      <c r="E133" t="s">
        <v>103</v>
      </c>
      <c r="O133" s="6"/>
      <c r="P133" s="6"/>
      <c r="Q133" s="6"/>
    </row>
    <row r="134" spans="1:17" x14ac:dyDescent="0.4">
      <c r="E134" t="s">
        <v>104</v>
      </c>
      <c r="G134">
        <v>6.7000000000000004E-2</v>
      </c>
      <c r="I134" t="s">
        <v>105</v>
      </c>
      <c r="J134" t="s">
        <v>101</v>
      </c>
      <c r="M134" s="1">
        <f>G134*G130*F127^2</f>
        <v>36.680821803435123</v>
      </c>
      <c r="N134" t="s">
        <v>102</v>
      </c>
      <c r="O134" s="6"/>
      <c r="P134" s="6"/>
      <c r="Q134" s="6"/>
    </row>
    <row r="135" spans="1:17" x14ac:dyDescent="0.4">
      <c r="D135" t="s">
        <v>106</v>
      </c>
      <c r="E135" t="s">
        <v>98</v>
      </c>
      <c r="O135" s="6"/>
      <c r="P135" s="6"/>
      <c r="Q135" s="6"/>
    </row>
    <row r="136" spans="1:17" x14ac:dyDescent="0.4">
      <c r="E136" s="3" t="s">
        <v>107</v>
      </c>
      <c r="G136">
        <v>3.6999999999999998E-2</v>
      </c>
      <c r="I136" t="s">
        <v>108</v>
      </c>
      <c r="J136" t="s">
        <v>109</v>
      </c>
      <c r="M136">
        <f>G136*G130*F128^2</f>
        <v>78.215186988281246</v>
      </c>
      <c r="N136" t="s">
        <v>102</v>
      </c>
      <c r="O136" s="6"/>
      <c r="P136" s="6"/>
      <c r="Q136" s="6"/>
    </row>
    <row r="137" spans="1:17" x14ac:dyDescent="0.4">
      <c r="E137" t="s">
        <v>103</v>
      </c>
      <c r="O137" s="6"/>
      <c r="P137" s="6"/>
      <c r="Q137" s="6"/>
    </row>
    <row r="138" spans="1:17" x14ac:dyDescent="0.4">
      <c r="E138" t="s">
        <v>110</v>
      </c>
      <c r="G138">
        <v>2.8000000000000001E-2</v>
      </c>
      <c r="I138" t="s">
        <v>111</v>
      </c>
      <c r="J138" t="s">
        <v>109</v>
      </c>
      <c r="M138">
        <f>G138*G130*F128^2</f>
        <v>59.189871234374991</v>
      </c>
      <c r="N138" t="s">
        <v>102</v>
      </c>
      <c r="O138" s="6"/>
      <c r="P138" s="6"/>
      <c r="Q138" s="6"/>
    </row>
    <row r="140" spans="1:17" x14ac:dyDescent="0.4">
      <c r="A140" t="s">
        <v>115</v>
      </c>
      <c r="E140" t="s">
        <v>116</v>
      </c>
      <c r="F140" t="s">
        <v>117</v>
      </c>
      <c r="G140" t="s">
        <v>9</v>
      </c>
    </row>
    <row r="141" spans="1:17" x14ac:dyDescent="0.4">
      <c r="E141" t="s">
        <v>118</v>
      </c>
      <c r="F141" t="s">
        <v>119</v>
      </c>
    </row>
    <row r="143" spans="1:17" x14ac:dyDescent="0.4">
      <c r="C143" t="s">
        <v>120</v>
      </c>
      <c r="E143" t="s">
        <v>121</v>
      </c>
      <c r="G143">
        <f>M121</f>
        <v>74.545383691406244</v>
      </c>
      <c r="H143" t="s">
        <v>102</v>
      </c>
      <c r="I143">
        <f>G143*10^3*10^3</f>
        <v>74545383.691406235</v>
      </c>
      <c r="J143" t="s">
        <v>122</v>
      </c>
      <c r="K143" t="s">
        <v>123</v>
      </c>
      <c r="L143">
        <v>195</v>
      </c>
      <c r="M143" t="s">
        <v>5</v>
      </c>
    </row>
    <row r="144" spans="1:17" x14ac:dyDescent="0.4">
      <c r="E144" t="s">
        <v>124</v>
      </c>
      <c r="G144">
        <f>M123</f>
        <v>56.323178789062503</v>
      </c>
      <c r="H144" t="s">
        <v>102</v>
      </c>
      <c r="K144" t="s">
        <v>125</v>
      </c>
      <c r="L144">
        <f>10</f>
        <v>10</v>
      </c>
      <c r="M144" t="s">
        <v>5</v>
      </c>
      <c r="N144" t="s">
        <v>126</v>
      </c>
    </row>
    <row r="145" spans="2:17" x14ac:dyDescent="0.4">
      <c r="E145" t="s">
        <v>127</v>
      </c>
      <c r="G145">
        <f>M132</f>
        <v>48.725270753816794</v>
      </c>
      <c r="H145" t="s">
        <v>102</v>
      </c>
      <c r="K145" t="s">
        <v>128</v>
      </c>
      <c r="L145">
        <f>25</f>
        <v>25</v>
      </c>
      <c r="M145" t="s">
        <v>5</v>
      </c>
    </row>
    <row r="146" spans="2:17" x14ac:dyDescent="0.4">
      <c r="E146" t="s">
        <v>129</v>
      </c>
      <c r="G146">
        <f>M134</f>
        <v>36.680821803435123</v>
      </c>
      <c r="H146" t="s">
        <v>102</v>
      </c>
      <c r="K146" t="s">
        <v>130</v>
      </c>
      <c r="L146">
        <v>25</v>
      </c>
    </row>
    <row r="147" spans="2:17" x14ac:dyDescent="0.4">
      <c r="K147" t="s">
        <v>131</v>
      </c>
      <c r="L147">
        <v>500</v>
      </c>
    </row>
    <row r="148" spans="2:17" x14ac:dyDescent="0.4">
      <c r="B148" t="s">
        <v>132</v>
      </c>
      <c r="C148" t="s">
        <v>133</v>
      </c>
      <c r="J148" t="s">
        <v>134</v>
      </c>
      <c r="P148" t="s">
        <v>135</v>
      </c>
      <c r="Q148" s="2" t="s">
        <v>136</v>
      </c>
    </row>
    <row r="149" spans="2:17" x14ac:dyDescent="0.4">
      <c r="C149" t="s">
        <v>137</v>
      </c>
    </row>
    <row r="150" spans="2:17" x14ac:dyDescent="0.4">
      <c r="B150" s="14" t="s">
        <v>138</v>
      </c>
      <c r="D150" t="s">
        <v>139</v>
      </c>
      <c r="E150">
        <f>G143*10^3*10^3/(L146*L143^2*10^3)</f>
        <v>7.8417234652366843E-2</v>
      </c>
      <c r="G150" t="s">
        <v>140</v>
      </c>
      <c r="J150" t="s">
        <v>141</v>
      </c>
      <c r="M150" t="s">
        <v>142</v>
      </c>
      <c r="P150" t="s">
        <v>143</v>
      </c>
    </row>
    <row r="151" spans="2:17" x14ac:dyDescent="0.4">
      <c r="B151" s="14"/>
      <c r="D151" t="s">
        <v>144</v>
      </c>
      <c r="E151">
        <f>$L$143*(0.5+SQRT(0.25-3*E150/3.4))</f>
        <v>180.4170456417157</v>
      </c>
      <c r="G151" t="s">
        <v>145</v>
      </c>
      <c r="I151" t="s">
        <v>146</v>
      </c>
      <c r="O151" t="s">
        <v>147</v>
      </c>
      <c r="P151" t="s">
        <v>148</v>
      </c>
    </row>
    <row r="152" spans="2:17" x14ac:dyDescent="0.4">
      <c r="B152" s="14"/>
      <c r="D152" t="s">
        <v>149</v>
      </c>
      <c r="E152" s="1">
        <f>MAX(H152,E151)</f>
        <v>185.25</v>
      </c>
      <c r="F152" t="s">
        <v>5</v>
      </c>
      <c r="G152" t="s">
        <v>150</v>
      </c>
      <c r="H152">
        <f>0.95*$L$143</f>
        <v>185.25</v>
      </c>
      <c r="P152" t="s">
        <v>151</v>
      </c>
    </row>
    <row r="153" spans="2:17" x14ac:dyDescent="0.4">
      <c r="B153" s="14"/>
      <c r="D153" t="s">
        <v>152</v>
      </c>
      <c r="E153">
        <f>G143*10^3*10^3/(0.87*$L$147*E152)</f>
        <v>925.06719644352904</v>
      </c>
      <c r="F153" t="s">
        <v>153</v>
      </c>
      <c r="G153" t="s">
        <v>154</v>
      </c>
      <c r="J153" t="s">
        <v>155</v>
      </c>
      <c r="L153" s="7" t="s">
        <v>156</v>
      </c>
      <c r="M153" t="s">
        <v>157</v>
      </c>
      <c r="N153">
        <f>(10/2)^2*PI()*1000/75</f>
        <v>1047.1975511965977</v>
      </c>
      <c r="O153" t="s">
        <v>153</v>
      </c>
      <c r="P153" t="s">
        <v>158</v>
      </c>
    </row>
    <row r="154" spans="2:17" x14ac:dyDescent="0.4">
      <c r="B154" s="14"/>
      <c r="D154" t="s">
        <v>159</v>
      </c>
      <c r="E154">
        <f>0.13%*1000*$E$33</f>
        <v>292.5</v>
      </c>
      <c r="G154" t="s">
        <v>160</v>
      </c>
      <c r="H154" t="s">
        <v>161</v>
      </c>
      <c r="I154" t="s">
        <v>162</v>
      </c>
      <c r="K154" t="s">
        <v>163</v>
      </c>
      <c r="L154" t="s">
        <v>164</v>
      </c>
      <c r="M154" t="s">
        <v>165</v>
      </c>
      <c r="Q154" t="s">
        <v>166</v>
      </c>
    </row>
    <row r="155" spans="2:17" x14ac:dyDescent="0.4">
      <c r="G155" t="s">
        <v>167</v>
      </c>
      <c r="H155" t="s">
        <v>168</v>
      </c>
      <c r="I155" t="s">
        <v>169</v>
      </c>
      <c r="Q155" s="2" t="s">
        <v>170</v>
      </c>
    </row>
    <row r="156" spans="2:17" x14ac:dyDescent="0.4">
      <c r="G156" t="s">
        <v>171</v>
      </c>
      <c r="H156" t="s">
        <v>172</v>
      </c>
      <c r="Q156" s="2"/>
    </row>
    <row r="157" spans="2:17" x14ac:dyDescent="0.4">
      <c r="Q157" s="2"/>
    </row>
    <row r="158" spans="2:17" x14ac:dyDescent="0.4">
      <c r="C158" t="s">
        <v>173</v>
      </c>
    </row>
    <row r="159" spans="2:17" x14ac:dyDescent="0.4">
      <c r="B159" s="14" t="s">
        <v>174</v>
      </c>
      <c r="D159" t="s">
        <v>139</v>
      </c>
      <c r="E159">
        <f>G145*10^3*10^3/(L146*L143^2*10^3)</f>
        <v>5.1256037610852651E-2</v>
      </c>
    </row>
    <row r="160" spans="2:17" x14ac:dyDescent="0.4">
      <c r="B160" s="14"/>
      <c r="D160" t="s">
        <v>144</v>
      </c>
      <c r="E160">
        <f>$L$143*(0.5+SQRT(0.25-3*E159/3.4))</f>
        <v>185.74134270074313</v>
      </c>
    </row>
    <row r="161" spans="2:15" x14ac:dyDescent="0.4">
      <c r="B161" s="14"/>
      <c r="D161" t="s">
        <v>175</v>
      </c>
      <c r="E161" s="1">
        <f>MAX(H161,E160)</f>
        <v>185.74134270074313</v>
      </c>
      <c r="F161" t="s">
        <v>5</v>
      </c>
      <c r="G161" t="s">
        <v>150</v>
      </c>
      <c r="H161">
        <f>0.95*$L$143</f>
        <v>185.25</v>
      </c>
    </row>
    <row r="162" spans="2:15" x14ac:dyDescent="0.4">
      <c r="B162" s="14"/>
      <c r="D162" t="s">
        <v>152</v>
      </c>
      <c r="E162">
        <f>G145*10^3*10^3/(0.87*$L$147*E161)</f>
        <v>603.05430684814769</v>
      </c>
      <c r="F162" t="s">
        <v>153</v>
      </c>
      <c r="H162" t="s">
        <v>154</v>
      </c>
      <c r="J162" t="s">
        <v>155</v>
      </c>
      <c r="L162" s="7" t="s">
        <v>176</v>
      </c>
      <c r="M162" t="s">
        <v>157</v>
      </c>
      <c r="N162">
        <f>(10/2)^2*PI()*1000/125</f>
        <v>628.31853071795865</v>
      </c>
      <c r="O162" t="s">
        <v>153</v>
      </c>
    </row>
    <row r="163" spans="2:15" x14ac:dyDescent="0.4">
      <c r="B163" s="14"/>
      <c r="D163" t="s">
        <v>159</v>
      </c>
      <c r="E163">
        <f>0.13%*1000*$E$33</f>
        <v>292.5</v>
      </c>
      <c r="G163" t="s">
        <v>160</v>
      </c>
      <c r="H163" t="s">
        <v>161</v>
      </c>
      <c r="I163" t="s">
        <v>162</v>
      </c>
      <c r="K163" t="s">
        <v>163</v>
      </c>
      <c r="L163" t="s">
        <v>164</v>
      </c>
      <c r="M163" t="s">
        <v>165</v>
      </c>
      <c r="O163" t="s">
        <v>177</v>
      </c>
    </row>
    <row r="164" spans="2:15" x14ac:dyDescent="0.4">
      <c r="B164" s="14"/>
      <c r="G164" t="s">
        <v>167</v>
      </c>
      <c r="H164" t="s">
        <v>168</v>
      </c>
      <c r="I164" t="s">
        <v>169</v>
      </c>
    </row>
    <row r="165" spans="2:15" x14ac:dyDescent="0.4">
      <c r="B165" s="14"/>
      <c r="D165" t="s">
        <v>178</v>
      </c>
      <c r="M165" t="s">
        <v>179</v>
      </c>
    </row>
    <row r="166" spans="2:15" x14ac:dyDescent="0.4">
      <c r="B166" s="14"/>
      <c r="E166" t="s">
        <v>180</v>
      </c>
      <c r="F166">
        <f>N153</f>
        <v>1047.1975511965977</v>
      </c>
      <c r="H166">
        <f>F166*0.2</f>
        <v>209.43951023931956</v>
      </c>
    </row>
    <row r="167" spans="2:15" x14ac:dyDescent="0.4">
      <c r="B167" s="14"/>
      <c r="E167" t="s">
        <v>181</v>
      </c>
      <c r="F167">
        <f>N162</f>
        <v>628.31853071795865</v>
      </c>
      <c r="H167">
        <f>F167</f>
        <v>628.31853071795865</v>
      </c>
      <c r="J167" t="s">
        <v>182</v>
      </c>
      <c r="M167" t="s">
        <v>12</v>
      </c>
    </row>
    <row r="168" spans="2:15" x14ac:dyDescent="0.4">
      <c r="B168" s="14"/>
    </row>
    <row r="169" spans="2:15" x14ac:dyDescent="0.4">
      <c r="B169" s="14"/>
      <c r="E169" t="s">
        <v>183</v>
      </c>
      <c r="H169">
        <f>3.5*E33</f>
        <v>787.5</v>
      </c>
      <c r="I169" t="s">
        <v>5</v>
      </c>
      <c r="J169" t="s">
        <v>184</v>
      </c>
      <c r="K169">
        <v>450</v>
      </c>
      <c r="L169" t="s">
        <v>5</v>
      </c>
      <c r="M169" t="s">
        <v>185</v>
      </c>
      <c r="O169" t="s">
        <v>12</v>
      </c>
    </row>
    <row r="172" spans="2:15" x14ac:dyDescent="0.4">
      <c r="B172" t="s">
        <v>186</v>
      </c>
      <c r="C172" t="s">
        <v>187</v>
      </c>
    </row>
    <row r="173" spans="2:15" x14ac:dyDescent="0.4">
      <c r="C173" t="s">
        <v>137</v>
      </c>
    </row>
    <row r="174" spans="2:15" x14ac:dyDescent="0.4">
      <c r="B174" s="14" t="s">
        <v>138</v>
      </c>
      <c r="D174" t="s">
        <v>139</v>
      </c>
      <c r="E174">
        <f>G144*10^3*10^3/(L146*L143^2*10^3)</f>
        <v>5.9248577292899417E-2</v>
      </c>
    </row>
    <row r="175" spans="2:15" x14ac:dyDescent="0.4">
      <c r="B175" s="14"/>
      <c r="D175" t="s">
        <v>144</v>
      </c>
      <c r="E175">
        <f>$L$143*(0.5+SQRT(0.25-3*E174/3.4))</f>
        <v>184.20855264368387</v>
      </c>
    </row>
    <row r="176" spans="2:15" x14ac:dyDescent="0.4">
      <c r="B176" s="14"/>
      <c r="D176" t="s">
        <v>175</v>
      </c>
      <c r="E176" s="1">
        <f>MAX(H176,E175)</f>
        <v>185.25</v>
      </c>
      <c r="F176" t="s">
        <v>5</v>
      </c>
      <c r="G176" t="s">
        <v>150</v>
      </c>
      <c r="H176">
        <f>0.95*$L$143</f>
        <v>185.25</v>
      </c>
    </row>
    <row r="177" spans="2:17" x14ac:dyDescent="0.4">
      <c r="B177" s="14"/>
      <c r="D177" t="s">
        <v>152</v>
      </c>
      <c r="E177">
        <f>G144*10^3*10^3/(0.87*$L$147*E176)</f>
        <v>698.9396595351111</v>
      </c>
      <c r="F177" t="s">
        <v>153</v>
      </c>
      <c r="G177" t="s">
        <v>154</v>
      </c>
      <c r="J177" t="s">
        <v>155</v>
      </c>
      <c r="L177" s="7" t="s">
        <v>188</v>
      </c>
      <c r="M177" t="s">
        <v>157</v>
      </c>
      <c r="N177">
        <f>(10/2)^2*PI()*1000/100</f>
        <v>785.39816339744834</v>
      </c>
      <c r="O177" t="s">
        <v>153</v>
      </c>
    </row>
    <row r="178" spans="2:17" x14ac:dyDescent="0.4">
      <c r="B178" s="14"/>
      <c r="D178" t="s">
        <v>159</v>
      </c>
      <c r="E178">
        <f>0.13%*1000*$E$33</f>
        <v>292.5</v>
      </c>
      <c r="G178" t="s">
        <v>160</v>
      </c>
      <c r="H178" t="s">
        <v>161</v>
      </c>
      <c r="I178" t="s">
        <v>162</v>
      </c>
      <c r="K178" t="s">
        <v>163</v>
      </c>
      <c r="L178" t="s">
        <v>164</v>
      </c>
      <c r="M178" t="s">
        <v>165</v>
      </c>
    </row>
    <row r="179" spans="2:17" x14ac:dyDescent="0.4">
      <c r="G179" t="s">
        <v>167</v>
      </c>
      <c r="H179" t="s">
        <v>168</v>
      </c>
      <c r="I179" t="s">
        <v>169</v>
      </c>
    </row>
    <row r="180" spans="2:17" x14ac:dyDescent="0.4">
      <c r="G180" t="s">
        <v>171</v>
      </c>
      <c r="H180" t="s">
        <v>172</v>
      </c>
    </row>
    <row r="182" spans="2:17" x14ac:dyDescent="0.4">
      <c r="C182" t="s">
        <v>173</v>
      </c>
    </row>
    <row r="183" spans="2:17" x14ac:dyDescent="0.4">
      <c r="B183" s="14" t="s">
        <v>174</v>
      </c>
      <c r="D183" t="s">
        <v>139</v>
      </c>
      <c r="E183">
        <f>G146*10^3*10^3/(L146*L143^2*10^3)</f>
        <v>3.8586005841877845E-2</v>
      </c>
    </row>
    <row r="184" spans="2:17" x14ac:dyDescent="0.4">
      <c r="B184" s="14"/>
      <c r="D184" t="s">
        <v>144</v>
      </c>
      <c r="E184">
        <f>$L$143*(0.5+SQRT(0.25-3*E183/3.4))</f>
        <v>188.11805978875711</v>
      </c>
    </row>
    <row r="185" spans="2:17" x14ac:dyDescent="0.4">
      <c r="B185" s="14"/>
      <c r="D185" t="s">
        <v>175</v>
      </c>
      <c r="E185" s="1">
        <f>MAX(H185,E184)</f>
        <v>188.11805978875711</v>
      </c>
      <c r="F185" t="s">
        <v>5</v>
      </c>
      <c r="G185" t="s">
        <v>150</v>
      </c>
      <c r="H185">
        <f>0.95*$L$143</f>
        <v>185.25</v>
      </c>
    </row>
    <row r="186" spans="2:17" x14ac:dyDescent="0.4">
      <c r="B186" s="14"/>
      <c r="D186" t="s">
        <v>152</v>
      </c>
      <c r="E186">
        <f>G146*10^3*10^3/(0.87*$L$147*E185)</f>
        <v>448.24897927635612</v>
      </c>
      <c r="F186" t="s">
        <v>153</v>
      </c>
      <c r="G186" t="s">
        <v>154</v>
      </c>
      <c r="J186" t="s">
        <v>155</v>
      </c>
      <c r="L186" s="7" t="s">
        <v>189</v>
      </c>
      <c r="M186" t="s">
        <v>157</v>
      </c>
      <c r="N186">
        <f>(10/2)^2*PI()*1000/150</f>
        <v>523.59877559829886</v>
      </c>
      <c r="O186" t="s">
        <v>153</v>
      </c>
      <c r="Q186" t="s">
        <v>190</v>
      </c>
    </row>
    <row r="187" spans="2:17" x14ac:dyDescent="0.4">
      <c r="B187" s="14"/>
      <c r="D187" t="s">
        <v>159</v>
      </c>
      <c r="E187">
        <f>0.13%*1000*$E$33</f>
        <v>292.5</v>
      </c>
      <c r="G187" t="s">
        <v>160</v>
      </c>
      <c r="H187" t="s">
        <v>161</v>
      </c>
      <c r="I187" t="s">
        <v>162</v>
      </c>
      <c r="K187" t="s">
        <v>163</v>
      </c>
      <c r="L187" t="s">
        <v>164</v>
      </c>
      <c r="M187" t="s">
        <v>165</v>
      </c>
    </row>
    <row r="188" spans="2:17" x14ac:dyDescent="0.4">
      <c r="B188" s="14"/>
      <c r="G188" t="s">
        <v>167</v>
      </c>
      <c r="H188" t="s">
        <v>168</v>
      </c>
      <c r="I188" t="s">
        <v>169</v>
      </c>
    </row>
    <row r="189" spans="2:17" x14ac:dyDescent="0.4">
      <c r="B189" s="14"/>
      <c r="D189" t="s">
        <v>191</v>
      </c>
      <c r="M189" t="s">
        <v>179</v>
      </c>
    </row>
    <row r="190" spans="2:17" x14ac:dyDescent="0.4">
      <c r="B190" s="14"/>
      <c r="E190" t="s">
        <v>180</v>
      </c>
      <c r="F190">
        <f>N177</f>
        <v>785.39816339744834</v>
      </c>
      <c r="H190">
        <f>F190*0.2</f>
        <v>157.07963267948969</v>
      </c>
    </row>
    <row r="191" spans="2:17" x14ac:dyDescent="0.4">
      <c r="B191" s="14"/>
      <c r="E191" t="s">
        <v>181</v>
      </c>
      <c r="F191">
        <f>N186</f>
        <v>523.59877559829886</v>
      </c>
      <c r="H191">
        <f>F191</f>
        <v>523.59877559829886</v>
      </c>
      <c r="J191" t="s">
        <v>182</v>
      </c>
      <c r="M191" t="s">
        <v>12</v>
      </c>
    </row>
    <row r="192" spans="2:17" x14ac:dyDescent="0.4">
      <c r="B192" s="14"/>
    </row>
    <row r="193" spans="1:18" x14ac:dyDescent="0.4">
      <c r="B193" s="14"/>
      <c r="E193" t="s">
        <v>183</v>
      </c>
      <c r="H193">
        <f>3.5*E33</f>
        <v>787.5</v>
      </c>
      <c r="I193" t="s">
        <v>5</v>
      </c>
      <c r="J193" t="s">
        <v>184</v>
      </c>
      <c r="K193">
        <v>450</v>
      </c>
      <c r="L193" t="s">
        <v>5</v>
      </c>
      <c r="M193" t="s">
        <v>192</v>
      </c>
      <c r="O193" t="s">
        <v>12</v>
      </c>
    </row>
    <row r="196" spans="1:18" x14ac:dyDescent="0.4">
      <c r="A196" s="1"/>
      <c r="B196" s="1"/>
      <c r="C196" s="1"/>
      <c r="D196" s="1"/>
      <c r="E196" s="1"/>
      <c r="F196" s="1"/>
      <c r="G196" s="1"/>
      <c r="H196" t="s">
        <v>193</v>
      </c>
    </row>
    <row r="197" spans="1:18" x14ac:dyDescent="0.4">
      <c r="G197" t="s">
        <v>194</v>
      </c>
      <c r="H197" t="s">
        <v>195</v>
      </c>
      <c r="I197" t="s">
        <v>86</v>
      </c>
      <c r="J197" t="s">
        <v>87</v>
      </c>
    </row>
    <row r="199" spans="1:18" ht="14.6" customHeight="1" x14ac:dyDescent="0.4">
      <c r="B199" t="s">
        <v>196</v>
      </c>
      <c r="J199" t="s">
        <v>197</v>
      </c>
      <c r="L199" s="1">
        <f>MAX(E104,E59)</f>
        <v>17.161020992366414</v>
      </c>
      <c r="M199" t="s">
        <v>25</v>
      </c>
      <c r="N199" t="s">
        <v>90</v>
      </c>
      <c r="O199">
        <f>7.7+2.125</f>
        <v>9.8249999999999993</v>
      </c>
      <c r="P199" s="13" t="s">
        <v>198</v>
      </c>
      <c r="Q199" s="13"/>
      <c r="R199" s="13"/>
    </row>
    <row r="200" spans="1:18" x14ac:dyDescent="0.4">
      <c r="C200" t="s">
        <v>199</v>
      </c>
      <c r="D200" t="s">
        <v>200</v>
      </c>
      <c r="F200">
        <v>0.6</v>
      </c>
      <c r="H200" t="s">
        <v>201</v>
      </c>
      <c r="J200">
        <v>0.4</v>
      </c>
      <c r="N200" t="s">
        <v>89</v>
      </c>
      <c r="O200">
        <v>5</v>
      </c>
      <c r="P200" s="13"/>
      <c r="Q200" s="13"/>
      <c r="R200" s="13"/>
    </row>
    <row r="201" spans="1:18" ht="14.6" customHeight="1" x14ac:dyDescent="0.4">
      <c r="C201" t="s">
        <v>202</v>
      </c>
      <c r="D201" t="s">
        <v>203</v>
      </c>
      <c r="F201">
        <v>0.4</v>
      </c>
      <c r="H201" t="s">
        <v>204</v>
      </c>
      <c r="J201">
        <v>0.26</v>
      </c>
      <c r="N201" t="s">
        <v>205</v>
      </c>
      <c r="O201">
        <f>$E$34</f>
        <v>195</v>
      </c>
      <c r="P201" s="13"/>
      <c r="Q201" s="13"/>
      <c r="R201" s="13"/>
    </row>
    <row r="202" spans="1:18" x14ac:dyDescent="0.4">
      <c r="N202" t="s">
        <v>20</v>
      </c>
      <c r="O202">
        <v>25</v>
      </c>
      <c r="P202" s="13"/>
      <c r="Q202" s="13"/>
      <c r="R202" s="13"/>
    </row>
    <row r="203" spans="1:18" x14ac:dyDescent="0.4">
      <c r="F203" t="s">
        <v>206</v>
      </c>
      <c r="H203">
        <f>F200*L199*O199</f>
        <v>101.16421875</v>
      </c>
      <c r="P203" s="13"/>
      <c r="Q203" s="13"/>
      <c r="R203" s="13"/>
    </row>
    <row r="204" spans="1:18" x14ac:dyDescent="0.4">
      <c r="F204" t="s">
        <v>207</v>
      </c>
      <c r="H204">
        <f>F201*L199*O199</f>
        <v>67.442812500000002</v>
      </c>
      <c r="P204" s="13"/>
      <c r="Q204" s="13"/>
      <c r="R204" s="13"/>
    </row>
    <row r="205" spans="1:18" x14ac:dyDescent="0.4">
      <c r="F205" t="s">
        <v>208</v>
      </c>
      <c r="H205">
        <f>J200*L199*O200</f>
        <v>34.322041984732827</v>
      </c>
      <c r="P205" s="13"/>
      <c r="Q205" s="13"/>
      <c r="R205" s="13"/>
    </row>
    <row r="206" spans="1:18" x14ac:dyDescent="0.4">
      <c r="F206" t="s">
        <v>209</v>
      </c>
      <c r="H206">
        <f>J201*L199*O200</f>
        <v>22.30932729007634</v>
      </c>
    </row>
    <row r="208" spans="1:18" x14ac:dyDescent="0.4">
      <c r="B208" t="s">
        <v>210</v>
      </c>
      <c r="J208" t="s">
        <v>211</v>
      </c>
      <c r="L208" s="1">
        <f>MAX(E70,E81,E93)</f>
        <v>21.898998091603055</v>
      </c>
      <c r="M208" t="s">
        <v>25</v>
      </c>
    </row>
    <row r="209" spans="1:18" x14ac:dyDescent="0.4">
      <c r="C209" t="s">
        <v>199</v>
      </c>
      <c r="D209" t="s">
        <v>200</v>
      </c>
      <c r="F209">
        <v>0.52</v>
      </c>
      <c r="H209" t="s">
        <v>201</v>
      </c>
      <c r="J209">
        <v>0.36</v>
      </c>
      <c r="P209" s="13" t="s">
        <v>198</v>
      </c>
      <c r="Q209" s="13"/>
      <c r="R209" s="13"/>
    </row>
    <row r="210" spans="1:18" x14ac:dyDescent="0.4">
      <c r="C210" t="s">
        <v>202</v>
      </c>
      <c r="D210" t="s">
        <v>203</v>
      </c>
      <c r="F210" t="s">
        <v>212</v>
      </c>
      <c r="H210" t="s">
        <v>204</v>
      </c>
      <c r="J210">
        <v>0.24</v>
      </c>
      <c r="M210" t="s">
        <v>92</v>
      </c>
      <c r="N210">
        <f>F129</f>
        <v>1.9649999999999999</v>
      </c>
      <c r="O210" t="s">
        <v>93</v>
      </c>
      <c r="P210" s="13"/>
      <c r="Q210" s="13"/>
      <c r="R210" s="13"/>
    </row>
    <row r="211" spans="1:18" x14ac:dyDescent="0.4">
      <c r="P211" s="13"/>
      <c r="Q211" s="13"/>
      <c r="R211" s="13"/>
    </row>
    <row r="212" spans="1:18" x14ac:dyDescent="0.4">
      <c r="C212" t="s">
        <v>213</v>
      </c>
      <c r="F212" t="s">
        <v>206</v>
      </c>
      <c r="H212">
        <f>F209*L208*O199</f>
        <v>111.88198125</v>
      </c>
      <c r="P212" s="13"/>
      <c r="Q212" s="13"/>
      <c r="R212" s="13"/>
    </row>
    <row r="213" spans="1:18" x14ac:dyDescent="0.4">
      <c r="F213" t="s">
        <v>207</v>
      </c>
      <c r="H213">
        <v>0</v>
      </c>
      <c r="I213" t="s">
        <v>214</v>
      </c>
      <c r="P213" s="13"/>
      <c r="Q213" s="13"/>
      <c r="R213" s="13"/>
    </row>
    <row r="214" spans="1:18" x14ac:dyDescent="0.4">
      <c r="A214" t="s">
        <v>215</v>
      </c>
      <c r="F214" t="s">
        <v>208</v>
      </c>
      <c r="H214">
        <f>J209*L208*O200</f>
        <v>39.418196564885491</v>
      </c>
      <c r="P214" s="13"/>
      <c r="Q214" s="13"/>
      <c r="R214" s="13"/>
    </row>
    <row r="215" spans="1:18" x14ac:dyDescent="0.4">
      <c r="F215" t="s">
        <v>209</v>
      </c>
      <c r="H215">
        <f>J210*L208*O200</f>
        <v>26.278797709923666</v>
      </c>
      <c r="P215" s="13"/>
      <c r="Q215" s="13"/>
      <c r="R215" s="13"/>
    </row>
    <row r="218" spans="1:18" x14ac:dyDescent="0.4">
      <c r="F218" t="s">
        <v>216</v>
      </c>
      <c r="H218" s="1">
        <f>MAX(H212:H215,H203:H206)</f>
        <v>111.88198125</v>
      </c>
      <c r="I218" t="s">
        <v>217</v>
      </c>
    </row>
    <row r="220" spans="1:18" x14ac:dyDescent="0.4">
      <c r="B220" t="s">
        <v>218</v>
      </c>
      <c r="G220" t="s">
        <v>219</v>
      </c>
      <c r="L220" t="s">
        <v>220</v>
      </c>
    </row>
    <row r="222" spans="1:18" x14ac:dyDescent="0.4">
      <c r="C222" t="s">
        <v>221</v>
      </c>
      <c r="D222">
        <f>N186/2/1000/O201</f>
        <v>1.3425609630725612E-3</v>
      </c>
      <c r="E222" t="s">
        <v>222</v>
      </c>
      <c r="J222" t="s">
        <v>223</v>
      </c>
    </row>
    <row r="223" spans="1:18" x14ac:dyDescent="0.4">
      <c r="C223" t="s">
        <v>224</v>
      </c>
      <c r="D223">
        <f>1+SQRT(200/O201)</f>
        <v>2.0127393670836664</v>
      </c>
      <c r="H223" t="s">
        <v>225</v>
      </c>
    </row>
    <row r="224" spans="1:18" x14ac:dyDescent="0.4">
      <c r="C224" t="s">
        <v>226</v>
      </c>
      <c r="D224">
        <f>0.18/1.5</f>
        <v>0.12</v>
      </c>
      <c r="F224" t="s">
        <v>227</v>
      </c>
      <c r="G224" t="s">
        <v>228</v>
      </c>
      <c r="I224" t="s">
        <v>229</v>
      </c>
      <c r="J224">
        <v>1.5</v>
      </c>
    </row>
    <row r="225" spans="1:14" x14ac:dyDescent="0.4">
      <c r="C225" t="s">
        <v>230</v>
      </c>
      <c r="D225">
        <v>0.15</v>
      </c>
    </row>
    <row r="226" spans="1:14" x14ac:dyDescent="0.4">
      <c r="C226" t="s">
        <v>231</v>
      </c>
      <c r="D226">
        <v>0</v>
      </c>
      <c r="F226" t="s">
        <v>232</v>
      </c>
      <c r="G226" t="s">
        <v>233</v>
      </c>
    </row>
    <row r="227" spans="1:14" x14ac:dyDescent="0.4">
      <c r="C227" t="s">
        <v>234</v>
      </c>
      <c r="D227" s="1">
        <f>((D224*D223*(100*D222*O202)^(1/3)+D225*D226))*1000*O201</f>
        <v>70517.148065888134</v>
      </c>
      <c r="E227" t="s">
        <v>235</v>
      </c>
      <c r="F227" t="s">
        <v>236</v>
      </c>
      <c r="G227" s="1">
        <f>((0.035*D223^(3/2)*O202^0.5)+D225*D226)*1000*O201</f>
        <v>97443.746118594863</v>
      </c>
      <c r="H227" t="s">
        <v>235</v>
      </c>
    </row>
    <row r="228" spans="1:14" x14ac:dyDescent="0.4">
      <c r="D228">
        <f>D227/1000</f>
        <v>70.517148065888136</v>
      </c>
      <c r="E228" t="s">
        <v>217</v>
      </c>
      <c r="G228" s="1">
        <f>G227/1000</f>
        <v>97.443746118594859</v>
      </c>
      <c r="H228" t="s">
        <v>217</v>
      </c>
    </row>
    <row r="230" spans="1:14" x14ac:dyDescent="0.4">
      <c r="F230">
        <f>H218</f>
        <v>111.88198125</v>
      </c>
      <c r="G230" t="s">
        <v>237</v>
      </c>
      <c r="H230">
        <f>G228</f>
        <v>97.443746118594859</v>
      </c>
      <c r="J230" t="s">
        <v>12</v>
      </c>
      <c r="K230" t="s">
        <v>238</v>
      </c>
    </row>
    <row r="232" spans="1:14" x14ac:dyDescent="0.4">
      <c r="A232" s="1"/>
      <c r="B232" s="1"/>
      <c r="C232" s="1"/>
      <c r="D232" s="1"/>
      <c r="E232" s="1"/>
      <c r="F232" s="1"/>
      <c r="G232" s="1"/>
      <c r="H232" t="s">
        <v>239</v>
      </c>
      <c r="M232" t="s">
        <v>90</v>
      </c>
      <c r="N232">
        <f>7.7+2.125</f>
        <v>9.8249999999999993</v>
      </c>
    </row>
    <row r="233" spans="1:14" x14ac:dyDescent="0.4">
      <c r="M233" t="s">
        <v>89</v>
      </c>
      <c r="N233">
        <v>5</v>
      </c>
    </row>
    <row r="234" spans="1:14" x14ac:dyDescent="0.4">
      <c r="B234" t="s">
        <v>240</v>
      </c>
      <c r="C234" t="s">
        <v>241</v>
      </c>
      <c r="E234">
        <f>5000/N234</f>
        <v>25.641025641025642</v>
      </c>
      <c r="M234" t="s">
        <v>205</v>
      </c>
      <c r="N234">
        <f>$E$34</f>
        <v>195</v>
      </c>
    </row>
    <row r="235" spans="1:14" x14ac:dyDescent="0.4">
      <c r="B235" t="s">
        <v>242</v>
      </c>
      <c r="C235" t="s">
        <v>243</v>
      </c>
      <c r="E235">
        <f>N186/1000/N234*100</f>
        <v>0.26851219261451226</v>
      </c>
      <c r="F235" t="s">
        <v>244</v>
      </c>
      <c r="G235" t="s">
        <v>233</v>
      </c>
      <c r="I235" t="s">
        <v>245</v>
      </c>
      <c r="J235">
        <f>SQRT(N235)*10^-3*100</f>
        <v>0.5</v>
      </c>
      <c r="K235" t="s">
        <v>244</v>
      </c>
      <c r="M235" t="s">
        <v>20</v>
      </c>
      <c r="N235">
        <v>25</v>
      </c>
    </row>
    <row r="236" spans="1:14" x14ac:dyDescent="0.4">
      <c r="C236" t="s">
        <v>246</v>
      </c>
      <c r="E236">
        <v>1.3</v>
      </c>
      <c r="G236" t="s">
        <v>247</v>
      </c>
      <c r="J236" t="s">
        <v>248</v>
      </c>
      <c r="M236" t="s">
        <v>249</v>
      </c>
      <c r="N236">
        <v>500</v>
      </c>
    </row>
    <row r="237" spans="1:14" x14ac:dyDescent="0.4">
      <c r="C237" t="s">
        <v>250</v>
      </c>
      <c r="E237">
        <f>7/5</f>
        <v>1.4</v>
      </c>
      <c r="G237" t="s">
        <v>251</v>
      </c>
    </row>
    <row r="238" spans="1:14" x14ac:dyDescent="0.4">
      <c r="G238" t="s">
        <v>252</v>
      </c>
      <c r="I238" t="s">
        <v>253</v>
      </c>
    </row>
    <row r="239" spans="1:14" x14ac:dyDescent="0.4">
      <c r="B239" t="s">
        <v>254</v>
      </c>
      <c r="D239" t="s">
        <v>255</v>
      </c>
      <c r="J239" t="s">
        <v>9</v>
      </c>
    </row>
    <row r="240" spans="1:14" x14ac:dyDescent="0.4">
      <c r="C240" t="s">
        <v>256</v>
      </c>
      <c r="D240">
        <f>11+1.5*N235^(0.5)*J235/E235+3.2*N235^(0.5)*((J235/E235-1)^(1.5))</f>
        <v>37.773398860075631</v>
      </c>
      <c r="G240" t="s">
        <v>257</v>
      </c>
      <c r="J240" t="s">
        <v>258</v>
      </c>
      <c r="L240" s="13" t="s">
        <v>259</v>
      </c>
      <c r="M240" s="13"/>
      <c r="N240" s="13"/>
    </row>
    <row r="241" spans="3:14" x14ac:dyDescent="0.4">
      <c r="C241" t="s">
        <v>260</v>
      </c>
      <c r="D241">
        <v>1</v>
      </c>
      <c r="G241" t="s">
        <v>261</v>
      </c>
      <c r="L241" s="13"/>
      <c r="M241" s="13"/>
      <c r="N241" s="13"/>
    </row>
    <row r="242" spans="3:14" x14ac:dyDescent="0.4">
      <c r="C242" t="s">
        <v>262</v>
      </c>
      <c r="D242">
        <f>1</f>
        <v>1</v>
      </c>
      <c r="G242" t="s">
        <v>263</v>
      </c>
      <c r="L242" s="13"/>
      <c r="M242" s="13"/>
      <c r="N242" s="13"/>
    </row>
    <row r="243" spans="3:14" x14ac:dyDescent="0.4">
      <c r="C243" t="s">
        <v>264</v>
      </c>
      <c r="E243">
        <f>(500)/(N236*E186/N186)</f>
        <v>1.1680980879054892</v>
      </c>
      <c r="G243" t="s">
        <v>265</v>
      </c>
      <c r="L243" s="13"/>
      <c r="M243" s="13"/>
      <c r="N243" s="13"/>
    </row>
    <row r="244" spans="3:14" x14ac:dyDescent="0.4">
      <c r="L244" s="13"/>
      <c r="M244" s="13"/>
      <c r="N244" s="13"/>
    </row>
    <row r="245" spans="3:14" x14ac:dyDescent="0.4">
      <c r="C245" t="s">
        <v>266</v>
      </c>
      <c r="E245">
        <f>D240*D241*D242*E243*E236</f>
        <v>57.359945476789456</v>
      </c>
      <c r="G245" t="s">
        <v>267</v>
      </c>
      <c r="J245" t="s">
        <v>12</v>
      </c>
    </row>
    <row r="247" spans="3:14" x14ac:dyDescent="0.4">
      <c r="J247" t="s">
        <v>268</v>
      </c>
    </row>
  </sheetData>
  <mergeCells count="7">
    <mergeCell ref="P199:R205"/>
    <mergeCell ref="P209:R215"/>
    <mergeCell ref="L240:N244"/>
    <mergeCell ref="B150:B154"/>
    <mergeCell ref="B159:B169"/>
    <mergeCell ref="B174:B178"/>
    <mergeCell ref="B183:B193"/>
  </mergeCells>
  <hyperlinks>
    <hyperlink ref="M1" r:id="rId1" display="https://www.youtube.com/watch?app=desktop&amp;v=KiX4fmk7DVw&amp;ab_channel=ANISAZMI" xr:uid="{4BFB6DE0-3155-4B2A-8C88-F20A33A24EFE}"/>
    <hyperlink ref="M3" r:id="rId2" display="https://www.youtube.com/watch?app=desktop&amp;v=aG7EHroHu-M&amp;ab_channel=EverythingCivil" xr:uid="{BD9E3D1E-8BA1-45F8-8DAE-E5A4FE8D276E}"/>
    <hyperlink ref="Q148" r:id="rId3" display="https://www.youtube.com/watch?v=J6wdbLtJLiQ&amp;ab_channel=StructuralAnalysisSilvinoGomesS.G" xr:uid="{3FAA879A-6F2D-4174-BC31-41DD689AEB59}"/>
    <hyperlink ref="L153" r:id="rId4" xr:uid="{445B1A3E-AD7B-4EE2-B5C9-F24E99F18AB4}"/>
    <hyperlink ref="L162" r:id="rId5" xr:uid="{845CB164-F078-462D-AB5B-2B6BB7EA7C30}"/>
    <hyperlink ref="L177" r:id="rId6" xr:uid="{E83EE8CF-5CDA-4C61-8E55-5406E6253F72}"/>
    <hyperlink ref="L186" r:id="rId7" xr:uid="{1B253A13-FB06-429F-A5C9-3D33AA37FEAF}"/>
    <hyperlink ref="Q155" r:id="rId8" display="https://www.yourspreadsheets.co.uk/reinforcement-areas-and-weights.html" xr:uid="{ED6FD5C9-84D2-4DEF-BBE2-9FFB2AF893FC}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4FC2-364F-4A9F-A23F-C47D6F714A96}">
  <dimension ref="A1:AE153"/>
  <sheetViews>
    <sheetView tabSelected="1" topLeftCell="A105" zoomScaleNormal="100" workbookViewId="0">
      <selection activeCell="E116" sqref="E116"/>
    </sheetView>
  </sheetViews>
  <sheetFormatPr defaultRowHeight="14.6" x14ac:dyDescent="0.4"/>
  <cols>
    <col min="2" max="2" width="11.84375" bestFit="1" customWidth="1"/>
    <col min="4" max="4" width="10.84375" bestFit="1" customWidth="1"/>
  </cols>
  <sheetData>
    <row r="1" spans="1:14" x14ac:dyDescent="0.4">
      <c r="A1" t="s">
        <v>269</v>
      </c>
      <c r="C1">
        <v>50</v>
      </c>
    </row>
    <row r="3" spans="1:14" x14ac:dyDescent="0.4">
      <c r="A3" t="s">
        <v>270</v>
      </c>
      <c r="C3" t="s">
        <v>271</v>
      </c>
    </row>
    <row r="4" spans="1:14" x14ac:dyDescent="0.4">
      <c r="A4" t="s">
        <v>272</v>
      </c>
      <c r="C4" t="s">
        <v>273</v>
      </c>
      <c r="F4" t="s">
        <v>274</v>
      </c>
      <c r="G4" t="s">
        <v>275</v>
      </c>
    </row>
    <row r="6" spans="1:14" x14ac:dyDescent="0.4">
      <c r="A6" t="s">
        <v>276</v>
      </c>
      <c r="C6">
        <v>20</v>
      </c>
      <c r="D6" t="s">
        <v>5</v>
      </c>
      <c r="F6" s="2" t="s">
        <v>277</v>
      </c>
      <c r="N6" t="s">
        <v>278</v>
      </c>
    </row>
    <row r="7" spans="1:14" x14ac:dyDescent="0.4">
      <c r="A7" t="s">
        <v>279</v>
      </c>
      <c r="C7">
        <v>15</v>
      </c>
      <c r="D7" t="s">
        <v>5</v>
      </c>
      <c r="F7" t="s">
        <v>280</v>
      </c>
      <c r="G7" t="s">
        <v>281</v>
      </c>
      <c r="H7">
        <v>7</v>
      </c>
      <c r="I7" t="s">
        <v>5</v>
      </c>
      <c r="J7" t="str">
        <f>C128</f>
        <v>7H @ 300</v>
      </c>
    </row>
    <row r="8" spans="1:14" x14ac:dyDescent="0.4">
      <c r="A8" t="s">
        <v>282</v>
      </c>
      <c r="C8">
        <v>36</v>
      </c>
      <c r="D8" t="s">
        <v>5</v>
      </c>
      <c r="G8" t="s">
        <v>283</v>
      </c>
      <c r="H8">
        <v>12</v>
      </c>
      <c r="I8" t="s">
        <v>5</v>
      </c>
      <c r="J8" t="str">
        <f>A115</f>
        <v>4H12</v>
      </c>
      <c r="L8" t="s">
        <v>284</v>
      </c>
      <c r="M8">
        <f>C8-H7-H8/2</f>
        <v>23</v>
      </c>
      <c r="N8" t="s">
        <v>5</v>
      </c>
    </row>
    <row r="9" spans="1:14" x14ac:dyDescent="0.4">
      <c r="A9" t="s">
        <v>285</v>
      </c>
      <c r="C9">
        <v>10</v>
      </c>
      <c r="D9" t="s">
        <v>5</v>
      </c>
    </row>
    <row r="10" spans="1:14" x14ac:dyDescent="0.4">
      <c r="F10" t="s">
        <v>286</v>
      </c>
      <c r="G10">
        <f>MAX(C6:C7,10)</f>
        <v>20</v>
      </c>
      <c r="H10" t="s">
        <v>5</v>
      </c>
    </row>
    <row r="11" spans="1:14" x14ac:dyDescent="0.4">
      <c r="A11" t="s">
        <v>287</v>
      </c>
      <c r="C11">
        <v>30</v>
      </c>
      <c r="F11" t="s">
        <v>288</v>
      </c>
      <c r="G11">
        <f>G10+C9</f>
        <v>30</v>
      </c>
      <c r="H11" t="s">
        <v>5</v>
      </c>
    </row>
    <row r="12" spans="1:14" x14ac:dyDescent="0.4">
      <c r="A12" t="s">
        <v>520</v>
      </c>
      <c r="B12">
        <v>500</v>
      </c>
    </row>
    <row r="13" spans="1:14" x14ac:dyDescent="0.4">
      <c r="A13" t="s">
        <v>472</v>
      </c>
      <c r="C13">
        <v>0.4</v>
      </c>
      <c r="D13" t="s">
        <v>29</v>
      </c>
      <c r="F13" t="s">
        <v>289</v>
      </c>
      <c r="G13" s="3">
        <f>H8/2+H7+G11</f>
        <v>43</v>
      </c>
      <c r="H13" t="s">
        <v>5</v>
      </c>
    </row>
    <row r="14" spans="1:14" x14ac:dyDescent="0.4">
      <c r="A14" t="s">
        <v>290</v>
      </c>
      <c r="C14">
        <f>C13^2</f>
        <v>0.16000000000000003</v>
      </c>
      <c r="D14" t="s">
        <v>291</v>
      </c>
    </row>
    <row r="15" spans="1:14" s="1" customFormat="1" x14ac:dyDescent="0.4"/>
    <row r="16" spans="1:14" x14ac:dyDescent="0.4">
      <c r="A16" t="s">
        <v>292</v>
      </c>
      <c r="F16" t="s">
        <v>293</v>
      </c>
    </row>
    <row r="17" spans="1:13" x14ac:dyDescent="0.4">
      <c r="A17" s="3">
        <f>(6.25)*H17</f>
        <v>273.828125</v>
      </c>
      <c r="B17" t="s">
        <v>217</v>
      </c>
      <c r="H17">
        <f>((7.7/2)+(7.7+2.125)/2)*(5+5)/2</f>
        <v>43.8125</v>
      </c>
      <c r="I17" t="s">
        <v>291</v>
      </c>
    </row>
    <row r="18" spans="1:13" x14ac:dyDescent="0.4">
      <c r="A18" s="3"/>
    </row>
    <row r="19" spans="1:13" x14ac:dyDescent="0.4">
      <c r="A19" s="8" t="s">
        <v>294</v>
      </c>
      <c r="B19" s="8"/>
    </row>
    <row r="20" spans="1:13" x14ac:dyDescent="0.4">
      <c r="A20" s="9">
        <f>(1.5)*H17</f>
        <v>65.71875</v>
      </c>
      <c r="B20" s="8" t="s">
        <v>217</v>
      </c>
    </row>
    <row r="21" spans="1:13" x14ac:dyDescent="0.4">
      <c r="A21" s="9"/>
      <c r="B21" s="8"/>
    </row>
    <row r="22" spans="1:13" x14ac:dyDescent="0.4">
      <c r="A22" t="s">
        <v>295</v>
      </c>
      <c r="G22" t="s">
        <v>296</v>
      </c>
    </row>
    <row r="23" spans="1:13" x14ac:dyDescent="0.4">
      <c r="A23" t="s">
        <v>297</v>
      </c>
      <c r="G23" t="s">
        <v>72</v>
      </c>
      <c r="I23" s="3">
        <f>1.35*(A28+A24+A17)+1.5*A20</f>
        <v>602.10597656250002</v>
      </c>
      <c r="J23" t="s">
        <v>217</v>
      </c>
      <c r="M23" t="s">
        <v>298</v>
      </c>
    </row>
    <row r="24" spans="1:13" x14ac:dyDescent="0.4">
      <c r="A24" s="3">
        <f>(5+5+7.7+7.7+2.125)/2*L49</f>
        <v>85.155468750000011</v>
      </c>
      <c r="B24" t="s">
        <v>217</v>
      </c>
      <c r="I24">
        <f>1*(A28+A24+A17)+1*A20</f>
        <v>438.70234375000001</v>
      </c>
      <c r="J24" t="s">
        <v>435</v>
      </c>
    </row>
    <row r="25" spans="1:13" x14ac:dyDescent="0.4">
      <c r="A25" s="3"/>
    </row>
    <row r="26" spans="1:13" x14ac:dyDescent="0.4">
      <c r="A26" t="s">
        <v>299</v>
      </c>
    </row>
    <row r="27" spans="1:13" x14ac:dyDescent="0.4">
      <c r="A27" t="s">
        <v>473</v>
      </c>
      <c r="D27">
        <f>C14</f>
        <v>0.16000000000000003</v>
      </c>
      <c r="E27" t="s">
        <v>64</v>
      </c>
    </row>
    <row r="28" spans="1:13" x14ac:dyDescent="0.4">
      <c r="A28" s="3">
        <f>C13^2*3.5*25</f>
        <v>14.000000000000002</v>
      </c>
      <c r="B28" t="s">
        <v>217</v>
      </c>
    </row>
    <row r="29" spans="1:13" x14ac:dyDescent="0.4">
      <c r="A29" s="3"/>
    </row>
    <row r="31" spans="1:13" x14ac:dyDescent="0.4">
      <c r="A31" t="s">
        <v>300</v>
      </c>
      <c r="D31" t="s">
        <v>301</v>
      </c>
      <c r="F31" t="s">
        <v>302</v>
      </c>
    </row>
    <row r="32" spans="1:13" x14ac:dyDescent="0.4">
      <c r="A32" t="s">
        <v>303</v>
      </c>
    </row>
    <row r="33" spans="1:24" s="1" customFormat="1" x14ac:dyDescent="0.4"/>
    <row r="34" spans="1:24" x14ac:dyDescent="0.4">
      <c r="A34" t="s">
        <v>304</v>
      </c>
    </row>
    <row r="36" spans="1:24" x14ac:dyDescent="0.4">
      <c r="A36" s="3" t="s">
        <v>73</v>
      </c>
      <c r="D36" t="s">
        <v>62</v>
      </c>
      <c r="E36">
        <f>5*(7.7+2.125)</f>
        <v>49.125</v>
      </c>
      <c r="J36" t="s">
        <v>48</v>
      </c>
    </row>
    <row r="37" spans="1:24" x14ac:dyDescent="0.4">
      <c r="A37" t="s">
        <v>67</v>
      </c>
      <c r="J37" t="s">
        <v>305</v>
      </c>
      <c r="M37" s="1">
        <f>Sheet2!E37</f>
        <v>5.625</v>
      </c>
      <c r="N37" t="s">
        <v>25</v>
      </c>
      <c r="P37" t="s">
        <v>51</v>
      </c>
    </row>
    <row r="38" spans="1:24" x14ac:dyDescent="0.4">
      <c r="B38" t="s">
        <v>68</v>
      </c>
      <c r="E38">
        <f>Sheet2!E65</f>
        <v>10.089503816793894</v>
      </c>
      <c r="F38" t="s">
        <v>25</v>
      </c>
      <c r="P38" t="s">
        <v>52</v>
      </c>
      <c r="R38" t="s">
        <v>53</v>
      </c>
      <c r="T38">
        <f>Sheet2!E42</f>
        <v>3</v>
      </c>
      <c r="U38" t="s">
        <v>25</v>
      </c>
      <c r="V38" t="s">
        <v>54</v>
      </c>
    </row>
    <row r="39" spans="1:24" x14ac:dyDescent="0.4">
      <c r="A39" t="s">
        <v>70</v>
      </c>
      <c r="P39" t="s">
        <v>55</v>
      </c>
      <c r="R39" t="s">
        <v>56</v>
      </c>
      <c r="T39">
        <f>Sheet2!E43</f>
        <v>3</v>
      </c>
      <c r="U39" t="s">
        <v>25</v>
      </c>
      <c r="X39" t="s">
        <v>57</v>
      </c>
    </row>
    <row r="40" spans="1:24" x14ac:dyDescent="0.4">
      <c r="B40" t="s">
        <v>74</v>
      </c>
      <c r="E40">
        <f>(T38*7.7*5+T39*2.125*5)/E36</f>
        <v>3</v>
      </c>
      <c r="F40" t="s">
        <v>25</v>
      </c>
      <c r="P40" t="s">
        <v>58</v>
      </c>
      <c r="R40" t="s">
        <v>53</v>
      </c>
      <c r="T40">
        <f>Sheet2!E44</f>
        <v>2.5</v>
      </c>
      <c r="U40" t="s">
        <v>25</v>
      </c>
    </row>
    <row r="41" spans="1:24" x14ac:dyDescent="0.4">
      <c r="A41" t="s">
        <v>72</v>
      </c>
      <c r="D41">
        <f>Sheet2!E70</f>
        <v>18.120830152671758</v>
      </c>
      <c r="E41" t="s">
        <v>25</v>
      </c>
      <c r="J41" t="s">
        <v>306</v>
      </c>
      <c r="L41" s="3">
        <f>(D41+D48)*(7.7+2.125)*5/4+(D55+D62)*(7.7*5)/4</f>
        <v>715.27626562500006</v>
      </c>
      <c r="M41" t="s">
        <v>217</v>
      </c>
    </row>
    <row r="42" spans="1:24" x14ac:dyDescent="0.4">
      <c r="D42">
        <f>E38+E40</f>
        <v>13.089503816793894</v>
      </c>
      <c r="E42" t="s">
        <v>434</v>
      </c>
      <c r="L42" s="12">
        <f>(D42+D49)*(7.7+2.125)*5/4+(D56+D63)*(7.7*5)/4</f>
        <v>516.03218750000008</v>
      </c>
      <c r="M42" t="s">
        <v>434</v>
      </c>
      <c r="P42" t="s">
        <v>59</v>
      </c>
      <c r="R42" t="s">
        <v>60</v>
      </c>
      <c r="T42">
        <f>Sheet2!E46</f>
        <v>7</v>
      </c>
      <c r="U42" t="s">
        <v>25</v>
      </c>
      <c r="V42" t="s">
        <v>61</v>
      </c>
    </row>
    <row r="43" spans="1:24" x14ac:dyDescent="0.4">
      <c r="A43" s="3" t="s">
        <v>75</v>
      </c>
    </row>
    <row r="44" spans="1:24" x14ac:dyDescent="0.4">
      <c r="A44" t="s">
        <v>67</v>
      </c>
    </row>
    <row r="45" spans="1:24" x14ac:dyDescent="0.4">
      <c r="B45" t="s">
        <v>68</v>
      </c>
      <c r="E45">
        <f>Sheet2!E76</f>
        <v>8.4437022900763363</v>
      </c>
      <c r="F45" t="s">
        <v>25</v>
      </c>
    </row>
    <row r="46" spans="1:24" x14ac:dyDescent="0.4">
      <c r="A46" t="s">
        <v>70</v>
      </c>
    </row>
    <row r="47" spans="1:24" x14ac:dyDescent="0.4">
      <c r="B47" t="s">
        <v>74</v>
      </c>
      <c r="E47">
        <f>Sheet2!E79</f>
        <v>3</v>
      </c>
      <c r="F47" t="s">
        <v>25</v>
      </c>
      <c r="G47" t="s">
        <v>76</v>
      </c>
      <c r="J47" t="s">
        <v>307</v>
      </c>
    </row>
    <row r="48" spans="1:24" x14ac:dyDescent="0.4">
      <c r="A48" t="s">
        <v>72</v>
      </c>
      <c r="D48">
        <f>E45*1.35+E47*1.5</f>
        <v>15.898998091603055</v>
      </c>
      <c r="E48" t="s">
        <v>25</v>
      </c>
      <c r="K48" t="s">
        <v>62</v>
      </c>
      <c r="L48">
        <f>0.45*0.55</f>
        <v>0.24750000000000003</v>
      </c>
      <c r="M48" t="s">
        <v>291</v>
      </c>
    </row>
    <row r="49" spans="1:13" x14ac:dyDescent="0.4">
      <c r="D49">
        <f>E45+E47</f>
        <v>11.443702290076336</v>
      </c>
      <c r="E49" t="s">
        <v>434</v>
      </c>
      <c r="K49" t="s">
        <v>308</v>
      </c>
      <c r="L49">
        <f>25*L48</f>
        <v>6.1875000000000009</v>
      </c>
      <c r="M49" t="s">
        <v>31</v>
      </c>
    </row>
    <row r="50" spans="1:13" x14ac:dyDescent="0.4">
      <c r="A50" s="3" t="s">
        <v>309</v>
      </c>
      <c r="K50" t="s">
        <v>310</v>
      </c>
      <c r="L50">
        <f>L49*(7.7+2.125+7.7+5+5)/2</f>
        <v>85.155468750000011</v>
      </c>
      <c r="M50" t="s">
        <v>217</v>
      </c>
    </row>
    <row r="51" spans="1:13" x14ac:dyDescent="0.4">
      <c r="A51" t="s">
        <v>67</v>
      </c>
      <c r="J51" t="s">
        <v>311</v>
      </c>
    </row>
    <row r="52" spans="1:13" x14ac:dyDescent="0.4">
      <c r="B52" t="s">
        <v>68</v>
      </c>
      <c r="E52">
        <f>M37+Sheet2!D15+Sheet2!D19*7.7/(5*7)</f>
        <v>9.6850000000000005</v>
      </c>
      <c r="F52" t="s">
        <v>25</v>
      </c>
      <c r="K52" t="s">
        <v>312</v>
      </c>
      <c r="L52">
        <f>3*3.5*(5+5)/2</f>
        <v>52.5</v>
      </c>
      <c r="M52" t="s">
        <v>217</v>
      </c>
    </row>
    <row r="53" spans="1:13" x14ac:dyDescent="0.4">
      <c r="A53" t="s">
        <v>70</v>
      </c>
      <c r="J53" t="s">
        <v>313</v>
      </c>
    </row>
    <row r="54" spans="1:13" x14ac:dyDescent="0.4">
      <c r="B54" t="s">
        <v>314</v>
      </c>
      <c r="E54">
        <f>(Sheet2!E42+Sheet2!E44)/2</f>
        <v>2.75</v>
      </c>
      <c r="F54" t="s">
        <v>25</v>
      </c>
      <c r="J54" t="s">
        <v>72</v>
      </c>
      <c r="L54" s="3">
        <f>1.35*(L52+L50)</f>
        <v>185.83488281250004</v>
      </c>
    </row>
    <row r="55" spans="1:13" x14ac:dyDescent="0.4">
      <c r="A55" t="s">
        <v>72</v>
      </c>
      <c r="D55">
        <f>E52*1.35+E54*1.5</f>
        <v>17.199750000000002</v>
      </c>
      <c r="E55" t="s">
        <v>25</v>
      </c>
      <c r="L55" s="11">
        <f>(L52+L50)</f>
        <v>137.65546875000001</v>
      </c>
      <c r="M55" t="s">
        <v>434</v>
      </c>
    </row>
    <row r="56" spans="1:13" x14ac:dyDescent="0.4">
      <c r="D56">
        <f>E52+E54</f>
        <v>12.435</v>
      </c>
      <c r="E56" t="s">
        <v>434</v>
      </c>
    </row>
    <row r="57" spans="1:13" x14ac:dyDescent="0.4">
      <c r="A57" s="3" t="s">
        <v>309</v>
      </c>
    </row>
    <row r="58" spans="1:13" x14ac:dyDescent="0.4">
      <c r="A58" t="s">
        <v>67</v>
      </c>
    </row>
    <row r="59" spans="1:13" x14ac:dyDescent="0.4">
      <c r="B59" t="s">
        <v>315</v>
      </c>
      <c r="E59">
        <f>Sheet2!D15+Sheet2!E37</f>
        <v>7.375</v>
      </c>
      <c r="F59" t="s">
        <v>25</v>
      </c>
      <c r="J59" t="s">
        <v>433</v>
      </c>
    </row>
    <row r="60" spans="1:13" x14ac:dyDescent="0.4">
      <c r="A60" t="s">
        <v>70</v>
      </c>
    </row>
    <row r="61" spans="1:13" x14ac:dyDescent="0.4">
      <c r="B61" t="s">
        <v>316</v>
      </c>
      <c r="E61">
        <f>Sheet2!E44</f>
        <v>2.5</v>
      </c>
      <c r="F61" t="s">
        <v>25</v>
      </c>
    </row>
    <row r="62" spans="1:13" x14ac:dyDescent="0.4">
      <c r="A62" t="s">
        <v>72</v>
      </c>
      <c r="D62">
        <f>E59*1.35+E61*1.5</f>
        <v>13.706250000000001</v>
      </c>
      <c r="E62" t="s">
        <v>25</v>
      </c>
    </row>
    <row r="63" spans="1:13" x14ac:dyDescent="0.4">
      <c r="D63">
        <f>E61+E59</f>
        <v>9.875</v>
      </c>
      <c r="E63" t="s">
        <v>434</v>
      </c>
    </row>
    <row r="64" spans="1:13" s="1" customFormat="1" x14ac:dyDescent="0.4">
      <c r="J64" s="3" t="s">
        <v>317</v>
      </c>
      <c r="K64"/>
      <c r="L64"/>
      <c r="M64"/>
    </row>
    <row r="65" spans="1:20" x14ac:dyDescent="0.4">
      <c r="D65" s="2" t="s">
        <v>318</v>
      </c>
      <c r="L65" s="5">
        <f>L54+L41+I23</f>
        <v>1503.2171250000001</v>
      </c>
      <c r="M65" t="s">
        <v>217</v>
      </c>
    </row>
    <row r="66" spans="1:20" x14ac:dyDescent="0.4">
      <c r="A66" t="s">
        <v>319</v>
      </c>
      <c r="L66" s="5">
        <f>L55+L42+I24</f>
        <v>1092.3900000000001</v>
      </c>
      <c r="M66" t="s">
        <v>435</v>
      </c>
    </row>
    <row r="67" spans="1:20" x14ac:dyDescent="0.4">
      <c r="A67" t="s">
        <v>320</v>
      </c>
      <c r="E67" t="s">
        <v>321</v>
      </c>
    </row>
    <row r="68" spans="1:20" x14ac:dyDescent="0.4">
      <c r="Q68" s="10" t="s">
        <v>322</v>
      </c>
      <c r="R68" s="10"/>
      <c r="S68" s="10"/>
      <c r="T68" s="10"/>
    </row>
    <row r="69" spans="1:20" x14ac:dyDescent="0.4">
      <c r="Q69" s="10"/>
      <c r="R69" s="10"/>
      <c r="S69" s="10"/>
      <c r="T69" s="10"/>
    </row>
    <row r="70" spans="1:20" x14ac:dyDescent="0.4">
      <c r="A70" t="s">
        <v>323</v>
      </c>
      <c r="Q70" s="10" t="s">
        <v>324</v>
      </c>
      <c r="R70" s="10"/>
      <c r="S70" s="10"/>
      <c r="T70" s="10"/>
    </row>
    <row r="71" spans="1:20" x14ac:dyDescent="0.4">
      <c r="A71" t="s">
        <v>325</v>
      </c>
      <c r="C71">
        <f>4.375</f>
        <v>4.375</v>
      </c>
      <c r="D71" t="s">
        <v>217</v>
      </c>
      <c r="E71" t="s">
        <v>326</v>
      </c>
      <c r="F71">
        <f>C71/6*3.5</f>
        <v>2.552083333333333</v>
      </c>
      <c r="G71" t="s">
        <v>102</v>
      </c>
    </row>
    <row r="72" spans="1:20" x14ac:dyDescent="0.4">
      <c r="A72" t="s">
        <v>327</v>
      </c>
      <c r="C72">
        <v>13.475</v>
      </c>
      <c r="D72" t="s">
        <v>217</v>
      </c>
      <c r="E72" t="s">
        <v>326</v>
      </c>
      <c r="F72">
        <f>C72/6*4</f>
        <v>8.9833333333333325</v>
      </c>
      <c r="G72" t="s">
        <v>102</v>
      </c>
    </row>
    <row r="73" spans="1:20" x14ac:dyDescent="0.4">
      <c r="A73" t="s">
        <v>328</v>
      </c>
      <c r="C73">
        <v>4.375</v>
      </c>
      <c r="D73" t="s">
        <v>217</v>
      </c>
      <c r="E73" t="s">
        <v>329</v>
      </c>
      <c r="F73">
        <f>C73/3*3.5</f>
        <v>5.1041666666666661</v>
      </c>
      <c r="G73" t="s">
        <v>102</v>
      </c>
    </row>
    <row r="74" spans="1:20" x14ac:dyDescent="0.4">
      <c r="A74" t="s">
        <v>330</v>
      </c>
      <c r="C74">
        <v>8.75</v>
      </c>
      <c r="D74" t="s">
        <v>217</v>
      </c>
      <c r="E74" t="s">
        <v>329</v>
      </c>
      <c r="F74">
        <f>C74/6*4</f>
        <v>5.833333333333333</v>
      </c>
      <c r="G74" t="s">
        <v>102</v>
      </c>
    </row>
    <row r="75" spans="1:20" x14ac:dyDescent="0.4">
      <c r="D75" t="s">
        <v>331</v>
      </c>
      <c r="F75">
        <f>MAX(F73,F71)</f>
        <v>5.1041666666666661</v>
      </c>
      <c r="G75" t="s">
        <v>102</v>
      </c>
    </row>
    <row r="76" spans="1:20" x14ac:dyDescent="0.4">
      <c r="D76" t="s">
        <v>332</v>
      </c>
      <c r="F76">
        <f>MAX(F74,F72)</f>
        <v>8.9833333333333325</v>
      </c>
      <c r="G76" t="s">
        <v>102</v>
      </c>
    </row>
    <row r="77" spans="1:20" x14ac:dyDescent="0.4">
      <c r="A77" s="1" t="s">
        <v>596</v>
      </c>
      <c r="B77" s="1"/>
      <c r="F77" t="s">
        <v>333</v>
      </c>
    </row>
    <row r="78" spans="1:20" x14ac:dyDescent="0.4">
      <c r="A78" t="s">
        <v>597</v>
      </c>
    </row>
    <row r="79" spans="1:20" x14ac:dyDescent="0.4">
      <c r="B79" t="s">
        <v>334</v>
      </c>
    </row>
    <row r="80" spans="1:20" x14ac:dyDescent="0.4">
      <c r="C80">
        <f>2.5*5/2</f>
        <v>6.25</v>
      </c>
      <c r="D80" t="s">
        <v>291</v>
      </c>
    </row>
    <row r="81" spans="1:30" x14ac:dyDescent="0.4">
      <c r="B81" t="s">
        <v>335</v>
      </c>
    </row>
    <row r="82" spans="1:30" x14ac:dyDescent="0.4">
      <c r="C82">
        <f>(5*(2.125+7.7))/2-C80</f>
        <v>18.3125</v>
      </c>
      <c r="D82" t="s">
        <v>291</v>
      </c>
    </row>
    <row r="84" spans="1:30" x14ac:dyDescent="0.4">
      <c r="A84" t="s">
        <v>336</v>
      </c>
    </row>
    <row r="85" spans="1:30" x14ac:dyDescent="0.4">
      <c r="A85" t="s">
        <v>337</v>
      </c>
      <c r="B85" s="3">
        <f>C80*(E40+E54)/(5)*1.5</f>
        <v>10.78125</v>
      </c>
      <c r="C85" t="s">
        <v>31</v>
      </c>
      <c r="D85" t="s">
        <v>338</v>
      </c>
    </row>
    <row r="86" spans="1:30" x14ac:dyDescent="0.4">
      <c r="A86" t="s">
        <v>339</v>
      </c>
      <c r="B86" s="3">
        <f>C82*(E40+E47)/(7.7*2.125)*1.5</f>
        <v>10.072574484339189</v>
      </c>
      <c r="C86" t="s">
        <v>31</v>
      </c>
      <c r="D86" t="s">
        <v>338</v>
      </c>
    </row>
    <row r="87" spans="1:30" x14ac:dyDescent="0.4">
      <c r="A87" s="15" t="s">
        <v>340</v>
      </c>
      <c r="B87" s="15"/>
      <c r="C87" s="16">
        <f>MAX(B86,B85)</f>
        <v>10.78125</v>
      </c>
      <c r="D87" s="15" t="s">
        <v>31</v>
      </c>
      <c r="E87" s="19" t="s">
        <v>595</v>
      </c>
      <c r="N87" s="10" t="s">
        <v>594</v>
      </c>
    </row>
    <row r="88" spans="1:30" x14ac:dyDescent="0.4">
      <c r="N88" s="10" t="s">
        <v>341</v>
      </c>
      <c r="O88">
        <v>4</v>
      </c>
      <c r="R88" t="s">
        <v>342</v>
      </c>
    </row>
    <row r="89" spans="1:30" x14ac:dyDescent="0.4">
      <c r="A89" t="s">
        <v>343</v>
      </c>
      <c r="B89">
        <f>C14</f>
        <v>0.16000000000000003</v>
      </c>
      <c r="C89" t="s">
        <v>64</v>
      </c>
      <c r="D89" t="s">
        <v>344</v>
      </c>
      <c r="E89">
        <f>B89^2/12</f>
        <v>2.1333333333333343E-3</v>
      </c>
      <c r="F89" t="s">
        <v>345</v>
      </c>
      <c r="J89" t="s">
        <v>346</v>
      </c>
      <c r="K89">
        <f>E89/P89</f>
        <v>6.1835748792270554E-4</v>
      </c>
      <c r="N89" t="s">
        <v>347</v>
      </c>
      <c r="P89">
        <f>4-0.55</f>
        <v>3.45</v>
      </c>
    </row>
    <row r="90" spans="1:30" x14ac:dyDescent="0.4">
      <c r="A90" t="s">
        <v>348</v>
      </c>
      <c r="B90">
        <f>0.45*0.55</f>
        <v>0.24750000000000003</v>
      </c>
      <c r="C90" t="s">
        <v>64</v>
      </c>
      <c r="D90" t="s">
        <v>349</v>
      </c>
      <c r="E90">
        <f>0.45^3*0.55/12</f>
        <v>4.1765625000000006E-3</v>
      </c>
      <c r="F90" t="s">
        <v>345</v>
      </c>
      <c r="H90" t="s">
        <v>350</v>
      </c>
      <c r="J90" t="s">
        <v>351</v>
      </c>
      <c r="K90">
        <f>E90/5</f>
        <v>8.3531250000000012E-4</v>
      </c>
      <c r="L90" t="s">
        <v>352</v>
      </c>
      <c r="N90" t="s">
        <v>353</v>
      </c>
      <c r="P90">
        <f>B85*5^2/12</f>
        <v>22.4609375</v>
      </c>
      <c r="Q90" t="s">
        <v>102</v>
      </c>
      <c r="R90" t="s">
        <v>354</v>
      </c>
      <c r="S90" s="3">
        <f>P90*(B97/(B97+0.5*K90+0.5*K90))</f>
        <v>22.460020967555394</v>
      </c>
      <c r="T90" t="s">
        <v>102</v>
      </c>
    </row>
    <row r="91" spans="1:30" x14ac:dyDescent="0.4">
      <c r="A91" t="s">
        <v>355</v>
      </c>
      <c r="B91">
        <f>0.45*0.55</f>
        <v>0.24750000000000003</v>
      </c>
      <c r="C91" t="s">
        <v>64</v>
      </c>
      <c r="D91" t="s">
        <v>356</v>
      </c>
      <c r="E91">
        <f>0.45^3*0.55/12</f>
        <v>4.1765625000000006E-3</v>
      </c>
      <c r="F91" t="s">
        <v>345</v>
      </c>
      <c r="H91" t="s">
        <v>357</v>
      </c>
      <c r="J91" t="s">
        <v>358</v>
      </c>
      <c r="K91">
        <f>E91/7.7</f>
        <v>5.4241071428571435E-4</v>
      </c>
      <c r="L91" t="s">
        <v>359</v>
      </c>
      <c r="N91" t="s">
        <v>360</v>
      </c>
      <c r="P91">
        <f>B86*(9.825)^2/12</f>
        <v>81.025992527692878</v>
      </c>
      <c r="Q91" t="s">
        <v>102</v>
      </c>
      <c r="R91" t="s">
        <v>361</v>
      </c>
      <c r="S91" s="3">
        <f>P91*(K89/(K89+0.5*K91+0.5*K92))</f>
        <v>45.46098299218071</v>
      </c>
      <c r="T91" t="s">
        <v>102</v>
      </c>
    </row>
    <row r="92" spans="1:30" s="1" customFormat="1" x14ac:dyDescent="0.4">
      <c r="H92" s="1" t="s">
        <v>362</v>
      </c>
      <c r="J92" s="1" t="s">
        <v>363</v>
      </c>
      <c r="K92" s="1">
        <f>E91/9.825</f>
        <v>4.2509541984732835E-4</v>
      </c>
      <c r="L92" t="s">
        <v>364</v>
      </c>
      <c r="U92" s="1" t="s">
        <v>612</v>
      </c>
      <c r="AA92" s="1" t="s">
        <v>613</v>
      </c>
    </row>
    <row r="93" spans="1:30" x14ac:dyDescent="0.4">
      <c r="A93" t="s">
        <v>603</v>
      </c>
      <c r="R93" t="s">
        <v>365</v>
      </c>
      <c r="S93">
        <f>MAX(S90:S91)</f>
        <v>45.46098299218071</v>
      </c>
      <c r="T93" s="1"/>
      <c r="U93" t="s">
        <v>602</v>
      </c>
      <c r="AA93" t="s">
        <v>601</v>
      </c>
    </row>
    <row r="94" spans="1:30" x14ac:dyDescent="0.4">
      <c r="A94" t="s">
        <v>366</v>
      </c>
      <c r="B94">
        <f>S93+F76/2+F75/2</f>
        <v>52.504732992180713</v>
      </c>
      <c r="C94" t="s">
        <v>102</v>
      </c>
      <c r="D94" t="s">
        <v>367</v>
      </c>
      <c r="T94" s="1"/>
      <c r="V94" t="s">
        <v>366</v>
      </c>
      <c r="W94">
        <f>S90+F72/2+F71/2</f>
        <v>28.227729300888729</v>
      </c>
      <c r="X94" t="s">
        <v>102</v>
      </c>
      <c r="AB94" t="s">
        <v>366</v>
      </c>
      <c r="AC94">
        <f>S90+F74/2+F73/2</f>
        <v>27.928770967555394</v>
      </c>
      <c r="AD94" t="s">
        <v>102</v>
      </c>
    </row>
    <row r="95" spans="1:30" x14ac:dyDescent="0.4">
      <c r="A95" t="s">
        <v>368</v>
      </c>
      <c r="B95">
        <f>F76/2</f>
        <v>4.4916666666666663</v>
      </c>
      <c r="C95" t="s">
        <v>102</v>
      </c>
      <c r="D95" t="s">
        <v>369</v>
      </c>
      <c r="H95" t="s">
        <v>599</v>
      </c>
      <c r="K95" s="20" t="s">
        <v>598</v>
      </c>
      <c r="L95" s="1"/>
      <c r="M95" s="1"/>
      <c r="N95" s="1"/>
      <c r="O95" s="1"/>
      <c r="P95" s="1"/>
      <c r="R95" t="s">
        <v>600</v>
      </c>
      <c r="T95" s="1"/>
      <c r="V95" t="s">
        <v>368</v>
      </c>
      <c r="W95">
        <f>F72/2</f>
        <v>4.4916666666666663</v>
      </c>
      <c r="X95" t="s">
        <v>102</v>
      </c>
      <c r="AB95" t="s">
        <v>368</v>
      </c>
      <c r="AC95">
        <f>F74/2</f>
        <v>2.9166666666666665</v>
      </c>
      <c r="AD95" t="s">
        <v>102</v>
      </c>
    </row>
    <row r="96" spans="1:30" x14ac:dyDescent="0.4">
      <c r="T96" s="1"/>
    </row>
    <row r="97" spans="1:31" x14ac:dyDescent="0.4">
      <c r="A97" t="s">
        <v>370</v>
      </c>
      <c r="B97">
        <f>H99/H97</f>
        <v>20.469691362177638</v>
      </c>
      <c r="G97" t="s">
        <v>371</v>
      </c>
      <c r="H97">
        <f>SQRT(E89/B89)</f>
        <v>0.11547005383792518</v>
      </c>
      <c r="T97" s="1"/>
    </row>
    <row r="98" spans="1:31" x14ac:dyDescent="0.4">
      <c r="A98" t="s">
        <v>372</v>
      </c>
      <c r="B98">
        <f>20*0.7*1.1*(1.7-H101)/SQRT(L65*10^3/(300*300*E98))</f>
        <v>31.224070248383612</v>
      </c>
      <c r="D98" t="s">
        <v>373</v>
      </c>
      <c r="E98">
        <f>30/E100*E99</f>
        <v>17</v>
      </c>
      <c r="F98" t="s">
        <v>374</v>
      </c>
      <c r="G98" t="s">
        <v>375</v>
      </c>
      <c r="H98">
        <f>K89/((K90+K90+K91+K92))</f>
        <v>0.23439224833147407</v>
      </c>
      <c r="I98" t="s">
        <v>376</v>
      </c>
      <c r="J98" t="s">
        <v>377</v>
      </c>
      <c r="L98" t="s">
        <v>378</v>
      </c>
      <c r="T98" s="1"/>
    </row>
    <row r="99" spans="1:31" x14ac:dyDescent="0.4">
      <c r="D99" t="s">
        <v>379</v>
      </c>
      <c r="E99">
        <v>0.85</v>
      </c>
      <c r="G99" t="s">
        <v>380</v>
      </c>
      <c r="H99">
        <f>0.5*4*SQRT((1+0.1/(0.45+0.1))*(1+0.1/(0.45+0.1)))</f>
        <v>2.3636363636363638</v>
      </c>
      <c r="I99" t="s">
        <v>29</v>
      </c>
      <c r="T99" s="1"/>
    </row>
    <row r="100" spans="1:31" x14ac:dyDescent="0.4">
      <c r="A100" t="s">
        <v>381</v>
      </c>
      <c r="D100" t="s">
        <v>229</v>
      </c>
      <c r="E100">
        <v>1.5</v>
      </c>
      <c r="T100" s="1"/>
    </row>
    <row r="101" spans="1:31" x14ac:dyDescent="0.4">
      <c r="A101" t="s">
        <v>382</v>
      </c>
      <c r="G101" t="s">
        <v>383</v>
      </c>
      <c r="H101">
        <f>J102/J103</f>
        <v>-0.30971251259504612</v>
      </c>
      <c r="I101" t="s">
        <v>384</v>
      </c>
      <c r="J101">
        <f>H99/400</f>
        <v>5.909090909090909E-3</v>
      </c>
      <c r="K101" t="s">
        <v>29</v>
      </c>
      <c r="L101" t="s">
        <v>385</v>
      </c>
      <c r="M101">
        <f>C13/30</f>
        <v>1.3333333333333334E-2</v>
      </c>
      <c r="N101" t="s">
        <v>386</v>
      </c>
      <c r="O101" s="3">
        <v>0.02</v>
      </c>
      <c r="P101" t="s">
        <v>29</v>
      </c>
      <c r="T101" s="1"/>
    </row>
    <row r="102" spans="1:31" x14ac:dyDescent="0.4">
      <c r="I102" t="s">
        <v>387</v>
      </c>
      <c r="J102">
        <f>MIN(B94:B95)-O101*L65</f>
        <v>-25.572675833333335</v>
      </c>
      <c r="K102" t="s">
        <v>102</v>
      </c>
      <c r="L102" t="s">
        <v>388</v>
      </c>
      <c r="T102" s="1"/>
      <c r="V102" t="s">
        <v>387</v>
      </c>
      <c r="W102">
        <f>MIN(W94:W95)-O101*L65</f>
        <v>-25.572675833333335</v>
      </c>
      <c r="X102" t="s">
        <v>102</v>
      </c>
      <c r="Y102" t="s">
        <v>388</v>
      </c>
      <c r="AB102" t="s">
        <v>387</v>
      </c>
      <c r="AC102">
        <f>MIN(AC94:AC95)-U101*R65</f>
        <v>2.9166666666666665</v>
      </c>
      <c r="AD102" t="s">
        <v>102</v>
      </c>
      <c r="AE102" t="s">
        <v>388</v>
      </c>
    </row>
    <row r="103" spans="1:31" x14ac:dyDescent="0.4">
      <c r="I103" t="s">
        <v>389</v>
      </c>
      <c r="J103">
        <f>MAX(B94:B95)+O101*L65</f>
        <v>82.569075492180716</v>
      </c>
      <c r="K103" t="s">
        <v>102</v>
      </c>
      <c r="L103" t="s">
        <v>388</v>
      </c>
      <c r="T103" s="1"/>
      <c r="V103" t="s">
        <v>389</v>
      </c>
      <c r="W103">
        <f>MAX(W94:W95)+O101*L65</f>
        <v>58.292071800888735</v>
      </c>
      <c r="X103" t="s">
        <v>102</v>
      </c>
      <c r="Y103" t="s">
        <v>388</v>
      </c>
      <c r="AB103" t="s">
        <v>389</v>
      </c>
      <c r="AC103">
        <f>MAX(AC94:AC95)+U101*R65</f>
        <v>27.928770967555394</v>
      </c>
      <c r="AD103" t="s">
        <v>102</v>
      </c>
      <c r="AE103" t="s">
        <v>388</v>
      </c>
    </row>
    <row r="104" spans="1:31" s="1" customFormat="1" x14ac:dyDescent="0.4"/>
    <row r="105" spans="1:31" x14ac:dyDescent="0.4">
      <c r="A105" t="s">
        <v>390</v>
      </c>
      <c r="B105" t="s">
        <v>391</v>
      </c>
      <c r="E105" t="s">
        <v>392</v>
      </c>
      <c r="F105">
        <f>O101*L65</f>
        <v>30.064342500000002</v>
      </c>
      <c r="T105" s="1"/>
      <c r="U105" t="s">
        <v>390</v>
      </c>
      <c r="V105" t="s">
        <v>391</v>
      </c>
      <c r="X105" t="s">
        <v>392</v>
      </c>
      <c r="Y105">
        <f>F105</f>
        <v>30.064342500000002</v>
      </c>
      <c r="AA105" t="s">
        <v>390</v>
      </c>
      <c r="AB105" t="s">
        <v>391</v>
      </c>
      <c r="AD105" t="s">
        <v>392</v>
      </c>
      <c r="AE105">
        <f>L105</f>
        <v>0</v>
      </c>
    </row>
    <row r="106" spans="1:31" x14ac:dyDescent="0.4">
      <c r="A106" t="s">
        <v>393</v>
      </c>
      <c r="B106" s="20">
        <f>F106</f>
        <v>82.569075492180716</v>
      </c>
      <c r="E106" t="s">
        <v>389</v>
      </c>
      <c r="F106">
        <f>J103</f>
        <v>82.569075492180716</v>
      </c>
      <c r="T106" s="1"/>
      <c r="U106" t="s">
        <v>393</v>
      </c>
      <c r="V106" s="20">
        <f>Y106</f>
        <v>58.292071800888735</v>
      </c>
      <c r="X106" t="s">
        <v>389</v>
      </c>
      <c r="Y106">
        <f>W103</f>
        <v>58.292071800888735</v>
      </c>
      <c r="AA106" t="s">
        <v>393</v>
      </c>
      <c r="AB106" s="20">
        <f>AE106</f>
        <v>27.928770967555394</v>
      </c>
      <c r="AD106" t="s">
        <v>389</v>
      </c>
      <c r="AE106">
        <f>AC103</f>
        <v>27.928770967555394</v>
      </c>
    </row>
    <row r="107" spans="1:31" x14ac:dyDescent="0.4">
      <c r="T107" s="1"/>
    </row>
    <row r="108" spans="1:31" x14ac:dyDescent="0.4">
      <c r="A108" t="s">
        <v>394</v>
      </c>
      <c r="D108" t="s">
        <v>395</v>
      </c>
      <c r="E108" s="3">
        <f>G13/(C13*1000)</f>
        <v>0.1075</v>
      </c>
      <c r="F108" t="s">
        <v>396</v>
      </c>
      <c r="G108">
        <v>0.15</v>
      </c>
      <c r="I108" t="s">
        <v>397</v>
      </c>
      <c r="T108" s="1"/>
    </row>
    <row r="109" spans="1:31" x14ac:dyDescent="0.4">
      <c r="T109" s="1"/>
      <c r="V109" s="20" t="s">
        <v>604</v>
      </c>
    </row>
    <row r="110" spans="1:31" x14ac:dyDescent="0.4">
      <c r="A110" t="s">
        <v>398</v>
      </c>
      <c r="B110" s="3">
        <f>L65*10^3/(C13*1000*C13*1000*30)</f>
        <v>0.31317023437500002</v>
      </c>
      <c r="C110" t="s">
        <v>614</v>
      </c>
      <c r="G110" t="s">
        <v>615</v>
      </c>
      <c r="T110" s="1"/>
    </row>
    <row r="111" spans="1:31" x14ac:dyDescent="0.4">
      <c r="A111" t="s">
        <v>399</v>
      </c>
      <c r="B111" s="3">
        <f>B106*10^6/((C13*1000)^2*(C13*1000)*30)</f>
        <v>4.3004726818844125E-2</v>
      </c>
      <c r="C111" t="s">
        <v>614</v>
      </c>
      <c r="G111" t="s">
        <v>616</v>
      </c>
      <c r="H111" t="s">
        <v>160</v>
      </c>
      <c r="I111">
        <f>0.002*(C13*1000)^2</f>
        <v>320</v>
      </c>
      <c r="J111" t="s">
        <v>153</v>
      </c>
      <c r="T111" s="1"/>
    </row>
    <row r="112" spans="1:31" x14ac:dyDescent="0.4">
      <c r="G112" t="s">
        <v>619</v>
      </c>
      <c r="I112">
        <f>I111</f>
        <v>320</v>
      </c>
      <c r="T112" s="1"/>
    </row>
    <row r="113" spans="1:20" x14ac:dyDescent="0.4">
      <c r="A113" t="s">
        <v>400</v>
      </c>
      <c r="B113" s="3" t="s">
        <v>617</v>
      </c>
      <c r="C113" t="s">
        <v>401</v>
      </c>
      <c r="T113" s="1"/>
    </row>
    <row r="114" spans="1:20" x14ac:dyDescent="0.4">
      <c r="A114" t="s">
        <v>152</v>
      </c>
      <c r="B114" s="5" t="e">
        <f>B113*(C13*1000)^2*30/I114</f>
        <v>#VALUE!</v>
      </c>
      <c r="C114" t="s">
        <v>153</v>
      </c>
      <c r="D114" t="s">
        <v>628</v>
      </c>
      <c r="H114" t="s">
        <v>520</v>
      </c>
      <c r="I114">
        <f>B12</f>
        <v>500</v>
      </c>
      <c r="T114" s="1"/>
    </row>
    <row r="115" spans="1:20" x14ac:dyDescent="0.4">
      <c r="A115" s="5" t="s">
        <v>618</v>
      </c>
      <c r="B115" s="5" t="s">
        <v>402</v>
      </c>
      <c r="C115" s="5">
        <v>452</v>
      </c>
      <c r="D115" t="s">
        <v>153</v>
      </c>
      <c r="E115" s="5" t="s">
        <v>629</v>
      </c>
      <c r="F115" s="23"/>
      <c r="T115" s="1"/>
    </row>
    <row r="116" spans="1:20" x14ac:dyDescent="0.4">
      <c r="T116" s="1"/>
    </row>
    <row r="117" spans="1:20" x14ac:dyDescent="0.4">
      <c r="T117" s="1"/>
    </row>
    <row r="118" spans="1:20" s="1" customFormat="1" x14ac:dyDescent="0.4"/>
    <row r="119" spans="1:20" x14ac:dyDescent="0.4">
      <c r="A119" t="s">
        <v>403</v>
      </c>
      <c r="T119" s="1"/>
    </row>
    <row r="120" spans="1:20" x14ac:dyDescent="0.4">
      <c r="T120" s="1"/>
    </row>
    <row r="121" spans="1:20" x14ac:dyDescent="0.4">
      <c r="A121" t="s">
        <v>404</v>
      </c>
      <c r="D121" s="3" t="s">
        <v>405</v>
      </c>
      <c r="E121" t="s">
        <v>591</v>
      </c>
      <c r="F121">
        <f>20/4</f>
        <v>5</v>
      </c>
      <c r="T121" s="1"/>
    </row>
    <row r="122" spans="1:20" x14ac:dyDescent="0.4">
      <c r="T122" s="1"/>
    </row>
    <row r="123" spans="1:20" x14ac:dyDescent="0.4">
      <c r="C123" t="s">
        <v>406</v>
      </c>
      <c r="T123" s="1"/>
    </row>
    <row r="124" spans="1:20" x14ac:dyDescent="0.4">
      <c r="T124" s="1"/>
    </row>
    <row r="125" spans="1:20" x14ac:dyDescent="0.4">
      <c r="A125" t="s">
        <v>590</v>
      </c>
      <c r="E125" t="s">
        <v>407</v>
      </c>
      <c r="F125">
        <f>20*20</f>
        <v>400</v>
      </c>
      <c r="G125" t="s">
        <v>5</v>
      </c>
      <c r="T125" s="1"/>
    </row>
    <row r="126" spans="1:20" x14ac:dyDescent="0.4">
      <c r="E126" t="s">
        <v>408</v>
      </c>
      <c r="F126">
        <v>300</v>
      </c>
      <c r="G126" t="s">
        <v>5</v>
      </c>
    </row>
    <row r="127" spans="1:20" x14ac:dyDescent="0.4">
      <c r="F127">
        <v>400</v>
      </c>
      <c r="G127" t="s">
        <v>5</v>
      </c>
    </row>
    <row r="128" spans="1:20" x14ac:dyDescent="0.4">
      <c r="A128" s="1"/>
      <c r="B128" s="1" t="s">
        <v>409</v>
      </c>
      <c r="C128" s="5" t="s">
        <v>410</v>
      </c>
    </row>
    <row r="130" spans="1:8" s="1" customFormat="1" x14ac:dyDescent="0.4">
      <c r="G130" s="1" t="s">
        <v>475</v>
      </c>
    </row>
    <row r="131" spans="1:8" x14ac:dyDescent="0.4">
      <c r="A131" t="s">
        <v>411</v>
      </c>
      <c r="D131" t="s">
        <v>412</v>
      </c>
      <c r="E131" t="s">
        <v>592</v>
      </c>
      <c r="G131" t="s">
        <v>413</v>
      </c>
    </row>
    <row r="133" spans="1:8" x14ac:dyDescent="0.4">
      <c r="A133" t="s">
        <v>414</v>
      </c>
    </row>
    <row r="135" spans="1:8" x14ac:dyDescent="0.4">
      <c r="A135" s="22" t="s">
        <v>415</v>
      </c>
      <c r="B135" s="22">
        <f>L65</f>
        <v>1503.2171250000001</v>
      </c>
      <c r="C135" s="22" t="s">
        <v>217</v>
      </c>
      <c r="D135" t="s">
        <v>610</v>
      </c>
    </row>
    <row r="136" spans="1:8" x14ac:dyDescent="0.4">
      <c r="A136" s="22" t="s">
        <v>416</v>
      </c>
      <c r="B136" s="22">
        <f>B106</f>
        <v>82.569075492180716</v>
      </c>
      <c r="C136" s="22" t="s">
        <v>102</v>
      </c>
      <c r="D136" t="s">
        <v>417</v>
      </c>
    </row>
    <row r="138" spans="1:8" x14ac:dyDescent="0.4">
      <c r="A138" t="s">
        <v>605</v>
      </c>
      <c r="B138">
        <f>V106/0.4</f>
        <v>145.73017950222183</v>
      </c>
      <c r="D138" t="s">
        <v>418</v>
      </c>
    </row>
    <row r="139" spans="1:8" x14ac:dyDescent="0.4">
      <c r="A139" t="s">
        <v>606</v>
      </c>
      <c r="B139">
        <f>AB106/0.4</f>
        <v>69.821927418888478</v>
      </c>
      <c r="F139">
        <f>B139/B138</f>
        <v>0.4791178303449764</v>
      </c>
      <c r="G139" t="s">
        <v>607</v>
      </c>
      <c r="H139" t="s">
        <v>608</v>
      </c>
    </row>
    <row r="140" spans="1:8" s="1" customFormat="1" x14ac:dyDescent="0.4"/>
    <row r="141" spans="1:8" x14ac:dyDescent="0.4">
      <c r="A141" t="s">
        <v>419</v>
      </c>
      <c r="E141" t="s">
        <v>593</v>
      </c>
    </row>
    <row r="143" spans="1:8" x14ac:dyDescent="0.4">
      <c r="A143" t="s">
        <v>400</v>
      </c>
      <c r="B143">
        <f>C115*I114/(300*300*30)</f>
        <v>8.3703703703703697E-2</v>
      </c>
    </row>
    <row r="144" spans="1:8" x14ac:dyDescent="0.4">
      <c r="A144" t="s">
        <v>398</v>
      </c>
      <c r="B144">
        <f>B110</f>
        <v>0.31317023437500002</v>
      </c>
    </row>
    <row r="146" spans="1:10" x14ac:dyDescent="0.4">
      <c r="A146" t="s">
        <v>611</v>
      </c>
      <c r="C146">
        <v>7.0000000000000007E-2</v>
      </c>
      <c r="D146" t="s">
        <v>609</v>
      </c>
      <c r="E146">
        <f>C146*((0.4*1000)^3*30)/10^6</f>
        <v>134.4</v>
      </c>
      <c r="G146" t="s">
        <v>620</v>
      </c>
      <c r="H146">
        <f>B106</f>
        <v>82.569075492180716</v>
      </c>
      <c r="J146" t="s">
        <v>12</v>
      </c>
    </row>
    <row r="148" spans="1:10" x14ac:dyDescent="0.4">
      <c r="A148" t="s">
        <v>621</v>
      </c>
    </row>
    <row r="149" spans="1:10" x14ac:dyDescent="0.4">
      <c r="A149" t="s">
        <v>622</v>
      </c>
      <c r="D149">
        <f>((C13*1000)^2*(0.85*30/1.5)+C115*(B12/1.15))*10^(-3)</f>
        <v>2916.5217391304345</v>
      </c>
      <c r="E149" t="s">
        <v>217</v>
      </c>
    </row>
    <row r="150" spans="1:10" x14ac:dyDescent="0.4">
      <c r="A150" t="s">
        <v>623</v>
      </c>
      <c r="D150">
        <f>L65/D149</f>
        <v>0.51541433922182478</v>
      </c>
      <c r="F150" t="s">
        <v>624</v>
      </c>
      <c r="H150" t="s">
        <v>626</v>
      </c>
    </row>
    <row r="151" spans="1:10" x14ac:dyDescent="0.4">
      <c r="A151" t="s">
        <v>625</v>
      </c>
      <c r="B151">
        <v>1.5</v>
      </c>
    </row>
    <row r="153" spans="1:10" x14ac:dyDescent="0.4">
      <c r="A153" t="s">
        <v>409</v>
      </c>
      <c r="B153">
        <f>(V106/E146)^B151+(AB106/E146)^B151</f>
        <v>0.38036567415552613</v>
      </c>
      <c r="C153" t="s">
        <v>627</v>
      </c>
      <c r="E153" t="s">
        <v>12</v>
      </c>
    </row>
  </sheetData>
  <hyperlinks>
    <hyperlink ref="F6" r:id="rId1" display="https://www.youtube.com/watch?v=nV4LFyLOoak&amp;ab_channel=Civiltimes" xr:uid="{1E59ABDE-6796-414B-AB67-373183AC1202}"/>
    <hyperlink ref="D65" r:id="rId2" display="https://www.youtube.com/watch?app=desktop&amp;v=V2_VIDUL3zo&amp;ab_channel=ProkonGeek%28CivilEngineering%29" xr:uid="{D540815F-2452-4321-8F8B-57B15A3FE6AD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A5B9-4D63-45C4-A394-686B276B08E6}">
  <dimension ref="A1:U111"/>
  <sheetViews>
    <sheetView topLeftCell="A13" workbookViewId="0">
      <selection activeCell="Q9" sqref="Q9"/>
    </sheetView>
  </sheetViews>
  <sheetFormatPr defaultRowHeight="14.6" x14ac:dyDescent="0.4"/>
  <cols>
    <col min="2" max="3" width="11.84375" bestFit="1" customWidth="1"/>
    <col min="4" max="4" width="10.84375" bestFit="1" customWidth="1"/>
  </cols>
  <sheetData>
    <row r="1" spans="1:19" x14ac:dyDescent="0.4">
      <c r="A1" t="s">
        <v>434</v>
      </c>
    </row>
    <row r="2" spans="1:19" x14ac:dyDescent="0.4">
      <c r="A2" t="s">
        <v>437</v>
      </c>
      <c r="D2">
        <f>Sheet1!L66+D11</f>
        <v>1327.0400000000002</v>
      </c>
      <c r="E2" t="s">
        <v>217</v>
      </c>
      <c r="F2" t="s">
        <v>436</v>
      </c>
    </row>
    <row r="4" spans="1:19" x14ac:dyDescent="0.4">
      <c r="A4" t="s">
        <v>420</v>
      </c>
      <c r="D4">
        <v>175</v>
      </c>
      <c r="E4" t="s">
        <v>25</v>
      </c>
      <c r="F4" t="s">
        <v>26</v>
      </c>
    </row>
    <row r="6" spans="1:19" x14ac:dyDescent="0.4">
      <c r="A6" t="s">
        <v>448</v>
      </c>
      <c r="D6">
        <f>D2/D4</f>
        <v>7.5830857142857155</v>
      </c>
      <c r="E6" t="s">
        <v>64</v>
      </c>
    </row>
    <row r="7" spans="1:19" x14ac:dyDescent="0.4">
      <c r="A7" t="s">
        <v>425</v>
      </c>
      <c r="D7">
        <v>3.8</v>
      </c>
      <c r="E7" t="s">
        <v>29</v>
      </c>
      <c r="G7" t="s">
        <v>588</v>
      </c>
    </row>
    <row r="8" spans="1:19" x14ac:dyDescent="0.4">
      <c r="A8" t="s">
        <v>424</v>
      </c>
      <c r="D8">
        <f>D7^2</f>
        <v>14.44</v>
      </c>
      <c r="E8" t="s">
        <v>64</v>
      </c>
      <c r="G8" t="s">
        <v>589</v>
      </c>
    </row>
    <row r="9" spans="1:19" x14ac:dyDescent="0.4">
      <c r="A9" t="s">
        <v>463</v>
      </c>
      <c r="D9">
        <v>0.65</v>
      </c>
      <c r="E9" t="s">
        <v>29</v>
      </c>
      <c r="F9" t="s">
        <v>462</v>
      </c>
      <c r="L9" t="s">
        <v>530</v>
      </c>
    </row>
    <row r="10" spans="1:19" x14ac:dyDescent="0.4">
      <c r="A10" t="s">
        <v>421</v>
      </c>
      <c r="D10">
        <v>25</v>
      </c>
      <c r="F10" t="s">
        <v>422</v>
      </c>
    </row>
    <row r="11" spans="1:19" x14ac:dyDescent="0.4">
      <c r="A11" t="s">
        <v>423</v>
      </c>
      <c r="D11">
        <f>D10*D9*D8</f>
        <v>234.65</v>
      </c>
      <c r="E11" t="s">
        <v>217</v>
      </c>
      <c r="H11" s="1" t="s">
        <v>578</v>
      </c>
      <c r="I11" s="1"/>
      <c r="J11" s="1">
        <f>Sheet1!C13+2*(2*Sheet3!D30/1000)</f>
        <v>2.7199999999999998</v>
      </c>
      <c r="K11" s="1" t="s">
        <v>29</v>
      </c>
      <c r="L11" s="20" t="s">
        <v>575</v>
      </c>
      <c r="M11" s="1"/>
      <c r="N11" s="1"/>
      <c r="O11" s="1" t="s">
        <v>574</v>
      </c>
      <c r="P11" s="1">
        <f>B108</f>
        <v>0.49546133166969175</v>
      </c>
      <c r="Q11" s="1"/>
      <c r="R11" s="1" t="s">
        <v>579</v>
      </c>
      <c r="S11" s="1">
        <f>D20</f>
        <v>126.03840893351803</v>
      </c>
    </row>
    <row r="12" spans="1:19" x14ac:dyDescent="0.4">
      <c r="H12" s="5" t="s">
        <v>572</v>
      </c>
      <c r="I12" s="5"/>
      <c r="J12" s="5">
        <f>D7</f>
        <v>3.8</v>
      </c>
      <c r="K12" s="1"/>
      <c r="L12" s="20" t="s">
        <v>576</v>
      </c>
      <c r="M12" s="1"/>
      <c r="N12" s="1"/>
      <c r="O12" s="5" t="s">
        <v>573</v>
      </c>
      <c r="P12" s="5">
        <f>B109</f>
        <v>0.44025475255121138</v>
      </c>
      <c r="Q12" s="1"/>
      <c r="R12" s="5" t="s">
        <v>580</v>
      </c>
      <c r="S12" s="5">
        <v>175</v>
      </c>
    </row>
    <row r="13" spans="1:19" x14ac:dyDescent="0.4">
      <c r="A13" t="s">
        <v>427</v>
      </c>
      <c r="D13" t="s">
        <v>428</v>
      </c>
      <c r="E13" s="5">
        <v>35</v>
      </c>
      <c r="F13" t="s">
        <v>430</v>
      </c>
      <c r="G13" t="s">
        <v>583</v>
      </c>
      <c r="J13" s="21" t="s">
        <v>581</v>
      </c>
      <c r="R13" s="21" t="s">
        <v>584</v>
      </c>
    </row>
    <row r="14" spans="1:19" x14ac:dyDescent="0.4">
      <c r="D14" t="s">
        <v>429</v>
      </c>
      <c r="E14">
        <v>500</v>
      </c>
      <c r="F14" t="s">
        <v>374</v>
      </c>
      <c r="G14" s="2" t="s">
        <v>585</v>
      </c>
    </row>
    <row r="15" spans="1:19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t="s">
        <v>474</v>
      </c>
    </row>
    <row r="16" spans="1:19" x14ac:dyDescent="0.4">
      <c r="A16" t="s">
        <v>431</v>
      </c>
    </row>
    <row r="18" spans="1:14" x14ac:dyDescent="0.4">
      <c r="A18" t="s">
        <v>442</v>
      </c>
    </row>
    <row r="19" spans="1:14" x14ac:dyDescent="0.4">
      <c r="A19" t="s">
        <v>560</v>
      </c>
      <c r="B19" t="s">
        <v>438</v>
      </c>
      <c r="D19" s="5">
        <f>Sheet1!L65+1.35*D11</f>
        <v>1819.9946250000003</v>
      </c>
      <c r="E19" t="s">
        <v>217</v>
      </c>
      <c r="F19" t="s">
        <v>426</v>
      </c>
    </row>
    <row r="20" spans="1:14" x14ac:dyDescent="0.4">
      <c r="B20" t="s">
        <v>432</v>
      </c>
      <c r="D20" s="5">
        <f>D19/D8</f>
        <v>126.03840893351803</v>
      </c>
      <c r="E20" t="s">
        <v>25</v>
      </c>
      <c r="G20" t="s">
        <v>460</v>
      </c>
      <c r="N20" s="19" t="s">
        <v>532</v>
      </c>
    </row>
    <row r="22" spans="1:14" x14ac:dyDescent="0.4">
      <c r="A22" t="s">
        <v>439</v>
      </c>
      <c r="B22">
        <f>D20*((D7-Sheet1!C13)/2)^2</f>
        <v>364.25100181786706</v>
      </c>
      <c r="C22" t="s">
        <v>441</v>
      </c>
      <c r="F22" t="s">
        <v>440</v>
      </c>
      <c r="H22" t="s">
        <v>466</v>
      </c>
    </row>
    <row r="26" spans="1:14" x14ac:dyDescent="0.4">
      <c r="A26" t="s">
        <v>443</v>
      </c>
    </row>
    <row r="27" spans="1:14" x14ac:dyDescent="0.4">
      <c r="G27" t="s">
        <v>444</v>
      </c>
    </row>
    <row r="28" spans="1:14" x14ac:dyDescent="0.4">
      <c r="A28" t="s">
        <v>446</v>
      </c>
      <c r="D28">
        <v>20</v>
      </c>
      <c r="E28" t="s">
        <v>5</v>
      </c>
      <c r="G28" t="s">
        <v>461</v>
      </c>
      <c r="H28">
        <v>50</v>
      </c>
      <c r="I28" t="s">
        <v>5</v>
      </c>
      <c r="J28" t="s">
        <v>445</v>
      </c>
    </row>
    <row r="30" spans="1:14" x14ac:dyDescent="0.4">
      <c r="A30" t="s">
        <v>447</v>
      </c>
      <c r="D30" s="5">
        <f>D9*1000-H28-D28</f>
        <v>580</v>
      </c>
      <c r="E30" t="s">
        <v>5</v>
      </c>
    </row>
    <row r="32" spans="1:14" x14ac:dyDescent="0.4">
      <c r="A32" t="s">
        <v>561</v>
      </c>
      <c r="D32">
        <f>(0.167*30*D7*1000*D30^2)/10^6</f>
        <v>6404.3832000000002</v>
      </c>
      <c r="E32" t="s">
        <v>102</v>
      </c>
      <c r="G32" t="s">
        <v>449</v>
      </c>
      <c r="H32">
        <f>B22</f>
        <v>364.25100181786706</v>
      </c>
      <c r="I32" t="s">
        <v>102</v>
      </c>
      <c r="J32" t="s">
        <v>12</v>
      </c>
      <c r="L32" t="s">
        <v>464</v>
      </c>
    </row>
    <row r="34" spans="1:21" s="1" customFormat="1" x14ac:dyDescent="0.4"/>
    <row r="36" spans="1:21" x14ac:dyDescent="0.4">
      <c r="A36" t="s">
        <v>450</v>
      </c>
    </row>
    <row r="38" spans="1:21" x14ac:dyDescent="0.4">
      <c r="A38" t="s">
        <v>451</v>
      </c>
      <c r="D38">
        <f>H32*10^6/(E13*D7*1000*(D30^2))</f>
        <v>8.1412881598586315E-3</v>
      </c>
      <c r="E38" t="s">
        <v>453</v>
      </c>
    </row>
    <row r="39" spans="1:21" x14ac:dyDescent="0.4">
      <c r="A39" t="s">
        <v>452</v>
      </c>
      <c r="D39">
        <f>D30*(0.5+SQRT(0.25-D38/0.9))</f>
        <v>574.7050533505851</v>
      </c>
      <c r="E39" t="s">
        <v>5</v>
      </c>
      <c r="F39" t="s">
        <v>454</v>
      </c>
      <c r="G39">
        <f>D30*0.95</f>
        <v>551</v>
      </c>
      <c r="H39" t="s">
        <v>5</v>
      </c>
      <c r="I39" t="s">
        <v>455</v>
      </c>
    </row>
    <row r="41" spans="1:21" x14ac:dyDescent="0.4">
      <c r="A41" t="s">
        <v>456</v>
      </c>
      <c r="D41" s="5">
        <f>H32*10^6/(0.87*500*D39)</f>
        <v>1457.0232504252042</v>
      </c>
      <c r="E41" t="s">
        <v>457</v>
      </c>
      <c r="G41" s="1" t="s">
        <v>586</v>
      </c>
      <c r="H41" s="1"/>
      <c r="I41" s="1"/>
      <c r="J41" s="1">
        <v>4187</v>
      </c>
      <c r="K41" s="1" t="s">
        <v>488</v>
      </c>
      <c r="M41" t="s">
        <v>577</v>
      </c>
    </row>
    <row r="43" spans="1:21" x14ac:dyDescent="0.4">
      <c r="A43" t="s">
        <v>458</v>
      </c>
      <c r="D43">
        <f>0.13%*D7*1000*D9*1000</f>
        <v>3211</v>
      </c>
      <c r="E43" t="s">
        <v>465</v>
      </c>
      <c r="G43" t="s">
        <v>459</v>
      </c>
      <c r="K43" s="2" t="s">
        <v>471</v>
      </c>
    </row>
    <row r="44" spans="1:21" x14ac:dyDescent="0.4">
      <c r="G44" t="s">
        <v>587</v>
      </c>
    </row>
    <row r="45" spans="1:21" s="1" customFormat="1" x14ac:dyDescent="0.4">
      <c r="A45" s="1" t="s">
        <v>554</v>
      </c>
      <c r="E45" s="2" t="s">
        <v>483</v>
      </c>
      <c r="M45" s="1" t="s">
        <v>484</v>
      </c>
    </row>
    <row r="46" spans="1:21" x14ac:dyDescent="0.4">
      <c r="A46" t="s">
        <v>494</v>
      </c>
      <c r="H46" t="s">
        <v>467</v>
      </c>
    </row>
    <row r="47" spans="1:21" x14ac:dyDescent="0.4">
      <c r="H47" t="s">
        <v>468</v>
      </c>
      <c r="U47" s="2" t="s">
        <v>481</v>
      </c>
    </row>
    <row r="48" spans="1:21" x14ac:dyDescent="0.4">
      <c r="A48" t="s">
        <v>224</v>
      </c>
      <c r="B48">
        <f>1+SQRT(200/D30)</f>
        <v>1.5872202195147036</v>
      </c>
      <c r="C48" t="s">
        <v>478</v>
      </c>
      <c r="D48" t="s">
        <v>479</v>
      </c>
      <c r="E48" t="s">
        <v>224</v>
      </c>
      <c r="F48">
        <f>MIN(B48,2)</f>
        <v>1.5872202195147036</v>
      </c>
      <c r="U48" t="s">
        <v>482</v>
      </c>
    </row>
    <row r="49" spans="1:14" x14ac:dyDescent="0.4">
      <c r="A49" t="s">
        <v>476</v>
      </c>
      <c r="B49">
        <f>0.035*B48^(3/2)*30^(1/2)</f>
        <v>0.38334027728660847</v>
      </c>
      <c r="C49" t="s">
        <v>477</v>
      </c>
    </row>
    <row r="50" spans="1:14" x14ac:dyDescent="0.4">
      <c r="A50" t="s">
        <v>485</v>
      </c>
      <c r="B50">
        <f>0.18/1.5</f>
        <v>0.12</v>
      </c>
      <c r="C50" t="s">
        <v>486</v>
      </c>
      <c r="E50" t="s">
        <v>498</v>
      </c>
      <c r="F50">
        <f>D30</f>
        <v>580</v>
      </c>
      <c r="G50" t="s">
        <v>499</v>
      </c>
    </row>
    <row r="51" spans="1:14" x14ac:dyDescent="0.4">
      <c r="A51" t="s">
        <v>20</v>
      </c>
      <c r="B51">
        <f>E13</f>
        <v>35</v>
      </c>
      <c r="E51" t="s">
        <v>501</v>
      </c>
      <c r="F51">
        <f>(D7*1000-Sheet1!C13*1000)/2</f>
        <v>1700</v>
      </c>
      <c r="G51" t="s">
        <v>5</v>
      </c>
    </row>
    <row r="52" spans="1:14" x14ac:dyDescent="0.4">
      <c r="A52" t="s">
        <v>493</v>
      </c>
    </row>
    <row r="53" spans="1:14" x14ac:dyDescent="0.4">
      <c r="A53" t="s">
        <v>495</v>
      </c>
      <c r="E53" t="s">
        <v>480</v>
      </c>
    </row>
    <row r="54" spans="1:14" x14ac:dyDescent="0.4">
      <c r="B54" t="s">
        <v>487</v>
      </c>
      <c r="C54">
        <f>J41/((D9*1000)*D30)</f>
        <v>1.1106100795755969E-2</v>
      </c>
      <c r="E54" t="s">
        <v>489</v>
      </c>
    </row>
    <row r="55" spans="1:14" x14ac:dyDescent="0.4">
      <c r="B55" t="s">
        <v>490</v>
      </c>
      <c r="C55">
        <v>0.1</v>
      </c>
      <c r="D55" t="s">
        <v>503</v>
      </c>
      <c r="F55" t="s">
        <v>502</v>
      </c>
    </row>
    <row r="56" spans="1:14" x14ac:dyDescent="0.4">
      <c r="B56" t="s">
        <v>491</v>
      </c>
      <c r="C56">
        <v>0</v>
      </c>
      <c r="D56" t="s">
        <v>25</v>
      </c>
      <c r="E56" t="s">
        <v>500</v>
      </c>
    </row>
    <row r="57" spans="1:14" x14ac:dyDescent="0.4">
      <c r="B57" t="s">
        <v>566</v>
      </c>
      <c r="C57" s="3">
        <f>B50*B48*(100*C54*B51)^(1/3)*(2*F50/F51)</f>
        <v>0.44025475255121138</v>
      </c>
      <c r="D57" t="s">
        <v>492</v>
      </c>
    </row>
    <row r="58" spans="1:14" x14ac:dyDescent="0.4">
      <c r="A58" t="s">
        <v>497</v>
      </c>
    </row>
    <row r="59" spans="1:14" x14ac:dyDescent="0.4">
      <c r="C59">
        <f>B49*(2*F50/F51)</f>
        <v>0.26157336567792105</v>
      </c>
      <c r="D59" t="s">
        <v>492</v>
      </c>
    </row>
    <row r="61" spans="1:14" x14ac:dyDescent="0.4">
      <c r="A61" t="s">
        <v>504</v>
      </c>
      <c r="C61" t="s">
        <v>496</v>
      </c>
      <c r="D61" t="s">
        <v>509</v>
      </c>
      <c r="F61">
        <f>Sheet1!C13*4+(D30/1000*2)*2*PI()</f>
        <v>8.8884949563283193</v>
      </c>
      <c r="G61" t="s">
        <v>29</v>
      </c>
    </row>
    <row r="62" spans="1:14" x14ac:dyDescent="0.4">
      <c r="A62" t="s">
        <v>505</v>
      </c>
      <c r="B62">
        <f>F63-H62</f>
        <v>1033.0956140569842</v>
      </c>
      <c r="C62" t="s">
        <v>217</v>
      </c>
      <c r="D62" t="s">
        <v>506</v>
      </c>
      <c r="F62" t="s">
        <v>507</v>
      </c>
      <c r="H62">
        <f>D20*(Sheet1!C14+Sheet1!C13*(2*Sheet3!D30/1000)*4+PI()*(2*Sheet3!D30/1000)^2)</f>
        <v>786.89901094301592</v>
      </c>
      <c r="I62" t="s">
        <v>217</v>
      </c>
      <c r="N62" t="s">
        <v>469</v>
      </c>
    </row>
    <row r="63" spans="1:14" x14ac:dyDescent="0.4">
      <c r="D63" t="s">
        <v>508</v>
      </c>
      <c r="F63">
        <f>D19</f>
        <v>1819.9946250000003</v>
      </c>
      <c r="G63" t="s">
        <v>217</v>
      </c>
    </row>
    <row r="64" spans="1:14" x14ac:dyDescent="0.4">
      <c r="A64" t="s">
        <v>510</v>
      </c>
      <c r="B64" s="3">
        <f>B62*1000/(F61*1000*D30)</f>
        <v>0.20039380607544266</v>
      </c>
      <c r="C64" t="s">
        <v>492</v>
      </c>
      <c r="N64" t="s">
        <v>470</v>
      </c>
    </row>
    <row r="67" spans="1:15" x14ac:dyDescent="0.4">
      <c r="A67" t="s">
        <v>511</v>
      </c>
      <c r="B67" t="s">
        <v>512</v>
      </c>
      <c r="C67">
        <f>C57</f>
        <v>0.44025475255121138</v>
      </c>
      <c r="D67" t="s">
        <v>529</v>
      </c>
      <c r="E67">
        <f>B64</f>
        <v>0.20039380607544266</v>
      </c>
      <c r="G67" t="s">
        <v>12</v>
      </c>
    </row>
    <row r="69" spans="1:15" x14ac:dyDescent="0.4">
      <c r="A69" s="18" t="s">
        <v>513</v>
      </c>
      <c r="B69" s="15"/>
      <c r="C69" s="15"/>
      <c r="D69" s="15"/>
      <c r="E69" s="15"/>
      <c r="F69" s="15"/>
      <c r="G69" s="15" t="s">
        <v>514</v>
      </c>
      <c r="H69" s="15"/>
      <c r="I69" s="15"/>
      <c r="J69" s="15"/>
      <c r="K69" s="15"/>
      <c r="L69" s="15"/>
      <c r="M69" s="15"/>
      <c r="N69" s="15"/>
      <c r="O69" s="15"/>
    </row>
    <row r="70" spans="1:15" x14ac:dyDescent="0.4">
      <c r="A70" s="15"/>
      <c r="B70" s="15"/>
      <c r="C70" s="15"/>
      <c r="D70" s="15"/>
      <c r="E70" s="15"/>
      <c r="F70" s="15"/>
      <c r="G70" s="16" t="s">
        <v>515</v>
      </c>
      <c r="H70" s="15"/>
      <c r="I70" s="15"/>
      <c r="J70" s="15"/>
      <c r="K70" s="15"/>
      <c r="L70" s="15"/>
      <c r="M70" s="15"/>
      <c r="N70" s="15"/>
      <c r="O70" s="15"/>
    </row>
    <row r="71" spans="1:15" x14ac:dyDescent="0.4">
      <c r="A71" s="15" t="s">
        <v>516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4">
      <c r="A72" s="15" t="s">
        <v>517</v>
      </c>
      <c r="B72" s="15">
        <v>3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1:15" x14ac:dyDescent="0.4">
      <c r="A73" s="15" t="s">
        <v>518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x14ac:dyDescent="0.4">
      <c r="A74" s="15" t="s">
        <v>519</v>
      </c>
      <c r="B74" s="15">
        <f>0.4*D30</f>
        <v>232</v>
      </c>
      <c r="C74" s="15" t="s">
        <v>5</v>
      </c>
      <c r="D74" s="15"/>
      <c r="E74" s="15"/>
      <c r="F74" s="15"/>
      <c r="G74" s="15" t="s">
        <v>520</v>
      </c>
      <c r="H74" s="15">
        <v>500</v>
      </c>
      <c r="I74" s="15"/>
      <c r="J74" s="15"/>
      <c r="K74" s="15"/>
      <c r="L74" s="15"/>
      <c r="M74" s="15"/>
      <c r="N74" s="15"/>
      <c r="O74" s="15"/>
    </row>
    <row r="75" spans="1:15" x14ac:dyDescent="0.4">
      <c r="A75" s="15" t="s">
        <v>523</v>
      </c>
      <c r="B75" s="15">
        <f>MIN((250+0.25*D30),H75)</f>
        <v>395</v>
      </c>
      <c r="C75" s="15" t="s">
        <v>374</v>
      </c>
      <c r="D75" s="15" t="s">
        <v>524</v>
      </c>
      <c r="E75" s="15"/>
      <c r="F75" s="15"/>
      <c r="G75" s="15" t="s">
        <v>521</v>
      </c>
      <c r="H75" s="15">
        <f>H74/1.15</f>
        <v>434.78260869565219</v>
      </c>
      <c r="I75" s="15"/>
      <c r="J75" s="15" t="s">
        <v>522</v>
      </c>
      <c r="K75" s="15"/>
      <c r="L75" s="15"/>
      <c r="M75" s="15"/>
      <c r="N75" s="15"/>
      <c r="O75" s="15"/>
    </row>
    <row r="76" spans="1:15" x14ac:dyDescent="0.4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x14ac:dyDescent="0.4">
      <c r="A77" s="15" t="s">
        <v>526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pans="1:15" x14ac:dyDescent="0.4">
      <c r="A78" s="15"/>
      <c r="B78" s="15" t="s">
        <v>525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x14ac:dyDescent="0.4">
      <c r="A79" s="15"/>
      <c r="B79" s="15" t="s">
        <v>527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x14ac:dyDescent="0.4">
      <c r="A80" s="15"/>
      <c r="B80" s="15">
        <f>1.15*B62*1000/(C67*D30)</f>
        <v>4652.713509389966</v>
      </c>
      <c r="C80" s="15"/>
      <c r="D80" s="15"/>
      <c r="E80" s="15"/>
      <c r="F80" s="15"/>
      <c r="G80" s="15"/>
      <c r="H80" s="15"/>
      <c r="I80" s="15"/>
      <c r="J80" s="17" t="s">
        <v>528</v>
      </c>
      <c r="K80" s="17"/>
      <c r="L80" s="15"/>
      <c r="M80" s="15"/>
      <c r="N80" s="15"/>
      <c r="O80" s="15"/>
    </row>
    <row r="81" spans="1:15" x14ac:dyDescent="0.4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 spans="1:15" x14ac:dyDescent="0.4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1:15" x14ac:dyDescent="0.4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5" spans="1:15" s="1" customFormat="1" x14ac:dyDescent="0.4">
      <c r="A85" s="1" t="s">
        <v>531</v>
      </c>
    </row>
    <row r="86" spans="1:15" x14ac:dyDescent="0.4">
      <c r="A86" t="s">
        <v>536</v>
      </c>
    </row>
    <row r="87" spans="1:15" x14ac:dyDescent="0.4">
      <c r="A87" t="s">
        <v>533</v>
      </c>
      <c r="B87">
        <v>1.1499999999999999</v>
      </c>
      <c r="C87" t="s">
        <v>534</v>
      </c>
    </row>
    <row r="88" spans="1:15" x14ac:dyDescent="0.4">
      <c r="A88" t="s">
        <v>535</v>
      </c>
      <c r="B88">
        <f>D30*2</f>
        <v>1160</v>
      </c>
      <c r="C88" t="s">
        <v>5</v>
      </c>
    </row>
    <row r="89" spans="1:15" x14ac:dyDescent="0.4">
      <c r="A89" t="s">
        <v>538</v>
      </c>
      <c r="B89">
        <f>D19</f>
        <v>1819.9946250000003</v>
      </c>
      <c r="C89" t="s">
        <v>217</v>
      </c>
    </row>
    <row r="90" spans="1:15" x14ac:dyDescent="0.4">
      <c r="A90" t="s">
        <v>537</v>
      </c>
      <c r="B90">
        <f>B89*1000*B87/(B88*D30)</f>
        <v>3.1108707175237815</v>
      </c>
      <c r="C90" t="s">
        <v>539</v>
      </c>
    </row>
    <row r="92" spans="1:15" x14ac:dyDescent="0.4">
      <c r="A92" t="s">
        <v>542</v>
      </c>
      <c r="D92" t="s">
        <v>540</v>
      </c>
      <c r="E92" t="s">
        <v>541</v>
      </c>
      <c r="F92" t="s">
        <v>552</v>
      </c>
    </row>
    <row r="93" spans="1:15" x14ac:dyDescent="0.4">
      <c r="A93" t="s">
        <v>543</v>
      </c>
      <c r="B93">
        <f>0.6*(1-E13/250)</f>
        <v>0.51600000000000001</v>
      </c>
      <c r="D93" t="s">
        <v>545</v>
      </c>
      <c r="E93" t="s">
        <v>544</v>
      </c>
    </row>
    <row r="94" spans="1:15" x14ac:dyDescent="0.4">
      <c r="A94" t="s">
        <v>546</v>
      </c>
      <c r="B94">
        <f>1*E13/1.5</f>
        <v>23.333333333333332</v>
      </c>
      <c r="D94" t="s">
        <v>547</v>
      </c>
    </row>
    <row r="95" spans="1:15" x14ac:dyDescent="0.4">
      <c r="A95" t="s">
        <v>548</v>
      </c>
      <c r="B95">
        <f>0.5*B93*B94</f>
        <v>6.02</v>
      </c>
      <c r="C95" t="s">
        <v>539</v>
      </c>
    </row>
    <row r="97" spans="1:7" x14ac:dyDescent="0.4">
      <c r="A97" t="s">
        <v>549</v>
      </c>
      <c r="C97">
        <f>B95</f>
        <v>6.02</v>
      </c>
      <c r="D97" t="s">
        <v>550</v>
      </c>
      <c r="E97">
        <f>B90</f>
        <v>3.1108707175237815</v>
      </c>
      <c r="G97" t="s">
        <v>12</v>
      </c>
    </row>
    <row r="99" spans="1:7" s="1" customFormat="1" x14ac:dyDescent="0.4">
      <c r="A99" s="1" t="s">
        <v>551</v>
      </c>
      <c r="C99" s="1" t="s">
        <v>553</v>
      </c>
    </row>
    <row r="101" spans="1:7" x14ac:dyDescent="0.4">
      <c r="A101" t="s">
        <v>556</v>
      </c>
      <c r="D101" t="s">
        <v>555</v>
      </c>
    </row>
    <row r="102" spans="1:7" x14ac:dyDescent="0.4">
      <c r="A102" t="s">
        <v>558</v>
      </c>
      <c r="D102">
        <f>D7*(D7-(D7-Sheet1!C13)/2-D30/1000)</f>
        <v>5.775999999999998</v>
      </c>
      <c r="E102" t="s">
        <v>153</v>
      </c>
      <c r="F102" t="s">
        <v>559</v>
      </c>
    </row>
    <row r="103" spans="1:7" x14ac:dyDescent="0.4">
      <c r="B103" t="s">
        <v>557</v>
      </c>
      <c r="C103">
        <f>D102*D20</f>
        <v>727.99784999999986</v>
      </c>
      <c r="D103" t="s">
        <v>217</v>
      </c>
    </row>
    <row r="104" spans="1:7" x14ac:dyDescent="0.4">
      <c r="A104" t="s">
        <v>562</v>
      </c>
      <c r="B104">
        <f>D19-C103</f>
        <v>1091.9967750000005</v>
      </c>
      <c r="C104" t="s">
        <v>217</v>
      </c>
    </row>
    <row r="106" spans="1:7" x14ac:dyDescent="0.4">
      <c r="A106" t="s">
        <v>570</v>
      </c>
      <c r="D106" t="s">
        <v>563</v>
      </c>
      <c r="E106" t="s">
        <v>564</v>
      </c>
    </row>
    <row r="107" spans="1:7" x14ac:dyDescent="0.4">
      <c r="A107" t="s">
        <v>569</v>
      </c>
      <c r="D107" t="s">
        <v>568</v>
      </c>
      <c r="E107" t="s">
        <v>571</v>
      </c>
    </row>
    <row r="108" spans="1:7" x14ac:dyDescent="0.4">
      <c r="A108" t="s">
        <v>537</v>
      </c>
      <c r="B108">
        <f>B104*1000/(D7*1000*D30)</f>
        <v>0.49546133166969175</v>
      </c>
    </row>
    <row r="109" spans="1:7" x14ac:dyDescent="0.4">
      <c r="A109" t="s">
        <v>565</v>
      </c>
      <c r="B109">
        <f>C57</f>
        <v>0.44025475255121138</v>
      </c>
      <c r="D109" t="s">
        <v>567</v>
      </c>
    </row>
    <row r="111" spans="1:7" x14ac:dyDescent="0.4">
      <c r="A111" t="s">
        <v>582</v>
      </c>
      <c r="C111" t="s">
        <v>12</v>
      </c>
    </row>
  </sheetData>
  <hyperlinks>
    <hyperlink ref="K43" r:id="rId1" display="https://www.betonstaal.nl/media/50753-Cross_sectional_area_of_reinforcement_at_given_bar_spacing.pdf" xr:uid="{43B3E833-E76D-443F-9E55-8F434C84FCB9}"/>
    <hyperlink ref="U47" r:id="rId2" display="https://www.youtube.com/watch?v=GeJX8eLWFDA&amp;t=33s&amp;ab_channel=StructuralEngineerCalcs" xr:uid="{87E0FFEE-75E9-40E6-A461-963B0638E0D4}"/>
    <hyperlink ref="E45" r:id="rId3" display="https://www.youtube.com/watch?v=Uo9yVvPrtIo&amp;ab_channel=StructuralBasics" xr:uid="{EE972FDB-7BF3-4EC9-AB2B-7E3DC041AE1C}"/>
    <hyperlink ref="A69" r:id="rId4" display="https://www.structuralbasics.com/punching-shear/" xr:uid="{BEFC4E43-C0AA-47A5-9426-DF9D1A718843}"/>
    <hyperlink ref="G14" r:id="rId5" display="https://eurocodeapplied.com/design/en1992/concrete-design-properties" xr:uid="{63EF8612-232E-4BD9-97C1-D5C848EFD984}"/>
  </hyperlink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7179D52158EF4382AB35A2624C72F2" ma:contentTypeVersion="16" ma:contentTypeDescription="Create a new document." ma:contentTypeScope="" ma:versionID="220ada54770b8eaa45e01f4c39a7ed24">
  <xsd:schema xmlns:xsd="http://www.w3.org/2001/XMLSchema" xmlns:xs="http://www.w3.org/2001/XMLSchema" xmlns:p="http://schemas.microsoft.com/office/2006/metadata/properties" xmlns:ns3="29bd5f13-9faf-49d5-85a7-b92cd10d3653" xmlns:ns4="bd0c9d91-9e0b-4c20-b565-a81dd98b8750" targetNamespace="http://schemas.microsoft.com/office/2006/metadata/properties" ma:root="true" ma:fieldsID="30c99d0492d26a965db0b49f37549846" ns3:_="" ns4:_="">
    <xsd:import namespace="29bd5f13-9faf-49d5-85a7-b92cd10d3653"/>
    <xsd:import namespace="bd0c9d91-9e0b-4c20-b565-a81dd98b87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d5f13-9faf-49d5-85a7-b92cd10d3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c9d91-9e0b-4c20-b565-a81dd98b87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9bd5f13-9faf-49d5-85a7-b92cd10d3653" xsi:nil="true"/>
  </documentManagement>
</p:properties>
</file>

<file path=customXml/itemProps1.xml><?xml version="1.0" encoding="utf-8"?>
<ds:datastoreItem xmlns:ds="http://schemas.openxmlformats.org/officeDocument/2006/customXml" ds:itemID="{88C472A5-0264-4CAA-ABE5-8B961C055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d5f13-9faf-49d5-85a7-b92cd10d3653"/>
    <ds:schemaRef ds:uri="bd0c9d91-9e0b-4c20-b565-a81dd98b87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384D3C-DD1E-459D-95BD-F76945C428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991464-CABE-4C50-8DEB-90A2E957EF37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bd0c9d91-9e0b-4c20-b565-a81dd98b8750"/>
    <ds:schemaRef ds:uri="29bd5f13-9faf-49d5-85a7-b92cd10d365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Chu, Matthew</dc:creator>
  <cp:lastModifiedBy>Chu, Matthew</cp:lastModifiedBy>
  <dcterms:created xsi:type="dcterms:W3CDTF">2024-10-26T15:46:20Z</dcterms:created>
  <dcterms:modified xsi:type="dcterms:W3CDTF">2024-10-28T10:50:39Z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0x010100F37179D52158EF4382AB35A2624C72F2</vt:lpwstr>
  </property>
</Properties>
</file>